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ulg\Documents\year 4\IIB_Project\code\mycode\Data\"/>
    </mc:Choice>
  </mc:AlternateContent>
  <xr:revisionPtr revIDLastSave="0" documentId="13_ncr:1_{96152C65-A98B-4C7D-BF5C-A21E6ADEA7DD}" xr6:coauthVersionLast="47" xr6:coauthVersionMax="47" xr10:uidLastSave="{00000000-0000-0000-0000-000000000000}"/>
  <bookViews>
    <workbookView xWindow="-98" yWindow="-98" windowWidth="24196" windowHeight="13096" tabRatio="877" activeTab="1" xr2:uid="{00000000-000D-0000-FFFF-FFFF00000000}"/>
  </bookViews>
  <sheets>
    <sheet name="Stub column tests" sheetId="2" r:id="rId1"/>
    <sheet name="Beam tests" sheetId="27" r:id="rId2"/>
  </sheets>
  <definedNames>
    <definedName name="solver_adj" localSheetId="0" hidden="1">'Stub column tests'!$O$2:$P$2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'Stub column tests'!#REF!</definedName>
    <definedName name="solver_lhs2" localSheetId="0" hidden="1">'Stub column tests'!#REF!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'Stub column tests'!#REF!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0.9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96" i="27" l="1"/>
  <c r="AR196" i="27"/>
  <c r="AW196" i="27"/>
  <c r="AX196" i="27" s="1"/>
  <c r="BY107" i="27"/>
  <c r="BZ107" i="27"/>
  <c r="CA107" i="27"/>
  <c r="BY108" i="27"/>
  <c r="BZ108" i="27"/>
  <c r="CA108" i="27"/>
  <c r="BX108" i="27"/>
  <c r="BX107" i="27"/>
  <c r="AB374" i="27"/>
  <c r="AP374" i="27"/>
  <c r="AQ374" i="27"/>
  <c r="AR374" i="27"/>
  <c r="AS374" i="27"/>
  <c r="AT374" i="27"/>
  <c r="AB375" i="27"/>
  <c r="AP375" i="27"/>
  <c r="AQ375" i="27"/>
  <c r="AR375" i="27"/>
  <c r="AS375" i="27"/>
  <c r="AT375" i="27"/>
  <c r="W245" i="27"/>
  <c r="AP245" i="27"/>
  <c r="AQ245" i="27"/>
  <c r="AR245" i="27"/>
  <c r="AS245" i="27"/>
  <c r="AT245" i="27"/>
  <c r="W246" i="27"/>
  <c r="AP246" i="27"/>
  <c r="AQ246" i="27"/>
  <c r="AR246" i="27"/>
  <c r="AS246" i="27"/>
  <c r="AT246" i="27"/>
  <c r="W247" i="27"/>
  <c r="AP247" i="27"/>
  <c r="AQ247" i="27"/>
  <c r="AR247" i="27"/>
  <c r="AS247" i="27"/>
  <c r="AT247" i="27"/>
  <c r="W248" i="27"/>
  <c r="AP248" i="27"/>
  <c r="AQ248" i="27"/>
  <c r="AR248" i="27"/>
  <c r="AS248" i="27"/>
  <c r="AT248" i="27"/>
  <c r="W249" i="27"/>
  <c r="AP249" i="27"/>
  <c r="AQ249" i="27"/>
  <c r="AR249" i="27"/>
  <c r="AS249" i="27"/>
  <c r="AT249" i="27"/>
  <c r="W250" i="27"/>
  <c r="AP250" i="27"/>
  <c r="AQ250" i="27"/>
  <c r="AR250" i="27"/>
  <c r="AS250" i="27"/>
  <c r="AT250" i="27"/>
  <c r="W251" i="27"/>
  <c r="AP251" i="27"/>
  <c r="AQ251" i="27"/>
  <c r="AR251" i="27"/>
  <c r="AS251" i="27"/>
  <c r="AT251" i="27"/>
  <c r="W252" i="27"/>
  <c r="AP252" i="27"/>
  <c r="AQ252" i="27"/>
  <c r="AR252" i="27"/>
  <c r="AS252" i="27"/>
  <c r="AT252" i="27"/>
  <c r="AT215" i="27" l="1"/>
  <c r="AT216" i="27"/>
  <c r="AT217" i="27"/>
  <c r="AT218" i="27"/>
  <c r="AT219" i="27"/>
  <c r="AT220" i="27"/>
  <c r="AT221" i="27"/>
  <c r="AT222" i="27"/>
  <c r="AT223" i="27"/>
  <c r="AT224" i="27"/>
  <c r="AT225" i="27"/>
  <c r="AT226" i="27"/>
  <c r="AT227" i="27"/>
  <c r="AT228" i="27"/>
  <c r="AT229" i="27"/>
  <c r="AT230" i="27"/>
  <c r="AT231" i="27"/>
  <c r="AT232" i="27"/>
  <c r="AT233" i="27"/>
  <c r="AT234" i="27"/>
  <c r="AT235" i="27"/>
  <c r="AT236" i="27"/>
  <c r="AT237" i="27"/>
  <c r="AT238" i="27"/>
  <c r="AT239" i="27"/>
  <c r="AT240" i="27"/>
  <c r="AT241" i="27"/>
  <c r="AT242" i="27"/>
  <c r="AT243" i="27"/>
  <c r="AT244" i="27"/>
  <c r="AT253" i="27"/>
  <c r="AT254" i="27"/>
  <c r="AT255" i="27"/>
  <c r="AT256" i="27"/>
  <c r="AT257" i="27"/>
  <c r="AT258" i="27"/>
  <c r="AT259" i="27"/>
  <c r="AT260" i="27"/>
  <c r="AT261" i="27"/>
  <c r="AT262" i="27"/>
  <c r="AT263" i="27"/>
  <c r="AT264" i="27"/>
  <c r="AT265" i="27"/>
  <c r="AT266" i="27"/>
  <c r="AT267" i="27"/>
  <c r="AT268" i="27"/>
  <c r="AT269" i="27"/>
  <c r="AT270" i="27"/>
  <c r="AT271" i="27"/>
  <c r="AT272" i="27"/>
  <c r="AT273" i="27"/>
  <c r="AT274" i="27"/>
  <c r="AT275" i="27"/>
  <c r="AT276" i="27"/>
  <c r="AT277" i="27"/>
  <c r="AT278" i="27"/>
  <c r="AT279" i="27"/>
  <c r="AT280" i="27"/>
  <c r="AT281" i="27"/>
  <c r="AT282" i="27"/>
  <c r="AT283" i="27"/>
  <c r="AT284" i="27"/>
  <c r="AT285" i="27"/>
  <c r="AT286" i="27"/>
  <c r="AT287" i="27"/>
  <c r="AT288" i="27"/>
  <c r="AT289" i="27"/>
  <c r="AT290" i="27"/>
  <c r="AT291" i="27"/>
  <c r="AT292" i="27"/>
  <c r="AT293" i="27"/>
  <c r="AT294" i="27"/>
  <c r="AT295" i="27"/>
  <c r="AT296" i="27"/>
  <c r="AT297" i="27"/>
  <c r="AT298" i="27"/>
  <c r="AT299" i="27"/>
  <c r="AT300" i="27"/>
  <c r="AT301" i="27"/>
  <c r="AT302" i="27"/>
  <c r="AT303" i="27"/>
  <c r="AT304" i="27"/>
  <c r="AT305" i="27"/>
  <c r="AT306" i="27"/>
  <c r="AT307" i="27"/>
  <c r="AT308" i="27"/>
  <c r="AT309" i="27"/>
  <c r="AT310" i="27"/>
  <c r="AT311" i="27"/>
  <c r="AT312" i="27"/>
  <c r="AT313" i="27"/>
  <c r="AT314" i="27"/>
  <c r="AT315" i="27"/>
  <c r="AT316" i="27"/>
  <c r="AT317" i="27"/>
  <c r="AT318" i="27"/>
  <c r="AT319" i="27"/>
  <c r="AT320" i="27"/>
  <c r="AT321" i="27"/>
  <c r="AT322" i="27"/>
  <c r="AT323" i="27"/>
  <c r="AT324" i="27"/>
  <c r="AT325" i="27"/>
  <c r="AT326" i="27"/>
  <c r="AT327" i="27"/>
  <c r="AT328" i="27"/>
  <c r="AT329" i="27"/>
  <c r="AT330" i="27"/>
  <c r="AT331" i="27"/>
  <c r="AT332" i="27"/>
  <c r="AT333" i="27"/>
  <c r="AT334" i="27"/>
  <c r="AT335" i="27"/>
  <c r="AT336" i="27"/>
  <c r="AT337" i="27"/>
  <c r="AT338" i="27"/>
  <c r="AT339" i="27"/>
  <c r="AT340" i="27"/>
  <c r="AT341" i="27"/>
  <c r="AT342" i="27"/>
  <c r="AT343" i="27"/>
  <c r="AT344" i="27"/>
  <c r="AT345" i="27"/>
  <c r="AT346" i="27"/>
  <c r="AT347" i="27"/>
  <c r="AT348" i="27"/>
  <c r="AT349" i="27"/>
  <c r="AT350" i="27"/>
  <c r="AT351" i="27"/>
  <c r="AT352" i="27"/>
  <c r="AT353" i="27"/>
  <c r="AT354" i="27"/>
  <c r="AT355" i="27"/>
  <c r="AT356" i="27"/>
  <c r="AT357" i="27"/>
  <c r="AT358" i="27"/>
  <c r="AT359" i="27"/>
  <c r="AT360" i="27"/>
  <c r="AT361" i="27"/>
  <c r="AT362" i="27"/>
  <c r="AT363" i="27"/>
  <c r="AT364" i="27"/>
  <c r="AT365" i="27"/>
  <c r="AT366" i="27"/>
  <c r="AT367" i="27"/>
  <c r="AT368" i="27"/>
  <c r="AT369" i="27"/>
  <c r="AT370" i="27"/>
  <c r="AT371" i="27"/>
  <c r="AT372" i="27"/>
  <c r="AT373" i="27"/>
  <c r="AT214" i="27"/>
  <c r="AS215" i="27"/>
  <c r="AS216" i="27"/>
  <c r="AS217" i="27"/>
  <c r="AS218" i="27"/>
  <c r="AS219" i="27"/>
  <c r="AS220" i="27"/>
  <c r="AS221" i="27"/>
  <c r="AS222" i="27"/>
  <c r="AS223" i="27"/>
  <c r="AS224" i="27"/>
  <c r="AS225" i="27"/>
  <c r="AS226" i="27"/>
  <c r="AS227" i="27"/>
  <c r="AS228" i="27"/>
  <c r="AS229" i="27"/>
  <c r="AS230" i="27"/>
  <c r="AS231" i="27"/>
  <c r="AS232" i="27"/>
  <c r="AS233" i="27"/>
  <c r="AS234" i="27"/>
  <c r="AS235" i="27"/>
  <c r="AS236" i="27"/>
  <c r="AS237" i="27"/>
  <c r="AS238" i="27"/>
  <c r="AS239" i="27"/>
  <c r="AS240" i="27"/>
  <c r="AS241" i="27"/>
  <c r="AS242" i="27"/>
  <c r="AS243" i="27"/>
  <c r="AS244" i="27"/>
  <c r="AS253" i="27"/>
  <c r="AS254" i="27"/>
  <c r="AS255" i="27"/>
  <c r="AS256" i="27"/>
  <c r="AS257" i="27"/>
  <c r="AS258" i="27"/>
  <c r="AS259" i="27"/>
  <c r="AS260" i="27"/>
  <c r="AS261" i="27"/>
  <c r="AS262" i="27"/>
  <c r="AS263" i="27"/>
  <c r="AS264" i="27"/>
  <c r="AS265" i="27"/>
  <c r="AS266" i="27"/>
  <c r="AS267" i="27"/>
  <c r="AS268" i="27"/>
  <c r="AS269" i="27"/>
  <c r="AS270" i="27"/>
  <c r="AS271" i="27"/>
  <c r="AS272" i="27"/>
  <c r="AS273" i="27"/>
  <c r="AS274" i="27"/>
  <c r="AS275" i="27"/>
  <c r="AS276" i="27"/>
  <c r="AS277" i="27"/>
  <c r="AS278" i="27"/>
  <c r="AS279" i="27"/>
  <c r="AS280" i="27"/>
  <c r="AS281" i="27"/>
  <c r="AS282" i="27"/>
  <c r="AS283" i="27"/>
  <c r="AS284" i="27"/>
  <c r="AS285" i="27"/>
  <c r="AS286" i="27"/>
  <c r="AS287" i="27"/>
  <c r="AS288" i="27"/>
  <c r="AS289" i="27"/>
  <c r="AS290" i="27"/>
  <c r="AS291" i="27"/>
  <c r="AS292" i="27"/>
  <c r="AS293" i="27"/>
  <c r="AS294" i="27"/>
  <c r="AS295" i="27"/>
  <c r="AS296" i="27"/>
  <c r="AS297" i="27"/>
  <c r="AS298" i="27"/>
  <c r="AS299" i="27"/>
  <c r="AS300" i="27"/>
  <c r="AS301" i="27"/>
  <c r="AS302" i="27"/>
  <c r="AS303" i="27"/>
  <c r="AS304" i="27"/>
  <c r="AS305" i="27"/>
  <c r="AS306" i="27"/>
  <c r="AS307" i="27"/>
  <c r="AS308" i="27"/>
  <c r="AS309" i="27"/>
  <c r="AS310" i="27"/>
  <c r="AS311" i="27"/>
  <c r="AS312" i="27"/>
  <c r="AS313" i="27"/>
  <c r="AS314" i="27"/>
  <c r="AS315" i="27"/>
  <c r="AS316" i="27"/>
  <c r="AS317" i="27"/>
  <c r="AS318" i="27"/>
  <c r="AS319" i="27"/>
  <c r="AS320" i="27"/>
  <c r="AS321" i="27"/>
  <c r="AS322" i="27"/>
  <c r="AS323" i="27"/>
  <c r="AS324" i="27"/>
  <c r="AS325" i="27"/>
  <c r="AS326" i="27"/>
  <c r="AS327" i="27"/>
  <c r="AS328" i="27"/>
  <c r="AS329" i="27"/>
  <c r="AS330" i="27"/>
  <c r="AS331" i="27"/>
  <c r="AS332" i="27"/>
  <c r="AS333" i="27"/>
  <c r="AS334" i="27"/>
  <c r="AS335" i="27"/>
  <c r="AS336" i="27"/>
  <c r="AS337" i="27"/>
  <c r="AS338" i="27"/>
  <c r="AS339" i="27"/>
  <c r="AS340" i="27"/>
  <c r="AS341" i="27"/>
  <c r="AS342" i="27"/>
  <c r="AS343" i="27"/>
  <c r="AS344" i="27"/>
  <c r="AS345" i="27"/>
  <c r="AS346" i="27"/>
  <c r="AS347" i="27"/>
  <c r="AS348" i="27"/>
  <c r="AS349" i="27"/>
  <c r="AS350" i="27"/>
  <c r="AS351" i="27"/>
  <c r="AS352" i="27"/>
  <c r="AS353" i="27"/>
  <c r="AS354" i="27"/>
  <c r="AS355" i="27"/>
  <c r="AS356" i="27"/>
  <c r="AS357" i="27"/>
  <c r="AS358" i="27"/>
  <c r="AS359" i="27"/>
  <c r="AS360" i="27"/>
  <c r="AS361" i="27"/>
  <c r="AS362" i="27"/>
  <c r="AS363" i="27"/>
  <c r="AS364" i="27"/>
  <c r="AS365" i="27"/>
  <c r="AS366" i="27"/>
  <c r="AS367" i="27"/>
  <c r="AS368" i="27"/>
  <c r="AS369" i="27"/>
  <c r="AS370" i="27"/>
  <c r="AS371" i="27"/>
  <c r="AS372" i="27"/>
  <c r="AS373" i="27"/>
  <c r="AS214" i="27"/>
  <c r="AR214" i="27"/>
  <c r="AR215" i="27"/>
  <c r="AR216" i="27"/>
  <c r="AR217" i="27"/>
  <c r="AR218" i="27"/>
  <c r="AR219" i="27"/>
  <c r="AR220" i="27"/>
  <c r="AR221" i="27"/>
  <c r="AR222" i="27"/>
  <c r="AR223" i="27"/>
  <c r="AR224" i="27"/>
  <c r="AR225" i="27"/>
  <c r="AR226" i="27"/>
  <c r="AR227" i="27"/>
  <c r="AR228" i="27"/>
  <c r="AR229" i="27"/>
  <c r="AR230" i="27"/>
  <c r="AR231" i="27"/>
  <c r="AR232" i="27"/>
  <c r="AR233" i="27"/>
  <c r="AR234" i="27"/>
  <c r="AR235" i="27"/>
  <c r="AR236" i="27"/>
  <c r="AQ214" i="27"/>
  <c r="AQ215" i="27"/>
  <c r="AQ216" i="27"/>
  <c r="AQ217" i="27"/>
  <c r="AQ218" i="27"/>
  <c r="AQ219" i="27"/>
  <c r="AQ220" i="27"/>
  <c r="AQ221" i="27"/>
  <c r="AQ222" i="27"/>
  <c r="AQ223" i="27"/>
  <c r="AQ224" i="27"/>
  <c r="AQ225" i="27"/>
  <c r="AQ226" i="27"/>
  <c r="AQ227" i="27"/>
  <c r="AQ228" i="27"/>
  <c r="AQ229" i="27"/>
  <c r="AQ230" i="27"/>
  <c r="AQ231" i="27"/>
  <c r="AQ232" i="27"/>
  <c r="AQ233" i="27"/>
  <c r="AQ234" i="27"/>
  <c r="AQ235" i="27"/>
  <c r="AQ236" i="27"/>
  <c r="AP214" i="27"/>
  <c r="AP215" i="27"/>
  <c r="AP216" i="27"/>
  <c r="AP217" i="27"/>
  <c r="AP218" i="27"/>
  <c r="AP219" i="27"/>
  <c r="AP220" i="27"/>
  <c r="AP221" i="27"/>
  <c r="AP222" i="27"/>
  <c r="AP223" i="27"/>
  <c r="AP224" i="27"/>
  <c r="AP225" i="27"/>
  <c r="AP226" i="27"/>
  <c r="AP227" i="27"/>
  <c r="AP228" i="27"/>
  <c r="AP229" i="27"/>
  <c r="AP230" i="27"/>
  <c r="AP231" i="27"/>
  <c r="AP232" i="27"/>
  <c r="AP233" i="27"/>
  <c r="AP234" i="27"/>
  <c r="AP235" i="27"/>
  <c r="AP236" i="27"/>
  <c r="AR238" i="27"/>
  <c r="AR239" i="27"/>
  <c r="AR240" i="27"/>
  <c r="AR241" i="27"/>
  <c r="AR242" i="27"/>
  <c r="AR243" i="27"/>
  <c r="AR244" i="27"/>
  <c r="AR253" i="27"/>
  <c r="AR254" i="27"/>
  <c r="AR255" i="27"/>
  <c r="AR256" i="27"/>
  <c r="AR257" i="27"/>
  <c r="AR258" i="27"/>
  <c r="AR259" i="27"/>
  <c r="AR260" i="27"/>
  <c r="AR261" i="27"/>
  <c r="AR262" i="27"/>
  <c r="AR263" i="27"/>
  <c r="AR264" i="27"/>
  <c r="AR265" i="27"/>
  <c r="AR266" i="27"/>
  <c r="AR267" i="27"/>
  <c r="AR268" i="27"/>
  <c r="AR269" i="27"/>
  <c r="AR270" i="27"/>
  <c r="AR271" i="27"/>
  <c r="AR272" i="27"/>
  <c r="AR273" i="27"/>
  <c r="AR274" i="27"/>
  <c r="AR275" i="27"/>
  <c r="AR276" i="27"/>
  <c r="AR277" i="27"/>
  <c r="AR278" i="27"/>
  <c r="AR279" i="27"/>
  <c r="AR280" i="27"/>
  <c r="AR281" i="27"/>
  <c r="AR282" i="27"/>
  <c r="AR283" i="27"/>
  <c r="AR284" i="27"/>
  <c r="AR285" i="27"/>
  <c r="AR286" i="27"/>
  <c r="AR287" i="27"/>
  <c r="AR288" i="27"/>
  <c r="AR289" i="27"/>
  <c r="AR290" i="27"/>
  <c r="AR291" i="27"/>
  <c r="AR292" i="27"/>
  <c r="AR293" i="27"/>
  <c r="AR294" i="27"/>
  <c r="AR295" i="27"/>
  <c r="AR296" i="27"/>
  <c r="AR297" i="27"/>
  <c r="AR298" i="27"/>
  <c r="AR299" i="27"/>
  <c r="AR300" i="27"/>
  <c r="AR301" i="27"/>
  <c r="AR302" i="27"/>
  <c r="AR303" i="27"/>
  <c r="AR304" i="27"/>
  <c r="AR305" i="27"/>
  <c r="AR306" i="27"/>
  <c r="AR307" i="27"/>
  <c r="AR308" i="27"/>
  <c r="AR309" i="27"/>
  <c r="AR310" i="27"/>
  <c r="AR311" i="27"/>
  <c r="AR312" i="27"/>
  <c r="AR313" i="27"/>
  <c r="AR314" i="27"/>
  <c r="AR315" i="27"/>
  <c r="AR316" i="27"/>
  <c r="AR317" i="27"/>
  <c r="AR318" i="27"/>
  <c r="AR319" i="27"/>
  <c r="AR320" i="27"/>
  <c r="AR321" i="27"/>
  <c r="AR322" i="27"/>
  <c r="AR323" i="27"/>
  <c r="AR324" i="27"/>
  <c r="AR325" i="27"/>
  <c r="AR326" i="27"/>
  <c r="AR327" i="27"/>
  <c r="AR328" i="27"/>
  <c r="AR329" i="27"/>
  <c r="AR330" i="27"/>
  <c r="AR331" i="27"/>
  <c r="AR332" i="27"/>
  <c r="AR333" i="27"/>
  <c r="AR334" i="27"/>
  <c r="AR335" i="27"/>
  <c r="AR336" i="27"/>
  <c r="AR337" i="27"/>
  <c r="AR338" i="27"/>
  <c r="AR339" i="27"/>
  <c r="AR340" i="27"/>
  <c r="AR341" i="27"/>
  <c r="AR342" i="27"/>
  <c r="AR343" i="27"/>
  <c r="AR344" i="27"/>
  <c r="AR345" i="27"/>
  <c r="AR346" i="27"/>
  <c r="AR347" i="27"/>
  <c r="AR348" i="27"/>
  <c r="AR349" i="27"/>
  <c r="AR350" i="27"/>
  <c r="AR351" i="27"/>
  <c r="AR352" i="27"/>
  <c r="AR353" i="27"/>
  <c r="AR354" i="27"/>
  <c r="AR355" i="27"/>
  <c r="AR356" i="27"/>
  <c r="AR357" i="27"/>
  <c r="AR358" i="27"/>
  <c r="AR359" i="27"/>
  <c r="AR360" i="27"/>
  <c r="AR361" i="27"/>
  <c r="AR362" i="27"/>
  <c r="AR363" i="27"/>
  <c r="AR364" i="27"/>
  <c r="AR365" i="27"/>
  <c r="AR366" i="27"/>
  <c r="AR367" i="27"/>
  <c r="AR368" i="27"/>
  <c r="AR369" i="27"/>
  <c r="AR370" i="27"/>
  <c r="AR371" i="27"/>
  <c r="AR372" i="27"/>
  <c r="AR373" i="27"/>
  <c r="AQ238" i="27"/>
  <c r="AQ239" i="27"/>
  <c r="AQ240" i="27"/>
  <c r="AQ241" i="27"/>
  <c r="AQ242" i="27"/>
  <c r="AQ243" i="27"/>
  <c r="AQ244" i="27"/>
  <c r="AQ253" i="27"/>
  <c r="AQ254" i="27"/>
  <c r="AQ255" i="27"/>
  <c r="AQ256" i="27"/>
  <c r="AQ257" i="27"/>
  <c r="AQ258" i="27"/>
  <c r="AQ259" i="27"/>
  <c r="AQ260" i="27"/>
  <c r="AQ261" i="27"/>
  <c r="AQ262" i="27"/>
  <c r="AQ263" i="27"/>
  <c r="AQ264" i="27"/>
  <c r="AQ265" i="27"/>
  <c r="AQ266" i="27"/>
  <c r="AQ267" i="27"/>
  <c r="AQ268" i="27"/>
  <c r="AQ269" i="27"/>
  <c r="AQ270" i="27"/>
  <c r="AQ271" i="27"/>
  <c r="AQ272" i="27"/>
  <c r="AQ273" i="27"/>
  <c r="AQ274" i="27"/>
  <c r="AQ275" i="27"/>
  <c r="AQ276" i="27"/>
  <c r="AQ277" i="27"/>
  <c r="AQ278" i="27"/>
  <c r="AQ279" i="27"/>
  <c r="AQ280" i="27"/>
  <c r="AQ281" i="27"/>
  <c r="AQ282" i="27"/>
  <c r="AQ283" i="27"/>
  <c r="AQ284" i="27"/>
  <c r="AQ285" i="27"/>
  <c r="AQ286" i="27"/>
  <c r="AQ287" i="27"/>
  <c r="AQ288" i="27"/>
  <c r="AQ289" i="27"/>
  <c r="AQ290" i="27"/>
  <c r="AQ291" i="27"/>
  <c r="AQ292" i="27"/>
  <c r="AQ293" i="27"/>
  <c r="AQ294" i="27"/>
  <c r="AQ295" i="27"/>
  <c r="AQ296" i="27"/>
  <c r="AQ297" i="27"/>
  <c r="AQ298" i="27"/>
  <c r="AQ299" i="27"/>
  <c r="AQ300" i="27"/>
  <c r="AQ301" i="27"/>
  <c r="AQ302" i="27"/>
  <c r="AQ303" i="27"/>
  <c r="AQ304" i="27"/>
  <c r="AQ305" i="27"/>
  <c r="AQ306" i="27"/>
  <c r="AQ307" i="27"/>
  <c r="AQ308" i="27"/>
  <c r="AQ309" i="27"/>
  <c r="AQ310" i="27"/>
  <c r="AQ311" i="27"/>
  <c r="AQ312" i="27"/>
  <c r="AQ313" i="27"/>
  <c r="AQ314" i="27"/>
  <c r="AQ315" i="27"/>
  <c r="AQ316" i="27"/>
  <c r="AQ317" i="27"/>
  <c r="AQ318" i="27"/>
  <c r="AQ319" i="27"/>
  <c r="AQ320" i="27"/>
  <c r="AQ321" i="27"/>
  <c r="AQ322" i="27"/>
  <c r="AQ323" i="27"/>
  <c r="AQ324" i="27"/>
  <c r="AQ325" i="27"/>
  <c r="AQ326" i="27"/>
  <c r="AQ327" i="27"/>
  <c r="AQ328" i="27"/>
  <c r="AQ329" i="27"/>
  <c r="AQ330" i="27"/>
  <c r="AQ331" i="27"/>
  <c r="AQ332" i="27"/>
  <c r="AQ333" i="27"/>
  <c r="AQ334" i="27"/>
  <c r="AQ335" i="27"/>
  <c r="AQ336" i="27"/>
  <c r="AQ337" i="27"/>
  <c r="AQ338" i="27"/>
  <c r="AQ339" i="27"/>
  <c r="AQ340" i="27"/>
  <c r="AQ341" i="27"/>
  <c r="AQ342" i="27"/>
  <c r="AQ343" i="27"/>
  <c r="AQ344" i="27"/>
  <c r="AQ345" i="27"/>
  <c r="AQ346" i="27"/>
  <c r="AQ347" i="27"/>
  <c r="AQ348" i="27"/>
  <c r="AQ349" i="27"/>
  <c r="AQ350" i="27"/>
  <c r="AQ351" i="27"/>
  <c r="AQ352" i="27"/>
  <c r="AQ353" i="27"/>
  <c r="AQ354" i="27"/>
  <c r="AQ355" i="27"/>
  <c r="AQ356" i="27"/>
  <c r="AQ357" i="27"/>
  <c r="AQ358" i="27"/>
  <c r="AQ359" i="27"/>
  <c r="AQ360" i="27"/>
  <c r="AQ361" i="27"/>
  <c r="AQ362" i="27"/>
  <c r="AQ363" i="27"/>
  <c r="AQ364" i="27"/>
  <c r="AQ365" i="27"/>
  <c r="AQ366" i="27"/>
  <c r="AQ367" i="27"/>
  <c r="AQ368" i="27"/>
  <c r="AQ369" i="27"/>
  <c r="AQ370" i="27"/>
  <c r="AQ371" i="27"/>
  <c r="AQ372" i="27"/>
  <c r="AQ373" i="27"/>
  <c r="AR237" i="27"/>
  <c r="AQ237" i="27"/>
  <c r="AP337" i="27"/>
  <c r="AP338" i="27"/>
  <c r="AP339" i="27"/>
  <c r="AP340" i="27"/>
  <c r="AP341" i="27"/>
  <c r="AP342" i="27"/>
  <c r="AP343" i="27"/>
  <c r="AP344" i="27"/>
  <c r="AP345" i="27"/>
  <c r="AP346" i="27"/>
  <c r="AP347" i="27"/>
  <c r="AP348" i="27"/>
  <c r="AP349" i="27"/>
  <c r="AP350" i="27"/>
  <c r="AP351" i="27"/>
  <c r="AP352" i="27"/>
  <c r="AP353" i="27"/>
  <c r="AP354" i="27"/>
  <c r="AP355" i="27"/>
  <c r="AP356" i="27"/>
  <c r="AP357" i="27"/>
  <c r="AP358" i="27"/>
  <c r="AP359" i="27"/>
  <c r="AP360" i="27"/>
  <c r="AP361" i="27"/>
  <c r="AP362" i="27"/>
  <c r="AP363" i="27"/>
  <c r="AP364" i="27"/>
  <c r="AP365" i="27"/>
  <c r="AP366" i="27"/>
  <c r="AP367" i="27"/>
  <c r="AP368" i="27"/>
  <c r="AP369" i="27"/>
  <c r="AP370" i="27"/>
  <c r="AP371" i="27"/>
  <c r="AP372" i="27"/>
  <c r="AP373" i="27"/>
  <c r="CY117" i="27"/>
  <c r="CZ140" i="27"/>
  <c r="BX101" i="27"/>
  <c r="BA109" i="27"/>
  <c r="BA110" i="27"/>
  <c r="BA108" i="27"/>
  <c r="EC126" i="27"/>
  <c r="EC127" i="27"/>
  <c r="EC125" i="27"/>
  <c r="ES126" i="27"/>
  <c r="ES127" i="27"/>
  <c r="ES125" i="27"/>
  <c r="EM126" i="27"/>
  <c r="EM127" i="27"/>
  <c r="EM125" i="27"/>
  <c r="EG126" i="27"/>
  <c r="EG127" i="27"/>
  <c r="EG125" i="27"/>
  <c r="EB126" i="27"/>
  <c r="EB127" i="27"/>
  <c r="EB125" i="27"/>
  <c r="EN125" i="27" s="1"/>
  <c r="ED126" i="27"/>
  <c r="ED127" i="27"/>
  <c r="ED125" i="27"/>
  <c r="BN107" i="27"/>
  <c r="EH127" i="27" l="1"/>
  <c r="EH126" i="27"/>
  <c r="EI126" i="27" s="1"/>
  <c r="EJ126" i="27" s="1"/>
  <c r="EL126" i="27" s="1"/>
  <c r="EE125" i="27"/>
  <c r="EF125" i="27" s="1"/>
  <c r="EE126" i="27"/>
  <c r="EF126" i="27" s="1"/>
  <c r="EE127" i="27"/>
  <c r="EF127" i="27" s="1"/>
  <c r="EN126" i="27"/>
  <c r="EO126" i="27" s="1"/>
  <c r="EP126" i="27" s="1"/>
  <c r="EQ126" i="27" s="1"/>
  <c r="EH125" i="27"/>
  <c r="EI125" i="27" s="1"/>
  <c r="EJ125" i="27" s="1"/>
  <c r="EN127" i="27"/>
  <c r="EO127" i="27" s="1"/>
  <c r="EP127" i="27" s="1"/>
  <c r="ER127" i="27" s="1"/>
  <c r="EU127" i="27" s="1"/>
  <c r="EO125" i="27"/>
  <c r="EP125" i="27" s="1"/>
  <c r="EI127" i="27"/>
  <c r="EK126" i="27" l="1"/>
  <c r="ET126" i="27" s="1"/>
  <c r="ER126" i="27"/>
  <c r="EU126" i="27" s="1"/>
  <c r="EQ127" i="27"/>
  <c r="ET127" i="27" s="1"/>
  <c r="EV127" i="27" s="1"/>
  <c r="EW127" i="27" s="1"/>
  <c r="EX127" i="27" s="1"/>
  <c r="EQ125" i="27"/>
  <c r="ER125" i="27"/>
  <c r="EL125" i="27"/>
  <c r="EK125" i="27"/>
  <c r="ET125" i="27" s="1"/>
  <c r="EV126" i="27" l="1"/>
  <c r="EW126" i="27" s="1"/>
  <c r="EX126" i="27" s="1"/>
  <c r="EU125" i="27"/>
  <c r="EV125" i="27" s="1"/>
  <c r="EW125" i="27" s="1"/>
  <c r="EX125" i="27" s="1"/>
  <c r="BY101" i="27" l="1"/>
  <c r="BZ101" i="27"/>
  <c r="CA101" i="27"/>
  <c r="BY102" i="27"/>
  <c r="BZ102" i="27"/>
  <c r="CA102" i="27"/>
  <c r="BX102" i="27"/>
  <c r="DA118" i="27"/>
  <c r="CZ118" i="27"/>
  <c r="CZ117" i="27"/>
  <c r="DB117" i="27"/>
  <c r="DA117" i="27"/>
  <c r="CX123" i="27"/>
  <c r="CX124" i="27"/>
  <c r="CX125" i="27"/>
  <c r="CX126" i="27"/>
  <c r="CX127" i="27"/>
  <c r="CX128" i="27"/>
  <c r="CX129" i="27"/>
  <c r="CX130" i="27"/>
  <c r="CX131" i="27"/>
  <c r="CX132" i="27"/>
  <c r="CX133" i="27"/>
  <c r="CX134" i="27"/>
  <c r="CX135" i="27"/>
  <c r="CX136" i="27"/>
  <c r="CX137" i="27"/>
  <c r="CX138" i="27"/>
  <c r="CX139" i="27"/>
  <c r="CX140" i="27"/>
  <c r="CX141" i="27"/>
  <c r="CX122" i="27"/>
  <c r="AG137" i="27"/>
  <c r="AG138" i="27"/>
  <c r="AG139" i="27"/>
  <c r="AG140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AG165" i="27"/>
  <c r="AG166" i="27"/>
  <c r="AG167" i="27"/>
  <c r="AG168" i="27"/>
  <c r="AG169" i="27"/>
  <c r="AG170" i="27"/>
  <c r="AG171" i="27"/>
  <c r="AG172" i="27"/>
  <c r="AG173" i="27"/>
  <c r="AG174" i="27"/>
  <c r="AG175" i="27"/>
  <c r="AG176" i="27"/>
  <c r="AG177" i="27"/>
  <c r="AG178" i="27"/>
  <c r="AG179" i="27"/>
  <c r="AG180" i="27"/>
  <c r="AG181" i="27"/>
  <c r="AG182" i="27"/>
  <c r="AG183" i="27"/>
  <c r="AG184" i="27"/>
  <c r="AG136" i="27"/>
  <c r="BN109" i="27"/>
  <c r="BM109" i="27"/>
  <c r="BM108" i="27"/>
  <c r="BM107" i="27"/>
  <c r="BL107" i="27"/>
  <c r="AR163" i="27"/>
  <c r="AQ163" i="27"/>
  <c r="AW163" i="27"/>
  <c r="Z163" i="27"/>
  <c r="AA163" i="27"/>
  <c r="Y163" i="27"/>
  <c r="BA127" i="27"/>
  <c r="BA128" i="27"/>
  <c r="BA129" i="27"/>
  <c r="BA130" i="27"/>
  <c r="BA131" i="27"/>
  <c r="BA132" i="27"/>
  <c r="BA133" i="27"/>
  <c r="BA134" i="27"/>
  <c r="BA135" i="27"/>
  <c r="BA136" i="27"/>
  <c r="BA137" i="27"/>
  <c r="BA138" i="27"/>
  <c r="BA139" i="27"/>
  <c r="BA140" i="27"/>
  <c r="BA141" i="27"/>
  <c r="BA142" i="27"/>
  <c r="BA143" i="27"/>
  <c r="BA144" i="27"/>
  <c r="BA145" i="27"/>
  <c r="BA146" i="27"/>
  <c r="BA147" i="27"/>
  <c r="BA148" i="27"/>
  <c r="BA149" i="27"/>
  <c r="BA150" i="27"/>
  <c r="BA151" i="27"/>
  <c r="BA152" i="27"/>
  <c r="BA153" i="27"/>
  <c r="BA154" i="27"/>
  <c r="BA155" i="27"/>
  <c r="BA156" i="27"/>
  <c r="BA157" i="27"/>
  <c r="BA158" i="27"/>
  <c r="BA159" i="27"/>
  <c r="BA160" i="27"/>
  <c r="BA161" i="27"/>
  <c r="BA162" i="27"/>
  <c r="BA164" i="27"/>
  <c r="BA165" i="27"/>
  <c r="BA166" i="27"/>
  <c r="BA167" i="27"/>
  <c r="BA168" i="27"/>
  <c r="BA169" i="27"/>
  <c r="BA170" i="27"/>
  <c r="BA171" i="27"/>
  <c r="BA172" i="27"/>
  <c r="BA173" i="27"/>
  <c r="BA174" i="27"/>
  <c r="BA175" i="27"/>
  <c r="BA176" i="27"/>
  <c r="BA177" i="27"/>
  <c r="BA178" i="27"/>
  <c r="BA179" i="27"/>
  <c r="BA180" i="27"/>
  <c r="BA181" i="27"/>
  <c r="BA182" i="27"/>
  <c r="BA183" i="27"/>
  <c r="BA184" i="27"/>
  <c r="BA185" i="27"/>
  <c r="BA186" i="27"/>
  <c r="BA187" i="27"/>
  <c r="BA188" i="27"/>
  <c r="BA189" i="27"/>
  <c r="BA190" i="27"/>
  <c r="BA191" i="27"/>
  <c r="BA192" i="27"/>
  <c r="BA193" i="27"/>
  <c r="BA194" i="27"/>
  <c r="BA195" i="27"/>
  <c r="BA126" i="27"/>
  <c r="BC188" i="27"/>
  <c r="BC189" i="27"/>
  <c r="BC190" i="27"/>
  <c r="BC191" i="27"/>
  <c r="BC192" i="27"/>
  <c r="BC193" i="27"/>
  <c r="BC194" i="27"/>
  <c r="BC195" i="27"/>
  <c r="BC187" i="27"/>
  <c r="DA140" i="27" l="1"/>
  <c r="CX117" i="27"/>
  <c r="DD117" i="27"/>
  <c r="DD118" i="27"/>
  <c r="CW117" i="27"/>
  <c r="DC117" i="27"/>
  <c r="DC118" i="27"/>
  <c r="DE117" i="27"/>
  <c r="BM126" i="27"/>
  <c r="BM125" i="27"/>
  <c r="BL124" i="27"/>
  <c r="BK127" i="27"/>
  <c r="BL126" i="27"/>
  <c r="BK126" i="27"/>
  <c r="BL125" i="27"/>
  <c r="BK125" i="27"/>
  <c r="BM124" i="27"/>
  <c r="BP109" i="27"/>
  <c r="BO109" i="27"/>
  <c r="BP108" i="27"/>
  <c r="BO108" i="27"/>
  <c r="BP107" i="27"/>
  <c r="BO107" i="27"/>
  <c r="BL127" i="27" l="1"/>
  <c r="BL109" i="27"/>
  <c r="BM123" i="27"/>
  <c r="BM127" i="27"/>
  <c r="BN108" i="27"/>
  <c r="BK118" i="27"/>
  <c r="BK124" i="27"/>
  <c r="BL108" i="27"/>
  <c r="BL123" i="27"/>
  <c r="BK123" i="27"/>
  <c r="AR159" i="27"/>
  <c r="AP283" i="27"/>
  <c r="AP284" i="27"/>
  <c r="AP285" i="27"/>
  <c r="AP286" i="27"/>
  <c r="AP287" i="27"/>
  <c r="AP288" i="27"/>
  <c r="AP289" i="27"/>
  <c r="AP290" i="27"/>
  <c r="AP291" i="27"/>
  <c r="AP292" i="27"/>
  <c r="AP293" i="27"/>
  <c r="AP294" i="27"/>
  <c r="AP295" i="27"/>
  <c r="AP296" i="27"/>
  <c r="AP297" i="27"/>
  <c r="AP298" i="27"/>
  <c r="AP299" i="27"/>
  <c r="AP300" i="27"/>
  <c r="AP301" i="27"/>
  <c r="AP302" i="27"/>
  <c r="AP303" i="27"/>
  <c r="AP304" i="27"/>
  <c r="AP305" i="27"/>
  <c r="AP306" i="27"/>
  <c r="AP307" i="27"/>
  <c r="AP308" i="27"/>
  <c r="AP309" i="27"/>
  <c r="AP310" i="27"/>
  <c r="AP311" i="27"/>
  <c r="AP312" i="27"/>
  <c r="AP313" i="27"/>
  <c r="AP314" i="27"/>
  <c r="AP315" i="27"/>
  <c r="AP316" i="27"/>
  <c r="AP317" i="27"/>
  <c r="AP318" i="27"/>
  <c r="AP319" i="27"/>
  <c r="AP320" i="27"/>
  <c r="AP321" i="27"/>
  <c r="AP322" i="27"/>
  <c r="AP323" i="27"/>
  <c r="AP324" i="27"/>
  <c r="AP325" i="27"/>
  <c r="AP326" i="27"/>
  <c r="AP327" i="27"/>
  <c r="AP328" i="27"/>
  <c r="AP329" i="27"/>
  <c r="AP330" i="27"/>
  <c r="AP331" i="27"/>
  <c r="AP332" i="27"/>
  <c r="AP333" i="27"/>
  <c r="AP334" i="27"/>
  <c r="AP335" i="27"/>
  <c r="AP336" i="27"/>
  <c r="AP238" i="27"/>
  <c r="AP239" i="27"/>
  <c r="AP240" i="27"/>
  <c r="AP241" i="27"/>
  <c r="AP242" i="27"/>
  <c r="AP243" i="27"/>
  <c r="AP244" i="27"/>
  <c r="AP253" i="27"/>
  <c r="AP254" i="27"/>
  <c r="AP255" i="27"/>
  <c r="AP256" i="27"/>
  <c r="AP257" i="27"/>
  <c r="AP258" i="27"/>
  <c r="AP259" i="27"/>
  <c r="AP260" i="27"/>
  <c r="AP261" i="27"/>
  <c r="AP262" i="27"/>
  <c r="AP263" i="27"/>
  <c r="AP264" i="27"/>
  <c r="AP265" i="27"/>
  <c r="AP266" i="27"/>
  <c r="AP267" i="27"/>
  <c r="AP268" i="27"/>
  <c r="AP269" i="27"/>
  <c r="AP270" i="27"/>
  <c r="AP271" i="27"/>
  <c r="AP272" i="27"/>
  <c r="AP273" i="27"/>
  <c r="AP274" i="27"/>
  <c r="AP275" i="27"/>
  <c r="AP276" i="27"/>
  <c r="AP277" i="27"/>
  <c r="AP278" i="27"/>
  <c r="AP279" i="27"/>
  <c r="AP280" i="27"/>
  <c r="AP281" i="27"/>
  <c r="AP282" i="27"/>
  <c r="AP237" i="27"/>
  <c r="AB373" i="27"/>
  <c r="AB372" i="27"/>
  <c r="AB371" i="27"/>
  <c r="AB370" i="27"/>
  <c r="AB369" i="27"/>
  <c r="AB368" i="27"/>
  <c r="AB367" i="27"/>
  <c r="AB366" i="27"/>
  <c r="AB365" i="27"/>
  <c r="AB364" i="27"/>
  <c r="AB363" i="27"/>
  <c r="AB362" i="27"/>
  <c r="AB361" i="27"/>
  <c r="AB360" i="27"/>
  <c r="AB359" i="27"/>
  <c r="AB358" i="27"/>
  <c r="AB357" i="27"/>
  <c r="AB356" i="27"/>
  <c r="AB355" i="27"/>
  <c r="AB354" i="27"/>
  <c r="AB353" i="27"/>
  <c r="AB352" i="27"/>
  <c r="AB351" i="27"/>
  <c r="AB350" i="27"/>
  <c r="AB349" i="27"/>
  <c r="AB348" i="27"/>
  <c r="AB347" i="27"/>
  <c r="AB346" i="27"/>
  <c r="AB345" i="27"/>
  <c r="AB344" i="27"/>
  <c r="AB343" i="27"/>
  <c r="AB342" i="27"/>
  <c r="AB341" i="27"/>
  <c r="AB340" i="27"/>
  <c r="AB339" i="27"/>
  <c r="AB338" i="27"/>
  <c r="AB337" i="27"/>
  <c r="AB336" i="27"/>
  <c r="W336" i="27"/>
  <c r="AB335" i="27"/>
  <c r="W335" i="27"/>
  <c r="AB334" i="27"/>
  <c r="W334" i="27"/>
  <c r="AB333" i="27"/>
  <c r="W333" i="27"/>
  <c r="AB332" i="27"/>
  <c r="W332" i="27"/>
  <c r="AB331" i="27"/>
  <c r="W331" i="27"/>
  <c r="AB330" i="27"/>
  <c r="W330" i="27"/>
  <c r="AB329" i="27"/>
  <c r="W329" i="27"/>
  <c r="AB328" i="27"/>
  <c r="W328" i="27"/>
  <c r="AB327" i="27"/>
  <c r="W327" i="27"/>
  <c r="AB326" i="27"/>
  <c r="W326" i="27"/>
  <c r="AB325" i="27"/>
  <c r="W325" i="27"/>
  <c r="AB324" i="27"/>
  <c r="W324" i="27"/>
  <c r="AB323" i="27"/>
  <c r="W323" i="27"/>
  <c r="AB322" i="27"/>
  <c r="W322" i="27"/>
  <c r="AB321" i="27"/>
  <c r="W321" i="27"/>
  <c r="AB320" i="27"/>
  <c r="W320" i="27"/>
  <c r="AB319" i="27"/>
  <c r="W319" i="27"/>
  <c r="AB318" i="27"/>
  <c r="W318" i="27"/>
  <c r="AB317" i="27"/>
  <c r="W317" i="27"/>
  <c r="AB316" i="27"/>
  <c r="W316" i="27"/>
  <c r="AB315" i="27"/>
  <c r="W315" i="27"/>
  <c r="AB314" i="27"/>
  <c r="W314" i="27"/>
  <c r="AB313" i="27"/>
  <c r="W313" i="27"/>
  <c r="AB312" i="27"/>
  <c r="W312" i="27"/>
  <c r="AB311" i="27"/>
  <c r="W311" i="27"/>
  <c r="AB310" i="27"/>
  <c r="W310" i="27"/>
  <c r="AB309" i="27"/>
  <c r="W309" i="27"/>
  <c r="AB308" i="27"/>
  <c r="W308" i="27"/>
  <c r="AB307" i="27"/>
  <c r="W307" i="27"/>
  <c r="AB306" i="27"/>
  <c r="W306" i="27"/>
  <c r="AB305" i="27"/>
  <c r="W305" i="27"/>
  <c r="AB304" i="27"/>
  <c r="W304" i="27"/>
  <c r="AB303" i="27"/>
  <c r="W303" i="27"/>
  <c r="AB302" i="27"/>
  <c r="W302" i="27"/>
  <c r="AB301" i="27"/>
  <c r="W301" i="27"/>
  <c r="AB300" i="27"/>
  <c r="W300" i="27"/>
  <c r="AB299" i="27"/>
  <c r="W299" i="27"/>
  <c r="AB298" i="27"/>
  <c r="W298" i="27"/>
  <c r="AB297" i="27"/>
  <c r="W297" i="27"/>
  <c r="AB296" i="27"/>
  <c r="W296" i="27"/>
  <c r="AB295" i="27"/>
  <c r="W295" i="27"/>
  <c r="AB294" i="27"/>
  <c r="W294" i="27"/>
  <c r="AB293" i="27"/>
  <c r="W293" i="27"/>
  <c r="AB292" i="27"/>
  <c r="W292" i="27"/>
  <c r="AB291" i="27"/>
  <c r="W291" i="27"/>
  <c r="AB290" i="27"/>
  <c r="W290" i="27"/>
  <c r="AB289" i="27"/>
  <c r="W289" i="27"/>
  <c r="AB288" i="27"/>
  <c r="W288" i="27"/>
  <c r="AB287" i="27"/>
  <c r="W287" i="27"/>
  <c r="AB286" i="27"/>
  <c r="W286" i="27"/>
  <c r="AB285" i="27"/>
  <c r="W285" i="27"/>
  <c r="AB284" i="27"/>
  <c r="W284" i="27"/>
  <c r="AB283" i="27"/>
  <c r="W283" i="27"/>
  <c r="W282" i="27"/>
  <c r="W281" i="27"/>
  <c r="W280" i="27"/>
  <c r="W279" i="27"/>
  <c r="W278" i="27"/>
  <c r="W277" i="27"/>
  <c r="W276" i="27"/>
  <c r="W275" i="27"/>
  <c r="W274" i="27"/>
  <c r="W273" i="27"/>
  <c r="W272" i="27"/>
  <c r="W271" i="27"/>
  <c r="W270" i="27"/>
  <c r="W269" i="27"/>
  <c r="W268" i="27"/>
  <c r="W267" i="27"/>
  <c r="W266" i="27"/>
  <c r="W265" i="27"/>
  <c r="W264" i="27"/>
  <c r="W263" i="27"/>
  <c r="W262" i="27"/>
  <c r="W261" i="27"/>
  <c r="W260" i="27"/>
  <c r="W259" i="27"/>
  <c r="W258" i="27"/>
  <c r="W257" i="27"/>
  <c r="W256" i="27"/>
  <c r="W255" i="27"/>
  <c r="W254" i="27"/>
  <c r="W253" i="27"/>
  <c r="W244" i="27"/>
  <c r="W243" i="27"/>
  <c r="W242" i="27"/>
  <c r="W241" i="27"/>
  <c r="W240" i="27"/>
  <c r="W239" i="27"/>
  <c r="W238" i="27"/>
  <c r="W237" i="27"/>
  <c r="AB236" i="27"/>
  <c r="AB235" i="27"/>
  <c r="AB234" i="27"/>
  <c r="AB233" i="27"/>
  <c r="AB232" i="27"/>
  <c r="AB231" i="27"/>
  <c r="AB230" i="27"/>
  <c r="AB229" i="27"/>
  <c r="AB228" i="27"/>
  <c r="AB227" i="27"/>
  <c r="AB226" i="27"/>
  <c r="AB225" i="27"/>
  <c r="AB224" i="27"/>
  <c r="AB223" i="27"/>
  <c r="AB222" i="27"/>
  <c r="AB221" i="27"/>
  <c r="AB220" i="27"/>
  <c r="AB219" i="27"/>
  <c r="AB218" i="27"/>
  <c r="AB217" i="27"/>
  <c r="AB216" i="27"/>
  <c r="AB215" i="27"/>
  <c r="AB214" i="27"/>
  <c r="AW192" i="27"/>
  <c r="AW193" i="27"/>
  <c r="AW194" i="27"/>
  <c r="AW195" i="27"/>
  <c r="AR192" i="27"/>
  <c r="AR193" i="27"/>
  <c r="AR194" i="27"/>
  <c r="AR195" i="27"/>
  <c r="AS191" i="27"/>
  <c r="AR191" i="27"/>
  <c r="K191" i="27"/>
  <c r="AW191" i="27" s="1"/>
  <c r="AX191" i="27" s="1"/>
  <c r="AS190" i="27"/>
  <c r="AR190" i="27"/>
  <c r="K190" i="27"/>
  <c r="AW190" i="27" s="1"/>
  <c r="AX190" i="27" s="1"/>
  <c r="AS189" i="27"/>
  <c r="AR189" i="27"/>
  <c r="K189" i="27"/>
  <c r="AW189" i="27" s="1"/>
  <c r="AX189" i="27" s="1"/>
  <c r="AS188" i="27"/>
  <c r="AR188" i="27"/>
  <c r="K188" i="27"/>
  <c r="AW188" i="27" s="1"/>
  <c r="AX188" i="27" s="1"/>
  <c r="T459" i="27"/>
  <c r="T460" i="27"/>
  <c r="T461" i="27"/>
  <c r="T462" i="27"/>
  <c r="T463" i="27"/>
  <c r="T464" i="27"/>
  <c r="T465" i="27"/>
  <c r="T466" i="27"/>
  <c r="T467" i="27"/>
  <c r="T468" i="27"/>
  <c r="T469" i="27"/>
  <c r="T470" i="27"/>
  <c r="T471" i="27"/>
  <c r="T472" i="27"/>
  <c r="T473" i="27"/>
  <c r="T474" i="27"/>
  <c r="T475" i="27"/>
  <c r="T476" i="27"/>
  <c r="T477" i="27"/>
  <c r="T478" i="27"/>
  <c r="T479" i="27"/>
  <c r="T480" i="27"/>
  <c r="T481" i="27"/>
  <c r="T482" i="27"/>
  <c r="T483" i="27"/>
  <c r="T484" i="27"/>
  <c r="T485" i="27"/>
  <c r="T486" i="27"/>
  <c r="T487" i="27"/>
  <c r="T488" i="27"/>
  <c r="T489" i="27"/>
  <c r="T490" i="27"/>
  <c r="T491" i="27"/>
  <c r="T492" i="27"/>
  <c r="T493" i="27"/>
  <c r="T494" i="27"/>
  <c r="T495" i="27"/>
  <c r="T496" i="27"/>
  <c r="T497" i="27"/>
  <c r="T498" i="27"/>
  <c r="T499" i="27"/>
  <c r="T500" i="27"/>
  <c r="T501" i="27"/>
  <c r="T502" i="27"/>
  <c r="T503" i="27"/>
  <c r="T504" i="27"/>
  <c r="T505" i="27"/>
  <c r="T506" i="27"/>
  <c r="T507" i="27"/>
  <c r="T508" i="27"/>
  <c r="T509" i="27"/>
  <c r="T510" i="27"/>
  <c r="T511" i="27"/>
  <c r="T512" i="27"/>
  <c r="T513" i="27"/>
  <c r="T514" i="27"/>
  <c r="T515" i="27"/>
  <c r="T516" i="27"/>
  <c r="T517" i="27"/>
  <c r="T518" i="27"/>
  <c r="T519" i="27"/>
  <c r="T520" i="27"/>
  <c r="T521" i="27"/>
  <c r="T522" i="27"/>
  <c r="T523" i="27"/>
  <c r="T524" i="27"/>
  <c r="T525" i="27"/>
  <c r="T526" i="27"/>
  <c r="T527" i="27"/>
  <c r="T528" i="27"/>
  <c r="T529" i="27"/>
  <c r="T530" i="27"/>
  <c r="T531" i="27"/>
  <c r="T532" i="27"/>
  <c r="T533" i="27"/>
  <c r="T534" i="27"/>
  <c r="T535" i="27"/>
  <c r="T536" i="27"/>
  <c r="T537" i="27"/>
  <c r="T538" i="27"/>
  <c r="T539" i="27"/>
  <c r="T540" i="27"/>
  <c r="T541" i="27"/>
  <c r="T542" i="27"/>
  <c r="T543" i="27"/>
  <c r="T544" i="27"/>
  <c r="T545" i="27"/>
  <c r="T546" i="27"/>
  <c r="T547" i="27"/>
  <c r="T548" i="27"/>
  <c r="T549" i="27"/>
  <c r="T550" i="27"/>
  <c r="T551" i="27"/>
  <c r="T552" i="27"/>
  <c r="T553" i="27"/>
  <c r="T554" i="27"/>
  <c r="T555" i="27"/>
  <c r="T556" i="27"/>
  <c r="T557" i="27"/>
  <c r="T558" i="27"/>
  <c r="T559" i="27"/>
  <c r="T560" i="27"/>
  <c r="T561" i="27"/>
  <c r="T562" i="27"/>
  <c r="T563" i="27"/>
  <c r="T564" i="27"/>
  <c r="T565" i="27"/>
  <c r="T566" i="27"/>
  <c r="T567" i="27"/>
  <c r="T568" i="27"/>
  <c r="T569" i="27"/>
  <c r="T570" i="27"/>
  <c r="T571" i="27"/>
  <c r="T572" i="27"/>
  <c r="T573" i="27"/>
  <c r="T574" i="27"/>
  <c r="T575" i="27"/>
  <c r="T576" i="27"/>
  <c r="T577" i="27"/>
  <c r="T578" i="27"/>
  <c r="T579" i="27"/>
  <c r="T580" i="27"/>
  <c r="T581" i="27"/>
  <c r="T582" i="27"/>
  <c r="T583" i="27"/>
  <c r="T584" i="27"/>
  <c r="T585" i="27"/>
  <c r="T586" i="27"/>
  <c r="T587" i="27"/>
  <c r="T588" i="27"/>
  <c r="T589" i="27"/>
  <c r="T590" i="27"/>
  <c r="T591" i="27"/>
  <c r="T592" i="27"/>
  <c r="T593" i="27"/>
  <c r="T594" i="27"/>
  <c r="T595" i="27"/>
  <c r="T596" i="27"/>
  <c r="T597" i="27"/>
  <c r="T598" i="27"/>
  <c r="T599" i="27"/>
  <c r="T600" i="27"/>
  <c r="T601" i="27"/>
  <c r="T602" i="27"/>
  <c r="T603" i="27"/>
  <c r="T604" i="27"/>
  <c r="T605" i="27"/>
  <c r="T606" i="27"/>
  <c r="T607" i="27"/>
  <c r="T608" i="27"/>
  <c r="T609" i="27"/>
  <c r="T610" i="27"/>
  <c r="T611" i="27"/>
  <c r="T612" i="27"/>
  <c r="T613" i="27"/>
  <c r="T614" i="27"/>
  <c r="T615" i="27"/>
  <c r="T616" i="27"/>
  <c r="T617" i="27"/>
  <c r="T618" i="27"/>
  <c r="T619" i="27"/>
  <c r="T620" i="27"/>
  <c r="T621" i="27"/>
  <c r="T622" i="27"/>
  <c r="T623" i="27"/>
  <c r="T624" i="27"/>
  <c r="T625" i="27"/>
  <c r="T626" i="27"/>
  <c r="T627" i="27"/>
  <c r="T628" i="27"/>
  <c r="T629" i="27"/>
  <c r="T630" i="27"/>
  <c r="T631" i="27"/>
  <c r="T632" i="27"/>
  <c r="T633" i="27"/>
  <c r="T634" i="27"/>
  <c r="T635" i="27"/>
  <c r="T636" i="27"/>
  <c r="T637" i="27"/>
  <c r="T638" i="27"/>
  <c r="T639" i="27"/>
  <c r="T640" i="27"/>
  <c r="T641" i="27"/>
  <c r="T642" i="27"/>
  <c r="T643" i="27"/>
  <c r="T644" i="27"/>
  <c r="T645" i="27"/>
  <c r="T646" i="27"/>
  <c r="T647" i="27"/>
  <c r="T648" i="27"/>
  <c r="T649" i="27"/>
  <c r="T650" i="27"/>
  <c r="T651" i="27"/>
  <c r="T652" i="27"/>
  <c r="T653" i="27"/>
  <c r="T654" i="27"/>
  <c r="T655" i="27"/>
  <c r="T656" i="27"/>
  <c r="T657" i="27"/>
  <c r="T658" i="27"/>
  <c r="T659" i="27"/>
  <c r="T660" i="27"/>
  <c r="BC154" i="27"/>
  <c r="BC155" i="27"/>
  <c r="BC156" i="27"/>
  <c r="BC157" i="27"/>
  <c r="BC158" i="27"/>
  <c r="BC159" i="27"/>
  <c r="BC160" i="27"/>
  <c r="BC161" i="27"/>
  <c r="BC162" i="27"/>
  <c r="BC164" i="27"/>
  <c r="BC165" i="27"/>
  <c r="BC166" i="27"/>
  <c r="BC167" i="27"/>
  <c r="BC168" i="27"/>
  <c r="BC169" i="27"/>
  <c r="BC170" i="27"/>
  <c r="BC171" i="27"/>
  <c r="BC172" i="27"/>
  <c r="BC173" i="27"/>
  <c r="BC174" i="27"/>
  <c r="BC175" i="27"/>
  <c r="BC176" i="27"/>
  <c r="BC177" i="27"/>
  <c r="BC178" i="27"/>
  <c r="BC179" i="27"/>
  <c r="BC180" i="27"/>
  <c r="BC181" i="27"/>
  <c r="BC182" i="27"/>
  <c r="BC183" i="27"/>
  <c r="BC184" i="27"/>
  <c r="BC185" i="27"/>
  <c r="BC186" i="27"/>
  <c r="BC126" i="27"/>
  <c r="BC127" i="27"/>
  <c r="BC128" i="27"/>
  <c r="BC129" i="27"/>
  <c r="BC130" i="27"/>
  <c r="BC131" i="27"/>
  <c r="BC132" i="27"/>
  <c r="BC133" i="27"/>
  <c r="BC134" i="27"/>
  <c r="BC135" i="27"/>
  <c r="BC136" i="27"/>
  <c r="BC137" i="27"/>
  <c r="BC138" i="27"/>
  <c r="BC139" i="27"/>
  <c r="BC140" i="27"/>
  <c r="BC141" i="27"/>
  <c r="BC142" i="27"/>
  <c r="BC143" i="27"/>
  <c r="BC144" i="27"/>
  <c r="BC145" i="27"/>
  <c r="BC146" i="27"/>
  <c r="BC147" i="27"/>
  <c r="BC148" i="27"/>
  <c r="BC149" i="27"/>
  <c r="BC150" i="27"/>
  <c r="BC151" i="27"/>
  <c r="BC152" i="27"/>
  <c r="BC153" i="27"/>
  <c r="AX111" i="27"/>
  <c r="AX112" i="27"/>
  <c r="AR127" i="27" l="1"/>
  <c r="AR128" i="27"/>
  <c r="AR129" i="27"/>
  <c r="AR130" i="27"/>
  <c r="AR131" i="27"/>
  <c r="AR132" i="27"/>
  <c r="AR133" i="27"/>
  <c r="AR134" i="27"/>
  <c r="AR135" i="27"/>
  <c r="AR136" i="27"/>
  <c r="AR137" i="27"/>
  <c r="AR138" i="27"/>
  <c r="AR139" i="27"/>
  <c r="AR140" i="27"/>
  <c r="AR141" i="27"/>
  <c r="AR142" i="27"/>
  <c r="AR143" i="27"/>
  <c r="AR144" i="27"/>
  <c r="AR145" i="27"/>
  <c r="AR146" i="27"/>
  <c r="AR147" i="27"/>
  <c r="AR148" i="27"/>
  <c r="AR149" i="27"/>
  <c r="AR150" i="27"/>
  <c r="AR151" i="27"/>
  <c r="AR152" i="27"/>
  <c r="AR153" i="27"/>
  <c r="AR154" i="27"/>
  <c r="AR155" i="27"/>
  <c r="AR156" i="27"/>
  <c r="AR157" i="27"/>
  <c r="AR158" i="27"/>
  <c r="AR160" i="27"/>
  <c r="AR161" i="27"/>
  <c r="AR162" i="27"/>
  <c r="AR164" i="27"/>
  <c r="AR165" i="27"/>
  <c r="AR166" i="27"/>
  <c r="AR167" i="27"/>
  <c r="AR168" i="27"/>
  <c r="AR169" i="27"/>
  <c r="AR170" i="27"/>
  <c r="AR171" i="27"/>
  <c r="AR172" i="27"/>
  <c r="AR173" i="27"/>
  <c r="AR174" i="27"/>
  <c r="AR175" i="27"/>
  <c r="AR176" i="27"/>
  <c r="AR177" i="27"/>
  <c r="AR178" i="27"/>
  <c r="AR179" i="27"/>
  <c r="AR180" i="27"/>
  <c r="AR181" i="27"/>
  <c r="AR182" i="27"/>
  <c r="AR183" i="27"/>
  <c r="AR126" i="27"/>
  <c r="AB181" i="27"/>
  <c r="AB182" i="27"/>
  <c r="AB183" i="27"/>
  <c r="AB184" i="27"/>
  <c r="AB185" i="27"/>
  <c r="AB186" i="27"/>
  <c r="AB187" i="27"/>
  <c r="AB180" i="27"/>
  <c r="Y184" i="27"/>
  <c r="Z184" i="27"/>
  <c r="AA184" i="27"/>
  <c r="AW184" i="27"/>
  <c r="Y185" i="27"/>
  <c r="Z185" i="27"/>
  <c r="AA185" i="27"/>
  <c r="AW185" i="27"/>
  <c r="Y186" i="27"/>
  <c r="Z186" i="27"/>
  <c r="AA186" i="27"/>
  <c r="AW186" i="27"/>
  <c r="Y187" i="27"/>
  <c r="Z187" i="27"/>
  <c r="AA187" i="27"/>
  <c r="AW187" i="27"/>
  <c r="AW100" i="27"/>
  <c r="AW101" i="27"/>
  <c r="AW102" i="27"/>
  <c r="AW103" i="27"/>
  <c r="AW108" i="27"/>
  <c r="AW109" i="27"/>
  <c r="AW110" i="27"/>
  <c r="AW111" i="27"/>
  <c r="AW112" i="27"/>
  <c r="AW113" i="27"/>
  <c r="AW114" i="27"/>
  <c r="AW115" i="27"/>
  <c r="AW116" i="27"/>
  <c r="AW117" i="27"/>
  <c r="AW118" i="27"/>
  <c r="AW119" i="27"/>
  <c r="AW120" i="27"/>
  <c r="AW121" i="27"/>
  <c r="AW122" i="27"/>
  <c r="AW123" i="27"/>
  <c r="AW124" i="27"/>
  <c r="AW125" i="27"/>
  <c r="AW126" i="27"/>
  <c r="AW127" i="27"/>
  <c r="AW128" i="27"/>
  <c r="AW129" i="27"/>
  <c r="AW130" i="27"/>
  <c r="AW131" i="27"/>
  <c r="AW132" i="27"/>
  <c r="AW133" i="27"/>
  <c r="AW134" i="27"/>
  <c r="AW135" i="27"/>
  <c r="AW136" i="27"/>
  <c r="AW137" i="27"/>
  <c r="AW138" i="27"/>
  <c r="AW139" i="27"/>
  <c r="AW140" i="27"/>
  <c r="AW141" i="27"/>
  <c r="AW142" i="27"/>
  <c r="AW143" i="27"/>
  <c r="AW144" i="27"/>
  <c r="AW145" i="27"/>
  <c r="AW146" i="27"/>
  <c r="AW147" i="27"/>
  <c r="AW148" i="27"/>
  <c r="AW149" i="27"/>
  <c r="AW150" i="27"/>
  <c r="AW151" i="27"/>
  <c r="AW152" i="27"/>
  <c r="AW153" i="27"/>
  <c r="AW154" i="27"/>
  <c r="AW155" i="27"/>
  <c r="AW156" i="27"/>
  <c r="AW157" i="27"/>
  <c r="AW158" i="27"/>
  <c r="AW159" i="27"/>
  <c r="AW160" i="27"/>
  <c r="AW161" i="27"/>
  <c r="AW162" i="27"/>
  <c r="AW164" i="27"/>
  <c r="AW165" i="27"/>
  <c r="AW166" i="27"/>
  <c r="AW167" i="27"/>
  <c r="AW168" i="27"/>
  <c r="AW169" i="27"/>
  <c r="AW170" i="27"/>
  <c r="AW171" i="27"/>
  <c r="AW172" i="27"/>
  <c r="AW173" i="27"/>
  <c r="AW174" i="27"/>
  <c r="AW175" i="27"/>
  <c r="AW176" i="27"/>
  <c r="AW177" i="27"/>
  <c r="AW178" i="27"/>
  <c r="AW179" i="27"/>
  <c r="AW180" i="27"/>
  <c r="AW181" i="27"/>
  <c r="AW182" i="27"/>
  <c r="AW183" i="27"/>
  <c r="AX108" i="27"/>
  <c r="AX109" i="27"/>
  <c r="AX110" i="27"/>
  <c r="AX113" i="27"/>
  <c r="AX114" i="27"/>
  <c r="AX115" i="27"/>
  <c r="AX116" i="27"/>
  <c r="AX117" i="27"/>
  <c r="AX118" i="27"/>
  <c r="AX119" i="27"/>
  <c r="AX120" i="27"/>
  <c r="AX121" i="27"/>
  <c r="AX122" i="27"/>
  <c r="AX123" i="27"/>
  <c r="AX124" i="27"/>
  <c r="AX125" i="27"/>
  <c r="AS127" i="27"/>
  <c r="AS128" i="27"/>
  <c r="AS129" i="27"/>
  <c r="AS130" i="27"/>
  <c r="AS131" i="27"/>
  <c r="AS132" i="27"/>
  <c r="AS133" i="27"/>
  <c r="AS134" i="27"/>
  <c r="AS135" i="27"/>
  <c r="AS136" i="27"/>
  <c r="AS137" i="27"/>
  <c r="AS138" i="27"/>
  <c r="AS139" i="27"/>
  <c r="AS140" i="27"/>
  <c r="AS141" i="27"/>
  <c r="AS142" i="27"/>
  <c r="AS143" i="27"/>
  <c r="AS144" i="27"/>
  <c r="AS145" i="27"/>
  <c r="AS146" i="27"/>
  <c r="AS147" i="27"/>
  <c r="AS148" i="27"/>
  <c r="AS149" i="27"/>
  <c r="AS150" i="27"/>
  <c r="AS151" i="27"/>
  <c r="AS152" i="27"/>
  <c r="AS153" i="27"/>
  <c r="AS154" i="27"/>
  <c r="AS155" i="27"/>
  <c r="AS156" i="27"/>
  <c r="AS157" i="27"/>
  <c r="AS158" i="27"/>
  <c r="AS159" i="27"/>
  <c r="AS160" i="27"/>
  <c r="AS161" i="27"/>
  <c r="AS162" i="27"/>
  <c r="AS164" i="27"/>
  <c r="AS165" i="27"/>
  <c r="AS166" i="27"/>
  <c r="AS167" i="27"/>
  <c r="AS168" i="27"/>
  <c r="AS169" i="27"/>
  <c r="AS170" i="27"/>
  <c r="AS171" i="27"/>
  <c r="AS172" i="27"/>
  <c r="AS173" i="27"/>
  <c r="AS174" i="27"/>
  <c r="AS175" i="27"/>
  <c r="AS176" i="27"/>
  <c r="AS177" i="27"/>
  <c r="AS178" i="27"/>
  <c r="AS179" i="27"/>
  <c r="AS180" i="27"/>
  <c r="AS181" i="27"/>
  <c r="AS182" i="27"/>
  <c r="AS183" i="27"/>
  <c r="AS126" i="27"/>
  <c r="AR101" i="27"/>
  <c r="AR102" i="27"/>
  <c r="AR103" i="27"/>
  <c r="AR104" i="27"/>
  <c r="AR105" i="27"/>
  <c r="AR106" i="27"/>
  <c r="AR107" i="27"/>
  <c r="AR108" i="27"/>
  <c r="AR109" i="27"/>
  <c r="AR110" i="27"/>
  <c r="AR111" i="27"/>
  <c r="AR112" i="27"/>
  <c r="AR113" i="27"/>
  <c r="AR114" i="27"/>
  <c r="AR115" i="27"/>
  <c r="AR116" i="27"/>
  <c r="AR117" i="27"/>
  <c r="AR118" i="27"/>
  <c r="AR119" i="27"/>
  <c r="AR120" i="27"/>
  <c r="AR121" i="27"/>
  <c r="AR122" i="27"/>
  <c r="AR123" i="27"/>
  <c r="AR124" i="27"/>
  <c r="AR125" i="27"/>
  <c r="AR100" i="27"/>
  <c r="Y132" i="27"/>
  <c r="Z132" i="27"/>
  <c r="AA132" i="27"/>
  <c r="Y133" i="27"/>
  <c r="Z133" i="27"/>
  <c r="AA133" i="27"/>
  <c r="Y134" i="27"/>
  <c r="Z134" i="27"/>
  <c r="AA134" i="27"/>
  <c r="Y135" i="27"/>
  <c r="Z135" i="27"/>
  <c r="AA135" i="27"/>
  <c r="Y147" i="27"/>
  <c r="Z147" i="27"/>
  <c r="AA147" i="27"/>
  <c r="Y148" i="27"/>
  <c r="Z148" i="27"/>
  <c r="AA148" i="27"/>
  <c r="Y153" i="27"/>
  <c r="Z153" i="27"/>
  <c r="AA153" i="27"/>
  <c r="Y154" i="27"/>
  <c r="Z154" i="27"/>
  <c r="AA154" i="27"/>
  <c r="Y155" i="27"/>
  <c r="Z155" i="27"/>
  <c r="AA155" i="27"/>
  <c r="Y156" i="27"/>
  <c r="Z156" i="27"/>
  <c r="AA156" i="27"/>
  <c r="AA127" i="27"/>
  <c r="AA128" i="27"/>
  <c r="AA129" i="27"/>
  <c r="AA130" i="27"/>
  <c r="AA131" i="27"/>
  <c r="AA136" i="27"/>
  <c r="AA137" i="27"/>
  <c r="AA138" i="27"/>
  <c r="AA139" i="27"/>
  <c r="AA140" i="27"/>
  <c r="AA141" i="27"/>
  <c r="AA142" i="27"/>
  <c r="AA143" i="27"/>
  <c r="AA144" i="27"/>
  <c r="AA145" i="27"/>
  <c r="AA146" i="27"/>
  <c r="AA149" i="27"/>
  <c r="AA150" i="27"/>
  <c r="AA151" i="27"/>
  <c r="AA152" i="27"/>
  <c r="AA157" i="27"/>
  <c r="AA158" i="27"/>
  <c r="AA159" i="27"/>
  <c r="AA160" i="27"/>
  <c r="AA161" i="27"/>
  <c r="AA162" i="27"/>
  <c r="AA164" i="27"/>
  <c r="AA165" i="27"/>
  <c r="AA166" i="27"/>
  <c r="AA167" i="27"/>
  <c r="AA168" i="27"/>
  <c r="AA169" i="27"/>
  <c r="AA170" i="27"/>
  <c r="AA171" i="27"/>
  <c r="AA172" i="27"/>
  <c r="AA173" i="27"/>
  <c r="AA174" i="27"/>
  <c r="AA175" i="27"/>
  <c r="AA176" i="27"/>
  <c r="AA177" i="27"/>
  <c r="AA178" i="27"/>
  <c r="AA179" i="27"/>
  <c r="AA180" i="27"/>
  <c r="AA181" i="27"/>
  <c r="AA182" i="27"/>
  <c r="AA183" i="27"/>
  <c r="Z127" i="27"/>
  <c r="Z128" i="27"/>
  <c r="Z129" i="27"/>
  <c r="Z130" i="27"/>
  <c r="Z131" i="27"/>
  <c r="Z136" i="27"/>
  <c r="Z137" i="27"/>
  <c r="Z138" i="27"/>
  <c r="Z139" i="27"/>
  <c r="Z140" i="27"/>
  <c r="Z141" i="27"/>
  <c r="Z142" i="27"/>
  <c r="Z143" i="27"/>
  <c r="Z144" i="27"/>
  <c r="Z145" i="27"/>
  <c r="Z146" i="27"/>
  <c r="Z149" i="27"/>
  <c r="Z150" i="27"/>
  <c r="Z151" i="27"/>
  <c r="Z152" i="27"/>
  <c r="Z157" i="27"/>
  <c r="Z158" i="27"/>
  <c r="Z159" i="27"/>
  <c r="Z160" i="27"/>
  <c r="Z161" i="27"/>
  <c r="Z162" i="27"/>
  <c r="Z164" i="27"/>
  <c r="Z165" i="27"/>
  <c r="Z166" i="27"/>
  <c r="Z167" i="27"/>
  <c r="Z168" i="27"/>
  <c r="Z169" i="27"/>
  <c r="Z170" i="27"/>
  <c r="Z171" i="27"/>
  <c r="Z172" i="27"/>
  <c r="Z173" i="27"/>
  <c r="Z174" i="27"/>
  <c r="Z175" i="27"/>
  <c r="Z176" i="27"/>
  <c r="Z177" i="27"/>
  <c r="Z178" i="27"/>
  <c r="Z179" i="27"/>
  <c r="Z180" i="27"/>
  <c r="Z181" i="27"/>
  <c r="Z182" i="27"/>
  <c r="Z183" i="27"/>
  <c r="Z126" i="27"/>
  <c r="AA126" i="27"/>
  <c r="Y127" i="27"/>
  <c r="Y128" i="27"/>
  <c r="Y129" i="27"/>
  <c r="Y130" i="27"/>
  <c r="Y131" i="27"/>
  <c r="Y136" i="27"/>
  <c r="Y137" i="27"/>
  <c r="Y138" i="27"/>
  <c r="Y139" i="27"/>
  <c r="Y140" i="27"/>
  <c r="Y141" i="27"/>
  <c r="Y142" i="27"/>
  <c r="Y143" i="27"/>
  <c r="Y144" i="27"/>
  <c r="Y145" i="27"/>
  <c r="Y146" i="27"/>
  <c r="Y149" i="27"/>
  <c r="Y150" i="27"/>
  <c r="Y151" i="27"/>
  <c r="Y152" i="27"/>
  <c r="Y157" i="27"/>
  <c r="Y158" i="27"/>
  <c r="Y159" i="27"/>
  <c r="Y160" i="27"/>
  <c r="Y161" i="27"/>
  <c r="Y162" i="27"/>
  <c r="Y164" i="27"/>
  <c r="Y165" i="27"/>
  <c r="Y166" i="27"/>
  <c r="Y167" i="27"/>
  <c r="Y168" i="27"/>
  <c r="Y169" i="27"/>
  <c r="Y170" i="27"/>
  <c r="Y171" i="27"/>
  <c r="Y172" i="27"/>
  <c r="Y173" i="27"/>
  <c r="Y174" i="27"/>
  <c r="Y175" i="27"/>
  <c r="Y176" i="27"/>
  <c r="Y177" i="27"/>
  <c r="Y178" i="27"/>
  <c r="Y179" i="27"/>
  <c r="Y180" i="27"/>
  <c r="Y181" i="27"/>
  <c r="Y182" i="27"/>
  <c r="Y183" i="27"/>
  <c r="Y126" i="27"/>
  <c r="AS101" i="27" l="1"/>
  <c r="AS102" i="27"/>
  <c r="AS103" i="27"/>
  <c r="AS104" i="27"/>
  <c r="AS105" i="27"/>
  <c r="AS106" i="27"/>
  <c r="AS107" i="27"/>
  <c r="AS108" i="27"/>
  <c r="AS109" i="27"/>
  <c r="AS110" i="27"/>
  <c r="AS111" i="27"/>
  <c r="AS112" i="27"/>
  <c r="AS113" i="27"/>
  <c r="AS114" i="27"/>
  <c r="AS115" i="27"/>
  <c r="AS116" i="27"/>
  <c r="AS117" i="27"/>
  <c r="AS118" i="27"/>
  <c r="AS119" i="27"/>
  <c r="AS120" i="27"/>
  <c r="AS121" i="27"/>
  <c r="AS122" i="27"/>
  <c r="AS123" i="27"/>
  <c r="AS124" i="27"/>
  <c r="AS125" i="27"/>
  <c r="AS100" i="27"/>
  <c r="K107" i="27"/>
  <c r="AW107" i="27" s="1"/>
  <c r="AX107" i="27" s="1"/>
  <c r="K106" i="27"/>
  <c r="AW106" i="27" s="1"/>
  <c r="AX106" i="27" s="1"/>
  <c r="K105" i="27"/>
  <c r="AW105" i="27" s="1"/>
  <c r="AX105" i="27" s="1"/>
  <c r="K104" i="27"/>
  <c r="AW104" i="27" s="1"/>
  <c r="E72" i="27"/>
  <c r="AD85" i="27"/>
  <c r="AD86" i="27"/>
  <c r="AD87" i="27"/>
  <c r="AD89" i="27"/>
  <c r="AD90" i="27"/>
  <c r="AD91" i="27"/>
  <c r="AD84" i="27"/>
  <c r="X7" i="2"/>
  <c r="G7" i="2"/>
  <c r="AE91" i="27" l="1"/>
  <c r="AC91" i="27"/>
  <c r="AB91" i="27"/>
  <c r="R91" i="27"/>
  <c r="M91" i="27"/>
  <c r="AE87" i="27"/>
  <c r="AC87" i="27"/>
  <c r="AB87" i="27"/>
  <c r="R87" i="27"/>
  <c r="M87" i="27"/>
  <c r="AE86" i="27"/>
  <c r="AC86" i="27"/>
  <c r="AB86" i="27"/>
  <c r="R86" i="27"/>
  <c r="M86" i="27"/>
  <c r="AE90" i="27"/>
  <c r="AC90" i="27"/>
  <c r="AB90" i="27"/>
  <c r="R90" i="27"/>
  <c r="M90" i="27"/>
  <c r="AE89" i="27"/>
  <c r="AC89" i="27"/>
  <c r="AB89" i="27"/>
  <c r="R89" i="27"/>
  <c r="M89" i="27"/>
  <c r="AE85" i="27"/>
  <c r="AC85" i="27"/>
  <c r="AB85" i="27"/>
  <c r="R85" i="27"/>
  <c r="M85" i="27"/>
  <c r="S85" i="27" s="1"/>
  <c r="AE88" i="27"/>
  <c r="AC88" i="27"/>
  <c r="AB88" i="27"/>
  <c r="R88" i="27"/>
  <c r="M88" i="27"/>
  <c r="AE84" i="27"/>
  <c r="AC84" i="27"/>
  <c r="AB84" i="27"/>
  <c r="R84" i="27"/>
  <c r="M84" i="27"/>
  <c r="AE83" i="27"/>
  <c r="AC83" i="27"/>
  <c r="AB83" i="27"/>
  <c r="S83" i="27"/>
  <c r="R83" i="27"/>
  <c r="AE82" i="27"/>
  <c r="AC82" i="27"/>
  <c r="AB82" i="27"/>
  <c r="S82" i="27"/>
  <c r="R82" i="27"/>
  <c r="AE81" i="27"/>
  <c r="AC81" i="27"/>
  <c r="AB81" i="27"/>
  <c r="S81" i="27"/>
  <c r="R81" i="27"/>
  <c r="AE80" i="27"/>
  <c r="AC80" i="27"/>
  <c r="AB80" i="27"/>
  <c r="S80" i="27"/>
  <c r="R80" i="27"/>
  <c r="AE79" i="27"/>
  <c r="AC79" i="27"/>
  <c r="AB79" i="27"/>
  <c r="S79" i="27"/>
  <c r="R79" i="27"/>
  <c r="AE78" i="27"/>
  <c r="AC78" i="27"/>
  <c r="AB78" i="27"/>
  <c r="S78" i="27"/>
  <c r="R78" i="27"/>
  <c r="AN71" i="27"/>
  <c r="AM71" i="27"/>
  <c r="AK71" i="27"/>
  <c r="AL71" i="27" s="1"/>
  <c r="V71" i="27" s="1"/>
  <c r="AJ71" i="27"/>
  <c r="AI71" i="27"/>
  <c r="AB71" i="27"/>
  <c r="Z71" i="27"/>
  <c r="AN70" i="27"/>
  <c r="AM70" i="27"/>
  <c r="AK70" i="27"/>
  <c r="AL70" i="27" s="1"/>
  <c r="V70" i="27" s="1"/>
  <c r="AJ70" i="27"/>
  <c r="AI70" i="27"/>
  <c r="AB70" i="27"/>
  <c r="Z70" i="27"/>
  <c r="AN69" i="27"/>
  <c r="AM69" i="27"/>
  <c r="AK69" i="27"/>
  <c r="AL69" i="27" s="1"/>
  <c r="AJ69" i="27"/>
  <c r="AI69" i="27"/>
  <c r="AB69" i="27"/>
  <c r="Z69" i="27"/>
  <c r="AN68" i="27"/>
  <c r="AM68" i="27"/>
  <c r="AK68" i="27"/>
  <c r="AJ68" i="27"/>
  <c r="AI68" i="27"/>
  <c r="AB68" i="27"/>
  <c r="Z68" i="27"/>
  <c r="AN67" i="27"/>
  <c r="AM67" i="27"/>
  <c r="AK67" i="27"/>
  <c r="AL67" i="27" s="1"/>
  <c r="Q67" i="27" s="1"/>
  <c r="AJ67" i="27"/>
  <c r="AI67" i="27"/>
  <c r="AB67" i="27"/>
  <c r="Z67" i="27"/>
  <c r="AN66" i="27"/>
  <c r="AM66" i="27"/>
  <c r="AK66" i="27"/>
  <c r="AL66" i="27" s="1"/>
  <c r="V66" i="27" s="1"/>
  <c r="AJ66" i="27"/>
  <c r="AI66" i="27"/>
  <c r="AB66" i="27"/>
  <c r="Z66" i="27"/>
  <c r="AN65" i="27"/>
  <c r="AM65" i="27"/>
  <c r="AK65" i="27"/>
  <c r="AL65" i="27" s="1"/>
  <c r="AJ65" i="27"/>
  <c r="AI65" i="27"/>
  <c r="AB65" i="27"/>
  <c r="Z65" i="27"/>
  <c r="AN64" i="27"/>
  <c r="AM64" i="27"/>
  <c r="AK64" i="27"/>
  <c r="AL64" i="27" s="1"/>
  <c r="V64" i="27" s="1"/>
  <c r="AJ64" i="27"/>
  <c r="AI64" i="27"/>
  <c r="AB64" i="27"/>
  <c r="Z64" i="27"/>
  <c r="AN63" i="27"/>
  <c r="AM63" i="27"/>
  <c r="AO63" i="27" s="1"/>
  <c r="AK63" i="27"/>
  <c r="AL63" i="27" s="1"/>
  <c r="AJ63" i="27"/>
  <c r="AI63" i="27"/>
  <c r="AB63" i="27"/>
  <c r="Z63" i="27"/>
  <c r="AN62" i="27"/>
  <c r="AM62" i="27"/>
  <c r="AO62" i="27" s="1"/>
  <c r="AK62" i="27"/>
  <c r="AL62" i="27" s="1"/>
  <c r="AJ62" i="27"/>
  <c r="AI62" i="27"/>
  <c r="AB62" i="27"/>
  <c r="Z62" i="27"/>
  <c r="AN61" i="27"/>
  <c r="AM61" i="27"/>
  <c r="AK61" i="27"/>
  <c r="AL61" i="27" s="1"/>
  <c r="AJ61" i="27"/>
  <c r="AI61" i="27"/>
  <c r="AB61" i="27"/>
  <c r="Z61" i="27"/>
  <c r="AN60" i="27"/>
  <c r="AM60" i="27"/>
  <c r="AK60" i="27"/>
  <c r="AL60" i="27" s="1"/>
  <c r="Q60" i="27" s="1"/>
  <c r="AJ60" i="27"/>
  <c r="AI60" i="27"/>
  <c r="AB60" i="27"/>
  <c r="Z60" i="27"/>
  <c r="AN59" i="27"/>
  <c r="AM59" i="27"/>
  <c r="AK59" i="27"/>
  <c r="AL59" i="27" s="1"/>
  <c r="AJ59" i="27"/>
  <c r="AI59" i="27"/>
  <c r="AB59" i="27"/>
  <c r="Z59" i="27"/>
  <c r="AN58" i="27"/>
  <c r="AM58" i="27"/>
  <c r="AK58" i="27"/>
  <c r="AL58" i="27" s="1"/>
  <c r="AJ58" i="27"/>
  <c r="AI58" i="27"/>
  <c r="AB58" i="27"/>
  <c r="Z58" i="27"/>
  <c r="AN57" i="27"/>
  <c r="AM57" i="27"/>
  <c r="AK57" i="27"/>
  <c r="AJ57" i="27"/>
  <c r="AI57" i="27"/>
  <c r="AB57" i="27"/>
  <c r="Z57" i="27"/>
  <c r="AN56" i="27"/>
  <c r="AM56" i="27"/>
  <c r="AK56" i="27"/>
  <c r="AL56" i="27" s="1"/>
  <c r="V56" i="27" s="1"/>
  <c r="AJ56" i="27"/>
  <c r="AI56" i="27"/>
  <c r="AB56" i="27"/>
  <c r="Z56" i="27"/>
  <c r="AN55" i="27"/>
  <c r="AM55" i="27"/>
  <c r="AK55" i="27"/>
  <c r="AL55" i="27" s="1"/>
  <c r="Q55" i="27" s="1"/>
  <c r="AJ55" i="27"/>
  <c r="AI55" i="27"/>
  <c r="AB55" i="27"/>
  <c r="Z55" i="27"/>
  <c r="AN54" i="27"/>
  <c r="AM54" i="27"/>
  <c r="AK54" i="27"/>
  <c r="AL54" i="27" s="1"/>
  <c r="AJ54" i="27"/>
  <c r="AI54" i="27"/>
  <c r="AB54" i="27"/>
  <c r="Z54" i="27"/>
  <c r="AN53" i="27"/>
  <c r="AM53" i="27"/>
  <c r="AO53" i="27" s="1"/>
  <c r="AK53" i="27"/>
  <c r="AJ53" i="27"/>
  <c r="AI53" i="27"/>
  <c r="AB53" i="27"/>
  <c r="Z53" i="27"/>
  <c r="AN52" i="27"/>
  <c r="AM52" i="27"/>
  <c r="AK52" i="27"/>
  <c r="AL52" i="27" s="1"/>
  <c r="Q52" i="27" s="1"/>
  <c r="AJ52" i="27"/>
  <c r="AI52" i="27"/>
  <c r="AB52" i="27"/>
  <c r="Z52" i="27"/>
  <c r="AN51" i="27"/>
  <c r="AM51" i="27"/>
  <c r="AK51" i="27"/>
  <c r="AJ51" i="27"/>
  <c r="AI51" i="27"/>
  <c r="AB51" i="27"/>
  <c r="Z51" i="27"/>
  <c r="AN50" i="27"/>
  <c r="AM50" i="27"/>
  <c r="AO50" i="27" s="1"/>
  <c r="AK50" i="27"/>
  <c r="AL50" i="27" s="1"/>
  <c r="AJ50" i="27"/>
  <c r="AI50" i="27"/>
  <c r="AB50" i="27"/>
  <c r="Z50" i="27"/>
  <c r="U50" i="27"/>
  <c r="AN49" i="27"/>
  <c r="AM49" i="27"/>
  <c r="AK49" i="27"/>
  <c r="AL49" i="27" s="1"/>
  <c r="V49" i="27" s="1"/>
  <c r="W49" i="27" s="1"/>
  <c r="AJ49" i="27"/>
  <c r="AI49" i="27"/>
  <c r="AB49" i="27"/>
  <c r="Z49" i="27"/>
  <c r="U49" i="27"/>
  <c r="AN48" i="27"/>
  <c r="AM48" i="27"/>
  <c r="AK48" i="27"/>
  <c r="AL48" i="27" s="1"/>
  <c r="AJ48" i="27"/>
  <c r="AI48" i="27"/>
  <c r="AB48" i="27"/>
  <c r="Z48" i="27"/>
  <c r="U48" i="27"/>
  <c r="AN47" i="27"/>
  <c r="AM47" i="27"/>
  <c r="AK47" i="27"/>
  <c r="AJ47" i="27"/>
  <c r="AI47" i="27"/>
  <c r="AB47" i="27"/>
  <c r="Z47" i="27"/>
  <c r="U47" i="27"/>
  <c r="AN46" i="27"/>
  <c r="AM46" i="27"/>
  <c r="AK46" i="27"/>
  <c r="AJ46" i="27"/>
  <c r="AI46" i="27"/>
  <c r="AB46" i="27"/>
  <c r="Z46" i="27"/>
  <c r="U46" i="27"/>
  <c r="AN45" i="27"/>
  <c r="AM45" i="27"/>
  <c r="AK45" i="27"/>
  <c r="AJ45" i="27"/>
  <c r="AI45" i="27"/>
  <c r="AB45" i="27"/>
  <c r="Z45" i="27"/>
  <c r="U45" i="27"/>
  <c r="AN44" i="27"/>
  <c r="AM44" i="27"/>
  <c r="AK44" i="27"/>
  <c r="AJ44" i="27"/>
  <c r="AI44" i="27"/>
  <c r="AB44" i="27"/>
  <c r="Z44" i="27"/>
  <c r="U44" i="27"/>
  <c r="AN43" i="27"/>
  <c r="AM43" i="27"/>
  <c r="AK43" i="27"/>
  <c r="AJ43" i="27"/>
  <c r="AI43" i="27"/>
  <c r="AB43" i="27"/>
  <c r="Z43" i="27"/>
  <c r="U43" i="27"/>
  <c r="AN42" i="27"/>
  <c r="AM42" i="27"/>
  <c r="AK42" i="27"/>
  <c r="AL42" i="27" s="1"/>
  <c r="V42" i="27" s="1"/>
  <c r="W42" i="27" s="1"/>
  <c r="AJ42" i="27"/>
  <c r="AI42" i="27"/>
  <c r="AB42" i="27"/>
  <c r="Z42" i="27"/>
  <c r="U42" i="27"/>
  <c r="AN41" i="27"/>
  <c r="AM41" i="27"/>
  <c r="AO41" i="27" s="1"/>
  <c r="AK41" i="27"/>
  <c r="AL41" i="27" s="1"/>
  <c r="AJ41" i="27"/>
  <c r="AI41" i="27"/>
  <c r="AB41" i="27"/>
  <c r="Z41" i="27"/>
  <c r="U41" i="27"/>
  <c r="AN40" i="27"/>
  <c r="AM40" i="27"/>
  <c r="AL40" i="27"/>
  <c r="Q40" i="27" s="1"/>
  <c r="R40" i="27" s="1"/>
  <c r="AJ40" i="27"/>
  <c r="AI40" i="27"/>
  <c r="AB40" i="27"/>
  <c r="Z40" i="27"/>
  <c r="U40" i="27"/>
  <c r="AN39" i="27"/>
  <c r="AM39" i="27"/>
  <c r="AL39" i="27"/>
  <c r="V39" i="27" s="1"/>
  <c r="W39" i="27" s="1"/>
  <c r="AJ39" i="27"/>
  <c r="AI39" i="27"/>
  <c r="AB39" i="27"/>
  <c r="Z39" i="27"/>
  <c r="U39" i="27"/>
  <c r="AN38" i="27"/>
  <c r="AM38" i="27"/>
  <c r="AL38" i="27"/>
  <c r="V38" i="27" s="1"/>
  <c r="W38" i="27" s="1"/>
  <c r="AJ38" i="27"/>
  <c r="AI38" i="27"/>
  <c r="AB38" i="27"/>
  <c r="Z38" i="27"/>
  <c r="AN37" i="27"/>
  <c r="AM37" i="27"/>
  <c r="AL37" i="27"/>
  <c r="V37" i="27" s="1"/>
  <c r="W37" i="27" s="1"/>
  <c r="AJ37" i="27"/>
  <c r="AI37" i="27"/>
  <c r="AB37" i="27"/>
  <c r="Z37" i="27"/>
  <c r="AN36" i="27"/>
  <c r="AM36" i="27"/>
  <c r="AL36" i="27"/>
  <c r="AJ36" i="27"/>
  <c r="AI36" i="27"/>
  <c r="AB36" i="27"/>
  <c r="Z36" i="27"/>
  <c r="U36" i="27"/>
  <c r="AN35" i="27"/>
  <c r="AM35" i="27"/>
  <c r="AK35" i="27"/>
  <c r="AL35" i="27" s="1"/>
  <c r="AJ35" i="27"/>
  <c r="AI35" i="27"/>
  <c r="AB35" i="27"/>
  <c r="Z35" i="27"/>
  <c r="U35" i="27"/>
  <c r="AN34" i="27"/>
  <c r="AM34" i="27"/>
  <c r="AK34" i="27"/>
  <c r="AL34" i="27" s="1"/>
  <c r="AJ34" i="27"/>
  <c r="AI34" i="27"/>
  <c r="AB34" i="27"/>
  <c r="Z34" i="27"/>
  <c r="U34" i="27"/>
  <c r="AN33" i="27"/>
  <c r="AM33" i="27"/>
  <c r="AK33" i="27"/>
  <c r="AL33" i="27" s="1"/>
  <c r="V33" i="27" s="1"/>
  <c r="W33" i="27" s="1"/>
  <c r="AJ33" i="27"/>
  <c r="AI33" i="27"/>
  <c r="AB33" i="27"/>
  <c r="Z33" i="27"/>
  <c r="U33" i="27"/>
  <c r="AN32" i="27"/>
  <c r="AM32" i="27"/>
  <c r="AO32" i="27" s="1"/>
  <c r="AL32" i="27"/>
  <c r="AJ32" i="27"/>
  <c r="AI32" i="27"/>
  <c r="AB32" i="27"/>
  <c r="Z32" i="27"/>
  <c r="V32" i="27"/>
  <c r="W32" i="27" s="1"/>
  <c r="U32" i="27"/>
  <c r="AN31" i="27"/>
  <c r="AM31" i="27"/>
  <c r="AL31" i="27"/>
  <c r="Q31" i="27" s="1"/>
  <c r="R31" i="27" s="1"/>
  <c r="AJ31" i="27"/>
  <c r="AI31" i="27"/>
  <c r="AB31" i="27"/>
  <c r="Z31" i="27"/>
  <c r="V31" i="27"/>
  <c r="W31" i="27" s="1"/>
  <c r="U31" i="27"/>
  <c r="AN30" i="27"/>
  <c r="AM30" i="27"/>
  <c r="AK30" i="27"/>
  <c r="AL30" i="27" s="1"/>
  <c r="AJ30" i="27"/>
  <c r="AI30" i="27"/>
  <c r="AB30" i="27"/>
  <c r="Z30" i="27"/>
  <c r="U30" i="27"/>
  <c r="AN29" i="27"/>
  <c r="AM29" i="27"/>
  <c r="AK29" i="27"/>
  <c r="AJ29" i="27"/>
  <c r="AI29" i="27"/>
  <c r="AB29" i="27"/>
  <c r="Z29" i="27"/>
  <c r="U29" i="27"/>
  <c r="AN28" i="27"/>
  <c r="AM28" i="27"/>
  <c r="AK28" i="27"/>
  <c r="AL28" i="27" s="1"/>
  <c r="AJ28" i="27"/>
  <c r="AI28" i="27"/>
  <c r="AB28" i="27"/>
  <c r="Z28" i="27"/>
  <c r="U28" i="27"/>
  <c r="AN27" i="27"/>
  <c r="AM27" i="27"/>
  <c r="AO27" i="27" s="1"/>
  <c r="AK27" i="27"/>
  <c r="AJ27" i="27"/>
  <c r="AI27" i="27"/>
  <c r="AB27" i="27"/>
  <c r="Z27" i="27"/>
  <c r="U27" i="27"/>
  <c r="AN26" i="27"/>
  <c r="AM26" i="27"/>
  <c r="AK26" i="27"/>
  <c r="AL26" i="27" s="1"/>
  <c r="AJ26" i="27"/>
  <c r="AI26" i="27"/>
  <c r="AB26" i="27"/>
  <c r="Z26" i="27"/>
  <c r="U26" i="27"/>
  <c r="AN25" i="27"/>
  <c r="AM25" i="27"/>
  <c r="AK25" i="27"/>
  <c r="AJ25" i="27"/>
  <c r="AI25" i="27"/>
  <c r="AB25" i="27"/>
  <c r="Z25" i="27"/>
  <c r="U25" i="27"/>
  <c r="AN24" i="27"/>
  <c r="AM24" i="27"/>
  <c r="AO24" i="27" s="1"/>
  <c r="AK24" i="27"/>
  <c r="AL24" i="27" s="1"/>
  <c r="AJ24" i="27"/>
  <c r="AI24" i="27"/>
  <c r="AB24" i="27"/>
  <c r="Z24" i="27"/>
  <c r="U24" i="27"/>
  <c r="AN23" i="27"/>
  <c r="AM23" i="27"/>
  <c r="AK23" i="27"/>
  <c r="AJ23" i="27"/>
  <c r="AI23" i="27"/>
  <c r="AB23" i="27"/>
  <c r="Z23" i="27"/>
  <c r="U23" i="27"/>
  <c r="AN22" i="27"/>
  <c r="AM22" i="27"/>
  <c r="AK22" i="27"/>
  <c r="AL22" i="27" s="1"/>
  <c r="AJ22" i="27"/>
  <c r="AI22" i="27"/>
  <c r="AB22" i="27"/>
  <c r="Z22" i="27"/>
  <c r="U22" i="27"/>
  <c r="AN21" i="27"/>
  <c r="AM21" i="27"/>
  <c r="AK21" i="27"/>
  <c r="AJ21" i="27"/>
  <c r="AI21" i="27"/>
  <c r="AB21" i="27"/>
  <c r="Z21" i="27"/>
  <c r="U21" i="27"/>
  <c r="AN20" i="27"/>
  <c r="AM20" i="27"/>
  <c r="AK20" i="27"/>
  <c r="AL20" i="27" s="1"/>
  <c r="AJ20" i="27"/>
  <c r="AI20" i="27"/>
  <c r="AB20" i="27"/>
  <c r="Z20" i="27"/>
  <c r="U20" i="27"/>
  <c r="AN19" i="27"/>
  <c r="AM19" i="27"/>
  <c r="AL19" i="27"/>
  <c r="V19" i="27" s="1"/>
  <c r="W19" i="27" s="1"/>
  <c r="AJ19" i="27"/>
  <c r="AI19" i="27"/>
  <c r="AB19" i="27"/>
  <c r="Z19" i="27"/>
  <c r="U19" i="27"/>
  <c r="AN18" i="27"/>
  <c r="AM18" i="27"/>
  <c r="AL18" i="27"/>
  <c r="AJ18" i="27"/>
  <c r="AI18" i="27"/>
  <c r="AB18" i="27"/>
  <c r="Z18" i="27"/>
  <c r="U18" i="27"/>
  <c r="AN17" i="27"/>
  <c r="AM17" i="27"/>
  <c r="AL17" i="27"/>
  <c r="V17" i="27" s="1"/>
  <c r="W17" i="27" s="1"/>
  <c r="AJ17" i="27"/>
  <c r="AI17" i="27"/>
  <c r="AB17" i="27"/>
  <c r="Z17" i="27"/>
  <c r="U17" i="27"/>
  <c r="AN16" i="27"/>
  <c r="AM16" i="27"/>
  <c r="AL16" i="27"/>
  <c r="Q16" i="27" s="1"/>
  <c r="R16" i="27" s="1"/>
  <c r="AJ16" i="27"/>
  <c r="AI16" i="27"/>
  <c r="AB16" i="27"/>
  <c r="Z16" i="27"/>
  <c r="U16" i="27"/>
  <c r="AN15" i="27"/>
  <c r="AM15" i="27"/>
  <c r="AK15" i="27"/>
  <c r="AJ15" i="27"/>
  <c r="AI15" i="27"/>
  <c r="AB15" i="27"/>
  <c r="Z15" i="27"/>
  <c r="U15" i="27"/>
  <c r="AN14" i="27"/>
  <c r="AM14" i="27"/>
  <c r="AK14" i="27"/>
  <c r="AL14" i="27" s="1"/>
  <c r="AJ14" i="27"/>
  <c r="AI14" i="27"/>
  <c r="AB14" i="27"/>
  <c r="Z14" i="27"/>
  <c r="U14" i="27"/>
  <c r="AN13" i="27"/>
  <c r="AM13" i="27"/>
  <c r="AK13" i="27"/>
  <c r="AJ13" i="27"/>
  <c r="AI13" i="27"/>
  <c r="AB13" i="27"/>
  <c r="Z13" i="27"/>
  <c r="U13" i="27"/>
  <c r="AN12" i="27"/>
  <c r="AM12" i="27"/>
  <c r="AK12" i="27"/>
  <c r="AL12" i="27" s="1"/>
  <c r="AJ12" i="27"/>
  <c r="AI12" i="27"/>
  <c r="AB12" i="27"/>
  <c r="Z12" i="27"/>
  <c r="U12" i="27"/>
  <c r="AN11" i="27"/>
  <c r="AM11" i="27"/>
  <c r="AO11" i="27" s="1"/>
  <c r="AK11" i="27"/>
  <c r="AJ11" i="27"/>
  <c r="AI11" i="27"/>
  <c r="AB11" i="27"/>
  <c r="Z11" i="27"/>
  <c r="U11" i="27"/>
  <c r="AN10" i="27"/>
  <c r="AM10" i="27"/>
  <c r="AK10" i="27"/>
  <c r="AL10" i="27" s="1"/>
  <c r="Q10" i="27" s="1"/>
  <c r="R10" i="27" s="1"/>
  <c r="AJ10" i="27"/>
  <c r="AI10" i="27"/>
  <c r="AB10" i="27"/>
  <c r="Z10" i="27"/>
  <c r="U10" i="27"/>
  <c r="AN9" i="27"/>
  <c r="AM9" i="27"/>
  <c r="AK9" i="27"/>
  <c r="AJ9" i="27"/>
  <c r="AI9" i="27"/>
  <c r="AB9" i="27"/>
  <c r="Z9" i="27"/>
  <c r="U9" i="27"/>
  <c r="AN8" i="27"/>
  <c r="AM8" i="27"/>
  <c r="AL8" i="27"/>
  <c r="AK8" i="27"/>
  <c r="AJ8" i="27"/>
  <c r="AI8" i="27"/>
  <c r="AB8" i="27"/>
  <c r="Z8" i="27"/>
  <c r="U8" i="27"/>
  <c r="V8" i="27" l="1"/>
  <c r="W8" i="27" s="1"/>
  <c r="AY100" i="27"/>
  <c r="AO34" i="27"/>
  <c r="AO59" i="27"/>
  <c r="AO54" i="27"/>
  <c r="AO13" i="27"/>
  <c r="Q33" i="27"/>
  <c r="R33" i="27" s="1"/>
  <c r="AO36" i="27"/>
  <c r="AO9" i="27"/>
  <c r="V20" i="27"/>
  <c r="W20" i="27" s="1"/>
  <c r="Q20" i="27"/>
  <c r="R20" i="27" s="1"/>
  <c r="V41" i="27"/>
  <c r="W41" i="27" s="1"/>
  <c r="Q8" i="27"/>
  <c r="R8" i="27" s="1"/>
  <c r="Y8" i="27" s="1"/>
  <c r="AA8" i="27" s="1"/>
  <c r="AO25" i="27"/>
  <c r="AO38" i="27"/>
  <c r="S90" i="27"/>
  <c r="Q39" i="27"/>
  <c r="R39" i="27" s="1"/>
  <c r="Y39" i="27" s="1"/>
  <c r="Q17" i="27"/>
  <c r="R17" i="27" s="1"/>
  <c r="Y17" i="27" s="1"/>
  <c r="AA17" i="27" s="1"/>
  <c r="AO68" i="27"/>
  <c r="V16" i="27"/>
  <c r="W16" i="27" s="1"/>
  <c r="Y16" i="27" s="1"/>
  <c r="AO29" i="27"/>
  <c r="Q19" i="27"/>
  <c r="R19" i="27" s="1"/>
  <c r="Y19" i="27" s="1"/>
  <c r="AO46" i="27"/>
  <c r="V22" i="27"/>
  <c r="W22" i="27" s="1"/>
  <c r="V50" i="27"/>
  <c r="W50" i="27" s="1"/>
  <c r="Q12" i="27"/>
  <c r="R12" i="27" s="1"/>
  <c r="Q22" i="27"/>
  <c r="R22" i="27" s="1"/>
  <c r="Q26" i="27"/>
  <c r="R26" i="27" s="1"/>
  <c r="Q30" i="27"/>
  <c r="R30" i="27" s="1"/>
  <c r="AO37" i="27"/>
  <c r="AO44" i="27"/>
  <c r="AO48" i="27"/>
  <c r="Q49" i="27"/>
  <c r="R49" i="27" s="1"/>
  <c r="Y49" i="27" s="1"/>
  <c r="AA49" i="27" s="1"/>
  <c r="V69" i="27"/>
  <c r="AO15" i="27"/>
  <c r="AO18" i="27"/>
  <c r="V40" i="27"/>
  <c r="W40" i="27" s="1"/>
  <c r="Y40" i="27" s="1"/>
  <c r="AA40" i="27" s="1"/>
  <c r="Q14" i="27"/>
  <c r="R14" i="27" s="1"/>
  <c r="Q28" i="27"/>
  <c r="R28" i="27" s="1"/>
  <c r="Y31" i="27"/>
  <c r="AA31" i="27" s="1"/>
  <c r="Q35" i="27"/>
  <c r="R35" i="27" s="1"/>
  <c r="Q42" i="27"/>
  <c r="R42" i="27" s="1"/>
  <c r="Y42" i="27" s="1"/>
  <c r="Y33" i="27"/>
  <c r="AA33" i="27" s="1"/>
  <c r="AO51" i="27"/>
  <c r="AO58" i="27"/>
  <c r="AO55" i="27"/>
  <c r="Q61" i="27"/>
  <c r="Q62" i="27"/>
  <c r="AO65" i="27"/>
  <c r="AO70" i="27"/>
  <c r="S86" i="27"/>
  <c r="V24" i="27"/>
  <c r="W24" i="27" s="1"/>
  <c r="AL9" i="27"/>
  <c r="AL11" i="27"/>
  <c r="Q11" i="27" s="1"/>
  <c r="AL13" i="27"/>
  <c r="Q13" i="27" s="1"/>
  <c r="AL15" i="27"/>
  <c r="Q15" i="27" s="1"/>
  <c r="AO16" i="27"/>
  <c r="V18" i="27"/>
  <c r="W18" i="27" s="1"/>
  <c r="AO22" i="27"/>
  <c r="AO23" i="27"/>
  <c r="Q24" i="27"/>
  <c r="R24" i="27" s="1"/>
  <c r="AL27" i="27"/>
  <c r="Q27" i="27" s="1"/>
  <c r="R27" i="27" s="1"/>
  <c r="AO8" i="27"/>
  <c r="V10" i="27"/>
  <c r="AO10" i="27"/>
  <c r="V12" i="27"/>
  <c r="AO12" i="27"/>
  <c r="V14" i="27"/>
  <c r="AO14" i="27"/>
  <c r="AO17" i="27"/>
  <c r="AO19" i="27"/>
  <c r="AO20" i="27"/>
  <c r="AO21" i="27"/>
  <c r="AL23" i="27"/>
  <c r="AL25" i="27"/>
  <c r="Q25" i="27" s="1"/>
  <c r="R25" i="27" s="1"/>
  <c r="AO26" i="27"/>
  <c r="AL21" i="27"/>
  <c r="Q18" i="27"/>
  <c r="R18" i="27" s="1"/>
  <c r="AL29" i="27"/>
  <c r="Q29" i="27" s="1"/>
  <c r="R29" i="27" s="1"/>
  <c r="AO31" i="27"/>
  <c r="AO35" i="27"/>
  <c r="V36" i="27"/>
  <c r="W36" i="27" s="1"/>
  <c r="V26" i="27"/>
  <c r="W26" i="27" s="1"/>
  <c r="V28" i="27"/>
  <c r="W28" i="27" s="1"/>
  <c r="AO28" i="27"/>
  <c r="V30" i="27"/>
  <c r="W30" i="27" s="1"/>
  <c r="AO30" i="27"/>
  <c r="Q34" i="27"/>
  <c r="R34" i="27" s="1"/>
  <c r="Q32" i="27"/>
  <c r="R32" i="27" s="1"/>
  <c r="Y32" i="27" s="1"/>
  <c r="AO33" i="27"/>
  <c r="Q36" i="27"/>
  <c r="R36" i="27" s="1"/>
  <c r="V34" i="27"/>
  <c r="W34" i="27" s="1"/>
  <c r="Q37" i="27"/>
  <c r="AA42" i="27"/>
  <c r="V35" i="27"/>
  <c r="W35" i="27" s="1"/>
  <c r="Q38" i="27"/>
  <c r="AO39" i="27"/>
  <c r="Q41" i="27"/>
  <c r="R41" i="27" s="1"/>
  <c r="AO45" i="27"/>
  <c r="AO40" i="27"/>
  <c r="AO42" i="27"/>
  <c r="AO43" i="27"/>
  <c r="AL43" i="27"/>
  <c r="Q43" i="27" s="1"/>
  <c r="R43" i="27" s="1"/>
  <c r="V48" i="27"/>
  <c r="W48" i="27" s="1"/>
  <c r="AL44" i="27"/>
  <c r="Q44" i="27" s="1"/>
  <c r="R44" i="27" s="1"/>
  <c r="AL46" i="27"/>
  <c r="Q46" i="27" s="1"/>
  <c r="R46" i="27" s="1"/>
  <c r="AL45" i="27"/>
  <c r="Q45" i="27" s="1"/>
  <c r="R45" i="27" s="1"/>
  <c r="AL47" i="27"/>
  <c r="Q47" i="27" s="1"/>
  <c r="R47" i="27" s="1"/>
  <c r="V59" i="27"/>
  <c r="Q59" i="27"/>
  <c r="AO49" i="27"/>
  <c r="V54" i="27"/>
  <c r="Q54" i="27"/>
  <c r="Q48" i="27"/>
  <c r="R48" i="27" s="1"/>
  <c r="AL51" i="27"/>
  <c r="V52" i="27"/>
  <c r="Y52" i="27" s="1"/>
  <c r="AO52" i="27"/>
  <c r="AL53" i="27"/>
  <c r="Q53" i="27" s="1"/>
  <c r="V58" i="27"/>
  <c r="Q58" i="27"/>
  <c r="AO47" i="27"/>
  <c r="Q50" i="27"/>
  <c r="R50" i="27" s="1"/>
  <c r="Y50" i="27" s="1"/>
  <c r="V55" i="27"/>
  <c r="Y55" i="27" s="1"/>
  <c r="Q56" i="27"/>
  <c r="Y56" i="27" s="1"/>
  <c r="AO56" i="27"/>
  <c r="AL57" i="27"/>
  <c r="V61" i="27"/>
  <c r="Q63" i="27"/>
  <c r="V60" i="27"/>
  <c r="Y60" i="27" s="1"/>
  <c r="AO60" i="27"/>
  <c r="AO57" i="27"/>
  <c r="AO61" i="27"/>
  <c r="V62" i="27"/>
  <c r="V63" i="27"/>
  <c r="V65" i="27"/>
  <c r="Q65" i="27"/>
  <c r="Q64" i="27"/>
  <c r="Y64" i="27" s="1"/>
  <c r="AO64" i="27"/>
  <c r="Q66" i="27"/>
  <c r="Y66" i="27" s="1"/>
  <c r="AO66" i="27"/>
  <c r="AL68" i="27"/>
  <c r="Q68" i="27" s="1"/>
  <c r="V67" i="27"/>
  <c r="Y67" i="27" s="1"/>
  <c r="AO67" i="27"/>
  <c r="Q69" i="27"/>
  <c r="AO69" i="27"/>
  <c r="Q71" i="27"/>
  <c r="Y71" i="27" s="1"/>
  <c r="AO71" i="27"/>
  <c r="Q70" i="27"/>
  <c r="Y70" i="27" s="1"/>
  <c r="S84" i="27"/>
  <c r="S88" i="27"/>
  <c r="S89" i="27"/>
  <c r="S87" i="27"/>
  <c r="S91" i="27"/>
  <c r="Y30" i="27" l="1"/>
  <c r="Y35" i="27"/>
  <c r="AA35" i="27" s="1"/>
  <c r="Y36" i="27"/>
  <c r="AA36" i="27" s="1"/>
  <c r="Y41" i="27"/>
  <c r="AA41" i="27" s="1"/>
  <c r="Y20" i="27"/>
  <c r="AA20" i="27" s="1"/>
  <c r="Y62" i="27"/>
  <c r="AA62" i="27" s="1"/>
  <c r="Y69" i="27"/>
  <c r="AA69" i="27" s="1"/>
  <c r="Y61" i="27"/>
  <c r="AA61" i="27" s="1"/>
  <c r="Y28" i="27"/>
  <c r="AA28" i="27" s="1"/>
  <c r="AA39" i="27"/>
  <c r="AA16" i="27"/>
  <c r="AA19" i="27"/>
  <c r="Y24" i="27"/>
  <c r="AA24" i="27" s="1"/>
  <c r="Y26" i="27"/>
  <c r="AA26" i="27" s="1"/>
  <c r="Y22" i="27"/>
  <c r="Y65" i="27"/>
  <c r="AA65" i="27" s="1"/>
  <c r="Y63" i="27"/>
  <c r="AA63" i="27" s="1"/>
  <c r="Y58" i="27"/>
  <c r="AA58" i="27" s="1"/>
  <c r="Y54" i="27"/>
  <c r="AA54" i="27" s="1"/>
  <c r="Y59" i="27"/>
  <c r="AA59" i="27" s="1"/>
  <c r="AA67" i="27"/>
  <c r="AA55" i="27"/>
  <c r="R13" i="27"/>
  <c r="R11" i="27"/>
  <c r="AA30" i="27"/>
  <c r="AA56" i="27"/>
  <c r="V51" i="27"/>
  <c r="Q51" i="27"/>
  <c r="V21" i="27"/>
  <c r="W21" i="27" s="1"/>
  <c r="V23" i="27"/>
  <c r="W23" i="27" s="1"/>
  <c r="V46" i="27"/>
  <c r="W46" i="27" s="1"/>
  <c r="Y46" i="27" s="1"/>
  <c r="V44" i="27"/>
  <c r="W44" i="27" s="1"/>
  <c r="Y44" i="27" s="1"/>
  <c r="AA32" i="27"/>
  <c r="Y34" i="27"/>
  <c r="Y14" i="27"/>
  <c r="W14" i="27"/>
  <c r="Q57" i="27"/>
  <c r="V57" i="27"/>
  <c r="AA50" i="27"/>
  <c r="AA52" i="27"/>
  <c r="Y48" i="27"/>
  <c r="V45" i="27"/>
  <c r="W45" i="27" s="1"/>
  <c r="Y45" i="27" s="1"/>
  <c r="R37" i="27"/>
  <c r="Y37" i="27"/>
  <c r="Q21" i="27"/>
  <c r="R21" i="27" s="1"/>
  <c r="V25" i="27"/>
  <c r="W25" i="27" s="1"/>
  <c r="Y25" i="27" s="1"/>
  <c r="Q23" i="27"/>
  <c r="R23" i="27" s="1"/>
  <c r="W10" i="27"/>
  <c r="Y10" i="27"/>
  <c r="V27" i="27"/>
  <c r="W27" i="27" s="1"/>
  <c r="Y27" i="27" s="1"/>
  <c r="V15" i="27"/>
  <c r="W15" i="27" s="1"/>
  <c r="V68" i="27"/>
  <c r="Y68" i="27" s="1"/>
  <c r="AA64" i="27"/>
  <c r="AA60" i="27"/>
  <c r="V47" i="27"/>
  <c r="W47" i="27" s="1"/>
  <c r="Y47" i="27" s="1"/>
  <c r="Y12" i="27"/>
  <c r="W12" i="27"/>
  <c r="R15" i="27"/>
  <c r="AA71" i="27"/>
  <c r="AA66" i="27"/>
  <c r="V53" i="27"/>
  <c r="Y53" i="27" s="1"/>
  <c r="V9" i="27"/>
  <c r="W9" i="27" s="1"/>
  <c r="AA70" i="27"/>
  <c r="V43" i="27"/>
  <c r="W43" i="27" s="1"/>
  <c r="Y43" i="27" s="1"/>
  <c r="R38" i="27"/>
  <c r="Y38" i="27"/>
  <c r="V29" i="27"/>
  <c r="W29" i="27" s="1"/>
  <c r="Y29" i="27" s="1"/>
  <c r="Y18" i="27"/>
  <c r="V13" i="27"/>
  <c r="W13" i="27" s="1"/>
  <c r="V11" i="27"/>
  <c r="W11" i="27" s="1"/>
  <c r="Q9" i="27"/>
  <c r="R9" i="27" s="1"/>
  <c r="Y23" i="27" l="1"/>
  <c r="AA23" i="27" s="1"/>
  <c r="Y15" i="27"/>
  <c r="AA15" i="27" s="1"/>
  <c r="AA22" i="27"/>
  <c r="Y21" i="27"/>
  <c r="AA21" i="27" s="1"/>
  <c r="Y9" i="27"/>
  <c r="AA43" i="27"/>
  <c r="AA53" i="27"/>
  <c r="AA47" i="27"/>
  <c r="AA45" i="27"/>
  <c r="AA68" i="27"/>
  <c r="AA44" i="27"/>
  <c r="AA29" i="27"/>
  <c r="AA25" i="27"/>
  <c r="AA48" i="27"/>
  <c r="AA14" i="27"/>
  <c r="Y13" i="27"/>
  <c r="AA27" i="27"/>
  <c r="AA18" i="27"/>
  <c r="Y51" i="27"/>
  <c r="AA46" i="27"/>
  <c r="AA10" i="27"/>
  <c r="AA34" i="27"/>
  <c r="Y11" i="27"/>
  <c r="AA38" i="27"/>
  <c r="AA12" i="27"/>
  <c r="AA37" i="27"/>
  <c r="Y57" i="27"/>
  <c r="AA9" i="27" l="1"/>
  <c r="AA51" i="27"/>
  <c r="AA11" i="27"/>
  <c r="AA13" i="27"/>
  <c r="AA57" i="27"/>
  <c r="AH7" i="2"/>
  <c r="T7" i="2" s="1"/>
  <c r="AF7" i="2"/>
  <c r="G206" i="2"/>
  <c r="I206" i="2" s="1"/>
  <c r="G207" i="2"/>
  <c r="I207" i="2" s="1"/>
  <c r="G208" i="2"/>
  <c r="I208" i="2" s="1"/>
  <c r="G209" i="2"/>
  <c r="I209" i="2" s="1"/>
  <c r="G210" i="2"/>
  <c r="I210" i="2" s="1"/>
  <c r="G211" i="2"/>
  <c r="I211" i="2" s="1"/>
  <c r="AM206" i="2"/>
  <c r="AM207" i="2"/>
  <c r="AM208" i="2"/>
  <c r="AM209" i="2"/>
  <c r="AM210" i="2"/>
  <c r="AM211" i="2"/>
  <c r="U211" i="2"/>
  <c r="U210" i="2"/>
  <c r="U209" i="2"/>
  <c r="U208" i="2"/>
  <c r="U207" i="2"/>
  <c r="U206" i="2"/>
  <c r="Z206" i="2"/>
  <c r="Z207" i="2"/>
  <c r="Z208" i="2"/>
  <c r="Z209" i="2"/>
  <c r="Z210" i="2"/>
  <c r="Z211" i="2"/>
  <c r="G153" i="2"/>
  <c r="I153" i="2" s="1"/>
  <c r="G154" i="2"/>
  <c r="I154" i="2" s="1"/>
  <c r="G155" i="2"/>
  <c r="I155" i="2" s="1"/>
  <c r="G156" i="2"/>
  <c r="I156" i="2" s="1"/>
  <c r="G157" i="2"/>
  <c r="I157" i="2" s="1"/>
  <c r="G158" i="2"/>
  <c r="I158" i="2" s="1"/>
  <c r="G159" i="2"/>
  <c r="I159" i="2" s="1"/>
  <c r="AL153" i="2"/>
  <c r="AL154" i="2"/>
  <c r="AL155" i="2"/>
  <c r="AL156" i="2"/>
  <c r="AL157" i="2"/>
  <c r="AL158" i="2"/>
  <c r="AL159" i="2"/>
  <c r="Z159" i="2"/>
  <c r="Z158" i="2"/>
  <c r="Z157" i="2"/>
  <c r="Z153" i="2"/>
  <c r="Z154" i="2"/>
  <c r="Z155" i="2"/>
  <c r="Z156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U45" i="2"/>
  <c r="AJ7" i="2" l="1"/>
  <c r="P211" i="2"/>
  <c r="P210" i="2"/>
  <c r="P209" i="2"/>
  <c r="P208" i="2"/>
  <c r="P207" i="2"/>
  <c r="P206" i="2"/>
  <c r="X46" i="2" l="1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45" i="2"/>
  <c r="U63" i="2"/>
  <c r="U64" i="2"/>
  <c r="U65" i="2"/>
  <c r="U66" i="2"/>
  <c r="U67" i="2"/>
  <c r="U68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G45" i="2"/>
  <c r="T88" i="2"/>
  <c r="T90" i="2"/>
  <c r="U90" i="2" s="1"/>
  <c r="W90" i="2" s="1"/>
  <c r="T89" i="2"/>
  <c r="U89" i="2" s="1"/>
  <c r="T87" i="2"/>
  <c r="U87" i="2" s="1"/>
  <c r="T86" i="2"/>
  <c r="T85" i="2"/>
  <c r="T84" i="2"/>
  <c r="X84" i="2" s="1"/>
  <c r="T83" i="2"/>
  <c r="U83" i="2" s="1"/>
  <c r="T82" i="2"/>
  <c r="T81" i="2"/>
  <c r="U81" i="2" s="1"/>
  <c r="T80" i="2"/>
  <c r="X80" i="2" s="1"/>
  <c r="T79" i="2"/>
  <c r="U79" i="2" s="1"/>
  <c r="T78" i="2"/>
  <c r="T77" i="2"/>
  <c r="T76" i="2"/>
  <c r="X76" i="2" s="1"/>
  <c r="X89" i="2" l="1"/>
  <c r="G89" i="2"/>
  <c r="I89" i="2" s="1"/>
  <c r="W89" i="2"/>
  <c r="G81" i="2"/>
  <c r="I81" i="2" s="1"/>
  <c r="W81" i="2"/>
  <c r="G87" i="2"/>
  <c r="I87" i="2" s="1"/>
  <c r="G79" i="2"/>
  <c r="I79" i="2" s="1"/>
  <c r="U86" i="2"/>
  <c r="U78" i="2"/>
  <c r="X85" i="2"/>
  <c r="X77" i="2"/>
  <c r="U85" i="2"/>
  <c r="U77" i="2"/>
  <c r="X87" i="2"/>
  <c r="X83" i="2"/>
  <c r="X79" i="2"/>
  <c r="G90" i="2"/>
  <c r="I90" i="2" s="1"/>
  <c r="G83" i="2"/>
  <c r="I83" i="2" s="1"/>
  <c r="U82" i="2"/>
  <c r="X88" i="2"/>
  <c r="X81" i="2"/>
  <c r="U88" i="2"/>
  <c r="U84" i="2"/>
  <c r="U80" i="2"/>
  <c r="U76" i="2"/>
  <c r="X90" i="2"/>
  <c r="X86" i="2"/>
  <c r="X82" i="2"/>
  <c r="X78" i="2"/>
  <c r="W87" i="2"/>
  <c r="W83" i="2"/>
  <c r="W79" i="2"/>
  <c r="G77" i="2" l="1"/>
  <c r="I77" i="2" s="1"/>
  <c r="W77" i="2"/>
  <c r="G88" i="2"/>
  <c r="I88" i="2" s="1"/>
  <c r="W88" i="2"/>
  <c r="G78" i="2"/>
  <c r="I78" i="2" s="1"/>
  <c r="W78" i="2"/>
  <c r="G76" i="2"/>
  <c r="I76" i="2" s="1"/>
  <c r="W76" i="2"/>
  <c r="G85" i="2"/>
  <c r="I85" i="2" s="1"/>
  <c r="W85" i="2"/>
  <c r="G86" i="2"/>
  <c r="I86" i="2" s="1"/>
  <c r="W86" i="2"/>
  <c r="G84" i="2"/>
  <c r="I84" i="2" s="1"/>
  <c r="W84" i="2"/>
  <c r="G80" i="2"/>
  <c r="I80" i="2" s="1"/>
  <c r="W80" i="2"/>
  <c r="G82" i="2"/>
  <c r="I82" i="2" s="1"/>
  <c r="W82" i="2"/>
  <c r="T104" i="2" l="1"/>
  <c r="T167" i="2"/>
  <c r="AJ99" i="2"/>
  <c r="AI99" i="2"/>
  <c r="P99" i="2" s="1"/>
  <c r="AA99" i="2"/>
  <c r="O99" i="2"/>
  <c r="I45" i="2"/>
  <c r="AK7" i="2"/>
  <c r="AA7" i="2"/>
  <c r="AM7" i="2" l="1"/>
  <c r="N110" i="2" l="1"/>
  <c r="O110" i="2"/>
  <c r="T110" i="2"/>
  <c r="Y110" i="2"/>
  <c r="AA110" i="2"/>
  <c r="AM110" i="2" s="1"/>
  <c r="AI110" i="2"/>
  <c r="U110" i="2" s="1"/>
  <c r="AJ110" i="2"/>
  <c r="AL110" i="2" s="1"/>
  <c r="N111" i="2"/>
  <c r="O111" i="2"/>
  <c r="T111" i="2"/>
  <c r="Y111" i="2"/>
  <c r="AA111" i="2"/>
  <c r="AM111" i="2" s="1"/>
  <c r="AI111" i="2"/>
  <c r="P111" i="2" s="1"/>
  <c r="AJ111" i="2"/>
  <c r="Y99" i="2"/>
  <c r="Y100" i="2"/>
  <c r="Y101" i="2"/>
  <c r="U111" i="2" l="1"/>
  <c r="Q110" i="2"/>
  <c r="AL111" i="2"/>
  <c r="Q111" i="2"/>
  <c r="V110" i="2"/>
  <c r="P110" i="2"/>
  <c r="V111" i="2"/>
  <c r="X110" i="2" l="1"/>
  <c r="X111" i="2"/>
  <c r="Z110" i="2" l="1"/>
  <c r="G110" i="2"/>
  <c r="I110" i="2" s="1"/>
  <c r="Z111" i="2"/>
  <c r="G111" i="2"/>
  <c r="I111" i="2" s="1"/>
  <c r="AM202" i="2" l="1"/>
  <c r="AM203" i="2"/>
  <c r="AM204" i="2"/>
  <c r="AM205" i="2"/>
  <c r="AA167" i="2"/>
  <c r="AN167" i="2" s="1"/>
  <c r="O175" i="2"/>
  <c r="O176" i="2"/>
  <c r="O177" i="2"/>
  <c r="O178" i="2"/>
  <c r="O179" i="2"/>
  <c r="O180" i="2"/>
  <c r="O167" i="2"/>
  <c r="N175" i="2"/>
  <c r="N176" i="2"/>
  <c r="N177" i="2"/>
  <c r="N178" i="2"/>
  <c r="N179" i="2"/>
  <c r="N180" i="2"/>
  <c r="N167" i="2"/>
  <c r="AA168" i="2"/>
  <c r="AN168" i="2" s="1"/>
  <c r="AA169" i="2"/>
  <c r="AN169" i="2" s="1"/>
  <c r="AA170" i="2"/>
  <c r="AN170" i="2" s="1"/>
  <c r="AA171" i="2"/>
  <c r="AN171" i="2" s="1"/>
  <c r="AA172" i="2"/>
  <c r="AN172" i="2" s="1"/>
  <c r="AA173" i="2"/>
  <c r="AN173" i="2" s="1"/>
  <c r="AA174" i="2"/>
  <c r="AN174" i="2" s="1"/>
  <c r="AA175" i="2"/>
  <c r="AN175" i="2" s="1"/>
  <c r="AA176" i="2"/>
  <c r="AN176" i="2" s="1"/>
  <c r="AA177" i="2"/>
  <c r="AN177" i="2" s="1"/>
  <c r="AA178" i="2"/>
  <c r="AN178" i="2" s="1"/>
  <c r="AA179" i="2"/>
  <c r="AN179" i="2" s="1"/>
  <c r="AA180" i="2"/>
  <c r="AN180" i="2" s="1"/>
  <c r="AA181" i="2"/>
  <c r="AN181" i="2" s="1"/>
  <c r="AA182" i="2"/>
  <c r="AN182" i="2" s="1"/>
  <c r="AA183" i="2"/>
  <c r="AN183" i="2" s="1"/>
  <c r="AA184" i="2"/>
  <c r="AN184" i="2" s="1"/>
  <c r="AA185" i="2"/>
  <c r="AN185" i="2" s="1"/>
  <c r="AA186" i="2"/>
  <c r="AN186" i="2" s="1"/>
  <c r="AA187" i="2"/>
  <c r="AN187" i="2" s="1"/>
  <c r="AA188" i="2"/>
  <c r="AN188" i="2" s="1"/>
  <c r="AA189" i="2"/>
  <c r="AN189" i="2" s="1"/>
  <c r="AA190" i="2"/>
  <c r="AN190" i="2" s="1"/>
  <c r="AA191" i="2"/>
  <c r="AN191" i="2" s="1"/>
  <c r="AA192" i="2"/>
  <c r="AN192" i="2" s="1"/>
  <c r="AA193" i="2"/>
  <c r="AN193" i="2" s="1"/>
  <c r="AA194" i="2"/>
  <c r="AN194" i="2" s="1"/>
  <c r="AA195" i="2"/>
  <c r="AN195" i="2" s="1"/>
  <c r="AA196" i="2"/>
  <c r="AN196" i="2" s="1"/>
  <c r="AA197" i="2"/>
  <c r="AN197" i="2" s="1"/>
  <c r="AA198" i="2"/>
  <c r="AN198" i="2" s="1"/>
  <c r="AA199" i="2"/>
  <c r="AN199" i="2" s="1"/>
  <c r="AA200" i="2"/>
  <c r="AN200" i="2" s="1"/>
  <c r="AA201" i="2"/>
  <c r="AN201" i="2" s="1"/>
  <c r="AA202" i="2"/>
  <c r="AN202" i="2" s="1"/>
  <c r="AA203" i="2"/>
  <c r="AN203" i="2" s="1"/>
  <c r="AA204" i="2"/>
  <c r="AN204" i="2" s="1"/>
  <c r="AA205" i="2"/>
  <c r="AN205" i="2" s="1"/>
  <c r="AJ202" i="2"/>
  <c r="P202" i="2" s="1"/>
  <c r="AJ203" i="2"/>
  <c r="U203" i="2" s="1"/>
  <c r="AJ204" i="2"/>
  <c r="U204" i="2" s="1"/>
  <c r="AJ205" i="2"/>
  <c r="U205" i="2" s="1"/>
  <c r="AH202" i="2"/>
  <c r="AH203" i="2"/>
  <c r="AH204" i="2"/>
  <c r="AH205" i="2"/>
  <c r="P204" i="2" l="1"/>
  <c r="X204" i="2" s="1"/>
  <c r="P203" i="2"/>
  <c r="X203" i="2" s="1"/>
  <c r="U202" i="2"/>
  <c r="X202" i="2" s="1"/>
  <c r="P205" i="2"/>
  <c r="X205" i="2" s="1"/>
  <c r="AK134" i="2"/>
  <c r="AJ149" i="2"/>
  <c r="AJ150" i="2"/>
  <c r="AJ151" i="2"/>
  <c r="AJ152" i="2"/>
  <c r="AJ143" i="2"/>
  <c r="AJ144" i="2"/>
  <c r="AJ145" i="2"/>
  <c r="AJ146" i="2"/>
  <c r="AJ147" i="2"/>
  <c r="AJ148" i="2"/>
  <c r="AJ139" i="2"/>
  <c r="AJ140" i="2"/>
  <c r="AJ141" i="2"/>
  <c r="AJ142" i="2"/>
  <c r="AJ135" i="2"/>
  <c r="AJ136" i="2"/>
  <c r="AJ137" i="2"/>
  <c r="AJ138" i="2"/>
  <c r="AA146" i="2"/>
  <c r="AM146" i="2" s="1"/>
  <c r="AA147" i="2"/>
  <c r="AM147" i="2" s="1"/>
  <c r="AA148" i="2"/>
  <c r="AM148" i="2" s="1"/>
  <c r="AA149" i="2"/>
  <c r="AM149" i="2" s="1"/>
  <c r="AA150" i="2"/>
  <c r="AM150" i="2" s="1"/>
  <c r="AA151" i="2"/>
  <c r="AM151" i="2" s="1"/>
  <c r="AA152" i="2"/>
  <c r="AM152" i="2" s="1"/>
  <c r="AA130" i="2"/>
  <c r="AM130" i="2" s="1"/>
  <c r="AA131" i="2"/>
  <c r="AM131" i="2" s="1"/>
  <c r="AA132" i="2"/>
  <c r="AM132" i="2" s="1"/>
  <c r="AA133" i="2"/>
  <c r="AM133" i="2" s="1"/>
  <c r="AA134" i="2"/>
  <c r="AM134" i="2" s="1"/>
  <c r="AA135" i="2"/>
  <c r="AM135" i="2" s="1"/>
  <c r="AA136" i="2"/>
  <c r="AM136" i="2" s="1"/>
  <c r="AA137" i="2"/>
  <c r="AM137" i="2" s="1"/>
  <c r="AA138" i="2"/>
  <c r="AM138" i="2" s="1"/>
  <c r="AA139" i="2"/>
  <c r="AM139" i="2" s="1"/>
  <c r="AA140" i="2"/>
  <c r="AM140" i="2" s="1"/>
  <c r="AA141" i="2"/>
  <c r="AM141" i="2" s="1"/>
  <c r="AA142" i="2"/>
  <c r="AM142" i="2" s="1"/>
  <c r="AA143" i="2"/>
  <c r="AM143" i="2" s="1"/>
  <c r="AA144" i="2"/>
  <c r="AM144" i="2" s="1"/>
  <c r="AA145" i="2"/>
  <c r="AM145" i="2" s="1"/>
  <c r="AA129" i="2"/>
  <c r="AM129" i="2" s="1"/>
  <c r="AA118" i="2"/>
  <c r="AM118" i="2" s="1"/>
  <c r="AA119" i="2"/>
  <c r="AM119" i="2" s="1"/>
  <c r="AA120" i="2"/>
  <c r="AM120" i="2" s="1"/>
  <c r="AA121" i="2"/>
  <c r="AM121" i="2" s="1"/>
  <c r="AA122" i="2"/>
  <c r="AM122" i="2" s="1"/>
  <c r="AA123" i="2"/>
  <c r="AM123" i="2" s="1"/>
  <c r="AA124" i="2"/>
  <c r="AM124" i="2" s="1"/>
  <c r="AA125" i="2"/>
  <c r="AM125" i="2" s="1"/>
  <c r="AA126" i="2"/>
  <c r="AM126" i="2" s="1"/>
  <c r="AA127" i="2"/>
  <c r="AM127" i="2" s="1"/>
  <c r="AA128" i="2"/>
  <c r="AM128" i="2" s="1"/>
  <c r="AA117" i="2"/>
  <c r="AM117" i="2" s="1"/>
  <c r="AA114" i="2"/>
  <c r="AM114" i="2" s="1"/>
  <c r="AA115" i="2"/>
  <c r="AM115" i="2" s="1"/>
  <c r="AA116" i="2"/>
  <c r="AM116" i="2" s="1"/>
  <c r="AA100" i="2"/>
  <c r="AM100" i="2" s="1"/>
  <c r="AA101" i="2"/>
  <c r="AM101" i="2" s="1"/>
  <c r="AA102" i="2"/>
  <c r="AM102" i="2" s="1"/>
  <c r="AA103" i="2"/>
  <c r="AM103" i="2" s="1"/>
  <c r="AA104" i="2"/>
  <c r="AM104" i="2" s="1"/>
  <c r="AA105" i="2"/>
  <c r="AM105" i="2" s="1"/>
  <c r="AA106" i="2"/>
  <c r="AM106" i="2" s="1"/>
  <c r="AA107" i="2"/>
  <c r="AM107" i="2" s="1"/>
  <c r="AA108" i="2"/>
  <c r="AM108" i="2" s="1"/>
  <c r="AA109" i="2"/>
  <c r="AM109" i="2" s="1"/>
  <c r="AA112" i="2"/>
  <c r="AM112" i="2" s="1"/>
  <c r="AA113" i="2"/>
  <c r="AM113" i="2" s="1"/>
  <c r="AM99" i="2"/>
  <c r="AI149" i="2"/>
  <c r="U149" i="2" s="1"/>
  <c r="AI150" i="2"/>
  <c r="P150" i="2" s="1"/>
  <c r="AI151" i="2"/>
  <c r="P151" i="2" s="1"/>
  <c r="AI152" i="2"/>
  <c r="P152" i="2" s="1"/>
  <c r="AG150" i="2"/>
  <c r="AG151" i="2"/>
  <c r="AG152" i="2"/>
  <c r="AG149" i="2"/>
  <c r="AG147" i="2"/>
  <c r="T129" i="2"/>
  <c r="X129" i="2" s="1"/>
  <c r="T117" i="2"/>
  <c r="N99" i="2"/>
  <c r="Z204" i="2" l="1"/>
  <c r="G204" i="2"/>
  <c r="I204" i="2" s="1"/>
  <c r="Z202" i="2"/>
  <c r="G202" i="2"/>
  <c r="I202" i="2" s="1"/>
  <c r="G203" i="2"/>
  <c r="I203" i="2" s="1"/>
  <c r="Z205" i="2"/>
  <c r="Z203" i="2"/>
  <c r="U150" i="2"/>
  <c r="X150" i="2" s="1"/>
  <c r="G205" i="2"/>
  <c r="I205" i="2" s="1"/>
  <c r="AL149" i="2"/>
  <c r="U151" i="2"/>
  <c r="X151" i="2" s="1"/>
  <c r="U152" i="2"/>
  <c r="X152" i="2" s="1"/>
  <c r="P149" i="2"/>
  <c r="X149" i="2" s="1"/>
  <c r="AL151" i="2"/>
  <c r="AL150" i="2"/>
  <c r="AL152" i="2"/>
  <c r="W45" i="2"/>
  <c r="W48" i="2"/>
  <c r="Z150" i="2" l="1"/>
  <c r="G150" i="2"/>
  <c r="I150" i="2" s="1"/>
  <c r="G151" i="2"/>
  <c r="I151" i="2" s="1"/>
  <c r="Z151" i="2"/>
  <c r="G152" i="2"/>
  <c r="I152" i="2" s="1"/>
  <c r="Z152" i="2"/>
  <c r="G149" i="2"/>
  <c r="I149" i="2" s="1"/>
  <c r="Z149" i="2"/>
  <c r="AN27" i="2"/>
  <c r="AN28" i="2"/>
  <c r="AN29" i="2"/>
  <c r="AN30" i="2"/>
  <c r="AN31" i="2"/>
  <c r="AN32" i="2"/>
  <c r="AN33" i="2"/>
  <c r="AN34" i="2"/>
  <c r="AN35" i="2"/>
  <c r="AN36" i="2"/>
  <c r="AN26" i="2"/>
  <c r="AA27" i="2"/>
  <c r="AA28" i="2"/>
  <c r="AA29" i="2"/>
  <c r="AA30" i="2"/>
  <c r="AA31" i="2"/>
  <c r="AA32" i="2"/>
  <c r="AA33" i="2"/>
  <c r="AA34" i="2"/>
  <c r="AA35" i="2"/>
  <c r="AA36" i="2"/>
  <c r="AA26" i="2"/>
  <c r="AN8" i="2"/>
  <c r="AN9" i="2"/>
  <c r="AN10" i="2"/>
  <c r="AN11" i="2"/>
  <c r="AN12" i="2"/>
  <c r="AN13" i="2"/>
  <c r="AN14" i="2"/>
  <c r="AN15" i="2"/>
  <c r="AN16" i="2"/>
  <c r="AN17" i="2"/>
  <c r="AN18" i="2"/>
  <c r="AN7" i="2"/>
  <c r="AA8" i="2"/>
  <c r="AA9" i="2"/>
  <c r="AA10" i="2"/>
  <c r="AA11" i="2"/>
  <c r="AA12" i="2"/>
  <c r="AA13" i="2"/>
  <c r="AA14" i="2"/>
  <c r="AA15" i="2"/>
  <c r="AA16" i="2"/>
  <c r="AA17" i="2"/>
  <c r="AA18" i="2"/>
  <c r="O7" i="2" l="1"/>
  <c r="O168" i="2" l="1"/>
  <c r="O169" i="2"/>
  <c r="O170" i="2"/>
  <c r="O171" i="2"/>
  <c r="O172" i="2"/>
  <c r="O173" i="2"/>
  <c r="O174" i="2"/>
  <c r="N168" i="2"/>
  <c r="N169" i="2"/>
  <c r="N170" i="2"/>
  <c r="N171" i="2"/>
  <c r="N172" i="2"/>
  <c r="N173" i="2"/>
  <c r="N174" i="2"/>
  <c r="T114" i="2"/>
  <c r="O114" i="2"/>
  <c r="N114" i="2"/>
  <c r="O100" i="2"/>
  <c r="O101" i="2"/>
  <c r="O102" i="2"/>
  <c r="O103" i="2"/>
  <c r="O104" i="2"/>
  <c r="O105" i="2"/>
  <c r="O106" i="2"/>
  <c r="O107" i="2"/>
  <c r="O108" i="2"/>
  <c r="O109" i="2"/>
  <c r="O112" i="2"/>
  <c r="O113" i="2"/>
  <c r="N100" i="2"/>
  <c r="N101" i="2"/>
  <c r="N102" i="2"/>
  <c r="N103" i="2"/>
  <c r="N104" i="2"/>
  <c r="N105" i="2"/>
  <c r="N106" i="2"/>
  <c r="N107" i="2"/>
  <c r="N108" i="2"/>
  <c r="N109" i="2"/>
  <c r="N112" i="2"/>
  <c r="N113" i="2"/>
  <c r="T69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45" i="2"/>
  <c r="X69" i="2" l="1"/>
  <c r="U69" i="2"/>
  <c r="N7" i="2"/>
  <c r="S62" i="2"/>
  <c r="S63" i="2"/>
  <c r="S64" i="2"/>
  <c r="S61" i="2"/>
  <c r="S70" i="2"/>
  <c r="S71" i="2"/>
  <c r="S72" i="2"/>
  <c r="S73" i="2"/>
  <c r="S74" i="2"/>
  <c r="S75" i="2"/>
  <c r="S69" i="2"/>
  <c r="AH26" i="2"/>
  <c r="W61" i="2"/>
  <c r="Y119" i="2"/>
  <c r="Y120" i="2"/>
  <c r="Y121" i="2"/>
  <c r="Y122" i="2"/>
  <c r="Y123" i="2"/>
  <c r="Y124" i="2"/>
  <c r="Y125" i="2"/>
  <c r="Y126" i="2"/>
  <c r="Y127" i="2"/>
  <c r="Y128" i="2"/>
  <c r="Y118" i="2"/>
  <c r="Y117" i="2"/>
  <c r="Y28" i="2"/>
  <c r="Y29" i="2"/>
  <c r="Y30" i="2"/>
  <c r="Y31" i="2"/>
  <c r="Y32" i="2"/>
  <c r="Y33" i="2"/>
  <c r="Y34" i="2"/>
  <c r="Y35" i="2"/>
  <c r="Y36" i="2"/>
  <c r="Y27" i="2"/>
  <c r="Y26" i="2"/>
  <c r="Y9" i="2"/>
  <c r="Y10" i="2"/>
  <c r="Y11" i="2"/>
  <c r="Y12" i="2"/>
  <c r="Y13" i="2"/>
  <c r="Y14" i="2"/>
  <c r="Y15" i="2"/>
  <c r="Y16" i="2"/>
  <c r="Y17" i="2"/>
  <c r="Y18" i="2"/>
  <c r="Y8" i="2"/>
  <c r="Y7" i="2"/>
  <c r="W65" i="2"/>
  <c r="W68" i="2"/>
  <c r="W67" i="2"/>
  <c r="W66" i="2"/>
  <c r="AH199" i="2"/>
  <c r="AH198" i="2"/>
  <c r="AH197" i="2"/>
  <c r="AH196" i="2"/>
  <c r="AG142" i="2"/>
  <c r="AG141" i="2"/>
  <c r="AG140" i="2"/>
  <c r="AG139" i="2"/>
  <c r="T26" i="2" l="1"/>
  <c r="AJ26" i="2"/>
  <c r="P26" i="2" l="1"/>
  <c r="Q26" i="2" s="1"/>
  <c r="U26" i="2"/>
  <c r="V26" i="2" s="1"/>
  <c r="Y148" i="2" l="1"/>
  <c r="Y147" i="2"/>
  <c r="Y146" i="2"/>
  <c r="Y145" i="2"/>
  <c r="Y144" i="2"/>
  <c r="Y143" i="2"/>
  <c r="T196" i="2"/>
  <c r="AL197" i="2"/>
  <c r="AL198" i="2"/>
  <c r="AL199" i="2"/>
  <c r="AL196" i="2"/>
  <c r="AK197" i="2"/>
  <c r="AK198" i="2"/>
  <c r="AK199" i="2"/>
  <c r="AK196" i="2"/>
  <c r="AJ196" i="2"/>
  <c r="T185" i="2" l="1"/>
  <c r="T193" i="2"/>
  <c r="T191" i="2"/>
  <c r="T190" i="2"/>
  <c r="T189" i="2"/>
  <c r="T188" i="2"/>
  <c r="T195" i="2"/>
  <c r="T194" i="2"/>
  <c r="T192" i="2"/>
  <c r="T183" i="2"/>
  <c r="N183" i="2"/>
  <c r="T175" i="2"/>
  <c r="T172" i="2"/>
  <c r="T171" i="2"/>
  <c r="T170" i="2"/>
  <c r="T169" i="2"/>
  <c r="T168" i="2"/>
  <c r="AH27" i="2"/>
  <c r="AH28" i="2"/>
  <c r="AH29" i="2"/>
  <c r="AH30" i="2"/>
  <c r="AH31" i="2"/>
  <c r="AH32" i="2"/>
  <c r="AH33" i="2"/>
  <c r="AH34" i="2"/>
  <c r="AH35" i="2"/>
  <c r="AH36" i="2"/>
  <c r="O8" i="2"/>
  <c r="AJ36" i="2" l="1"/>
  <c r="AJ28" i="2"/>
  <c r="AJ34" i="2"/>
  <c r="AJ30" i="2"/>
  <c r="AJ32" i="2"/>
  <c r="T32" i="2"/>
  <c r="AJ33" i="2"/>
  <c r="AJ29" i="2"/>
  <c r="AJ35" i="2"/>
  <c r="AJ31" i="2"/>
  <c r="AJ27" i="2"/>
  <c r="S68" i="2"/>
  <c r="W69" i="2" l="1"/>
  <c r="T70" i="2"/>
  <c r="T71" i="2"/>
  <c r="T72" i="2"/>
  <c r="T73" i="2"/>
  <c r="T74" i="2"/>
  <c r="T75" i="2"/>
  <c r="X73" i="2" l="1"/>
  <c r="U73" i="2"/>
  <c r="X75" i="2"/>
  <c r="U75" i="2"/>
  <c r="U71" i="2"/>
  <c r="G71" i="2" s="1"/>
  <c r="I71" i="2" s="1"/>
  <c r="X71" i="2"/>
  <c r="U72" i="2"/>
  <c r="X72" i="2"/>
  <c r="P7" i="2"/>
  <c r="Q7" i="2" s="1"/>
  <c r="U7" i="2"/>
  <c r="V7" i="2" s="1"/>
  <c r="X74" i="2"/>
  <c r="U74" i="2"/>
  <c r="G74" i="2" s="1"/>
  <c r="I74" i="2" s="1"/>
  <c r="U70" i="2"/>
  <c r="X70" i="2"/>
  <c r="G75" i="2"/>
  <c r="I75" i="2" s="1"/>
  <c r="G69" i="2"/>
  <c r="I69" i="2" s="1"/>
  <c r="G73" i="2" l="1"/>
  <c r="I73" i="2" s="1"/>
  <c r="G72" i="2"/>
  <c r="I72" i="2" s="1"/>
  <c r="W70" i="2"/>
  <c r="W71" i="2"/>
  <c r="W73" i="2"/>
  <c r="W72" i="2"/>
  <c r="G70" i="2"/>
  <c r="I70" i="2" s="1"/>
  <c r="W74" i="2"/>
  <c r="W75" i="2"/>
  <c r="Z7" i="2" l="1"/>
  <c r="I7" i="2"/>
  <c r="S65" i="2" l="1"/>
  <c r="S67" i="2"/>
  <c r="S66" i="2"/>
  <c r="G65" i="2"/>
  <c r="I65" i="2" s="1"/>
  <c r="G68" i="2"/>
  <c r="I68" i="2" s="1"/>
  <c r="G67" i="2" l="1"/>
  <c r="I67" i="2" s="1"/>
  <c r="G66" i="2"/>
  <c r="I66" i="2" s="1"/>
  <c r="AM201" i="2" l="1"/>
  <c r="AM200" i="2"/>
  <c r="AJ200" i="2"/>
  <c r="P200" i="2" s="1"/>
  <c r="AJ201" i="2"/>
  <c r="AH201" i="2"/>
  <c r="AH200" i="2"/>
  <c r="AL143" i="2"/>
  <c r="AL144" i="2"/>
  <c r="AL145" i="2"/>
  <c r="AL146" i="2"/>
  <c r="AL147" i="2"/>
  <c r="AL148" i="2"/>
  <c r="AI143" i="2"/>
  <c r="P143" i="2" s="1"/>
  <c r="AI144" i="2"/>
  <c r="U144" i="2" s="1"/>
  <c r="AI145" i="2"/>
  <c r="U145" i="2" s="1"/>
  <c r="AI146" i="2"/>
  <c r="P146" i="2" s="1"/>
  <c r="AI147" i="2"/>
  <c r="P147" i="2" s="1"/>
  <c r="AI148" i="2"/>
  <c r="P148" i="2" s="1"/>
  <c r="AG145" i="2"/>
  <c r="AG146" i="2"/>
  <c r="AG148" i="2"/>
  <c r="AG144" i="2"/>
  <c r="AG143" i="2"/>
  <c r="U201" i="2" l="1"/>
  <c r="P201" i="2"/>
  <c r="U147" i="2"/>
  <c r="U143" i="2"/>
  <c r="U146" i="2"/>
  <c r="X146" i="2" s="1"/>
  <c r="U200" i="2"/>
  <c r="Y200" i="2" s="1"/>
  <c r="P144" i="2"/>
  <c r="P145" i="2"/>
  <c r="U148" i="2"/>
  <c r="X148" i="2" s="1"/>
  <c r="X200" i="2" l="1"/>
  <c r="Y201" i="2"/>
  <c r="X201" i="2"/>
  <c r="X147" i="2"/>
  <c r="X145" i="2"/>
  <c r="X144" i="2"/>
  <c r="X143" i="2"/>
  <c r="Z146" i="2"/>
  <c r="G146" i="2"/>
  <c r="I146" i="2" s="1"/>
  <c r="G147" i="2" l="1"/>
  <c r="I147" i="2" s="1"/>
  <c r="G144" i="2"/>
  <c r="I144" i="2" s="1"/>
  <c r="Z143" i="2"/>
  <c r="G201" i="2"/>
  <c r="I201" i="2" s="1"/>
  <c r="Z144" i="2"/>
  <c r="G200" i="2"/>
  <c r="I200" i="2" s="1"/>
  <c r="Z147" i="2"/>
  <c r="G145" i="2"/>
  <c r="I145" i="2" s="1"/>
  <c r="G143" i="2"/>
  <c r="I143" i="2" s="1"/>
  <c r="Z145" i="2"/>
  <c r="Z201" i="2"/>
  <c r="Z200" i="2"/>
  <c r="G148" i="2"/>
  <c r="I148" i="2" s="1"/>
  <c r="Z148" i="2"/>
  <c r="T142" i="2" l="1"/>
  <c r="T141" i="2"/>
  <c r="T105" i="2"/>
  <c r="T199" i="2" l="1"/>
  <c r="T198" i="2"/>
  <c r="T197" i="2"/>
  <c r="T177" i="2"/>
  <c r="T178" i="2"/>
  <c r="T179" i="2"/>
  <c r="T180" i="2"/>
  <c r="T176" i="2"/>
  <c r="T138" i="2"/>
  <c r="T137" i="2"/>
  <c r="T136" i="2"/>
  <c r="T135" i="2"/>
  <c r="T134" i="2"/>
  <c r="T133" i="2"/>
  <c r="T132" i="2"/>
  <c r="T131" i="2"/>
  <c r="T130" i="2"/>
  <c r="X130" i="2" s="1"/>
  <c r="T106" i="2"/>
  <c r="T107" i="2"/>
  <c r="T108" i="2"/>
  <c r="T109" i="2"/>
  <c r="V176" i="2"/>
  <c r="V177" i="2"/>
  <c r="V178" i="2"/>
  <c r="V179" i="2"/>
  <c r="V180" i="2"/>
  <c r="V181" i="2"/>
  <c r="V182" i="2"/>
  <c r="AI129" i="2"/>
  <c r="T127" i="2"/>
  <c r="AM199" i="2"/>
  <c r="AM198" i="2"/>
  <c r="AM197" i="2"/>
  <c r="AM196" i="2"/>
  <c r="AM190" i="2"/>
  <c r="AM191" i="2"/>
  <c r="AM192" i="2"/>
  <c r="AM193" i="2"/>
  <c r="AM194" i="2"/>
  <c r="AM195" i="2"/>
  <c r="AM189" i="2"/>
  <c r="AM188" i="2"/>
  <c r="AM187" i="2"/>
  <c r="AM186" i="2"/>
  <c r="AM185" i="2"/>
  <c r="AJ169" i="2"/>
  <c r="AJ170" i="2"/>
  <c r="AJ171" i="2"/>
  <c r="AJ172" i="2"/>
  <c r="AJ173" i="2"/>
  <c r="AJ174" i="2"/>
  <c r="AJ175" i="2"/>
  <c r="U175" i="2" s="1"/>
  <c r="V175" i="2" s="1"/>
  <c r="AJ176" i="2"/>
  <c r="AJ177" i="2"/>
  <c r="AJ178" i="2"/>
  <c r="AJ179" i="2"/>
  <c r="AJ180" i="2"/>
  <c r="AJ181" i="2"/>
  <c r="AJ182" i="2"/>
  <c r="AJ183" i="2"/>
  <c r="P183" i="2" s="1"/>
  <c r="Q183" i="2" s="1"/>
  <c r="AJ184" i="2"/>
  <c r="AJ185" i="2"/>
  <c r="AJ186" i="2"/>
  <c r="U186" i="2" s="1"/>
  <c r="V186" i="2" s="1"/>
  <c r="AJ187" i="2"/>
  <c r="U187" i="2" s="1"/>
  <c r="V187" i="2" s="1"/>
  <c r="AJ188" i="2"/>
  <c r="AJ189" i="2"/>
  <c r="U189" i="2" s="1"/>
  <c r="V189" i="2" s="1"/>
  <c r="AJ190" i="2"/>
  <c r="AJ191" i="2"/>
  <c r="AJ192" i="2"/>
  <c r="AJ193" i="2"/>
  <c r="U193" i="2" s="1"/>
  <c r="V193" i="2" s="1"/>
  <c r="AJ194" i="2"/>
  <c r="AJ195" i="2"/>
  <c r="P196" i="2"/>
  <c r="Q196" i="2" s="1"/>
  <c r="AJ197" i="2"/>
  <c r="U197" i="2" s="1"/>
  <c r="V197" i="2" s="1"/>
  <c r="AJ198" i="2"/>
  <c r="P198" i="2" s="1"/>
  <c r="Q198" i="2" s="1"/>
  <c r="AJ199" i="2"/>
  <c r="U199" i="2" s="1"/>
  <c r="V199" i="2" s="1"/>
  <c r="AJ168" i="2"/>
  <c r="AJ167" i="2"/>
  <c r="AH190" i="2"/>
  <c r="AH191" i="2"/>
  <c r="AH192" i="2"/>
  <c r="AH193" i="2"/>
  <c r="AH194" i="2"/>
  <c r="AH195" i="2"/>
  <c r="AH189" i="2"/>
  <c r="AH188" i="2"/>
  <c r="AL140" i="2"/>
  <c r="AL141" i="2"/>
  <c r="AL142" i="2"/>
  <c r="AL139" i="2"/>
  <c r="AI139" i="2"/>
  <c r="AI140" i="2"/>
  <c r="AI141" i="2"/>
  <c r="Q141" i="2" s="1"/>
  <c r="AI142" i="2"/>
  <c r="AL137" i="2"/>
  <c r="AL138" i="2"/>
  <c r="AL136" i="2"/>
  <c r="AL135" i="2"/>
  <c r="AI135" i="2"/>
  <c r="AI136" i="2"/>
  <c r="AI137" i="2"/>
  <c r="AI138" i="2"/>
  <c r="AG137" i="2"/>
  <c r="AG138" i="2"/>
  <c r="AG136" i="2"/>
  <c r="AG135" i="2"/>
  <c r="AK26" i="2"/>
  <c r="AK8" i="2"/>
  <c r="AK9" i="2"/>
  <c r="AK10" i="2"/>
  <c r="AK11" i="2"/>
  <c r="AK12" i="2"/>
  <c r="AK13" i="2"/>
  <c r="AK14" i="2"/>
  <c r="AK15" i="2"/>
  <c r="AK16" i="2"/>
  <c r="AK17" i="2"/>
  <c r="AK18" i="2"/>
  <c r="AK133" i="2"/>
  <c r="AK132" i="2"/>
  <c r="AK131" i="2"/>
  <c r="AK130" i="2"/>
  <c r="AK129" i="2"/>
  <c r="AJ134" i="2"/>
  <c r="AJ133" i="2"/>
  <c r="AJ131" i="2"/>
  <c r="AJ132" i="2"/>
  <c r="AJ130" i="2"/>
  <c r="AJ129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P126" i="2" s="1"/>
  <c r="AI127" i="2"/>
  <c r="AI128" i="2"/>
  <c r="AI130" i="2"/>
  <c r="AI131" i="2"/>
  <c r="V131" i="2" s="1"/>
  <c r="AI132" i="2"/>
  <c r="AI133" i="2"/>
  <c r="AI134" i="2"/>
  <c r="AI100" i="2"/>
  <c r="AI101" i="2"/>
  <c r="AI102" i="2"/>
  <c r="AI103" i="2"/>
  <c r="AI104" i="2"/>
  <c r="Q104" i="2" s="1"/>
  <c r="AI105" i="2"/>
  <c r="AI106" i="2"/>
  <c r="AI107" i="2"/>
  <c r="AI108" i="2"/>
  <c r="AI109" i="2"/>
  <c r="AI112" i="2"/>
  <c r="AI113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67" i="2"/>
  <c r="Y102" i="2"/>
  <c r="Y103" i="2"/>
  <c r="Y104" i="2"/>
  <c r="Y105" i="2"/>
  <c r="Y106" i="2"/>
  <c r="Y107" i="2"/>
  <c r="Y108" i="2"/>
  <c r="Y109" i="2"/>
  <c r="Y112" i="2"/>
  <c r="Y113" i="2"/>
  <c r="AK114" i="2"/>
  <c r="AK115" i="2"/>
  <c r="AK116" i="2"/>
  <c r="AJ118" i="2"/>
  <c r="AJ119" i="2"/>
  <c r="AJ120" i="2"/>
  <c r="AJ121" i="2"/>
  <c r="AJ122" i="2"/>
  <c r="AJ123" i="2"/>
  <c r="AJ124" i="2"/>
  <c r="AJ125" i="2"/>
  <c r="AJ126" i="2"/>
  <c r="AJ127" i="2"/>
  <c r="AJ128" i="2"/>
  <c r="AJ117" i="2"/>
  <c r="AJ114" i="2"/>
  <c r="AJ115" i="2"/>
  <c r="AJ116" i="2"/>
  <c r="AJ100" i="2"/>
  <c r="AJ101" i="2"/>
  <c r="AJ102" i="2"/>
  <c r="AJ103" i="2"/>
  <c r="AJ104" i="2"/>
  <c r="AJ105" i="2"/>
  <c r="AJ106" i="2"/>
  <c r="AJ107" i="2"/>
  <c r="AJ108" i="2"/>
  <c r="AJ109" i="2"/>
  <c r="AJ112" i="2"/>
  <c r="AJ113" i="2"/>
  <c r="AK27" i="2"/>
  <c r="AK28" i="2"/>
  <c r="AK29" i="2"/>
  <c r="AK30" i="2"/>
  <c r="AK31" i="2"/>
  <c r="AK32" i="2"/>
  <c r="AK33" i="2"/>
  <c r="AK34" i="2"/>
  <c r="AK35" i="2"/>
  <c r="AK36" i="2"/>
  <c r="G46" i="2"/>
  <c r="I46" i="2" s="1"/>
  <c r="G47" i="2"/>
  <c r="I47" i="2" s="1"/>
  <c r="G48" i="2"/>
  <c r="I48" i="2" s="1"/>
  <c r="G49" i="2"/>
  <c r="I49" i="2" s="1"/>
  <c r="G50" i="2"/>
  <c r="I50" i="2" s="1"/>
  <c r="G51" i="2"/>
  <c r="I51" i="2" s="1"/>
  <c r="G52" i="2"/>
  <c r="I52" i="2" s="1"/>
  <c r="G53" i="2"/>
  <c r="I53" i="2" s="1"/>
  <c r="G54" i="2"/>
  <c r="I54" i="2" s="1"/>
  <c r="G55" i="2"/>
  <c r="I55" i="2" s="1"/>
  <c r="G56" i="2"/>
  <c r="I56" i="2" s="1"/>
  <c r="G57" i="2"/>
  <c r="I57" i="2" s="1"/>
  <c r="G58" i="2"/>
  <c r="I58" i="2" s="1"/>
  <c r="G59" i="2"/>
  <c r="I59" i="2" s="1"/>
  <c r="G60" i="2"/>
  <c r="I60" i="2" s="1"/>
  <c r="G61" i="2"/>
  <c r="I61" i="2" s="1"/>
  <c r="G62" i="2"/>
  <c r="I62" i="2" s="1"/>
  <c r="G63" i="2"/>
  <c r="I63" i="2" s="1"/>
  <c r="G64" i="2"/>
  <c r="I64" i="2" s="1"/>
  <c r="AL112" i="2" l="1"/>
  <c r="AM167" i="2"/>
  <c r="AL108" i="2"/>
  <c r="AL104" i="2"/>
  <c r="AL100" i="2"/>
  <c r="V104" i="2"/>
  <c r="X104" i="2" s="1"/>
  <c r="U99" i="2"/>
  <c r="X99" i="2" s="1"/>
  <c r="U167" i="2"/>
  <c r="V167" i="2" s="1"/>
  <c r="P167" i="2"/>
  <c r="Q167" i="2" s="1"/>
  <c r="U185" i="2"/>
  <c r="V185" i="2" s="1"/>
  <c r="P185" i="2"/>
  <c r="Q185" i="2" s="1"/>
  <c r="AL114" i="2"/>
  <c r="U104" i="2"/>
  <c r="Q114" i="2"/>
  <c r="P114" i="2"/>
  <c r="AL117" i="2"/>
  <c r="U105" i="2"/>
  <c r="V105" i="2"/>
  <c r="AM26" i="2"/>
  <c r="V142" i="2"/>
  <c r="P142" i="2"/>
  <c r="U139" i="2"/>
  <c r="P136" i="2"/>
  <c r="P140" i="2"/>
  <c r="U117" i="2"/>
  <c r="P195" i="2"/>
  <c r="Q195" i="2" s="1"/>
  <c r="U191" i="2"/>
  <c r="V191" i="2" s="1"/>
  <c r="AL99" i="2"/>
  <c r="V129" i="2"/>
  <c r="U129" i="2"/>
  <c r="U195" i="2"/>
  <c r="V195" i="2" s="1"/>
  <c r="U131" i="2"/>
  <c r="P193" i="2"/>
  <c r="Q193" i="2" s="1"/>
  <c r="X193" i="2" s="1"/>
  <c r="Q142" i="2"/>
  <c r="U141" i="2"/>
  <c r="P186" i="2"/>
  <c r="X186" i="2" s="1"/>
  <c r="P189" i="2"/>
  <c r="Q189" i="2" s="1"/>
  <c r="X189" i="2" s="1"/>
  <c r="P197" i="2"/>
  <c r="Q197" i="2" s="1"/>
  <c r="X197" i="2" s="1"/>
  <c r="P139" i="2"/>
  <c r="P191" i="2"/>
  <c r="Q191" i="2" s="1"/>
  <c r="P199" i="2"/>
  <c r="Q199" i="2" s="1"/>
  <c r="X199" i="2" s="1"/>
  <c r="Z130" i="2"/>
  <c r="U188" i="2"/>
  <c r="V188" i="2" s="1"/>
  <c r="P188" i="2"/>
  <c r="Q188" i="2" s="1"/>
  <c r="U194" i="2"/>
  <c r="V194" i="2" s="1"/>
  <c r="P194" i="2"/>
  <c r="Q194" i="2" s="1"/>
  <c r="U190" i="2"/>
  <c r="V190" i="2" s="1"/>
  <c r="P190" i="2"/>
  <c r="Q190" i="2" s="1"/>
  <c r="U192" i="2"/>
  <c r="V192" i="2" s="1"/>
  <c r="P192" i="2"/>
  <c r="Q192" i="2" s="1"/>
  <c r="U196" i="2"/>
  <c r="V196" i="2" s="1"/>
  <c r="X196" i="2" s="1"/>
  <c r="P141" i="2"/>
  <c r="V141" i="2"/>
  <c r="X141" i="2" s="1"/>
  <c r="U198" i="2"/>
  <c r="V198" i="2" s="1"/>
  <c r="X198" i="2" s="1"/>
  <c r="U136" i="2"/>
  <c r="U142" i="2"/>
  <c r="V136" i="2"/>
  <c r="U140" i="2"/>
  <c r="P187" i="2"/>
  <c r="X187" i="2" s="1"/>
  <c r="Q136" i="2"/>
  <c r="P132" i="2"/>
  <c r="Q132" i="2"/>
  <c r="V132" i="2"/>
  <c r="U132" i="2"/>
  <c r="P133" i="2"/>
  <c r="V133" i="2"/>
  <c r="U133" i="2"/>
  <c r="P137" i="2"/>
  <c r="V137" i="2"/>
  <c r="U137" i="2"/>
  <c r="Q137" i="2"/>
  <c r="P138" i="2"/>
  <c r="V138" i="2"/>
  <c r="U138" i="2"/>
  <c r="Q138" i="2"/>
  <c r="Q133" i="2"/>
  <c r="P134" i="2"/>
  <c r="V134" i="2"/>
  <c r="U134" i="2"/>
  <c r="Q134" i="2"/>
  <c r="P130" i="2"/>
  <c r="V130" i="2"/>
  <c r="U130" i="2"/>
  <c r="Q130" i="2"/>
  <c r="P135" i="2"/>
  <c r="Q135" i="2"/>
  <c r="P131" i="2"/>
  <c r="Q131" i="2"/>
  <c r="X131" i="2" s="1"/>
  <c r="Q129" i="2"/>
  <c r="P129" i="2"/>
  <c r="U135" i="2"/>
  <c r="V135" i="2"/>
  <c r="AL129" i="2"/>
  <c r="AM36" i="2"/>
  <c r="AM28" i="2"/>
  <c r="AM10" i="2"/>
  <c r="AL120" i="2"/>
  <c r="AL103" i="2"/>
  <c r="AL107" i="2"/>
  <c r="AM180" i="2"/>
  <c r="AM172" i="2"/>
  <c r="AL124" i="2"/>
  <c r="AM32" i="2"/>
  <c r="AL115" i="2"/>
  <c r="AL123" i="2"/>
  <c r="AL119" i="2"/>
  <c r="AM31" i="2"/>
  <c r="AM35" i="2"/>
  <c r="AM27" i="2"/>
  <c r="AM15" i="2"/>
  <c r="AL128" i="2"/>
  <c r="AL116" i="2"/>
  <c r="AL131" i="2"/>
  <c r="AM18" i="2"/>
  <c r="AM14" i="2"/>
  <c r="AL109" i="2"/>
  <c r="AL101" i="2"/>
  <c r="AL126" i="2"/>
  <c r="AL118" i="2"/>
  <c r="AL121" i="2"/>
  <c r="AL133" i="2"/>
  <c r="AM33" i="2"/>
  <c r="AM29" i="2"/>
  <c r="AL102" i="2"/>
  <c r="AL132" i="2"/>
  <c r="AM34" i="2"/>
  <c r="AM30" i="2"/>
  <c r="AM176" i="2"/>
  <c r="AM177" i="2"/>
  <c r="AM12" i="2"/>
  <c r="AM181" i="2"/>
  <c r="AM173" i="2"/>
  <c r="AM16" i="2"/>
  <c r="AM11" i="2"/>
  <c r="AL113" i="2"/>
  <c r="AL105" i="2"/>
  <c r="AL122" i="2"/>
  <c r="AL125" i="2"/>
  <c r="AL106" i="2"/>
  <c r="AM184" i="2"/>
  <c r="AM168" i="2"/>
  <c r="AM8" i="2"/>
  <c r="AM169" i="2"/>
  <c r="AL127" i="2"/>
  <c r="AL130" i="2"/>
  <c r="AM182" i="2"/>
  <c r="AM178" i="2"/>
  <c r="AM174" i="2"/>
  <c r="AM170" i="2"/>
  <c r="AM183" i="2"/>
  <c r="AM179" i="2"/>
  <c r="AM175" i="2"/>
  <c r="AM171" i="2"/>
  <c r="AL134" i="2"/>
  <c r="AM17" i="2"/>
  <c r="AM13" i="2"/>
  <c r="AM9" i="2"/>
  <c r="Z99" i="2" l="1"/>
  <c r="X188" i="2"/>
  <c r="X191" i="2"/>
  <c r="G191" i="2" s="1"/>
  <c r="I191" i="2" s="1"/>
  <c r="X167" i="2"/>
  <c r="X190" i="2"/>
  <c r="X185" i="2"/>
  <c r="X195" i="2"/>
  <c r="G189" i="2"/>
  <c r="I189" i="2" s="1"/>
  <c r="G196" i="2"/>
  <c r="I196" i="2" s="1"/>
  <c r="G198" i="2"/>
  <c r="I198" i="2" s="1"/>
  <c r="X194" i="2"/>
  <c r="G199" i="2"/>
  <c r="I199" i="2" s="1"/>
  <c r="G193" i="2"/>
  <c r="I193" i="2" s="1"/>
  <c r="G99" i="2"/>
  <c r="G197" i="2"/>
  <c r="I197" i="2" s="1"/>
  <c r="G187" i="2"/>
  <c r="I187" i="2" s="1"/>
  <c r="G186" i="2"/>
  <c r="I186" i="2" s="1"/>
  <c r="X192" i="2"/>
  <c r="Q187" i="2"/>
  <c r="G141" i="2"/>
  <c r="I141" i="2" s="1"/>
  <c r="Q186" i="2"/>
  <c r="X142" i="2"/>
  <c r="X132" i="2"/>
  <c r="X133" i="2"/>
  <c r="X135" i="2"/>
  <c r="X138" i="2"/>
  <c r="X139" i="2"/>
  <c r="X136" i="2"/>
  <c r="X140" i="2"/>
  <c r="X134" i="2"/>
  <c r="X137" i="2"/>
  <c r="Z199" i="2"/>
  <c r="Z189" i="2"/>
  <c r="Z129" i="2"/>
  <c r="Z141" i="2"/>
  <c r="Z196" i="2"/>
  <c r="Z197" i="2"/>
  <c r="Z198" i="2"/>
  <c r="G190" i="2" l="1"/>
  <c r="I190" i="2" s="1"/>
  <c r="G188" i="2"/>
  <c r="I188" i="2" s="1"/>
  <c r="G167" i="2"/>
  <c r="I167" i="2" s="1"/>
  <c r="G195" i="2"/>
  <c r="I195" i="2" s="1"/>
  <c r="G185" i="2"/>
  <c r="I185" i="2" s="1"/>
  <c r="Z185" i="2"/>
  <c r="G192" i="2"/>
  <c r="I192" i="2" s="1"/>
  <c r="G194" i="2"/>
  <c r="I194" i="2" s="1"/>
  <c r="Z138" i="2"/>
  <c r="G139" i="2"/>
  <c r="I139" i="2" s="1"/>
  <c r="Z193" i="2"/>
  <c r="G142" i="2"/>
  <c r="I142" i="2" s="1"/>
  <c r="G140" i="2"/>
  <c r="I140" i="2" s="1"/>
  <c r="Z142" i="2"/>
  <c r="Z139" i="2"/>
  <c r="Z191" i="2"/>
  <c r="Z195" i="2"/>
  <c r="Z140" i="2"/>
  <c r="Z186" i="2"/>
  <c r="Z187" i="2"/>
  <c r="Z132" i="2"/>
  <c r="Z192" i="2"/>
  <c r="Z136" i="2"/>
  <c r="Z190" i="2"/>
  <c r="Z188" i="2"/>
  <c r="Z134" i="2"/>
  <c r="Z137" i="2"/>
  <c r="Z131" i="2"/>
  <c r="Z133" i="2"/>
  <c r="Z135" i="2"/>
  <c r="Z194" i="2"/>
  <c r="U168" i="2" l="1"/>
  <c r="V168" i="2" s="1"/>
  <c r="U169" i="2"/>
  <c r="V169" i="2" s="1"/>
  <c r="U170" i="2"/>
  <c r="V170" i="2" s="1"/>
  <c r="U171" i="2"/>
  <c r="V171" i="2" s="1"/>
  <c r="U172" i="2"/>
  <c r="V172" i="2" s="1"/>
  <c r="U173" i="2"/>
  <c r="V173" i="2" s="1"/>
  <c r="U174" i="2"/>
  <c r="V174" i="2" s="1"/>
  <c r="U184" i="2"/>
  <c r="V184" i="2" s="1"/>
  <c r="U183" i="2"/>
  <c r="V183" i="2" s="1"/>
  <c r="X183" i="2" s="1"/>
  <c r="T184" i="2"/>
  <c r="P175" i="2"/>
  <c r="Q175" i="2" s="1"/>
  <c r="P176" i="2"/>
  <c r="Q176" i="2" s="1"/>
  <c r="X176" i="2" s="1"/>
  <c r="P177" i="2"/>
  <c r="Q177" i="2" s="1"/>
  <c r="X177" i="2" s="1"/>
  <c r="P178" i="2"/>
  <c r="Q178" i="2" s="1"/>
  <c r="X178" i="2" s="1"/>
  <c r="P179" i="2"/>
  <c r="Q179" i="2" s="1"/>
  <c r="X179" i="2" s="1"/>
  <c r="P180" i="2"/>
  <c r="Q180" i="2" s="1"/>
  <c r="P181" i="2"/>
  <c r="P182" i="2"/>
  <c r="X182" i="2" s="1"/>
  <c r="P184" i="2"/>
  <c r="Q184" i="2" s="1"/>
  <c r="P168" i="2"/>
  <c r="Q168" i="2" s="1"/>
  <c r="P169" i="2"/>
  <c r="Q169" i="2" s="1"/>
  <c r="P170" i="2"/>
  <c r="Q170" i="2" s="1"/>
  <c r="P171" i="2"/>
  <c r="Q171" i="2" s="1"/>
  <c r="P172" i="2"/>
  <c r="Q172" i="2" s="1"/>
  <c r="P173" i="2"/>
  <c r="P174" i="2"/>
  <c r="O184" i="2"/>
  <c r="O183" i="2"/>
  <c r="N184" i="2"/>
  <c r="U118" i="2"/>
  <c r="V118" i="2" s="1"/>
  <c r="U119" i="2"/>
  <c r="V119" i="2" s="1"/>
  <c r="U120" i="2"/>
  <c r="V120" i="2" s="1"/>
  <c r="U121" i="2"/>
  <c r="V121" i="2" s="1"/>
  <c r="U122" i="2"/>
  <c r="V122" i="2" s="1"/>
  <c r="U123" i="2"/>
  <c r="V123" i="2" s="1"/>
  <c r="U124" i="2"/>
  <c r="V124" i="2" s="1"/>
  <c r="U125" i="2"/>
  <c r="V125" i="2" s="1"/>
  <c r="U126" i="2"/>
  <c r="V126" i="2" s="1"/>
  <c r="U127" i="2"/>
  <c r="V127" i="2" s="1"/>
  <c r="U128" i="2"/>
  <c r="V128" i="2" s="1"/>
  <c r="V117" i="2"/>
  <c r="T118" i="2"/>
  <c r="T119" i="2"/>
  <c r="T120" i="2"/>
  <c r="T121" i="2"/>
  <c r="T122" i="2"/>
  <c r="T123" i="2"/>
  <c r="T124" i="2"/>
  <c r="T125" i="2"/>
  <c r="T126" i="2"/>
  <c r="T128" i="2"/>
  <c r="P121" i="2"/>
  <c r="Q121" i="2" s="1"/>
  <c r="P122" i="2"/>
  <c r="Q122" i="2" s="1"/>
  <c r="P123" i="2"/>
  <c r="Q123" i="2" s="1"/>
  <c r="P124" i="2"/>
  <c r="Q124" i="2" s="1"/>
  <c r="P125" i="2"/>
  <c r="Q125" i="2" s="1"/>
  <c r="Q126" i="2"/>
  <c r="P127" i="2"/>
  <c r="Q127" i="2" s="1"/>
  <c r="P128" i="2"/>
  <c r="Q128" i="2" s="1"/>
  <c r="P118" i="2"/>
  <c r="Q118" i="2" s="1"/>
  <c r="P119" i="2"/>
  <c r="Q119" i="2" s="1"/>
  <c r="P120" i="2"/>
  <c r="Q120" i="2" s="1"/>
  <c r="P117" i="2"/>
  <c r="Q117" i="2" s="1"/>
  <c r="U116" i="2"/>
  <c r="U115" i="2"/>
  <c r="P116" i="2"/>
  <c r="P115" i="2"/>
  <c r="V114" i="2"/>
  <c r="X114" i="2" s="1"/>
  <c r="U114" i="2"/>
  <c r="V109" i="2"/>
  <c r="V108" i="2"/>
  <c r="V107" i="2"/>
  <c r="V106" i="2"/>
  <c r="U100" i="2"/>
  <c r="U101" i="2"/>
  <c r="U102" i="2"/>
  <c r="U103" i="2"/>
  <c r="U106" i="2"/>
  <c r="U107" i="2"/>
  <c r="U108" i="2"/>
  <c r="U109" i="2"/>
  <c r="U112" i="2"/>
  <c r="U113" i="2"/>
  <c r="Q109" i="2"/>
  <c r="Q108" i="2"/>
  <c r="Q107" i="2"/>
  <c r="Q106" i="2"/>
  <c r="Q105" i="2"/>
  <c r="X105" i="2" s="1"/>
  <c r="P100" i="2"/>
  <c r="P101" i="2"/>
  <c r="P102" i="2"/>
  <c r="P103" i="2"/>
  <c r="P104" i="2"/>
  <c r="P105" i="2"/>
  <c r="P106" i="2"/>
  <c r="P107" i="2"/>
  <c r="P108" i="2"/>
  <c r="P109" i="2"/>
  <c r="P112" i="2"/>
  <c r="P113" i="2"/>
  <c r="T31" i="2"/>
  <c r="T33" i="2"/>
  <c r="T34" i="2"/>
  <c r="T35" i="2"/>
  <c r="T36" i="2"/>
  <c r="T27" i="2"/>
  <c r="T28" i="2"/>
  <c r="T29" i="2"/>
  <c r="T30" i="2"/>
  <c r="O27" i="2"/>
  <c r="O28" i="2"/>
  <c r="O29" i="2"/>
  <c r="O30" i="2"/>
  <c r="O31" i="2"/>
  <c r="O32" i="2"/>
  <c r="O33" i="2"/>
  <c r="O34" i="2"/>
  <c r="O35" i="2"/>
  <c r="O36" i="2"/>
  <c r="N27" i="2"/>
  <c r="N28" i="2"/>
  <c r="N29" i="2"/>
  <c r="N30" i="2"/>
  <c r="N31" i="2"/>
  <c r="N32" i="2"/>
  <c r="N33" i="2"/>
  <c r="N34" i="2"/>
  <c r="N35" i="2"/>
  <c r="N36" i="2"/>
  <c r="O26" i="2"/>
  <c r="N26" i="2"/>
  <c r="X26" i="2" s="1"/>
  <c r="O18" i="2"/>
  <c r="O9" i="2"/>
  <c r="O10" i="2"/>
  <c r="O11" i="2"/>
  <c r="O12" i="2"/>
  <c r="O13" i="2"/>
  <c r="O14" i="2"/>
  <c r="O15" i="2"/>
  <c r="O16" i="2"/>
  <c r="O17" i="2"/>
  <c r="N18" i="2"/>
  <c r="N8" i="2"/>
  <c r="N9" i="2"/>
  <c r="N10" i="2"/>
  <c r="N11" i="2"/>
  <c r="N12" i="2"/>
  <c r="N13" i="2"/>
  <c r="N14" i="2"/>
  <c r="N15" i="2"/>
  <c r="N16" i="2"/>
  <c r="N17" i="2"/>
  <c r="W64" i="2"/>
  <c r="W63" i="2"/>
  <c r="W62" i="2"/>
  <c r="W60" i="2"/>
  <c r="W59" i="2"/>
  <c r="W58" i="2"/>
  <c r="W57" i="2"/>
  <c r="W56" i="2"/>
  <c r="W55" i="2"/>
  <c r="W54" i="2"/>
  <c r="W53" i="2"/>
  <c r="W52" i="2"/>
  <c r="W51" i="2"/>
  <c r="W50" i="2"/>
  <c r="W49" i="2"/>
  <c r="W47" i="2"/>
  <c r="W46" i="2"/>
  <c r="AH18" i="2"/>
  <c r="AF18" i="2" s="1"/>
  <c r="AH17" i="2"/>
  <c r="AF17" i="2" s="1"/>
  <c r="AH16" i="2"/>
  <c r="AF16" i="2" s="1"/>
  <c r="AH15" i="2"/>
  <c r="AF15" i="2" s="1"/>
  <c r="AH14" i="2"/>
  <c r="AF14" i="2" s="1"/>
  <c r="AH13" i="2"/>
  <c r="AF13" i="2" s="1"/>
  <c r="AH12" i="2"/>
  <c r="AF12" i="2" s="1"/>
  <c r="AH11" i="2"/>
  <c r="AF11" i="2" s="1"/>
  <c r="AH10" i="2"/>
  <c r="AF10" i="2" s="1"/>
  <c r="AH9" i="2"/>
  <c r="AF9" i="2" s="1"/>
  <c r="AH8" i="2"/>
  <c r="X101" i="2" l="1"/>
  <c r="X123" i="2"/>
  <c r="Z26" i="2"/>
  <c r="G26" i="2"/>
  <c r="I26" i="2" s="1"/>
  <c r="X116" i="2"/>
  <c r="X120" i="2"/>
  <c r="X115" i="2"/>
  <c r="X117" i="2"/>
  <c r="X172" i="2"/>
  <c r="X121" i="2"/>
  <c r="X173" i="2"/>
  <c r="X175" i="2"/>
  <c r="X168" i="2"/>
  <c r="X180" i="2"/>
  <c r="T8" i="2"/>
  <c r="AF8" i="2"/>
  <c r="AJ11" i="2"/>
  <c r="AJ14" i="2"/>
  <c r="AJ18" i="2"/>
  <c r="X174" i="2"/>
  <c r="X112" i="2"/>
  <c r="X100" i="2"/>
  <c r="X119" i="2"/>
  <c r="X122" i="2"/>
  <c r="X181" i="2"/>
  <c r="X113" i="2"/>
  <c r="X118" i="2"/>
  <c r="X102" i="2"/>
  <c r="X184" i="2"/>
  <c r="X169" i="2"/>
  <c r="X103" i="2"/>
  <c r="X170" i="2"/>
  <c r="X171" i="2"/>
  <c r="AJ9" i="2"/>
  <c r="AJ10" i="2"/>
  <c r="AJ12" i="2"/>
  <c r="AJ16" i="2"/>
  <c r="AJ17" i="2"/>
  <c r="AJ13" i="2"/>
  <c r="AJ15" i="2"/>
  <c r="X128" i="2"/>
  <c r="X124" i="2"/>
  <c r="Z116" i="2"/>
  <c r="X127" i="2"/>
  <c r="Q181" i="2"/>
  <c r="I99" i="2"/>
  <c r="Q182" i="2"/>
  <c r="X125" i="2"/>
  <c r="U28" i="2"/>
  <c r="V28" i="2" s="1"/>
  <c r="U36" i="2"/>
  <c r="V36" i="2" s="1"/>
  <c r="P30" i="2"/>
  <c r="Q30" i="2" s="1"/>
  <c r="P34" i="2"/>
  <c r="Q34" i="2" s="1"/>
  <c r="U29" i="2"/>
  <c r="V29" i="2" s="1"/>
  <c r="U33" i="2"/>
  <c r="V33" i="2" s="1"/>
  <c r="P27" i="2"/>
  <c r="Q27" i="2" s="1"/>
  <c r="P31" i="2"/>
  <c r="Q31" i="2" s="1"/>
  <c r="P35" i="2"/>
  <c r="Q35" i="2" s="1"/>
  <c r="X126" i="2"/>
  <c r="T18" i="2"/>
  <c r="U30" i="2"/>
  <c r="V30" i="2" s="1"/>
  <c r="P36" i="2"/>
  <c r="Q36" i="2" s="1"/>
  <c r="X107" i="2"/>
  <c r="U27" i="2"/>
  <c r="V27" i="2" s="1"/>
  <c r="U32" i="2"/>
  <c r="V32" i="2" s="1"/>
  <c r="P32" i="2"/>
  <c r="Q32" i="2" s="1"/>
  <c r="P33" i="2"/>
  <c r="Q33" i="2" s="1"/>
  <c r="U34" i="2"/>
  <c r="V34" i="2" s="1"/>
  <c r="U35" i="2"/>
  <c r="V35" i="2" s="1"/>
  <c r="X108" i="2"/>
  <c r="X106" i="2"/>
  <c r="X109" i="2"/>
  <c r="U31" i="2"/>
  <c r="V31" i="2" s="1"/>
  <c r="P28" i="2"/>
  <c r="Q28" i="2" s="1"/>
  <c r="P29" i="2"/>
  <c r="Q29" i="2" s="1"/>
  <c r="T13" i="2"/>
  <c r="T9" i="2"/>
  <c r="T10" i="2"/>
  <c r="T15" i="2"/>
  <c r="T11" i="2"/>
  <c r="T17" i="2"/>
  <c r="T14" i="2"/>
  <c r="T16" i="2"/>
  <c r="T12" i="2"/>
  <c r="G184" i="2" l="1"/>
  <c r="I184" i="2" s="1"/>
  <c r="Z124" i="2"/>
  <c r="G125" i="2"/>
  <c r="I125" i="2" s="1"/>
  <c r="X27" i="2"/>
  <c r="G128" i="2"/>
  <c r="I128" i="2" s="1"/>
  <c r="AJ8" i="2"/>
  <c r="P8" i="2" s="1"/>
  <c r="Q8" i="2" s="1"/>
  <c r="Z128" i="2"/>
  <c r="G100" i="2"/>
  <c r="I100" i="2" s="1"/>
  <c r="G124" i="2"/>
  <c r="I124" i="2" s="1"/>
  <c r="Z167" i="2"/>
  <c r="G116" i="2"/>
  <c r="I116" i="2" s="1"/>
  <c r="G120" i="2"/>
  <c r="I120" i="2" s="1"/>
  <c r="G112" i="2"/>
  <c r="I112" i="2" s="1"/>
  <c r="Z120" i="2"/>
  <c r="G123" i="2"/>
  <c r="I123" i="2" s="1"/>
  <c r="G114" i="2"/>
  <c r="I114" i="2" s="1"/>
  <c r="Z123" i="2"/>
  <c r="Z127" i="2"/>
  <c r="G127" i="2"/>
  <c r="I127" i="2" s="1"/>
  <c r="G182" i="2"/>
  <c r="I182" i="2" s="1"/>
  <c r="G181" i="2"/>
  <c r="I181" i="2" s="1"/>
  <c r="Z103" i="2"/>
  <c r="X35" i="2"/>
  <c r="Z182" i="2"/>
  <c r="X36" i="2"/>
  <c r="G117" i="2"/>
  <c r="I117" i="2" s="1"/>
  <c r="X34" i="2"/>
  <c r="Z181" i="2"/>
  <c r="Z117" i="2"/>
  <c r="Z121" i="2"/>
  <c r="G115" i="2"/>
  <c r="I115" i="2" s="1"/>
  <c r="X29" i="2"/>
  <c r="X31" i="2"/>
  <c r="G121" i="2"/>
  <c r="I121" i="2" s="1"/>
  <c r="G103" i="2"/>
  <c r="I103" i="2" s="1"/>
  <c r="G107" i="2"/>
  <c r="I107" i="2" s="1"/>
  <c r="G105" i="2"/>
  <c r="I105" i="2" s="1"/>
  <c r="G113" i="2"/>
  <c r="I113" i="2" s="1"/>
  <c r="Z125" i="2"/>
  <c r="X30" i="2"/>
  <c r="G104" i="2"/>
  <c r="I104" i="2" s="1"/>
  <c r="X33" i="2"/>
  <c r="G119" i="2"/>
  <c r="I119" i="2" s="1"/>
  <c r="Z119" i="2"/>
  <c r="G126" i="2"/>
  <c r="I126" i="2" s="1"/>
  <c r="Z126" i="2"/>
  <c r="X28" i="2"/>
  <c r="G122" i="2"/>
  <c r="I122" i="2" s="1"/>
  <c r="Z122" i="2"/>
  <c r="G118" i="2"/>
  <c r="I118" i="2" s="1"/>
  <c r="Z118" i="2"/>
  <c r="G106" i="2"/>
  <c r="I106" i="2" s="1"/>
  <c r="G102" i="2"/>
  <c r="I102" i="2" s="1"/>
  <c r="G109" i="2"/>
  <c r="I109" i="2" s="1"/>
  <c r="G108" i="2"/>
  <c r="I108" i="2" s="1"/>
  <c r="G101" i="2"/>
  <c r="I101" i="2" s="1"/>
  <c r="G172" i="2"/>
  <c r="I172" i="2" s="1"/>
  <c r="G170" i="2"/>
  <c r="I170" i="2" s="1"/>
  <c r="G171" i="2"/>
  <c r="I171" i="2" s="1"/>
  <c r="G173" i="2"/>
  <c r="I173" i="2" s="1"/>
  <c r="G177" i="2"/>
  <c r="I177" i="2" s="1"/>
  <c r="G175" i="2"/>
  <c r="I175" i="2" s="1"/>
  <c r="G183" i="2"/>
  <c r="I183" i="2" s="1"/>
  <c r="G178" i="2"/>
  <c r="I178" i="2" s="1"/>
  <c r="G176" i="2"/>
  <c r="I176" i="2" s="1"/>
  <c r="G179" i="2"/>
  <c r="I179" i="2" s="1"/>
  <c r="G180" i="2"/>
  <c r="I180" i="2" s="1"/>
  <c r="G169" i="2"/>
  <c r="I169" i="2" s="1"/>
  <c r="G174" i="2"/>
  <c r="I174" i="2" s="1"/>
  <c r="G168" i="2"/>
  <c r="I168" i="2" s="1"/>
  <c r="Z105" i="2"/>
  <c r="Z107" i="2"/>
  <c r="X32" i="2"/>
  <c r="Z174" i="2"/>
  <c r="Z168" i="2"/>
  <c r="Z175" i="2"/>
  <c r="Z173" i="2"/>
  <c r="Z178" i="2"/>
  <c r="Z102" i="2"/>
  <c r="Z109" i="2"/>
  <c r="Z172" i="2"/>
  <c r="Z170" i="2"/>
  <c r="Z171" i="2"/>
  <c r="Z104" i="2"/>
  <c r="Z101" i="2"/>
  <c r="Z184" i="2"/>
  <c r="Z177" i="2"/>
  <c r="Z108" i="2"/>
  <c r="Z176" i="2"/>
  <c r="Z115" i="2"/>
  <c r="Z106" i="2"/>
  <c r="Z179" i="2"/>
  <c r="Z180" i="2"/>
  <c r="Z169" i="2"/>
  <c r="Z113" i="2"/>
  <c r="Z112" i="2"/>
  <c r="Z114" i="2"/>
  <c r="Z183" i="2"/>
  <c r="Z100" i="2"/>
  <c r="P18" i="2"/>
  <c r="U18" i="2"/>
  <c r="V18" i="2" s="1"/>
  <c r="U13" i="2"/>
  <c r="V13" i="2" s="1"/>
  <c r="P13" i="2"/>
  <c r="P16" i="2"/>
  <c r="U16" i="2"/>
  <c r="V16" i="2" s="1"/>
  <c r="U11" i="2"/>
  <c r="V11" i="2" s="1"/>
  <c r="P11" i="2"/>
  <c r="P10" i="2"/>
  <c r="U10" i="2"/>
  <c r="V10" i="2" s="1"/>
  <c r="U15" i="2"/>
  <c r="V15" i="2" s="1"/>
  <c r="P15" i="2"/>
  <c r="P12" i="2"/>
  <c r="U12" i="2"/>
  <c r="V12" i="2" s="1"/>
  <c r="P9" i="2"/>
  <c r="U9" i="2"/>
  <c r="V9" i="2" s="1"/>
  <c r="P14" i="2"/>
  <c r="U14" i="2"/>
  <c r="V14" i="2" s="1"/>
  <c r="P17" i="2"/>
  <c r="U17" i="2"/>
  <c r="V17" i="2" s="1"/>
  <c r="U8" i="2" l="1"/>
  <c r="V8" i="2" s="1"/>
  <c r="X8" i="2" s="1"/>
  <c r="Z28" i="2"/>
  <c r="G31" i="2"/>
  <c r="I31" i="2" s="1"/>
  <c r="G27" i="2"/>
  <c r="I27" i="2" s="1"/>
  <c r="G29" i="2"/>
  <c r="I29" i="2" s="1"/>
  <c r="Z33" i="2"/>
  <c r="Z27" i="2"/>
  <c r="Z31" i="2"/>
  <c r="Z34" i="2"/>
  <c r="Z35" i="2"/>
  <c r="G35" i="2"/>
  <c r="I35" i="2" s="1"/>
  <c r="G34" i="2"/>
  <c r="I34" i="2" s="1"/>
  <c r="G36" i="2"/>
  <c r="I36" i="2" s="1"/>
  <c r="Z36" i="2"/>
  <c r="Z29" i="2"/>
  <c r="G30" i="2"/>
  <c r="I30" i="2" s="1"/>
  <c r="G28" i="2"/>
  <c r="I28" i="2" s="1"/>
  <c r="Z30" i="2"/>
  <c r="G33" i="2"/>
  <c r="I33" i="2" s="1"/>
  <c r="G32" i="2"/>
  <c r="I32" i="2" s="1"/>
  <c r="Z32" i="2"/>
  <c r="Q11" i="2"/>
  <c r="X11" i="2" s="1"/>
  <c r="Q13" i="2"/>
  <c r="X13" i="2" s="1"/>
  <c r="Q16" i="2"/>
  <c r="X16" i="2" s="1"/>
  <c r="Q18" i="2"/>
  <c r="X18" i="2" s="1"/>
  <c r="Q17" i="2"/>
  <c r="X17" i="2" s="1"/>
  <c r="Q15" i="2"/>
  <c r="X15" i="2" s="1"/>
  <c r="Q9" i="2"/>
  <c r="X9" i="2" s="1"/>
  <c r="Q14" i="2"/>
  <c r="X14" i="2" s="1"/>
  <c r="Q12" i="2"/>
  <c r="X12" i="2" s="1"/>
  <c r="Q10" i="2"/>
  <c r="X10" i="2" s="1"/>
  <c r="G14" i="2" l="1"/>
  <c r="I14" i="2" s="1"/>
  <c r="G13" i="2"/>
  <c r="I13" i="2" s="1"/>
  <c r="G15" i="2"/>
  <c r="I15" i="2" s="1"/>
  <c r="G16" i="2"/>
  <c r="I16" i="2" s="1"/>
  <c r="G11" i="2"/>
  <c r="I11" i="2" s="1"/>
  <c r="G17" i="2"/>
  <c r="I17" i="2" s="1"/>
  <c r="G18" i="2"/>
  <c r="I18" i="2" s="1"/>
  <c r="G10" i="2"/>
  <c r="G12" i="2"/>
  <c r="I12" i="2" s="1"/>
  <c r="G9" i="2"/>
  <c r="I9" i="2" s="1"/>
  <c r="Z17" i="2"/>
  <c r="Z12" i="2"/>
  <c r="Z14" i="2"/>
  <c r="Z10" i="2"/>
  <c r="Z11" i="2"/>
  <c r="Z15" i="2"/>
  <c r="Z18" i="2"/>
  <c r="Z9" i="2"/>
  <c r="Z13" i="2"/>
  <c r="Z16" i="2"/>
  <c r="Z8" i="2" l="1"/>
  <c r="G8" i="2"/>
  <c r="I8" i="2" s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sa306</author>
  </authors>
  <commentList>
    <comment ref="AI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given in paper</t>
        </r>
      </text>
    </comment>
    <comment ref="L196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flats weighted average values are used</t>
        </r>
      </text>
    </comment>
    <comment ref="M19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weighted average values are used</t>
        </r>
      </text>
    </comment>
    <comment ref="R196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2 flat faces weighted average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sa306</author>
  </authors>
  <commentList>
    <comment ref="Y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same as fya given in NA to BS EN 1993-1-2:2006</t>
        </r>
      </text>
    </comment>
    <comment ref="Z7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taken as the same as the flats</t>
        </r>
      </text>
    </comment>
    <comment ref="BL7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MEASURED FROM THE TOP FLANGE CENTROID</t>
        </r>
      </text>
    </comment>
    <comment ref="Q366" authorId="0" shapeId="0" xr:uid="{2524D41A-CA33-4768-9C0C-CBB0761026A6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flats weighted average values are used</t>
        </r>
      </text>
    </comment>
    <comment ref="U366" authorId="0" shapeId="0" xr:uid="{AA4C7FA4-3E98-44FB-A9D2-79FBA6E43051}">
      <text>
        <r>
          <rPr>
            <b/>
            <sz val="9"/>
            <color indexed="81"/>
            <rFont val="Tahoma"/>
            <family val="2"/>
          </rPr>
          <t>sa306:</t>
        </r>
        <r>
          <rPr>
            <sz val="9"/>
            <color indexed="81"/>
            <rFont val="Tahoma"/>
            <family val="2"/>
          </rPr>
          <t xml:space="preserve">
weighted average values are used</t>
        </r>
      </text>
    </comment>
  </commentList>
</comments>
</file>

<file path=xl/sharedStrings.xml><?xml version="1.0" encoding="utf-8"?>
<sst xmlns="http://schemas.openxmlformats.org/spreadsheetml/2006/main" count="5819" uniqueCount="510">
  <si>
    <t>Dimensions</t>
  </si>
  <si>
    <t>Tets results normalised (TENSION)</t>
  </si>
  <si>
    <t>Section Type</t>
  </si>
  <si>
    <t>Grade</t>
  </si>
  <si>
    <t>Forming Process</t>
  </si>
  <si>
    <t>Section ID</t>
  </si>
  <si>
    <t>Tension/Comp</t>
  </si>
  <si>
    <r>
      <t>F</t>
    </r>
    <r>
      <rPr>
        <b/>
        <vertAlign val="subscript"/>
        <sz val="10"/>
        <color indexed="12"/>
        <rFont val="Arial"/>
        <family val="2"/>
      </rPr>
      <t>u, TEST</t>
    </r>
  </si>
  <si>
    <t>L</t>
  </si>
  <si>
    <t>B</t>
  </si>
  <si>
    <t>t</t>
  </si>
  <si>
    <t>b</t>
  </si>
  <si>
    <r>
      <t>r</t>
    </r>
    <r>
      <rPr>
        <vertAlign val="subscript"/>
        <sz val="10"/>
        <color indexed="8"/>
        <rFont val="Arial"/>
        <family val="2"/>
      </rPr>
      <t>0</t>
    </r>
  </si>
  <si>
    <t>ri</t>
  </si>
  <si>
    <t>A</t>
  </si>
  <si>
    <t>Ac</t>
  </si>
  <si>
    <r>
      <t>σ</t>
    </r>
    <r>
      <rPr>
        <vertAlign val="subscript"/>
        <sz val="10"/>
        <color indexed="8"/>
        <rFont val="Arial"/>
        <family val="2"/>
      </rPr>
      <t>0.2</t>
    </r>
  </si>
  <si>
    <t>sheet data</t>
  </si>
  <si>
    <t>flats</t>
  </si>
  <si>
    <t>corner</t>
  </si>
  <si>
    <t>Weighted average properties</t>
  </si>
  <si>
    <t>mm</t>
  </si>
  <si>
    <t>mm2</t>
  </si>
  <si>
    <r>
      <t>N/mm</t>
    </r>
    <r>
      <rPr>
        <vertAlign val="superscript"/>
        <sz val="10"/>
        <color indexed="8"/>
        <rFont val="Arial"/>
        <family val="2"/>
      </rPr>
      <t>2</t>
    </r>
  </si>
  <si>
    <r>
      <t>σ</t>
    </r>
    <r>
      <rPr>
        <vertAlign val="subscript"/>
        <sz val="10"/>
        <color indexed="8"/>
        <rFont val="Arial"/>
        <family val="2"/>
      </rPr>
      <t>0.2</t>
    </r>
    <r>
      <rPr>
        <sz val="10"/>
        <color indexed="8"/>
        <rFont val="Arial"/>
        <family val="2"/>
      </rPr>
      <t>/E</t>
    </r>
    <r>
      <rPr>
        <vertAlign val="subscript"/>
        <sz val="10"/>
        <color indexed="8"/>
        <rFont val="Arial"/>
        <family val="2"/>
      </rPr>
      <t>0</t>
    </r>
  </si>
  <si>
    <t>kN</t>
  </si>
  <si>
    <r>
      <t xml:space="preserve"> σ</t>
    </r>
    <r>
      <rPr>
        <vertAlign val="subscript"/>
        <sz val="10"/>
        <color indexed="8"/>
        <rFont val="Arial"/>
        <family val="2"/>
      </rPr>
      <t>0.2%,mill</t>
    </r>
  </si>
  <si>
    <r>
      <t xml:space="preserve"> σ</t>
    </r>
    <r>
      <rPr>
        <vertAlign val="subscript"/>
        <sz val="10"/>
        <color indexed="8"/>
        <rFont val="Arial"/>
        <family val="2"/>
      </rPr>
      <t>0.2%,tets</t>
    </r>
  </si>
  <si>
    <r>
      <t xml:space="preserve"> σ '</t>
    </r>
    <r>
      <rPr>
        <vertAlign val="subscript"/>
        <sz val="10"/>
        <color indexed="8"/>
        <rFont val="Arial"/>
        <family val="2"/>
      </rPr>
      <t>0.2%,f</t>
    </r>
  </si>
  <si>
    <t>Af (mm2)</t>
  </si>
  <si>
    <t>A'f (mm2)</t>
  </si>
  <si>
    <t>E0(N/mm2)</t>
  </si>
  <si>
    <r>
      <t xml:space="preserve"> σ '</t>
    </r>
    <r>
      <rPr>
        <vertAlign val="subscript"/>
        <sz val="10"/>
        <color indexed="8"/>
        <rFont val="Arial"/>
        <family val="2"/>
      </rPr>
      <t>0.2%,cr,c</t>
    </r>
  </si>
  <si>
    <t>Ac (mm2)</t>
  </si>
  <si>
    <t>A'c (mm2)</t>
  </si>
  <si>
    <r>
      <t xml:space="preserve"> σ </t>
    </r>
    <r>
      <rPr>
        <vertAlign val="subscript"/>
        <sz val="10"/>
        <color indexed="8"/>
        <rFont val="Arial"/>
        <family val="2"/>
      </rPr>
      <t>0.2%,wa</t>
    </r>
  </si>
  <si>
    <r>
      <t xml:space="preserve"> E </t>
    </r>
    <r>
      <rPr>
        <vertAlign val="subscript"/>
        <sz val="10"/>
        <color indexed="8"/>
        <rFont val="Arial"/>
        <family val="2"/>
      </rPr>
      <t>0,wa</t>
    </r>
  </si>
  <si>
    <t>Cold Formed (PB)</t>
  </si>
  <si>
    <t>L 25 x 25 x 3</t>
  </si>
  <si>
    <t>Not measured</t>
  </si>
  <si>
    <t>Mill sheet</t>
  </si>
  <si>
    <t>-</t>
  </si>
  <si>
    <t>L 30 x 30 x 3</t>
  </si>
  <si>
    <t>L 40 x 40 x 3</t>
  </si>
  <si>
    <t>L40x40x3</t>
  </si>
  <si>
    <t>L50x50x3</t>
  </si>
  <si>
    <t>L60x60x3</t>
  </si>
  <si>
    <t>L 25x25x3</t>
  </si>
  <si>
    <t>L30x30x3</t>
  </si>
  <si>
    <t>D</t>
  </si>
  <si>
    <t>Weighted average</t>
  </si>
  <si>
    <t>C50x25x3</t>
  </si>
  <si>
    <t>C80x40x3</t>
  </si>
  <si>
    <t>C100x50x3</t>
  </si>
  <si>
    <t>C150x50x3</t>
  </si>
  <si>
    <t>C50x50x3</t>
  </si>
  <si>
    <t>Weld size</t>
  </si>
  <si>
    <t>Welded</t>
  </si>
  <si>
    <t>I 50x50x3x3</t>
  </si>
  <si>
    <t>I 50x100x3x3</t>
  </si>
  <si>
    <t>I 100x50x3x3</t>
  </si>
  <si>
    <t>I 100x75x3x3</t>
  </si>
  <si>
    <t>I 100x100x3x3</t>
  </si>
  <si>
    <t>I 150x100x3x3</t>
  </si>
  <si>
    <t>I 200x100x3x3</t>
  </si>
  <si>
    <t>I 200x150x3x3</t>
  </si>
  <si>
    <t>I 160x80x10x6</t>
  </si>
  <si>
    <t>Tension</t>
  </si>
  <si>
    <t>I 160x160x10x6</t>
  </si>
  <si>
    <t>I 320x160x10x6</t>
  </si>
  <si>
    <t>B or D</t>
  </si>
  <si>
    <r>
      <t>r</t>
    </r>
    <r>
      <rPr>
        <vertAlign val="subscript"/>
        <sz val="10"/>
        <color indexed="8"/>
        <rFont val="Arial"/>
        <family val="2"/>
      </rPr>
      <t>i</t>
    </r>
  </si>
  <si>
    <t>SHS 80x80x4 - SC1</t>
  </si>
  <si>
    <t>Measured</t>
  </si>
  <si>
    <t>SHS 80x80x4 - SC2</t>
  </si>
  <si>
    <t>SHS 80x80x4 -SC3</t>
  </si>
  <si>
    <t>SHS 100x100x2-SC1</t>
  </si>
  <si>
    <t>SHS 100x100x2-SC2</t>
  </si>
  <si>
    <t>SHS 100x100x3-SC1</t>
  </si>
  <si>
    <t>SHS 100x100x3-SC2</t>
  </si>
  <si>
    <t>SHS 100x100x4 -SC1</t>
  </si>
  <si>
    <t>SHS 100x100x4 -SC2</t>
  </si>
  <si>
    <t>SHS 100x100x6 -SC1</t>
  </si>
  <si>
    <t>SHS 100x100x6-SC2</t>
  </si>
  <si>
    <t>SHS 100x100x8-SC1</t>
  </si>
  <si>
    <t>SHS 100x100x8 -SC2</t>
  </si>
  <si>
    <t>SHS 150x150x4- SC1</t>
  </si>
  <si>
    <t>SHS 150x150x4 -SC2</t>
  </si>
  <si>
    <t>Cold Formed (CR)</t>
  </si>
  <si>
    <t>SHS 60x60x5 -SC2</t>
  </si>
  <si>
    <t>SHS 80x80x3 -SC1</t>
  </si>
  <si>
    <t>SHS 80x80x3 -SC2</t>
  </si>
  <si>
    <t>Kuwamura (2003)</t>
  </si>
  <si>
    <t>SHS 50 x 50 x 3</t>
  </si>
  <si>
    <t>Mill tets</t>
  </si>
  <si>
    <t>SHS 75 x 75 x 3</t>
  </si>
  <si>
    <t>SHS 100 x 100 x 3</t>
  </si>
  <si>
    <t>SHS 125 x 125 x 3</t>
  </si>
  <si>
    <t>SHS 150 x 150 x 3</t>
  </si>
  <si>
    <t>SHS 200 x 200 x 3</t>
  </si>
  <si>
    <t>Young and Lui (2005)</t>
  </si>
  <si>
    <t>Duplex</t>
  </si>
  <si>
    <t>SHS 40 x 40 x 2</t>
  </si>
  <si>
    <t>Tensile</t>
  </si>
  <si>
    <t>SHS 50 x 50 x 1.5</t>
  </si>
  <si>
    <t>SHS 150 x 150 x 6</t>
  </si>
  <si>
    <t>Liu and Young (2003)</t>
  </si>
  <si>
    <t>SHS 70 x 70 x 2</t>
  </si>
  <si>
    <t>SHS 70 x 70 x 5</t>
  </si>
  <si>
    <t>Gardner, Talja and Baddoo (2006)</t>
  </si>
  <si>
    <t>SHS 80x80x3</t>
  </si>
  <si>
    <t>SHS 100x100x3</t>
  </si>
  <si>
    <t>RHS  60 x 40 x 4 - SC1</t>
  </si>
  <si>
    <t>RHS  60 x 40 x 4 - SC2</t>
  </si>
  <si>
    <t>RHS  120 x 80 x 3 - SC1</t>
  </si>
  <si>
    <t>RHS  120 x 80 x 3 - SC2</t>
  </si>
  <si>
    <t>RHS  120 x 80 x 6 - SC1</t>
  </si>
  <si>
    <t>RHS  120 x 80 x 6 - SC2</t>
  </si>
  <si>
    <t>RHS  150 x 100 x 4 - SC1</t>
  </si>
  <si>
    <t>RHS  150 x 100 x 4 - SC2</t>
  </si>
  <si>
    <t>RHS  100 x 50 x 2 - SC1</t>
  </si>
  <si>
    <t>RHS  100 x 50 x 2 - SC2</t>
  </si>
  <si>
    <t>RHS  100 x 50 x 3 - SC1</t>
  </si>
  <si>
    <t>RHS  100 x 50 x 3 - SC2</t>
  </si>
  <si>
    <t>RHS  100 x 50 x 4 - SC1</t>
  </si>
  <si>
    <t>RHS  100 x 50 x 4 - SC2</t>
  </si>
  <si>
    <t>RHS  100 x 50 x 6 - SC1</t>
  </si>
  <si>
    <t>Cold Formed(CR)</t>
  </si>
  <si>
    <t>RHS  100 x 50 x 6 - SC2</t>
  </si>
  <si>
    <t>RHS  150 x 100 x 3 - SC</t>
  </si>
  <si>
    <t>RHS  150 x 100 x 6 - SC</t>
  </si>
  <si>
    <t>RHS  140 x 80 x 3</t>
  </si>
  <si>
    <t>RHS  160 x 80 x 3</t>
  </si>
  <si>
    <t>RHS  200 x 110 x 4</t>
  </si>
  <si>
    <t>Young and Liu (2003)</t>
  </si>
  <si>
    <t>1.4301 - Roll-formed</t>
  </si>
  <si>
    <t>RHS  120 x 40 x 2</t>
  </si>
  <si>
    <t>RHS  120 x 40 x 5.3</t>
  </si>
  <si>
    <t>RHS  120 x 80 x 6</t>
  </si>
  <si>
    <t>RHS 120x80x3</t>
  </si>
  <si>
    <t>RHS 140x60x3</t>
  </si>
  <si>
    <t>weighted average properties</t>
  </si>
  <si>
    <r>
      <t xml:space="preserve"> E </t>
    </r>
    <r>
      <rPr>
        <vertAlign val="subscript"/>
        <sz val="10"/>
        <color indexed="8"/>
        <rFont val="Arial"/>
        <family val="2"/>
      </rPr>
      <t>0</t>
    </r>
  </si>
  <si>
    <t>yield load</t>
  </si>
  <si>
    <t>Fu/Fy</t>
  </si>
  <si>
    <t>yield load,wa</t>
  </si>
  <si>
    <t>flats (test or Cruise &amp; Gardner)</t>
  </si>
  <si>
    <t>corner (test or Cruise &amp; Gardner)</t>
  </si>
  <si>
    <t>Material properties, flats</t>
  </si>
  <si>
    <t>Material properties,flat</t>
  </si>
  <si>
    <t>Material Properties,flats</t>
  </si>
  <si>
    <t>Material Properties, flats</t>
  </si>
  <si>
    <t>SHS 100x100x4-1</t>
  </si>
  <si>
    <t>SHS 100x100x4-2</t>
  </si>
  <si>
    <t>SHS 80x80x4-1</t>
  </si>
  <si>
    <t>SHS 80x80x4-2</t>
  </si>
  <si>
    <t>SHS 60x60x3-1</t>
  </si>
  <si>
    <t>SHS 60x60x3-2</t>
  </si>
  <si>
    <t>Duplex (1.4162)</t>
  </si>
  <si>
    <t>RHS 80x40x4-1</t>
  </si>
  <si>
    <t>RHS 80x40x4-2</t>
  </si>
  <si>
    <t>Lean Duplex</t>
  </si>
  <si>
    <t>Ferritic (1.4003)</t>
  </si>
  <si>
    <t>140x80</t>
  </si>
  <si>
    <t>140x100</t>
  </si>
  <si>
    <t>140x120</t>
  </si>
  <si>
    <t>160x100</t>
  </si>
  <si>
    <t>140x140</t>
  </si>
  <si>
    <t>180x100</t>
  </si>
  <si>
    <t>200x100</t>
  </si>
  <si>
    <t xml:space="preserve"> Lean Duplex 1.4162</t>
  </si>
  <si>
    <t>I 200x140x6x6</t>
  </si>
  <si>
    <t>I 200x140x8x6</t>
  </si>
  <si>
    <t>I 200x140x10x8</t>
  </si>
  <si>
    <t>I 200x140x12x8</t>
  </si>
  <si>
    <t>Weighted average material properties</t>
  </si>
  <si>
    <t>RHS  120 x 80 x.2.8</t>
  </si>
  <si>
    <t>RHS  120 x 80 x 2.8</t>
  </si>
  <si>
    <r>
      <t>σ</t>
    </r>
    <r>
      <rPr>
        <vertAlign val="subscript"/>
        <sz val="10"/>
        <color theme="1"/>
        <rFont val="Arial"/>
        <family val="2"/>
      </rPr>
      <t>0.2</t>
    </r>
  </si>
  <si>
    <r>
      <t xml:space="preserve"> σ</t>
    </r>
    <r>
      <rPr>
        <vertAlign val="subscript"/>
        <sz val="10"/>
        <color theme="1"/>
        <rFont val="Arial"/>
        <family val="2"/>
      </rPr>
      <t>0.2%,mill</t>
    </r>
  </si>
  <si>
    <r>
      <t xml:space="preserve"> ε </t>
    </r>
    <r>
      <rPr>
        <vertAlign val="subscript"/>
        <sz val="10"/>
        <color indexed="8"/>
        <rFont val="Arial"/>
        <family val="2"/>
      </rPr>
      <t>wa</t>
    </r>
  </si>
  <si>
    <r>
      <t>N/mm</t>
    </r>
    <r>
      <rPr>
        <vertAlign val="superscript"/>
        <sz val="10"/>
        <color theme="1"/>
        <rFont val="Arial"/>
        <family val="2"/>
      </rPr>
      <t>2</t>
    </r>
  </si>
  <si>
    <r>
      <t>t</t>
    </r>
    <r>
      <rPr>
        <vertAlign val="subscript"/>
        <sz val="10"/>
        <color indexed="8"/>
        <rFont val="Arial"/>
        <family val="2"/>
      </rPr>
      <t>flange</t>
    </r>
  </si>
  <si>
    <r>
      <t>t</t>
    </r>
    <r>
      <rPr>
        <vertAlign val="subscript"/>
        <sz val="10"/>
        <color indexed="8"/>
        <rFont val="Arial"/>
        <family val="2"/>
      </rPr>
      <t>web</t>
    </r>
  </si>
  <si>
    <r>
      <t>σ</t>
    </r>
    <r>
      <rPr>
        <vertAlign val="subscript"/>
        <sz val="10"/>
        <color indexed="8"/>
        <rFont val="Arial"/>
        <family val="2"/>
      </rPr>
      <t xml:space="preserve">1.0 </t>
    </r>
  </si>
  <si>
    <r>
      <t xml:space="preserve"> σ</t>
    </r>
    <r>
      <rPr>
        <vertAlign val="subscript"/>
        <sz val="10"/>
        <color indexed="8"/>
        <rFont val="Arial"/>
        <family val="2"/>
      </rPr>
      <t>ult, mill</t>
    </r>
  </si>
  <si>
    <r>
      <t xml:space="preserve"> σ</t>
    </r>
    <r>
      <rPr>
        <vertAlign val="subscript"/>
        <sz val="10"/>
        <color indexed="8"/>
        <rFont val="Arial"/>
        <family val="2"/>
      </rPr>
      <t>ult, test</t>
    </r>
  </si>
  <si>
    <r>
      <t xml:space="preserve"> σ'</t>
    </r>
    <r>
      <rPr>
        <vertAlign val="subscript"/>
        <sz val="10"/>
        <color indexed="8"/>
        <rFont val="Arial"/>
        <family val="2"/>
      </rPr>
      <t>ult,f</t>
    </r>
  </si>
  <si>
    <r>
      <t>A</t>
    </r>
    <r>
      <rPr>
        <vertAlign val="subscript"/>
        <sz val="10"/>
        <color indexed="8"/>
        <rFont val="Arial"/>
        <family val="2"/>
      </rPr>
      <t>f</t>
    </r>
    <r>
      <rPr>
        <sz val="10"/>
        <color indexed="8"/>
        <rFont val="Arial"/>
        <family val="2"/>
      </rPr>
      <t xml:space="preserve"> (mm2)</t>
    </r>
  </si>
  <si>
    <r>
      <t>A'</t>
    </r>
    <r>
      <rPr>
        <vertAlign val="subscript"/>
        <sz val="10"/>
        <color indexed="8"/>
        <rFont val="Arial"/>
        <family val="2"/>
      </rPr>
      <t>f</t>
    </r>
    <r>
      <rPr>
        <sz val="10"/>
        <color indexed="8"/>
        <rFont val="Arial"/>
        <family val="2"/>
      </rPr>
      <t xml:space="preserve"> (mm2)</t>
    </r>
  </si>
  <si>
    <r>
      <t>E</t>
    </r>
    <r>
      <rPr>
        <vertAlign val="subscript"/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(N/mm2)</t>
    </r>
  </si>
  <si>
    <r>
      <t>A</t>
    </r>
    <r>
      <rPr>
        <vertAlign val="subscript"/>
        <sz val="10"/>
        <color indexed="8"/>
        <rFont val="Arial"/>
        <family val="2"/>
      </rPr>
      <t>c</t>
    </r>
    <r>
      <rPr>
        <sz val="10"/>
        <color indexed="8"/>
        <rFont val="Arial"/>
        <family val="2"/>
      </rPr>
      <t xml:space="preserve"> (mm2)</t>
    </r>
  </si>
  <si>
    <r>
      <t>A'</t>
    </r>
    <r>
      <rPr>
        <vertAlign val="subscript"/>
        <sz val="10"/>
        <color indexed="8"/>
        <rFont val="Arial"/>
        <family val="2"/>
      </rPr>
      <t>c</t>
    </r>
    <r>
      <rPr>
        <sz val="10"/>
        <color indexed="8"/>
        <rFont val="Arial"/>
        <family val="2"/>
      </rPr>
      <t xml:space="preserve"> (mm2)</t>
    </r>
  </si>
  <si>
    <r>
      <t>E</t>
    </r>
    <r>
      <rPr>
        <vertAlign val="subscript"/>
        <sz val="10"/>
        <color indexed="8"/>
        <rFont val="Arial"/>
        <family val="2"/>
      </rPr>
      <t xml:space="preserve">0 </t>
    </r>
    <r>
      <rPr>
        <sz val="10"/>
        <color indexed="8"/>
        <rFont val="Arial"/>
        <family val="2"/>
      </rPr>
      <t>(N/mm2)</t>
    </r>
  </si>
  <si>
    <r>
      <t>E</t>
    </r>
    <r>
      <rPr>
        <vertAlign val="subscript"/>
        <sz val="10"/>
        <color indexed="8"/>
        <rFont val="Arial"/>
        <family val="2"/>
      </rPr>
      <t>0</t>
    </r>
  </si>
  <si>
    <r>
      <rPr>
        <sz val="10"/>
        <color indexed="8"/>
        <rFont val="Arial"/>
        <family val="2"/>
      </rPr>
      <t>ε</t>
    </r>
    <r>
      <rPr>
        <vertAlign val="subscript"/>
        <sz val="10"/>
        <color indexed="8"/>
        <rFont val="Arial"/>
        <family val="2"/>
      </rPr>
      <t>0</t>
    </r>
  </si>
  <si>
    <r>
      <t>σ</t>
    </r>
    <r>
      <rPr>
        <vertAlign val="subscript"/>
        <sz val="10"/>
        <color theme="1"/>
        <rFont val="Arial"/>
        <family val="2"/>
      </rPr>
      <t>u</t>
    </r>
  </si>
  <si>
    <r>
      <rPr>
        <sz val="10"/>
        <color indexed="8"/>
        <rFont val="Arial"/>
        <family val="2"/>
      </rPr>
      <t>σ</t>
    </r>
    <r>
      <rPr>
        <vertAlign val="subscript"/>
        <sz val="10"/>
        <color indexed="8"/>
        <rFont val="Arial"/>
        <family val="2"/>
      </rPr>
      <t xml:space="preserve">u </t>
    </r>
  </si>
  <si>
    <r>
      <t>F</t>
    </r>
    <r>
      <rPr>
        <vertAlign val="subscript"/>
        <sz val="10"/>
        <color theme="1"/>
        <rFont val="Arial"/>
        <family val="2"/>
      </rPr>
      <t>u</t>
    </r>
    <r>
      <rPr>
        <sz val="10"/>
        <color theme="1"/>
        <rFont val="Arial"/>
        <family val="2"/>
      </rPr>
      <t>/F</t>
    </r>
    <r>
      <rPr>
        <vertAlign val="subscript"/>
        <sz val="10"/>
        <color theme="1"/>
        <rFont val="Arial"/>
        <family val="2"/>
      </rPr>
      <t>y</t>
    </r>
  </si>
  <si>
    <r>
      <t>ε</t>
    </r>
    <r>
      <rPr>
        <vertAlign val="subscript"/>
        <sz val="10"/>
        <color indexed="8"/>
        <rFont val="Arial"/>
        <family val="2"/>
      </rPr>
      <t>0.2</t>
    </r>
  </si>
  <si>
    <t>Angle / Kuwamura (2003)</t>
  </si>
  <si>
    <t>Channel / Kuwamura (2003)</t>
  </si>
  <si>
    <t>H / Kuwamura (2003)</t>
  </si>
  <si>
    <t>H / ECSC-WP-2 , Stangenberg (2000)</t>
  </si>
  <si>
    <t>ECSC-WP-6 , H.Stangenberg (2000)</t>
  </si>
  <si>
    <t>SHS / Gardner (2004)</t>
  </si>
  <si>
    <t>Talja and Salmi (1995)</t>
  </si>
  <si>
    <t>Rasmussen and Hancock (1993)</t>
  </si>
  <si>
    <t>Afshan and Gardner (2011)</t>
  </si>
  <si>
    <t xml:space="preserve">Ferriric 1.4003 </t>
  </si>
  <si>
    <t>Ferritic 1.4509</t>
  </si>
  <si>
    <t>SHS 80x80x3-1</t>
  </si>
  <si>
    <t>SHS 80x80x3-2</t>
  </si>
  <si>
    <r>
      <t>A</t>
    </r>
    <r>
      <rPr>
        <vertAlign val="subscript"/>
        <sz val="10"/>
        <color indexed="8"/>
        <rFont val="Arial"/>
        <family val="2"/>
      </rPr>
      <t xml:space="preserve">f </t>
    </r>
    <r>
      <rPr>
        <sz val="10"/>
        <color indexed="8"/>
        <rFont val="Arial"/>
        <family val="2"/>
      </rPr>
      <t>(mm2)</t>
    </r>
  </si>
  <si>
    <t>RHS / Gardner (2004)</t>
  </si>
  <si>
    <t>RHS / Talja and Salmi (1995)</t>
  </si>
  <si>
    <t>Theofanous and Gardner (2009)</t>
  </si>
  <si>
    <t>SHS 120x80x3-1</t>
  </si>
  <si>
    <t>SHS 120x80x3-2</t>
  </si>
  <si>
    <t>SHS 60x40x3-1</t>
  </si>
  <si>
    <t>SHS 60x40x3-2</t>
  </si>
  <si>
    <r>
      <t>σ</t>
    </r>
    <r>
      <rPr>
        <vertAlign val="subscript"/>
        <sz val="10"/>
        <color indexed="8"/>
        <rFont val="Arial"/>
        <family val="2"/>
      </rPr>
      <t>1.0</t>
    </r>
    <r>
      <rPr>
        <sz val="10"/>
        <color indexed="8"/>
        <rFont val="Arial"/>
        <family val="2"/>
      </rPr>
      <t xml:space="preserve"> </t>
    </r>
  </si>
  <si>
    <t>Coldl formed(CR)</t>
  </si>
  <si>
    <t>RHS &amp; SHS Beams</t>
  </si>
  <si>
    <t>Reference</t>
  </si>
  <si>
    <t>Special Notes</t>
  </si>
  <si>
    <t>Forming process</t>
  </si>
  <si>
    <t>Section designation</t>
  </si>
  <si>
    <t>Cross-section dimensions</t>
  </si>
  <si>
    <t>Material Properties (flats)</t>
  </si>
  <si>
    <t>H</t>
  </si>
  <si>
    <t>h</t>
  </si>
  <si>
    <t>kN-m</t>
  </si>
  <si>
    <t>Real [1]</t>
  </si>
  <si>
    <t>Simply supported</t>
  </si>
  <si>
    <t>RHS 120×80×4</t>
  </si>
  <si>
    <t>Talja and Salmi [2]</t>
  </si>
  <si>
    <t>press-braking</t>
  </si>
  <si>
    <t>RHS 150×100×3</t>
  </si>
  <si>
    <t>RHS 150×100×6</t>
  </si>
  <si>
    <t>Cold Rolled</t>
  </si>
  <si>
    <t>RHS 60×40×4</t>
  </si>
  <si>
    <t>RHS 100×50×2</t>
  </si>
  <si>
    <t>RHS 100×50×3</t>
  </si>
  <si>
    <t>RHS 100×50×4</t>
  </si>
  <si>
    <t>Zhou and Young [5]</t>
  </si>
  <si>
    <t>RHS 100x50x2</t>
  </si>
  <si>
    <t>RHS 100x50x4</t>
  </si>
  <si>
    <t>RHS 120x60x2</t>
  </si>
  <si>
    <t>RHS 120x60x4</t>
  </si>
  <si>
    <t>duplex</t>
  </si>
  <si>
    <t>RHS 140x80x3</t>
  </si>
  <si>
    <t>RHS 160x80x3</t>
  </si>
  <si>
    <t>High Strength Austenitic</t>
  </si>
  <si>
    <t>RHS 200x110x4</t>
  </si>
  <si>
    <t>Gardner, Talja and Baddoo [5]</t>
  </si>
  <si>
    <t>1.4318 C750</t>
  </si>
  <si>
    <t>1.4318 C850</t>
  </si>
  <si>
    <t>SHS 80×80×3</t>
  </si>
  <si>
    <t>SHS 60×60×5</t>
  </si>
  <si>
    <t>Rasmussen and Hancock [3]</t>
  </si>
  <si>
    <t>304L/1.4306</t>
  </si>
  <si>
    <t>SHS 80×80×4</t>
  </si>
  <si>
    <t>SHS 100×100×2</t>
  </si>
  <si>
    <t>SHS 100×100×3</t>
  </si>
  <si>
    <t>SHS 100×100×4</t>
  </si>
  <si>
    <t>SHS 40x40x2</t>
  </si>
  <si>
    <t>SHS 40x40x4</t>
  </si>
  <si>
    <t>SHS 80x80x2</t>
  </si>
  <si>
    <t>SHS 80x80x5</t>
  </si>
  <si>
    <t>SHS 50x50x1.5</t>
  </si>
  <si>
    <t>SHS 150x150x3</t>
  </si>
  <si>
    <t>SHS 150x150x6</t>
  </si>
  <si>
    <t>Gardner, Talja and Baddoo [6]</t>
  </si>
  <si>
    <t>C 750</t>
  </si>
  <si>
    <t>C 850</t>
  </si>
  <si>
    <t>1.4301,1.4307</t>
  </si>
  <si>
    <t>SHS 50x50x3</t>
  </si>
  <si>
    <t>SHS 60x60x3</t>
  </si>
  <si>
    <t>RHS 60x40x3 MA</t>
  </si>
  <si>
    <t>RHS 60x40x3-MI</t>
  </si>
  <si>
    <t>lean duplex 1.4162</t>
  </si>
  <si>
    <t>SHS 100X100X4</t>
  </si>
  <si>
    <t>SHS 80X80X4</t>
  </si>
  <si>
    <t>SHS 60X60X3</t>
  </si>
  <si>
    <t>RHS 80X40X4(major)</t>
  </si>
  <si>
    <t>Ferritic 1.4003 and 1.4509</t>
  </si>
  <si>
    <t>RHS 120x80x3-4pb</t>
  </si>
  <si>
    <t>RHS 60x40x3-4pb</t>
  </si>
  <si>
    <t>SHS 80x80x3-4pb</t>
  </si>
  <si>
    <t>SHS 60x60x3-4pb</t>
  </si>
  <si>
    <t>RHS 120x80x3-3pb</t>
  </si>
  <si>
    <t>RHS 60x40x3-3pb</t>
  </si>
  <si>
    <t>SHS 80x80x3-3pb</t>
  </si>
  <si>
    <t>SHS 60x60x3-3pb</t>
  </si>
  <si>
    <t>Welded I sections</t>
  </si>
  <si>
    <t>cross-section dimensions</t>
  </si>
  <si>
    <t>Material Properties</t>
  </si>
  <si>
    <t>a (weld thr.)</t>
  </si>
  <si>
    <t>E</t>
  </si>
  <si>
    <t>ECSC Project [8]</t>
  </si>
  <si>
    <t>4 point bending</t>
  </si>
  <si>
    <t>I 160x80</t>
  </si>
  <si>
    <t>I 160x 160</t>
  </si>
  <si>
    <t>I 320x160</t>
  </si>
  <si>
    <t xml:space="preserve">I 160x160 </t>
  </si>
  <si>
    <t>H 100x100</t>
  </si>
  <si>
    <t>Lean Duplex (1.4162)</t>
  </si>
  <si>
    <t>Thofanous  and Gardner (2009)</t>
  </si>
  <si>
    <t>Austenitic (1.4301)</t>
  </si>
  <si>
    <t>Duplex (1.4462)</t>
  </si>
  <si>
    <r>
      <t xml:space="preserve"> σ</t>
    </r>
    <r>
      <rPr>
        <vertAlign val="subscript"/>
        <sz val="10"/>
        <color indexed="8"/>
        <rFont val="Arial"/>
        <family val="2"/>
      </rPr>
      <t>0.2,tets</t>
    </r>
  </si>
  <si>
    <r>
      <t xml:space="preserve"> σ '</t>
    </r>
    <r>
      <rPr>
        <vertAlign val="subscript"/>
        <sz val="10"/>
        <color indexed="8"/>
        <rFont val="Arial"/>
        <family val="2"/>
      </rPr>
      <t>0.2,f</t>
    </r>
  </si>
  <si>
    <r>
      <t xml:space="preserve"> σ '</t>
    </r>
    <r>
      <rPr>
        <vertAlign val="subscript"/>
        <sz val="10"/>
        <color indexed="8"/>
        <rFont val="Arial"/>
        <family val="2"/>
      </rPr>
      <t>0.2,cr,c</t>
    </r>
  </si>
  <si>
    <r>
      <t xml:space="preserve"> σ </t>
    </r>
    <r>
      <rPr>
        <vertAlign val="subscript"/>
        <sz val="10"/>
        <color indexed="8"/>
        <rFont val="Arial"/>
        <family val="2"/>
      </rPr>
      <t>0.2,wa</t>
    </r>
  </si>
  <si>
    <r>
      <t xml:space="preserve"> σ</t>
    </r>
    <r>
      <rPr>
        <vertAlign val="subscript"/>
        <sz val="10"/>
        <color theme="1"/>
        <rFont val="Arial"/>
        <family val="2"/>
      </rPr>
      <t>0.2,mill</t>
    </r>
  </si>
  <si>
    <r>
      <t xml:space="preserve"> σ</t>
    </r>
    <r>
      <rPr>
        <vertAlign val="subscript"/>
        <sz val="10"/>
        <color indexed="8"/>
        <rFont val="Arial"/>
        <family val="2"/>
      </rPr>
      <t>0.,tets</t>
    </r>
  </si>
  <si>
    <t>I304-150</t>
  </si>
  <si>
    <t>I304-192</t>
  </si>
  <si>
    <t>I304-192-a</t>
  </si>
  <si>
    <t>I304-252</t>
  </si>
  <si>
    <t>I304-260</t>
  </si>
  <si>
    <t>I304-282</t>
  </si>
  <si>
    <t>I304-312</t>
  </si>
  <si>
    <t>I304-320</t>
  </si>
  <si>
    <t>I304-372</t>
  </si>
  <si>
    <t>I304-462</t>
  </si>
  <si>
    <t>I2205-150</t>
  </si>
  <si>
    <t>I2205-192-a</t>
  </si>
  <si>
    <t>I2205-200</t>
  </si>
  <si>
    <t>I2205-252</t>
  </si>
  <si>
    <t>I2205-372</t>
  </si>
  <si>
    <t>Yuan et al. (2012)</t>
  </si>
  <si>
    <t xml:space="preserve"> Measured material properties</t>
  </si>
  <si>
    <r>
      <t xml:space="preserve"> σ</t>
    </r>
    <r>
      <rPr>
        <vertAlign val="subscript"/>
        <sz val="10"/>
        <color theme="1"/>
        <rFont val="Arial"/>
        <family val="2"/>
      </rPr>
      <t>0.2,flange</t>
    </r>
  </si>
  <si>
    <r>
      <t>σ</t>
    </r>
    <r>
      <rPr>
        <vertAlign val="subscript"/>
        <sz val="10"/>
        <color theme="1"/>
        <rFont val="Arial"/>
        <family val="2"/>
      </rPr>
      <t>u,flange</t>
    </r>
  </si>
  <si>
    <r>
      <t xml:space="preserve"> σ</t>
    </r>
    <r>
      <rPr>
        <vertAlign val="subscript"/>
        <sz val="10"/>
        <color theme="1"/>
        <rFont val="Arial"/>
        <family val="2"/>
      </rPr>
      <t>0.2,web</t>
    </r>
  </si>
  <si>
    <r>
      <t>σ</t>
    </r>
    <r>
      <rPr>
        <vertAlign val="subscript"/>
        <sz val="10"/>
        <color theme="1"/>
        <rFont val="Arial"/>
        <family val="2"/>
      </rPr>
      <t>u,web</t>
    </r>
  </si>
  <si>
    <t>welded</t>
  </si>
  <si>
    <t>S304-130</t>
  </si>
  <si>
    <t>S304-200</t>
  </si>
  <si>
    <t>S304-300</t>
  </si>
  <si>
    <t>S304-350</t>
  </si>
  <si>
    <t>S2205-130</t>
  </si>
  <si>
    <t>S2205-300</t>
  </si>
  <si>
    <t>S2205-350</t>
  </si>
  <si>
    <r>
      <t>r</t>
    </r>
    <r>
      <rPr>
        <vertAlign val="subscript"/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/a</t>
    </r>
    <r>
      <rPr>
        <vertAlign val="subscript"/>
        <sz val="10"/>
        <color indexed="8"/>
        <rFont val="Arial"/>
        <family val="2"/>
      </rPr>
      <t>w</t>
    </r>
  </si>
  <si>
    <t>S304-400</t>
  </si>
  <si>
    <t>S2205-200</t>
  </si>
  <si>
    <t>S2205-400</t>
  </si>
  <si>
    <r>
      <t xml:space="preserve"> σ</t>
    </r>
    <r>
      <rPr>
        <vertAlign val="subscript"/>
        <sz val="10"/>
        <color indexed="8"/>
        <rFont val="Arial"/>
        <family val="2"/>
      </rPr>
      <t>u, mill</t>
    </r>
  </si>
  <si>
    <r>
      <t xml:space="preserve"> σ</t>
    </r>
    <r>
      <rPr>
        <vertAlign val="subscript"/>
        <sz val="10"/>
        <color indexed="8"/>
        <rFont val="Arial"/>
        <family val="2"/>
      </rPr>
      <t>u, test</t>
    </r>
  </si>
  <si>
    <r>
      <t xml:space="preserve"> σ'</t>
    </r>
    <r>
      <rPr>
        <vertAlign val="subscript"/>
        <sz val="10"/>
        <color indexed="8"/>
        <rFont val="Arial"/>
        <family val="2"/>
      </rPr>
      <t>u,f</t>
    </r>
  </si>
  <si>
    <r>
      <t xml:space="preserve"> σ '</t>
    </r>
    <r>
      <rPr>
        <vertAlign val="subscript"/>
        <sz val="10"/>
        <color indexed="8"/>
        <rFont val="Arial"/>
        <family val="2"/>
      </rPr>
      <t>0.2,pb,c</t>
    </r>
  </si>
  <si>
    <r>
      <t>M</t>
    </r>
    <r>
      <rPr>
        <vertAlign val="subscript"/>
        <sz val="10"/>
        <rFont val="Arial"/>
        <family val="2"/>
      </rPr>
      <t>max</t>
    </r>
  </si>
  <si>
    <r>
      <t>r</t>
    </r>
    <r>
      <rPr>
        <vertAlign val="subscript"/>
        <sz val="10"/>
        <rFont val="Arial"/>
        <family val="2"/>
      </rPr>
      <t>i</t>
    </r>
  </si>
  <si>
    <r>
      <t>A</t>
    </r>
    <r>
      <rPr>
        <vertAlign val="subscript"/>
        <sz val="10"/>
        <rFont val="Arial"/>
        <family val="2"/>
      </rPr>
      <t>g</t>
    </r>
  </si>
  <si>
    <r>
      <t>σ</t>
    </r>
    <r>
      <rPr>
        <vertAlign val="subscript"/>
        <sz val="10"/>
        <rFont val="Arial"/>
        <family val="2"/>
      </rPr>
      <t>0.2</t>
    </r>
  </si>
  <si>
    <r>
      <t>ε</t>
    </r>
    <r>
      <rPr>
        <vertAlign val="subscript"/>
        <sz val="10"/>
        <rFont val="Arial"/>
        <family val="2"/>
      </rPr>
      <t>0.2</t>
    </r>
  </si>
  <si>
    <r>
      <t>E</t>
    </r>
    <r>
      <rPr>
        <vertAlign val="subscript"/>
        <sz val="10"/>
        <rFont val="Arial"/>
        <family val="2"/>
      </rPr>
      <t>0</t>
    </r>
  </si>
  <si>
    <r>
      <t>mm</t>
    </r>
    <r>
      <rPr>
        <vertAlign val="superscript"/>
        <sz val="10"/>
        <rFont val="Arial"/>
        <family val="2"/>
      </rPr>
      <t>2</t>
    </r>
  </si>
  <si>
    <r>
      <t>N/mm</t>
    </r>
    <r>
      <rPr>
        <vertAlign val="superscript"/>
        <sz val="10"/>
        <rFont val="Arial"/>
        <family val="2"/>
      </rPr>
      <t>2</t>
    </r>
  </si>
  <si>
    <r>
      <t>σ</t>
    </r>
    <r>
      <rPr>
        <vertAlign val="subscript"/>
        <sz val="10"/>
        <rFont val="Arial"/>
        <family val="2"/>
      </rPr>
      <t>0.2/Eo</t>
    </r>
  </si>
  <si>
    <t>Real and Mirambell [1]</t>
  </si>
  <si>
    <t>3 pb Simply supported</t>
  </si>
  <si>
    <t>4 pb Simply supported</t>
  </si>
  <si>
    <t>Gardner andn Nethercot [4]</t>
  </si>
  <si>
    <t xml:space="preserve">4 pb Simply supported </t>
  </si>
  <si>
    <t>Gardner and Nethercot [4]</t>
  </si>
  <si>
    <t>3pb Simply supported</t>
  </si>
  <si>
    <t xml:space="preserve"> 4pb Simply supported</t>
  </si>
  <si>
    <t>Gardner and Theofanous [7]</t>
  </si>
  <si>
    <t>Theofanous and Gardner [9]</t>
  </si>
  <si>
    <t>Afshan and Gardner [10]</t>
  </si>
  <si>
    <t>3 pb and 4pb Simply supported</t>
  </si>
  <si>
    <r>
      <t>F</t>
    </r>
    <r>
      <rPr>
        <vertAlign val="subscript"/>
        <sz val="10"/>
        <color indexed="8"/>
        <rFont val="Arial"/>
        <family val="2"/>
      </rPr>
      <t>max</t>
    </r>
  </si>
  <si>
    <r>
      <t>t</t>
    </r>
    <r>
      <rPr>
        <vertAlign val="subscript"/>
        <sz val="10"/>
        <color indexed="8"/>
        <rFont val="Arial"/>
        <family val="2"/>
      </rPr>
      <t>w</t>
    </r>
  </si>
  <si>
    <r>
      <t>t</t>
    </r>
    <r>
      <rPr>
        <vertAlign val="subscript"/>
        <sz val="10"/>
        <color indexed="8"/>
        <rFont val="Arial"/>
        <family val="2"/>
      </rPr>
      <t>f</t>
    </r>
  </si>
  <si>
    <r>
      <t>c</t>
    </r>
    <r>
      <rPr>
        <vertAlign val="subscript"/>
        <sz val="10"/>
        <color indexed="8"/>
        <rFont val="Arial"/>
        <family val="2"/>
      </rPr>
      <t>f</t>
    </r>
  </si>
  <si>
    <r>
      <t>A</t>
    </r>
    <r>
      <rPr>
        <vertAlign val="subscript"/>
        <sz val="10"/>
        <color indexed="8"/>
        <rFont val="Arial"/>
        <family val="2"/>
      </rPr>
      <t>g</t>
    </r>
  </si>
  <si>
    <r>
      <t>σ</t>
    </r>
    <r>
      <rPr>
        <vertAlign val="subscript"/>
        <sz val="10"/>
        <color indexed="8"/>
        <rFont val="Arial"/>
        <family val="2"/>
      </rPr>
      <t>0.2,web</t>
    </r>
  </si>
  <si>
    <r>
      <t>σ</t>
    </r>
    <r>
      <rPr>
        <vertAlign val="subscript"/>
        <sz val="10"/>
        <color indexed="8"/>
        <rFont val="Arial"/>
        <family val="2"/>
      </rPr>
      <t>u,web</t>
    </r>
  </si>
  <si>
    <r>
      <t>E</t>
    </r>
    <r>
      <rPr>
        <vertAlign val="subscript"/>
        <sz val="10"/>
        <color indexed="8"/>
        <rFont val="Arial"/>
        <family val="2"/>
      </rPr>
      <t>web</t>
    </r>
  </si>
  <si>
    <r>
      <t>σ</t>
    </r>
    <r>
      <rPr>
        <vertAlign val="subscript"/>
        <sz val="10"/>
        <color indexed="8"/>
        <rFont val="Arial"/>
        <family val="2"/>
      </rPr>
      <t>0.2,flange</t>
    </r>
  </si>
  <si>
    <r>
      <t>σ</t>
    </r>
    <r>
      <rPr>
        <vertAlign val="subscript"/>
        <sz val="10"/>
        <color indexed="8"/>
        <rFont val="Arial"/>
        <family val="2"/>
      </rPr>
      <t>u,flange</t>
    </r>
  </si>
  <si>
    <r>
      <t>E</t>
    </r>
    <r>
      <rPr>
        <vertAlign val="subscript"/>
        <sz val="10"/>
        <color indexed="8"/>
        <rFont val="Arial"/>
        <family val="2"/>
      </rPr>
      <t>flange</t>
    </r>
  </si>
  <si>
    <r>
      <t>σ</t>
    </r>
    <r>
      <rPr>
        <vertAlign val="subscript"/>
        <sz val="10"/>
        <color indexed="8"/>
        <rFont val="Arial"/>
        <family val="2"/>
      </rPr>
      <t>u</t>
    </r>
  </si>
  <si>
    <r>
      <t>mm</t>
    </r>
    <r>
      <rPr>
        <vertAlign val="superscript"/>
        <sz val="10"/>
        <color indexed="8"/>
        <rFont val="Arial"/>
        <family val="2"/>
      </rPr>
      <t>2</t>
    </r>
  </si>
  <si>
    <t>Gardner and Saliba (2013)</t>
  </si>
  <si>
    <t>Saliba andn Gardner (2013)</t>
  </si>
  <si>
    <t>Simply supported, 3 point bending</t>
  </si>
  <si>
    <r>
      <t>M</t>
    </r>
    <r>
      <rPr>
        <vertAlign val="subscript"/>
        <sz val="10"/>
        <rFont val="Arial"/>
        <family val="2"/>
      </rPr>
      <t>bucling</t>
    </r>
  </si>
  <si>
    <t>n</t>
  </si>
  <si>
    <r>
      <t>n</t>
    </r>
    <r>
      <rPr>
        <vertAlign val="subscript"/>
        <sz val="10"/>
        <color indexed="8"/>
        <rFont val="Arial"/>
        <family val="2"/>
      </rPr>
      <t>web</t>
    </r>
  </si>
  <si>
    <r>
      <t>n</t>
    </r>
    <r>
      <rPr>
        <vertAlign val="subscript"/>
        <sz val="10"/>
        <color indexed="8"/>
        <rFont val="Arial"/>
        <family val="2"/>
      </rPr>
      <t>flange</t>
    </r>
  </si>
  <si>
    <r>
      <t>M</t>
    </r>
    <r>
      <rPr>
        <b/>
        <sz val="4"/>
        <color rgb="FF2E2E2E"/>
        <rFont val="Georgia"/>
        <family val="1"/>
      </rPr>
      <t>pl</t>
    </r>
  </si>
  <si>
    <r>
      <t>Curvature</t>
    </r>
    <r>
      <rPr>
        <b/>
        <sz val="4"/>
        <color rgb="FF2E2E2E"/>
        <rFont val="Georgia"/>
        <family val="1"/>
      </rPr>
      <t>pl</t>
    </r>
  </si>
  <si>
    <t>no data</t>
  </si>
  <si>
    <r>
      <t>Model M</t>
    </r>
    <r>
      <rPr>
        <vertAlign val="subscript"/>
        <sz val="10"/>
        <rFont val="Arial"/>
        <family val="2"/>
      </rPr>
      <t>bucling</t>
    </r>
  </si>
  <si>
    <t>Bending type</t>
  </si>
  <si>
    <t>Shape</t>
  </si>
  <si>
    <t>r/a</t>
  </si>
  <si>
    <t>t flange</t>
  </si>
  <si>
    <t>c</t>
  </si>
  <si>
    <t>t/t web</t>
  </si>
  <si>
    <t>Eel</t>
  </si>
  <si>
    <t>v</t>
  </si>
  <si>
    <t>k</t>
  </si>
  <si>
    <t>Y/N</t>
  </si>
  <si>
    <t>Cold rolled</t>
  </si>
  <si>
    <t>Completed (Y/N)</t>
  </si>
  <si>
    <t>RHS</t>
  </si>
  <si>
    <t>Y</t>
  </si>
  <si>
    <r>
      <t>σ</t>
    </r>
    <r>
      <rPr>
        <b/>
        <vertAlign val="subscript"/>
        <sz val="10"/>
        <rFont val="Arial"/>
        <family val="2"/>
      </rPr>
      <t>0.2</t>
    </r>
  </si>
  <si>
    <r>
      <rPr>
        <b/>
        <sz val="10"/>
        <color indexed="8"/>
        <rFont val="Arial"/>
        <family val="2"/>
      </rPr>
      <t>σ</t>
    </r>
    <r>
      <rPr>
        <b/>
        <vertAlign val="subscript"/>
        <sz val="10"/>
        <color indexed="8"/>
        <rFont val="Arial"/>
        <family val="2"/>
      </rPr>
      <t xml:space="preserve">u </t>
    </r>
  </si>
  <si>
    <r>
      <t>σ</t>
    </r>
    <r>
      <rPr>
        <b/>
        <vertAlign val="subscript"/>
        <sz val="10"/>
        <rFont val="Arial"/>
        <family val="2"/>
      </rPr>
      <t>0.3</t>
    </r>
    <r>
      <rPr>
        <sz val="11"/>
        <color theme="1"/>
        <rFont val="Calibri"/>
        <family val="2"/>
        <scheme val="minor"/>
      </rPr>
      <t/>
    </r>
  </si>
  <si>
    <t>M Ult</t>
  </si>
  <si>
    <t>M Buckling</t>
  </si>
  <si>
    <t>Mpl</t>
  </si>
  <si>
    <t>Experimental</t>
  </si>
  <si>
    <t>Type</t>
  </si>
  <si>
    <t>Program</t>
  </si>
  <si>
    <t>Local</t>
  </si>
  <si>
    <t>I Beam</t>
  </si>
  <si>
    <t>Material properties Flat/Web</t>
  </si>
  <si>
    <t>Material properties Corner/Flange</t>
  </si>
  <si>
    <t>Afshan and Gardner [1]</t>
  </si>
  <si>
    <t>Gardner and Saliba (2013) [2]</t>
  </si>
  <si>
    <t>Shenggang Fan [3]</t>
  </si>
  <si>
    <t>channel</t>
  </si>
  <si>
    <t>C400×90×20×2.0</t>
  </si>
  <si>
    <t>C300×80×20×2.0</t>
  </si>
  <si>
    <t>C250×50×20×2.0</t>
  </si>
  <si>
    <t>Close to distortional</t>
  </si>
  <si>
    <t>V close to Local</t>
  </si>
  <si>
    <t>Local bucckling of 10.32 for L&lt;1300mm</t>
  </si>
  <si>
    <t>Max stress</t>
  </si>
  <si>
    <t>Et</t>
  </si>
  <si>
    <t>excluding corners</t>
  </si>
  <si>
    <t>Including corners</t>
  </si>
  <si>
    <t>Material</t>
  </si>
  <si>
    <t>Stainless Steel</t>
  </si>
  <si>
    <t>H70  55  4.2B4</t>
  </si>
  <si>
    <t>H55  70  4.2B4</t>
  </si>
  <si>
    <t>H95  50  10.5B4</t>
  </si>
  <si>
    <t>H50  95  10.5B4</t>
  </si>
  <si>
    <t>H64  64  3.0B4</t>
  </si>
  <si>
    <t>H120  120  9.0B4</t>
  </si>
  <si>
    <t>H120  70  10.5B4</t>
  </si>
  <si>
    <t>H70  120  10.5B4</t>
  </si>
  <si>
    <t>H64  64  3.0B4-R</t>
  </si>
  <si>
    <t>H70  55  4.2B4-R</t>
  </si>
  <si>
    <t>H55  70  4.2B4-R</t>
  </si>
  <si>
    <t>N50  95  10.5B4</t>
  </si>
  <si>
    <t>N120  70  10.5B4</t>
  </si>
  <si>
    <t>N70  120  10.5B4</t>
  </si>
  <si>
    <t>N120  120  9.0B4</t>
  </si>
  <si>
    <t>N</t>
  </si>
  <si>
    <t>Extrusion</t>
  </si>
  <si>
    <t>7.277887585994226 [[526.9743653057897, 1010.293143877519], [605.8741758184858, 5224.003976821317]]</t>
  </si>
  <si>
    <t>Gardner and Saliba (2013) [4]</t>
  </si>
  <si>
    <t>Mbuckling/Mtheory</t>
  </si>
  <si>
    <t>Mcr</t>
  </si>
  <si>
    <t>Mult/Mth</t>
  </si>
  <si>
    <t>Aluminium</t>
  </si>
  <si>
    <t>λ_bar_p</t>
  </si>
  <si>
    <r>
      <t>σ</t>
    </r>
    <r>
      <rPr>
        <vertAlign val="subscript"/>
        <sz val="10"/>
        <color theme="1"/>
        <rFont val="Arial"/>
        <family val="2"/>
      </rPr>
      <t>cr,CUFSM</t>
    </r>
  </si>
  <si>
    <r>
      <t>(c</t>
    </r>
    <r>
      <rPr>
        <vertAlign val="subscript"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/c</t>
    </r>
    <r>
      <rPr>
        <vertAlign val="subscript"/>
        <sz val="10"/>
        <color theme="1"/>
        <rFont val="Arial"/>
        <family val="2"/>
      </rPr>
      <t>cl</t>
    </r>
    <r>
      <rPr>
        <sz val="10"/>
        <color theme="1"/>
        <rFont val="Arial"/>
        <family val="2"/>
      </rPr>
      <t>)</t>
    </r>
    <r>
      <rPr>
        <vertAlign val="subscript"/>
        <sz val="10"/>
        <color theme="1"/>
        <rFont val="Arial"/>
        <family val="2"/>
      </rPr>
      <t>max</t>
    </r>
  </si>
  <si>
    <t>Mcsm</t>
  </si>
  <si>
    <t>εcsm/εy</t>
  </si>
  <si>
    <t>Curvature</t>
  </si>
  <si>
    <t>local</t>
  </si>
  <si>
    <t>C</t>
  </si>
  <si>
    <t>(</t>
  </si>
  <si>
    <t>,</t>
  </si>
  <si>
    <t>)</t>
  </si>
  <si>
    <t>S2205-401</t>
  </si>
  <si>
    <t>L, shape = "channel", b = 45, d = 125, r = 0.1, t_flange = 1.524, t_web = 1.524, c = 15, Eel = 203000, spr = 3280000000, n = 7.5, v = 0.3, k = -0.46, sg = sg</t>
  </si>
  <si>
    <t>Fbuck</t>
  </si>
  <si>
    <t>maxstress</t>
  </si>
  <si>
    <t>strain</t>
  </si>
  <si>
    <t>type</t>
  </si>
  <si>
    <t>Fexural</t>
  </si>
  <si>
    <t>r</t>
  </si>
  <si>
    <t>Et/E</t>
  </si>
  <si>
    <t>M E3</t>
  </si>
  <si>
    <t>cuvature</t>
  </si>
  <si>
    <t>**</t>
  </si>
  <si>
    <t>cuvature ratio</t>
  </si>
  <si>
    <t>curvatur</t>
  </si>
  <si>
    <t>Flexural</t>
  </si>
  <si>
    <t>d</t>
  </si>
  <si>
    <t>lamda</t>
  </si>
  <si>
    <t>lip</t>
  </si>
  <si>
    <t>e</t>
  </si>
  <si>
    <t>p</t>
  </si>
  <si>
    <t>flange</t>
  </si>
  <si>
    <t>web</t>
  </si>
  <si>
    <t>I</t>
  </si>
  <si>
    <t>Aluminum</t>
  </si>
  <si>
    <t>CSM</t>
  </si>
  <si>
    <t>FSM</t>
  </si>
  <si>
    <t>E3</t>
  </si>
  <si>
    <t>Fu/Ft</t>
  </si>
  <si>
    <t>Fu/FCMS</t>
  </si>
  <si>
    <t>Fu/FE3</t>
  </si>
  <si>
    <t>Force</t>
  </si>
  <si>
    <t>NA</t>
  </si>
  <si>
    <t>actul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</si>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</sst>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E+00"/>
    <numFmt numFmtId="170" formatCode="0.000000000"/>
    <numFmt numFmtId="171" formatCode="0.0000000"/>
    <numFmt numFmtId="172" formatCode="0.00000000"/>
    <numFmt numFmtId="173" formatCode="0.0000000000"/>
    <numFmt numFmtId="174" formatCode="0.00000000000"/>
  </numFmts>
  <fonts count="4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b/>
      <vertAlign val="subscript"/>
      <sz val="10"/>
      <color indexed="12"/>
      <name val="Arial"/>
      <family val="2"/>
    </font>
    <font>
      <vertAlign val="subscript"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rgb="FFCC0099"/>
      <name val="Arial"/>
      <family val="2"/>
    </font>
    <font>
      <b/>
      <sz val="10"/>
      <color rgb="FFCC0099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DE1CC7"/>
      <name val="Arial"/>
      <family val="2"/>
    </font>
    <font>
      <b/>
      <sz val="10"/>
      <color rgb="FFFF669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1B11DF"/>
      <name val="Arial"/>
      <family val="2"/>
    </font>
    <font>
      <b/>
      <sz val="10"/>
      <color rgb="FFD60093"/>
      <name val="Arial"/>
      <family val="2"/>
    </font>
    <font>
      <b/>
      <sz val="10"/>
      <color indexed="8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Arial"/>
      <family val="2"/>
    </font>
    <font>
      <b/>
      <u/>
      <sz val="11"/>
      <color indexed="12"/>
      <name val="Arial"/>
      <family val="2"/>
    </font>
    <font>
      <sz val="11"/>
      <name val="Arial"/>
      <family val="2"/>
    </font>
    <font>
      <b/>
      <sz val="11"/>
      <color rgb="FF0000FF"/>
      <name val="Arial"/>
      <family val="2"/>
    </font>
    <font>
      <sz val="10"/>
      <color rgb="FF0000FF"/>
      <name val="Arial"/>
      <family val="2"/>
    </font>
    <font>
      <sz val="10"/>
      <color rgb="FFFF0066"/>
      <name val="Arial"/>
      <family val="2"/>
    </font>
    <font>
      <b/>
      <sz val="10"/>
      <color rgb="FF00B05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color indexed="12"/>
      <name val="Arial"/>
      <family val="2"/>
    </font>
    <font>
      <b/>
      <u/>
      <sz val="10"/>
      <color rgb="FF0000FF"/>
      <name val="Arial"/>
      <family val="2"/>
    </font>
    <font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5"/>
      <color rgb="FF2E2E2E"/>
      <name val="Georgia"/>
      <family val="1"/>
    </font>
    <font>
      <b/>
      <sz val="4"/>
      <color rgb="FF2E2E2E"/>
      <name val="Georgia"/>
      <family val="1"/>
    </font>
    <font>
      <sz val="8"/>
      <name val="Calibri"/>
      <family val="2"/>
      <scheme val="minor"/>
    </font>
    <font>
      <b/>
      <vertAlign val="subscript"/>
      <sz val="10"/>
      <name val="Arial"/>
      <family val="2"/>
    </font>
    <font>
      <b/>
      <vertAlign val="subscript"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</fills>
  <borders count="7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4">
    <xf numFmtId="0" fontId="0" fillId="0" borderId="0"/>
    <xf numFmtId="0" fontId="8" fillId="0" borderId="0">
      <alignment horizontal="center" vertical="center"/>
    </xf>
    <xf numFmtId="0" fontId="26" fillId="6" borderId="0" applyNumberFormat="0" applyBorder="0" applyAlignment="0" applyProtection="0"/>
    <xf numFmtId="0" fontId="36" fillId="0" borderId="11">
      <alignment horizontal="left" vertical="center"/>
    </xf>
  </cellStyleXfs>
  <cellXfs count="1790">
    <xf numFmtId="0" fontId="0" fillId="0" borderId="0" xfId="0"/>
    <xf numFmtId="0" fontId="1" fillId="0" borderId="48" xfId="0" applyFont="1" applyBorder="1" applyAlignment="1">
      <alignment horizontal="center" vertical="center" wrapText="1"/>
    </xf>
    <xf numFmtId="2" fontId="1" fillId="0" borderId="21" xfId="0" applyNumberFormat="1" applyFont="1" applyFill="1" applyBorder="1" applyAlignment="1">
      <alignment horizontal="center" vertical="center"/>
    </xf>
    <xf numFmtId="2" fontId="1" fillId="0" borderId="30" xfId="0" applyNumberFormat="1" applyFont="1" applyFill="1" applyBorder="1" applyAlignment="1">
      <alignment horizontal="center" vertical="center"/>
    </xf>
    <xf numFmtId="2" fontId="1" fillId="0" borderId="2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1" fontId="1" fillId="0" borderId="29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164" fontId="1" fillId="0" borderId="39" xfId="0" applyNumberFormat="1" applyFont="1" applyFill="1" applyBorder="1" applyAlignment="1">
      <alignment horizontal="center" vertical="center"/>
    </xf>
    <xf numFmtId="2" fontId="1" fillId="0" borderId="39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1" applyFont="1" applyBorder="1" applyAlignment="1">
      <alignment vertical="center"/>
    </xf>
    <xf numFmtId="0" fontId="1" fillId="0" borderId="29" xfId="0" applyFont="1" applyFill="1" applyBorder="1" applyAlignment="1">
      <alignment horizontal="center" vertical="center" wrapText="1"/>
    </xf>
    <xf numFmtId="2" fontId="1" fillId="0" borderId="7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12" xfId="0" applyNumberFormat="1" applyFont="1" applyFill="1" applyBorder="1" applyAlignment="1">
      <alignment horizontal="center" vertical="center" wrapText="1"/>
    </xf>
    <xf numFmtId="1" fontId="1" fillId="0" borderId="22" xfId="0" applyNumberFormat="1" applyFont="1" applyFill="1" applyBorder="1" applyAlignment="1">
      <alignment horizontal="center" vertical="center" wrapText="1"/>
    </xf>
    <xf numFmtId="1" fontId="1" fillId="0" borderId="23" xfId="0" applyNumberFormat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2" fontId="1" fillId="0" borderId="3" xfId="1" applyNumberFormat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2" fontId="1" fillId="0" borderId="12" xfId="1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24" xfId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21" xfId="0" applyNumberFormat="1" applyFont="1" applyBorder="1" applyAlignment="1">
      <alignment horizontal="center" vertical="center" wrapText="1"/>
    </xf>
    <xf numFmtId="2" fontId="1" fillId="0" borderId="2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 wrapText="1"/>
    </xf>
    <xf numFmtId="1" fontId="1" fillId="0" borderId="21" xfId="0" applyNumberFormat="1" applyFont="1" applyBorder="1" applyAlignment="1">
      <alignment horizontal="center" vertical="center" wrapText="1"/>
    </xf>
    <xf numFmtId="1" fontId="1" fillId="0" borderId="23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2" fontId="1" fillId="0" borderId="30" xfId="0" applyNumberFormat="1" applyFont="1" applyBorder="1" applyAlignment="1">
      <alignment horizontal="center" vertical="center"/>
    </xf>
    <xf numFmtId="164" fontId="1" fillId="0" borderId="48" xfId="0" applyNumberFormat="1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50" xfId="0" applyNumberFormat="1" applyFont="1" applyFill="1" applyBorder="1" applyAlignment="1">
      <alignment horizontal="center" vertical="center" wrapText="1"/>
    </xf>
    <xf numFmtId="1" fontId="1" fillId="0" borderId="29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1" fontId="1" fillId="0" borderId="42" xfId="0" applyNumberFormat="1" applyFont="1" applyFill="1" applyBorder="1" applyAlignment="1">
      <alignment horizontal="center" vertical="center" wrapText="1"/>
    </xf>
    <xf numFmtId="1" fontId="1" fillId="0" borderId="24" xfId="0" applyNumberFormat="1" applyFont="1" applyBorder="1" applyAlignment="1">
      <alignment horizontal="center" vertical="center" wrapText="1"/>
    </xf>
    <xf numFmtId="1" fontId="1" fillId="0" borderId="48" xfId="0" applyNumberFormat="1" applyFont="1" applyFill="1" applyBorder="1" applyAlignment="1">
      <alignment horizontal="center" vertical="center" wrapText="1"/>
    </xf>
    <xf numFmtId="1" fontId="1" fillId="0" borderId="51" xfId="0" applyNumberFormat="1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51" xfId="0" applyNumberFormat="1" applyFont="1" applyFill="1" applyBorder="1" applyAlignment="1">
      <alignment horizontal="center" vertical="center"/>
    </xf>
    <xf numFmtId="164" fontId="2" fillId="0" borderId="63" xfId="0" applyNumberFormat="1" applyFont="1" applyFill="1" applyBorder="1" applyAlignment="1">
      <alignment horizontal="center" vertical="center"/>
    </xf>
    <xf numFmtId="164" fontId="2" fillId="0" borderId="15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  <xf numFmtId="165" fontId="1" fillId="0" borderId="15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165" fontId="1" fillId="0" borderId="57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2" fontId="8" fillId="0" borderId="27" xfId="0" applyNumberFormat="1" applyFont="1" applyFill="1" applyBorder="1" applyAlignment="1">
      <alignment horizontal="center" vertical="center"/>
    </xf>
    <xf numFmtId="2" fontId="8" fillId="0" borderId="28" xfId="0" applyNumberFormat="1" applyFont="1" applyFill="1" applyBorder="1" applyAlignment="1">
      <alignment horizontal="center" vertical="center"/>
    </xf>
    <xf numFmtId="2" fontId="1" fillId="0" borderId="49" xfId="0" applyNumberFormat="1" applyFont="1" applyFill="1" applyBorder="1" applyAlignment="1">
      <alignment horizontal="center" vertical="center"/>
    </xf>
    <xf numFmtId="2" fontId="8" fillId="0" borderId="9" xfId="0" applyNumberFormat="1" applyFont="1" applyFill="1" applyBorder="1" applyAlignment="1">
      <alignment horizontal="center" vertical="center"/>
    </xf>
    <xf numFmtId="1" fontId="1" fillId="0" borderId="42" xfId="0" applyNumberFormat="1" applyFont="1" applyBorder="1" applyAlignment="1">
      <alignment horizontal="center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164" fontId="2" fillId="0" borderId="17" xfId="1" applyNumberFormat="1" applyFont="1" applyBorder="1" applyAlignment="1">
      <alignment horizontal="center" vertical="center" wrapText="1"/>
    </xf>
    <xf numFmtId="165" fontId="1" fillId="0" borderId="15" xfId="0" applyNumberFormat="1" applyFont="1" applyFill="1" applyBorder="1" applyAlignment="1">
      <alignment horizontal="center" vertical="center" wrapText="1"/>
    </xf>
    <xf numFmtId="165" fontId="1" fillId="0" borderId="18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29" xfId="0" applyNumberFormat="1" applyFont="1" applyFill="1" applyBorder="1" applyAlignment="1">
      <alignment horizontal="center" vertical="center"/>
    </xf>
    <xf numFmtId="164" fontId="2" fillId="0" borderId="55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1" fillId="0" borderId="21" xfId="0" applyNumberFormat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35" xfId="1" applyFont="1" applyBorder="1" applyAlignment="1">
      <alignment horizontal="left" vertical="center" wrapText="1"/>
    </xf>
    <xf numFmtId="0" fontId="1" fillId="0" borderId="16" xfId="1" applyFont="1" applyBorder="1" applyAlignment="1">
      <alignment horizontal="left" vertical="center" wrapText="1"/>
    </xf>
    <xf numFmtId="0" fontId="1" fillId="0" borderId="19" xfId="1" applyFont="1" applyBorder="1" applyAlignment="1">
      <alignment horizontal="left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vertical="center"/>
    </xf>
    <xf numFmtId="1" fontId="1" fillId="0" borderId="57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2" fontId="13" fillId="0" borderId="27" xfId="0" applyNumberFormat="1" applyFont="1" applyFill="1" applyBorder="1" applyAlignment="1">
      <alignment horizontal="center" vertical="center"/>
    </xf>
    <xf numFmtId="2" fontId="13" fillId="0" borderId="0" xfId="0" applyNumberFormat="1" applyFont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165" fontId="13" fillId="0" borderId="29" xfId="0" applyNumberFormat="1" applyFont="1" applyBorder="1" applyAlignment="1">
      <alignment horizontal="center" vertical="center"/>
    </xf>
    <xf numFmtId="165" fontId="13" fillId="0" borderId="14" xfId="0" applyNumberFormat="1" applyFont="1" applyBorder="1" applyAlignment="1">
      <alignment horizontal="center" vertical="center"/>
    </xf>
    <xf numFmtId="165" fontId="13" fillId="0" borderId="35" xfId="0" applyNumberFormat="1" applyFont="1" applyBorder="1" applyAlignment="1">
      <alignment horizontal="center" vertical="center"/>
    </xf>
    <xf numFmtId="165" fontId="13" fillId="0" borderId="34" xfId="0" applyNumberFormat="1" applyFont="1" applyBorder="1" applyAlignment="1">
      <alignment horizontal="center" vertical="center"/>
    </xf>
    <xf numFmtId="2" fontId="13" fillId="0" borderId="29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2" fontId="13" fillId="0" borderId="27" xfId="0" applyNumberFormat="1" applyFont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165" fontId="13" fillId="0" borderId="0" xfId="0" applyNumberFormat="1" applyFont="1" applyBorder="1" applyAlignment="1">
      <alignment horizontal="center" vertical="center"/>
    </xf>
    <xf numFmtId="165" fontId="13" fillId="0" borderId="9" xfId="0" applyNumberFormat="1" applyFont="1" applyBorder="1" applyAlignment="1">
      <alignment horizontal="center" vertical="center"/>
    </xf>
    <xf numFmtId="165" fontId="13" fillId="0" borderId="27" xfId="0" applyNumberFormat="1" applyFont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13" fillId="0" borderId="12" xfId="0" applyNumberFormat="1" applyFont="1" applyBorder="1" applyAlignment="1">
      <alignment horizontal="center" vertical="center"/>
    </xf>
    <xf numFmtId="166" fontId="13" fillId="0" borderId="12" xfId="0" applyNumberFormat="1" applyFont="1" applyBorder="1" applyAlignment="1">
      <alignment horizontal="center" vertical="center"/>
    </xf>
    <xf numFmtId="165" fontId="13" fillId="0" borderId="12" xfId="0" applyNumberFormat="1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 vertical="center"/>
    </xf>
    <xf numFmtId="165" fontId="13" fillId="0" borderId="55" xfId="0" applyNumberFormat="1" applyFont="1" applyBorder="1" applyAlignment="1">
      <alignment horizontal="center" vertical="center"/>
    </xf>
    <xf numFmtId="165" fontId="13" fillId="0" borderId="28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12" xfId="0" applyNumberFormat="1" applyFont="1" applyFill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166" fontId="13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65" fontId="13" fillId="0" borderId="7" xfId="0" applyNumberFormat="1" applyFont="1" applyBorder="1" applyAlignment="1">
      <alignment horizontal="center" vertical="center"/>
    </xf>
    <xf numFmtId="165" fontId="13" fillId="0" borderId="26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2" fontId="13" fillId="0" borderId="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165" fontId="13" fillId="0" borderId="0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1" fontId="1" fillId="0" borderId="21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2" fontId="1" fillId="0" borderId="29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 wrapText="1"/>
    </xf>
    <xf numFmtId="2" fontId="1" fillId="0" borderId="40" xfId="0" applyNumberFormat="1" applyFont="1" applyFill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166" fontId="13" fillId="0" borderId="29" xfId="0" applyNumberFormat="1" applyFont="1" applyBorder="1" applyAlignment="1">
      <alignment horizontal="center" vertical="center"/>
    </xf>
    <xf numFmtId="167" fontId="13" fillId="0" borderId="0" xfId="0" applyNumberFormat="1" applyFont="1" applyBorder="1" applyAlignment="1">
      <alignment horizontal="center" vertical="center"/>
    </xf>
    <xf numFmtId="2" fontId="1" fillId="0" borderId="4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 wrapText="1"/>
    </xf>
    <xf numFmtId="2" fontId="1" fillId="0" borderId="12" xfId="0" applyNumberFormat="1" applyFont="1" applyBorder="1" applyAlignment="1">
      <alignment horizontal="center" vertical="center"/>
    </xf>
    <xf numFmtId="2" fontId="1" fillId="0" borderId="37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5" fontId="1" fillId="0" borderId="12" xfId="0" applyNumberFormat="1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left" vertical="center" wrapText="1"/>
    </xf>
    <xf numFmtId="165" fontId="13" fillId="0" borderId="29" xfId="0" applyNumberFormat="1" applyFont="1" applyFill="1" applyBorder="1" applyAlignment="1">
      <alignment horizontal="center" vertical="center"/>
    </xf>
    <xf numFmtId="165" fontId="13" fillId="0" borderId="14" xfId="0" applyNumberFormat="1" applyFont="1" applyFill="1" applyBorder="1" applyAlignment="1">
      <alignment horizontal="center" vertical="center"/>
    </xf>
    <xf numFmtId="2" fontId="13" fillId="0" borderId="30" xfId="0" applyNumberFormat="1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165" fontId="13" fillId="0" borderId="16" xfId="0" applyNumberFormat="1" applyFont="1" applyFill="1" applyBorder="1" applyAlignment="1">
      <alignment horizontal="center" vertical="center"/>
    </xf>
    <xf numFmtId="165" fontId="13" fillId="0" borderId="9" xfId="0" applyNumberFormat="1" applyFont="1" applyFill="1" applyBorder="1" applyAlignment="1">
      <alignment horizontal="center" vertical="center"/>
    </xf>
    <xf numFmtId="2" fontId="13" fillId="0" borderId="21" xfId="0" applyNumberFormat="1" applyFont="1" applyFill="1" applyBorder="1" applyAlignment="1">
      <alignment horizontal="center" vertical="center"/>
    </xf>
    <xf numFmtId="166" fontId="13" fillId="0" borderId="0" xfId="0" applyNumberFormat="1" applyFont="1" applyFill="1" applyBorder="1" applyAlignment="1">
      <alignment horizontal="center" vertical="center"/>
    </xf>
    <xf numFmtId="165" fontId="13" fillId="0" borderId="12" xfId="0" applyNumberFormat="1" applyFont="1" applyFill="1" applyBorder="1" applyAlignment="1">
      <alignment horizontal="center" vertical="center"/>
    </xf>
    <xf numFmtId="165" fontId="13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165" fontId="13" fillId="0" borderId="7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/>
    </xf>
    <xf numFmtId="0" fontId="13" fillId="0" borderId="5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left" vertical="center" wrapText="1"/>
    </xf>
    <xf numFmtId="164" fontId="13" fillId="0" borderId="48" xfId="0" applyNumberFormat="1" applyFont="1" applyBorder="1" applyAlignment="1">
      <alignment horizontal="center" vertical="center"/>
    </xf>
    <xf numFmtId="165" fontId="13" fillId="0" borderId="48" xfId="0" applyNumberFormat="1" applyFont="1" applyBorder="1" applyAlignment="1">
      <alignment horizontal="center" vertical="center"/>
    </xf>
    <xf numFmtId="165" fontId="13" fillId="0" borderId="51" xfId="0" applyNumberFormat="1" applyFont="1" applyBorder="1" applyAlignment="1">
      <alignment horizontal="center" vertical="center"/>
    </xf>
    <xf numFmtId="2" fontId="13" fillId="0" borderId="48" xfId="0" applyNumberFormat="1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166" fontId="13" fillId="0" borderId="4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164" fontId="13" fillId="0" borderId="29" xfId="0" applyNumberFormat="1" applyFont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165" fontId="13" fillId="0" borderId="12" xfId="0" applyNumberFormat="1" applyFont="1" applyFill="1" applyBorder="1" applyAlignment="1">
      <alignment horizontal="center"/>
    </xf>
    <xf numFmtId="2" fontId="1" fillId="0" borderId="28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3" fillId="0" borderId="3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2" fontId="1" fillId="0" borderId="27" xfId="0" applyNumberFormat="1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164" fontId="13" fillId="0" borderId="29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12" xfId="0" applyNumberFormat="1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/>
    </xf>
    <xf numFmtId="164" fontId="13" fillId="0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 wrapText="1"/>
    </xf>
    <xf numFmtId="2" fontId="1" fillId="0" borderId="30" xfId="0" applyNumberFormat="1" applyFont="1" applyBorder="1" applyAlignment="1">
      <alignment horizontal="center" vertical="center" wrapText="1"/>
    </xf>
    <xf numFmtId="165" fontId="13" fillId="0" borderId="21" xfId="0" applyNumberFormat="1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 wrapText="1"/>
    </xf>
    <xf numFmtId="165" fontId="13" fillId="0" borderId="16" xfId="0" applyNumberFormat="1" applyFont="1" applyFill="1" applyBorder="1" applyAlignment="1">
      <alignment horizontal="center"/>
    </xf>
    <xf numFmtId="1" fontId="8" fillId="0" borderId="21" xfId="0" applyNumberFormat="1" applyFont="1" applyFill="1" applyBorder="1" applyAlignment="1">
      <alignment horizontal="center" vertical="center"/>
    </xf>
    <xf numFmtId="1" fontId="8" fillId="0" borderId="3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/>
    </xf>
    <xf numFmtId="165" fontId="13" fillId="0" borderId="7" xfId="0" applyNumberFormat="1" applyFont="1" applyFill="1" applyBorder="1" applyAlignment="1">
      <alignment horizontal="center"/>
    </xf>
    <xf numFmtId="164" fontId="13" fillId="0" borderId="21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/>
    </xf>
    <xf numFmtId="0" fontId="13" fillId="0" borderId="12" xfId="0" applyFont="1" applyFill="1" applyBorder="1"/>
    <xf numFmtId="164" fontId="13" fillId="0" borderId="12" xfId="0" applyNumberFormat="1" applyFont="1" applyFill="1" applyBorder="1" applyAlignment="1">
      <alignment horizontal="center"/>
    </xf>
    <xf numFmtId="164" fontId="13" fillId="0" borderId="7" xfId="0" applyNumberFormat="1" applyFont="1" applyFill="1" applyBorder="1" applyAlignment="1">
      <alignment horizontal="center"/>
    </xf>
    <xf numFmtId="2" fontId="8" fillId="0" borderId="51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0" fontId="13" fillId="0" borderId="7" xfId="0" applyFont="1" applyFill="1" applyBorder="1"/>
    <xf numFmtId="165" fontId="13" fillId="0" borderId="19" xfId="0" applyNumberFormat="1" applyFont="1" applyFill="1" applyBorder="1" applyAlignment="1">
      <alignment horizontal="center"/>
    </xf>
    <xf numFmtId="2" fontId="13" fillId="2" borderId="0" xfId="0" applyNumberFormat="1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2" fontId="1" fillId="0" borderId="21" xfId="0" applyNumberFormat="1" applyFont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0" borderId="9" xfId="0" applyNumberFormat="1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55" xfId="0" applyNumberFormat="1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165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8" fillId="0" borderId="0" xfId="0" applyFont="1" applyAlignment="1">
      <alignment horizontal="left" vertical="center"/>
    </xf>
    <xf numFmtId="2" fontId="2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center"/>
    </xf>
    <xf numFmtId="0" fontId="9" fillId="0" borderId="0" xfId="0" applyFont="1" applyBorder="1"/>
    <xf numFmtId="0" fontId="9" fillId="0" borderId="0" xfId="0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30" fillId="0" borderId="0" xfId="0" applyFont="1" applyBorder="1" applyAlignment="1"/>
    <xf numFmtId="0" fontId="30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1" fontId="1" fillId="0" borderId="6" xfId="0" applyNumberFormat="1" applyFont="1" applyFill="1" applyBorder="1" applyAlignment="1">
      <alignment horizontal="center" vertical="center" wrapText="1"/>
    </xf>
    <xf numFmtId="2" fontId="1" fillId="0" borderId="1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165" fontId="13" fillId="0" borderId="0" xfId="0" applyNumberFormat="1" applyFont="1" applyFill="1" applyBorder="1" applyAlignment="1">
      <alignment horizontal="left" vertical="center"/>
    </xf>
    <xf numFmtId="2" fontId="13" fillId="0" borderId="40" xfId="0" applyNumberFormat="1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vertical="center"/>
    </xf>
    <xf numFmtId="0" fontId="13" fillId="0" borderId="29" xfId="0" applyFont="1" applyFill="1" applyBorder="1" applyAlignment="1">
      <alignment horizontal="center" vertical="center"/>
    </xf>
    <xf numFmtId="2" fontId="13" fillId="0" borderId="34" xfId="0" applyNumberFormat="1" applyFont="1" applyFill="1" applyBorder="1" applyAlignment="1">
      <alignment horizontal="center" vertical="center"/>
    </xf>
    <xf numFmtId="2" fontId="13" fillId="0" borderId="41" xfId="0" applyNumberFormat="1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/>
    </xf>
    <xf numFmtId="1" fontId="1" fillId="7" borderId="29" xfId="0" applyNumberFormat="1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2" fontId="13" fillId="7" borderId="29" xfId="0" applyNumberFormat="1" applyFont="1" applyFill="1" applyBorder="1" applyAlignment="1">
      <alignment horizontal="center" vertical="center"/>
    </xf>
    <xf numFmtId="1" fontId="1" fillId="7" borderId="30" xfId="0" applyNumberFormat="1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165" fontId="13" fillId="7" borderId="29" xfId="0" applyNumberFormat="1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165" fontId="13" fillId="7" borderId="0" xfId="0" applyNumberFormat="1" applyFont="1" applyFill="1" applyBorder="1" applyAlignment="1">
      <alignment horizontal="center" vertical="center"/>
    </xf>
    <xf numFmtId="2" fontId="13" fillId="7" borderId="0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164" fontId="2" fillId="7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2" fontId="13" fillId="7" borderId="12" xfId="0" applyNumberFormat="1" applyFont="1" applyFill="1" applyBorder="1" applyAlignment="1">
      <alignment horizontal="center" vertical="center"/>
    </xf>
    <xf numFmtId="1" fontId="1" fillId="7" borderId="23" xfId="0" applyNumberFormat="1" applyFont="1" applyFill="1" applyBorder="1" applyAlignment="1">
      <alignment horizontal="center" vertical="center"/>
    </xf>
    <xf numFmtId="2" fontId="8" fillId="7" borderId="5" xfId="0" applyNumberFormat="1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165" fontId="13" fillId="7" borderId="12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164" fontId="2" fillId="7" borderId="0" xfId="0" applyNumberFormat="1" applyFont="1" applyFill="1" applyBorder="1" applyAlignment="1">
      <alignment horizontal="center" vertical="center"/>
    </xf>
    <xf numFmtId="1" fontId="1" fillId="7" borderId="0" xfId="0" applyNumberFormat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1" fontId="1" fillId="7" borderId="21" xfId="0" applyNumberFormat="1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left" vertical="center" wrapText="1"/>
    </xf>
    <xf numFmtId="0" fontId="1" fillId="7" borderId="35" xfId="0" applyFont="1" applyFill="1" applyBorder="1" applyAlignment="1">
      <alignment horizontal="center" vertical="center" wrapText="1"/>
    </xf>
    <xf numFmtId="164" fontId="13" fillId="7" borderId="29" xfId="0" applyNumberFormat="1" applyFont="1" applyFill="1" applyBorder="1" applyAlignment="1">
      <alignment horizontal="center" vertical="center"/>
    </xf>
    <xf numFmtId="165" fontId="13" fillId="7" borderId="34" xfId="0" applyNumberFormat="1" applyFont="1" applyFill="1" applyBorder="1" applyAlignment="1">
      <alignment horizontal="center" vertical="center"/>
    </xf>
    <xf numFmtId="1" fontId="1" fillId="7" borderId="14" xfId="0" applyNumberFormat="1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center" vertical="center" wrapText="1"/>
    </xf>
    <xf numFmtId="164" fontId="13" fillId="7" borderId="0" xfId="0" applyNumberFormat="1" applyFont="1" applyFill="1" applyBorder="1" applyAlignment="1">
      <alignment horizontal="center" vertical="center"/>
    </xf>
    <xf numFmtId="165" fontId="13" fillId="7" borderId="27" xfId="0" applyNumberFormat="1" applyFont="1" applyFill="1" applyBorder="1" applyAlignment="1">
      <alignment horizontal="center" vertical="center"/>
    </xf>
    <xf numFmtId="1" fontId="1" fillId="7" borderId="9" xfId="0" applyNumberFormat="1" applyFont="1" applyFill="1" applyBorder="1" applyAlignment="1">
      <alignment horizontal="center" vertical="center"/>
    </xf>
    <xf numFmtId="0" fontId="13" fillId="7" borderId="27" xfId="0" applyFont="1" applyFill="1" applyBorder="1" applyAlignment="1">
      <alignment horizontal="center" vertical="center"/>
    </xf>
    <xf numFmtId="165" fontId="13" fillId="7" borderId="16" xfId="0" applyNumberFormat="1" applyFont="1" applyFill="1" applyBorder="1" applyAlignment="1">
      <alignment horizontal="center" vertical="center"/>
    </xf>
    <xf numFmtId="165" fontId="1" fillId="0" borderId="16" xfId="0" applyNumberFormat="1" applyFont="1" applyFill="1" applyBorder="1" applyAlignment="1">
      <alignment horizontal="center" vertical="center" wrapText="1"/>
    </xf>
    <xf numFmtId="165" fontId="13" fillId="0" borderId="34" xfId="0" applyNumberFormat="1" applyFont="1" applyFill="1" applyBorder="1" applyAlignment="1">
      <alignment horizontal="center" vertical="center"/>
    </xf>
    <xf numFmtId="165" fontId="13" fillId="0" borderId="30" xfId="0" applyNumberFormat="1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vertical="center"/>
    </xf>
    <xf numFmtId="0" fontId="13" fillId="0" borderId="35" xfId="0" applyFont="1" applyFill="1" applyBorder="1" applyAlignment="1">
      <alignment horizontal="center" vertical="center"/>
    </xf>
    <xf numFmtId="165" fontId="13" fillId="0" borderId="27" xfId="0" applyNumberFormat="1" applyFont="1" applyFill="1" applyBorder="1" applyAlignment="1">
      <alignment horizontal="center" vertical="center"/>
    </xf>
    <xf numFmtId="165" fontId="13" fillId="0" borderId="28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166" fontId="14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165" fontId="13" fillId="0" borderId="0" xfId="0" applyNumberFormat="1" applyFont="1" applyAlignment="1">
      <alignment vertical="center"/>
    </xf>
    <xf numFmtId="0" fontId="12" fillId="0" borderId="0" xfId="0" applyFont="1" applyBorder="1" applyAlignment="1">
      <alignment vertical="center"/>
    </xf>
    <xf numFmtId="165" fontId="13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0" xfId="0" applyNumberFormat="1" applyFont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165" fontId="13" fillId="0" borderId="40" xfId="0" applyNumberFormat="1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2" fontId="13" fillId="0" borderId="15" xfId="0" applyNumberFormat="1" applyFont="1" applyBorder="1" applyAlignment="1">
      <alignment horizontal="center" vertical="center"/>
    </xf>
    <xf numFmtId="167" fontId="13" fillId="0" borderId="15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165" fontId="13" fillId="0" borderId="41" xfId="0" applyNumberFormat="1" applyFont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165" fontId="13" fillId="0" borderId="0" xfId="0" applyNumberFormat="1" applyFont="1" applyBorder="1" applyAlignment="1">
      <alignment vertical="center"/>
    </xf>
    <xf numFmtId="2" fontId="2" fillId="0" borderId="9" xfId="0" applyNumberFormat="1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2" fontId="13" fillId="0" borderId="10" xfId="0" applyNumberFormat="1" applyFont="1" applyBorder="1" applyAlignment="1">
      <alignment horizontal="center" vertical="center"/>
    </xf>
    <xf numFmtId="167" fontId="13" fillId="0" borderId="10" xfId="0" applyNumberFormat="1" applyFont="1" applyBorder="1" applyAlignment="1">
      <alignment horizontal="center" vertical="center"/>
    </xf>
    <xf numFmtId="1" fontId="13" fillId="0" borderId="10" xfId="0" applyNumberFormat="1" applyFont="1" applyBorder="1" applyAlignment="1">
      <alignment horizontal="center" vertical="center"/>
    </xf>
    <xf numFmtId="1" fontId="13" fillId="0" borderId="27" xfId="0" applyNumberFormat="1" applyFont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165" fontId="13" fillId="0" borderId="37" xfId="0" applyNumberFormat="1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2" fontId="13" fillId="0" borderId="6" xfId="0" applyNumberFormat="1" applyFont="1" applyBorder="1" applyAlignment="1">
      <alignment horizontal="center" vertical="center"/>
    </xf>
    <xf numFmtId="167" fontId="13" fillId="0" borderId="6" xfId="0" applyNumberFormat="1" applyFont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left" vertical="center" wrapText="1"/>
    </xf>
    <xf numFmtId="2" fontId="2" fillId="0" borderId="17" xfId="0" applyNumberFormat="1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2" fontId="13" fillId="0" borderId="18" xfId="0" applyNumberFormat="1" applyFont="1" applyBorder="1" applyAlignment="1">
      <alignment horizontal="center" vertical="center"/>
    </xf>
    <xf numFmtId="167" fontId="13" fillId="0" borderId="18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 wrapText="1"/>
    </xf>
    <xf numFmtId="1" fontId="13" fillId="0" borderId="26" xfId="0" applyNumberFormat="1" applyFont="1" applyBorder="1" applyAlignment="1">
      <alignment horizontal="center" vertical="center"/>
    </xf>
    <xf numFmtId="165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165" fontId="21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65" fontId="14" fillId="0" borderId="0" xfId="0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168" fontId="8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165" fontId="32" fillId="0" borderId="0" xfId="0" applyNumberFormat="1" applyFont="1" applyFill="1" applyAlignment="1">
      <alignment horizontal="center" vertical="center"/>
    </xf>
    <xf numFmtId="2" fontId="13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5" fontId="8" fillId="0" borderId="0" xfId="0" applyNumberFormat="1" applyFont="1" applyFill="1" applyAlignment="1">
      <alignment horizontal="center" vertical="center"/>
    </xf>
    <xf numFmtId="165" fontId="13" fillId="0" borderId="0" xfId="0" applyNumberFormat="1" applyFont="1" applyFill="1" applyAlignment="1">
      <alignment horizontal="center" vertical="center"/>
    </xf>
    <xf numFmtId="1" fontId="13" fillId="0" borderId="29" xfId="0" applyNumberFormat="1" applyFont="1" applyBorder="1" applyAlignment="1">
      <alignment horizontal="center" vertical="center"/>
    </xf>
    <xf numFmtId="1" fontId="13" fillId="0" borderId="16" xfId="0" applyNumberFormat="1" applyFont="1" applyBorder="1" applyAlignment="1">
      <alignment horizontal="center" vertical="center"/>
    </xf>
    <xf numFmtId="165" fontId="13" fillId="0" borderId="1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5" fontId="21" fillId="0" borderId="0" xfId="0" applyNumberFormat="1" applyFont="1" applyAlignment="1">
      <alignment vertical="center"/>
    </xf>
    <xf numFmtId="0" fontId="13" fillId="0" borderId="0" xfId="0" applyFont="1" applyFill="1" applyAlignment="1">
      <alignment horizontal="left" vertical="center"/>
    </xf>
    <xf numFmtId="165" fontId="13" fillId="0" borderId="0" xfId="0" applyNumberFormat="1" applyFont="1" applyFill="1" applyAlignment="1">
      <alignment horizontal="left" vertical="center"/>
    </xf>
    <xf numFmtId="1" fontId="13" fillId="0" borderId="21" xfId="0" applyNumberFormat="1" applyFont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1" fontId="13" fillId="0" borderId="23" xfId="0" applyNumberFormat="1" applyFont="1" applyBorder="1" applyAlignment="1">
      <alignment horizontal="center" vertical="center"/>
    </xf>
    <xf numFmtId="1" fontId="13" fillId="0" borderId="30" xfId="0" applyNumberFormat="1" applyFont="1" applyBorder="1" applyAlignment="1">
      <alignment horizontal="center" vertical="center"/>
    </xf>
    <xf numFmtId="0" fontId="13" fillId="0" borderId="35" xfId="0" applyFont="1" applyBorder="1" applyAlignment="1">
      <alignment horizontal="left" vertical="center"/>
    </xf>
    <xf numFmtId="0" fontId="13" fillId="0" borderId="29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1" fontId="8" fillId="0" borderId="0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0" fontId="13" fillId="0" borderId="55" xfId="0" applyFont="1" applyBorder="1" applyAlignment="1">
      <alignment horizontal="left" vertical="center"/>
    </xf>
    <xf numFmtId="1" fontId="8" fillId="0" borderId="12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1" fontId="8" fillId="0" borderId="7" xfId="0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0" fontId="13" fillId="0" borderId="56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165" fontId="13" fillId="0" borderId="58" xfId="0" applyNumberFormat="1" applyFont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51" xfId="0" applyFont="1" applyFill="1" applyBorder="1" applyAlignment="1">
      <alignment horizontal="center" vertical="center"/>
    </xf>
    <xf numFmtId="1" fontId="13" fillId="0" borderId="48" xfId="0" applyNumberFormat="1" applyFont="1" applyBorder="1" applyAlignment="1">
      <alignment horizontal="center" vertical="center"/>
    </xf>
    <xf numFmtId="165" fontId="13" fillId="0" borderId="51" xfId="0" applyNumberFormat="1" applyFont="1" applyFill="1" applyBorder="1" applyAlignment="1">
      <alignment horizontal="center" vertical="center"/>
    </xf>
    <xf numFmtId="1" fontId="13" fillId="0" borderId="57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165" fontId="13" fillId="0" borderId="15" xfId="0" applyNumberFormat="1" applyFont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165" fontId="13" fillId="0" borderId="6" xfId="0" applyNumberFormat="1" applyFont="1" applyBorder="1" applyAlignment="1">
      <alignment horizontal="center" vertical="center"/>
    </xf>
    <xf numFmtId="165" fontId="13" fillId="0" borderId="10" xfId="0" applyNumberFormat="1" applyFont="1" applyFill="1" applyBorder="1" applyAlignment="1">
      <alignment horizontal="center" vertical="center"/>
    </xf>
    <xf numFmtId="165" fontId="13" fillId="0" borderId="15" xfId="0" applyNumberFormat="1" applyFont="1" applyFill="1" applyBorder="1" applyAlignment="1">
      <alignment horizontal="center" vertical="center"/>
    </xf>
    <xf numFmtId="1" fontId="13" fillId="0" borderId="15" xfId="0" applyNumberFormat="1" applyFont="1" applyFill="1" applyBorder="1" applyAlignment="1">
      <alignment horizontal="center" vertical="center"/>
    </xf>
    <xf numFmtId="1" fontId="13" fillId="0" borderId="10" xfId="0" applyNumberFormat="1" applyFont="1" applyFill="1" applyBorder="1" applyAlignment="1">
      <alignment horizontal="center" vertical="center"/>
    </xf>
    <xf numFmtId="165" fontId="13" fillId="0" borderId="6" xfId="0" applyNumberFormat="1" applyFont="1" applyFill="1" applyBorder="1" applyAlignment="1">
      <alignment horizontal="center" vertical="center"/>
    </xf>
    <xf numFmtId="165" fontId="13" fillId="0" borderId="41" xfId="0" applyNumberFormat="1" applyFont="1" applyFill="1" applyBorder="1" applyAlignment="1">
      <alignment horizontal="center" vertical="center"/>
    </xf>
    <xf numFmtId="1" fontId="13" fillId="0" borderId="6" xfId="0" applyNumberFormat="1" applyFont="1" applyFill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12" xfId="0" applyFont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15" xfId="0" applyFont="1" applyFill="1" applyBorder="1" applyAlignment="1">
      <alignment horizontal="center" vertical="center"/>
    </xf>
    <xf numFmtId="165" fontId="13" fillId="7" borderId="15" xfId="0" applyNumberFormat="1" applyFont="1" applyFill="1" applyBorder="1" applyAlignment="1">
      <alignment horizontal="center" vertical="center"/>
    </xf>
    <xf numFmtId="165" fontId="13" fillId="7" borderId="40" xfId="0" applyNumberFormat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vertical="center"/>
    </xf>
    <xf numFmtId="1" fontId="13" fillId="7" borderId="15" xfId="0" applyNumberFormat="1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vertical="center"/>
    </xf>
    <xf numFmtId="0" fontId="24" fillId="7" borderId="29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13" fillId="7" borderId="27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7" borderId="6" xfId="0" applyFont="1" applyFill="1" applyBorder="1" applyAlignment="1">
      <alignment horizontal="center" vertical="center"/>
    </xf>
    <xf numFmtId="165" fontId="13" fillId="7" borderId="6" xfId="0" applyNumberFormat="1" applyFont="1" applyFill="1" applyBorder="1" applyAlignment="1">
      <alignment horizontal="center" vertical="center"/>
    </xf>
    <xf numFmtId="165" fontId="13" fillId="7" borderId="37" xfId="0" applyNumberFormat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vertical="center"/>
    </xf>
    <xf numFmtId="165" fontId="13" fillId="7" borderId="10" xfId="0" applyNumberFormat="1" applyFont="1" applyFill="1" applyBorder="1" applyAlignment="1">
      <alignment horizontal="center" vertical="center"/>
    </xf>
    <xf numFmtId="1" fontId="13" fillId="7" borderId="6" xfId="0" applyNumberFormat="1" applyFont="1" applyFill="1" applyBorder="1" applyAlignment="1">
      <alignment horizontal="center" vertical="center"/>
    </xf>
    <xf numFmtId="0" fontId="13" fillId="7" borderId="28" xfId="0" applyFont="1" applyFill="1" applyBorder="1" applyAlignment="1">
      <alignment vertical="center"/>
    </xf>
    <xf numFmtId="0" fontId="24" fillId="7" borderId="12" xfId="0" applyFont="1" applyFill="1" applyBorder="1" applyAlignment="1">
      <alignment horizontal="center" vertical="center"/>
    </xf>
    <xf numFmtId="164" fontId="13" fillId="7" borderId="12" xfId="0" applyNumberFormat="1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vertical="center"/>
    </xf>
    <xf numFmtId="0" fontId="13" fillId="7" borderId="10" xfId="0" applyFont="1" applyFill="1" applyBorder="1" applyAlignment="1">
      <alignment horizontal="center" vertical="center"/>
    </xf>
    <xf numFmtId="165" fontId="13" fillId="7" borderId="41" xfId="0" applyNumberFormat="1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vertical="center"/>
    </xf>
    <xf numFmtId="1" fontId="13" fillId="7" borderId="1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165" fontId="13" fillId="7" borderId="18" xfId="0" applyNumberFormat="1" applyFont="1" applyFill="1" applyBorder="1" applyAlignment="1">
      <alignment horizontal="center" vertical="center"/>
    </xf>
    <xf numFmtId="164" fontId="13" fillId="0" borderId="9" xfId="0" applyNumberFormat="1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1" fontId="13" fillId="7" borderId="34" xfId="0" applyNumberFormat="1" applyFont="1" applyFill="1" applyBorder="1" applyAlignment="1">
      <alignment horizontal="center" vertical="center"/>
    </xf>
    <xf numFmtId="0" fontId="25" fillId="7" borderId="30" xfId="0" applyFont="1" applyFill="1" applyBorder="1" applyAlignment="1">
      <alignment horizontal="center" vertical="center"/>
    </xf>
    <xf numFmtId="0" fontId="25" fillId="7" borderId="29" xfId="0" applyFont="1" applyFill="1" applyBorder="1" applyAlignment="1">
      <alignment horizontal="center" vertical="center"/>
    </xf>
    <xf numFmtId="0" fontId="25" fillId="7" borderId="29" xfId="0" applyFont="1" applyFill="1" applyBorder="1" applyAlignment="1">
      <alignment horizontal="center" vertical="center" wrapText="1"/>
    </xf>
    <xf numFmtId="0" fontId="25" fillId="7" borderId="21" xfId="0" applyFont="1" applyFill="1" applyBorder="1" applyAlignment="1">
      <alignment horizontal="center" vertical="center"/>
    </xf>
    <xf numFmtId="1" fontId="13" fillId="7" borderId="27" xfId="0" applyNumberFormat="1" applyFont="1" applyFill="1" applyBorder="1" applyAlignment="1">
      <alignment horizontal="center" vertical="center"/>
    </xf>
    <xf numFmtId="0" fontId="25" fillId="7" borderId="0" xfId="0" applyFont="1" applyFill="1" applyBorder="1" applyAlignment="1">
      <alignment horizontal="center" vertical="center"/>
    </xf>
    <xf numFmtId="0" fontId="25" fillId="7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167" fontId="13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vertical="center"/>
    </xf>
    <xf numFmtId="0" fontId="13" fillId="0" borderId="27" xfId="0" applyFont="1" applyBorder="1" applyAlignment="1">
      <alignment horizontal="center"/>
    </xf>
    <xf numFmtId="0" fontId="13" fillId="0" borderId="0" xfId="0" applyFont="1" applyAlignment="1">
      <alignment horizontal="left"/>
    </xf>
    <xf numFmtId="166" fontId="13" fillId="0" borderId="0" xfId="0" applyNumberFormat="1" applyFont="1" applyBorder="1" applyAlignment="1">
      <alignment horizontal="center"/>
    </xf>
    <xf numFmtId="166" fontId="13" fillId="0" borderId="0" xfId="0" applyNumberFormat="1" applyFont="1" applyFill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2" fontId="13" fillId="0" borderId="3" xfId="0" applyNumberFormat="1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12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" fillId="0" borderId="55" xfId="0" applyNumberFormat="1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64" fontId="13" fillId="0" borderId="21" xfId="0" applyNumberFormat="1" applyFont="1" applyFill="1" applyBorder="1" applyAlignment="1">
      <alignment horizontal="center" vertical="center"/>
    </xf>
    <xf numFmtId="164" fontId="13" fillId="0" borderId="24" xfId="0" applyNumberFormat="1" applyFont="1" applyFill="1" applyBorder="1" applyAlignment="1">
      <alignment horizontal="center" vertical="center"/>
    </xf>
    <xf numFmtId="165" fontId="13" fillId="0" borderId="19" xfId="0" applyNumberFormat="1" applyFont="1" applyFill="1" applyBorder="1" applyAlignment="1">
      <alignment horizontal="center" vertical="center"/>
    </xf>
    <xf numFmtId="165" fontId="13" fillId="0" borderId="24" xfId="0" applyNumberFormat="1" applyFont="1" applyFill="1" applyBorder="1" applyAlignment="1">
      <alignment horizontal="center" vertical="center"/>
    </xf>
    <xf numFmtId="0" fontId="7" fillId="0" borderId="59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center" vertical="center" wrapText="1"/>
    </xf>
    <xf numFmtId="2" fontId="8" fillId="7" borderId="14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65" fontId="1" fillId="0" borderId="29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165" fontId="1" fillId="0" borderId="0" xfId="1" applyNumberFormat="1" applyFont="1" applyFill="1" applyBorder="1" applyAlignment="1">
      <alignment horizontal="center" vertical="center" wrapText="1"/>
    </xf>
    <xf numFmtId="165" fontId="1" fillId="0" borderId="0" xfId="1" applyNumberFormat="1" applyFont="1" applyBorder="1" applyAlignment="1">
      <alignment horizontal="center" vertical="center" wrapText="1"/>
    </xf>
    <xf numFmtId="165" fontId="1" fillId="0" borderId="12" xfId="1" applyNumberFormat="1" applyFont="1" applyFill="1" applyBorder="1" applyAlignment="1">
      <alignment horizontal="center" vertical="center" wrapText="1"/>
    </xf>
    <xf numFmtId="165" fontId="1" fillId="0" borderId="12" xfId="1" applyNumberFormat="1" applyFont="1" applyBorder="1" applyAlignment="1">
      <alignment horizontal="center" vertical="center" wrapText="1"/>
    </xf>
    <xf numFmtId="165" fontId="1" fillId="0" borderId="29" xfId="1" applyNumberFormat="1" applyFont="1" applyFill="1" applyBorder="1" applyAlignment="1">
      <alignment horizontal="center" vertical="center" wrapText="1"/>
    </xf>
    <xf numFmtId="165" fontId="1" fillId="0" borderId="29" xfId="1" applyNumberFormat="1" applyFont="1" applyBorder="1" applyAlignment="1">
      <alignment horizontal="center" vertical="center" wrapText="1"/>
    </xf>
    <xf numFmtId="165" fontId="1" fillId="0" borderId="7" xfId="1" applyNumberFormat="1" applyFont="1" applyFill="1" applyBorder="1" applyAlignment="1">
      <alignment horizontal="center" vertical="center" wrapText="1"/>
    </xf>
    <xf numFmtId="165" fontId="1" fillId="0" borderId="7" xfId="1" applyNumberFormat="1" applyFont="1" applyBorder="1" applyAlignment="1">
      <alignment horizontal="center" vertical="center" wrapText="1"/>
    </xf>
    <xf numFmtId="0" fontId="13" fillId="0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left" vertical="center"/>
    </xf>
    <xf numFmtId="0" fontId="13" fillId="7" borderId="2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1" fontId="1" fillId="0" borderId="6" xfId="0" applyNumberFormat="1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/>
    </xf>
    <xf numFmtId="0" fontId="13" fillId="7" borderId="5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/>
    </xf>
    <xf numFmtId="165" fontId="13" fillId="0" borderId="56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1" fontId="8" fillId="0" borderId="12" xfId="0" applyNumberFormat="1" applyFont="1" applyFill="1" applyBorder="1" applyAlignment="1">
      <alignment horizontal="center" vertical="center"/>
    </xf>
    <xf numFmtId="166" fontId="8" fillId="0" borderId="12" xfId="0" applyNumberFormat="1" applyFont="1" applyFill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15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2" fontId="21" fillId="0" borderId="10" xfId="0" applyNumberFormat="1" applyFont="1" applyFill="1" applyBorder="1" applyAlignment="1">
      <alignment horizontal="center" vertical="center"/>
    </xf>
    <xf numFmtId="2" fontId="21" fillId="0" borderId="6" xfId="0" applyNumberFormat="1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21" xfId="0" applyNumberFormat="1" applyFont="1" applyFill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/>
    </xf>
    <xf numFmtId="164" fontId="1" fillId="0" borderId="23" xfId="0" applyNumberFormat="1" applyFont="1" applyFill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164" fontId="1" fillId="0" borderId="21" xfId="0" applyNumberFormat="1" applyFont="1" applyFill="1" applyBorder="1" applyAlignment="1">
      <alignment horizontal="center" vertical="center"/>
    </xf>
    <xf numFmtId="164" fontId="1" fillId="0" borderId="2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1" fontId="1" fillId="0" borderId="26" xfId="0" applyNumberFormat="1" applyFont="1" applyFill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/>
    </xf>
    <xf numFmtId="0" fontId="13" fillId="0" borderId="29" xfId="0" applyFont="1" applyFill="1" applyBorder="1" applyAlignment="1">
      <alignment vertical="center"/>
    </xf>
    <xf numFmtId="0" fontId="20" fillId="0" borderId="34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1" fontId="1" fillId="0" borderId="25" xfId="0" applyNumberFormat="1" applyFont="1" applyBorder="1" applyAlignment="1">
      <alignment vertical="center" wrapText="1"/>
    </xf>
    <xf numFmtId="1" fontId="1" fillId="0" borderId="28" xfId="0" applyNumberFormat="1" applyFont="1" applyBorder="1" applyAlignment="1">
      <alignment vertical="center" wrapText="1"/>
    </xf>
    <xf numFmtId="167" fontId="13" fillId="0" borderId="12" xfId="0" applyNumberFormat="1" applyFont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2" fontId="21" fillId="0" borderId="15" xfId="0" applyNumberFormat="1" applyFont="1" applyBorder="1" applyAlignment="1">
      <alignment horizontal="center" vertical="center"/>
    </xf>
    <xf numFmtId="0" fontId="13" fillId="0" borderId="2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19" xfId="0" applyFont="1" applyBorder="1" applyAlignment="1">
      <alignment horizontal="left" vertical="center"/>
    </xf>
    <xf numFmtId="2" fontId="21" fillId="0" borderId="18" xfId="0" applyNumberFormat="1" applyFont="1" applyBorder="1" applyAlignment="1">
      <alignment horizontal="center" vertical="center"/>
    </xf>
    <xf numFmtId="164" fontId="24" fillId="7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164" fontId="24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 wrapText="1"/>
    </xf>
    <xf numFmtId="2" fontId="24" fillId="0" borderId="0" xfId="0" applyNumberFormat="1" applyFont="1" applyFill="1" applyBorder="1" applyAlignment="1">
      <alignment horizontal="center" vertical="center"/>
    </xf>
    <xf numFmtId="165" fontId="13" fillId="0" borderId="18" xfId="0" applyNumberFormat="1" applyFont="1" applyFill="1" applyBorder="1" applyAlignment="1">
      <alignment horizontal="center" vertical="center"/>
    </xf>
    <xf numFmtId="165" fontId="24" fillId="0" borderId="0" xfId="0" applyNumberFormat="1" applyFont="1" applyFill="1" applyBorder="1" applyAlignment="1">
      <alignment horizontal="center" vertical="center"/>
    </xf>
    <xf numFmtId="2" fontId="24" fillId="7" borderId="0" xfId="0" applyNumberFormat="1" applyFont="1" applyFill="1" applyBorder="1" applyAlignment="1">
      <alignment horizontal="center" vertical="center"/>
    </xf>
    <xf numFmtId="2" fontId="24" fillId="0" borderId="7" xfId="0" applyNumberFormat="1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164" fontId="24" fillId="0" borderId="29" xfId="0" applyNumberFormat="1" applyFont="1" applyFill="1" applyBorder="1" applyAlignment="1">
      <alignment horizontal="center" vertical="center"/>
    </xf>
    <xf numFmtId="2" fontId="24" fillId="0" borderId="29" xfId="0" applyNumberFormat="1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3" fillId="0" borderId="17" xfId="0" applyFont="1" applyFill="1" applyBorder="1" applyAlignment="1">
      <alignment vertical="center"/>
    </xf>
    <xf numFmtId="164" fontId="13" fillId="0" borderId="15" xfId="0" applyNumberFormat="1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/>
    </xf>
    <xf numFmtId="164" fontId="13" fillId="0" borderId="18" xfId="0" applyNumberFormat="1" applyFont="1" applyFill="1" applyBorder="1" applyAlignment="1">
      <alignment horizontal="center" vertical="center"/>
    </xf>
    <xf numFmtId="2" fontId="1" fillId="0" borderId="48" xfId="0" applyNumberFormat="1" applyFont="1" applyBorder="1" applyAlignment="1">
      <alignment horizontal="center" vertical="center"/>
    </xf>
    <xf numFmtId="164" fontId="24" fillId="7" borderId="29" xfId="0" applyNumberFormat="1" applyFont="1" applyFill="1" applyBorder="1" applyAlignment="1">
      <alignment horizontal="center" vertical="center"/>
    </xf>
    <xf numFmtId="164" fontId="24" fillId="7" borderId="12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164" fontId="24" fillId="0" borderId="21" xfId="0" applyNumberFormat="1" applyFont="1" applyFill="1" applyBorder="1" applyAlignment="1">
      <alignment horizontal="center" vertical="center"/>
    </xf>
    <xf numFmtId="164" fontId="24" fillId="0" borderId="30" xfId="0" applyNumberFormat="1" applyFont="1" applyFill="1" applyBorder="1" applyAlignment="1">
      <alignment horizontal="center" vertical="center"/>
    </xf>
    <xf numFmtId="164" fontId="13" fillId="0" borderId="14" xfId="0" applyNumberFormat="1" applyFont="1" applyFill="1" applyBorder="1" applyAlignment="1">
      <alignment horizontal="center" vertical="center"/>
    </xf>
    <xf numFmtId="164" fontId="13" fillId="0" borderId="17" xfId="0" applyNumberFormat="1" applyFont="1" applyFill="1" applyBorder="1" applyAlignment="1">
      <alignment horizontal="center" vertical="center"/>
    </xf>
    <xf numFmtId="1" fontId="13" fillId="0" borderId="29" xfId="0" applyNumberFormat="1" applyFont="1" applyFill="1" applyBorder="1" applyAlignment="1">
      <alignment horizontal="center" vertical="center"/>
    </xf>
    <xf numFmtId="1" fontId="13" fillId="0" borderId="7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2" fontId="13" fillId="0" borderId="15" xfId="0" applyNumberFormat="1" applyFont="1" applyFill="1" applyBorder="1" applyAlignment="1">
      <alignment horizontal="center" vertical="center"/>
    </xf>
    <xf numFmtId="2" fontId="13" fillId="0" borderId="10" xfId="0" applyNumberFormat="1" applyFont="1" applyFill="1" applyBorder="1" applyAlignment="1">
      <alignment horizontal="center" vertical="center"/>
    </xf>
    <xf numFmtId="1" fontId="13" fillId="0" borderId="27" xfId="0" applyNumberFormat="1" applyFont="1" applyFill="1" applyBorder="1" applyAlignment="1">
      <alignment horizontal="center" vertical="center"/>
    </xf>
    <xf numFmtId="2" fontId="13" fillId="0" borderId="18" xfId="0" applyNumberFormat="1" applyFont="1" applyFill="1" applyBorder="1" applyAlignment="1">
      <alignment horizontal="center" vertical="center"/>
    </xf>
    <xf numFmtId="1" fontId="13" fillId="0" borderId="18" xfId="0" applyNumberFormat="1" applyFont="1" applyFill="1" applyBorder="1" applyAlignment="1">
      <alignment horizontal="center" vertical="center"/>
    </xf>
    <xf numFmtId="1" fontId="13" fillId="0" borderId="26" xfId="0" applyNumberFormat="1" applyFont="1" applyFill="1" applyBorder="1" applyAlignment="1">
      <alignment horizontal="center" vertical="center"/>
    </xf>
    <xf numFmtId="1" fontId="13" fillId="0" borderId="34" xfId="0" applyNumberFormat="1" applyFont="1" applyFill="1" applyBorder="1" applyAlignment="1">
      <alignment horizontal="center" vertical="center"/>
    </xf>
    <xf numFmtId="2" fontId="25" fillId="0" borderId="0" xfId="0" applyNumberFormat="1" applyFont="1" applyFill="1" applyBorder="1" applyAlignment="1">
      <alignment horizontal="center" vertical="center"/>
    </xf>
    <xf numFmtId="2" fontId="25" fillId="0" borderId="0" xfId="0" applyNumberFormat="1" applyFont="1" applyFill="1" applyBorder="1" applyAlignment="1">
      <alignment horizontal="center" vertical="center" wrapText="1"/>
    </xf>
    <xf numFmtId="164" fontId="25" fillId="0" borderId="21" xfId="0" applyNumberFormat="1" applyFont="1" applyFill="1" applyBorder="1" applyAlignment="1">
      <alignment horizontal="center" vertical="center"/>
    </xf>
    <xf numFmtId="164" fontId="25" fillId="0" borderId="24" xfId="0" applyNumberFormat="1" applyFont="1" applyFill="1" applyBorder="1" applyAlignment="1">
      <alignment horizontal="center" vertical="center"/>
    </xf>
    <xf numFmtId="2" fontId="25" fillId="0" borderId="7" xfId="0" applyNumberFormat="1" applyFont="1" applyFill="1" applyBorder="1" applyAlignment="1">
      <alignment horizontal="center" vertical="center"/>
    </xf>
    <xf numFmtId="2" fontId="25" fillId="0" borderId="7" xfId="0" applyNumberFormat="1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/>
    </xf>
    <xf numFmtId="164" fontId="25" fillId="0" borderId="30" xfId="0" applyNumberFormat="1" applyFont="1" applyFill="1" applyBorder="1" applyAlignment="1">
      <alignment horizontal="center" vertical="center"/>
    </xf>
    <xf numFmtId="2" fontId="25" fillId="0" borderId="29" xfId="0" applyNumberFormat="1" applyFont="1" applyFill="1" applyBorder="1" applyAlignment="1">
      <alignment horizontal="center" vertical="center"/>
    </xf>
    <xf numFmtId="2" fontId="25" fillId="0" borderId="29" xfId="0" applyNumberFormat="1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7" borderId="35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vertical="center"/>
    </xf>
    <xf numFmtId="0" fontId="1" fillId="0" borderId="21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46" xfId="0" applyFont="1" applyFill="1" applyBorder="1" applyAlignment="1">
      <alignment vertical="center"/>
    </xf>
    <xf numFmtId="0" fontId="13" fillId="0" borderId="45" xfId="0" applyFont="1" applyFill="1" applyBorder="1" applyAlignment="1">
      <alignment vertical="center"/>
    </xf>
    <xf numFmtId="0" fontId="13" fillId="0" borderId="44" xfId="0" applyFont="1" applyFill="1" applyBorder="1" applyAlignment="1">
      <alignment vertical="center"/>
    </xf>
    <xf numFmtId="0" fontId="13" fillId="0" borderId="47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9" fillId="0" borderId="0" xfId="0" applyFont="1" applyFill="1"/>
    <xf numFmtId="166" fontId="9" fillId="0" borderId="0" xfId="0" applyNumberFormat="1" applyFont="1" applyFill="1" applyBorder="1"/>
    <xf numFmtId="164" fontId="8" fillId="0" borderId="5" xfId="0" applyNumberFormat="1" applyFont="1" applyFill="1" applyBorder="1" applyAlignment="1">
      <alignment horizontal="center" vertical="center" wrapText="1"/>
    </xf>
    <xf numFmtId="164" fontId="8" fillId="0" borderId="12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164" fontId="8" fillId="0" borderId="53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64" fontId="8" fillId="0" borderId="8" xfId="0" applyNumberFormat="1" applyFont="1" applyFill="1" applyBorder="1" applyAlignment="1">
      <alignment horizontal="center" vertical="center"/>
    </xf>
    <xf numFmtId="1" fontId="1" fillId="0" borderId="67" xfId="0" applyNumberFormat="1" applyFont="1" applyFill="1" applyBorder="1" applyAlignment="1">
      <alignment horizontal="center" vertical="center" wrapText="1"/>
    </xf>
    <xf numFmtId="1" fontId="1" fillId="0" borderId="70" xfId="0" applyNumberFormat="1" applyFont="1" applyFill="1" applyBorder="1" applyAlignment="1">
      <alignment horizontal="center" vertical="center" wrapText="1"/>
    </xf>
    <xf numFmtId="1" fontId="1" fillId="0" borderId="68" xfId="0" applyNumberFormat="1" applyFont="1" applyFill="1" applyBorder="1" applyAlignment="1">
      <alignment horizontal="center" vertical="center" wrapText="1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19" xfId="0" applyNumberFormat="1" applyFont="1" applyFill="1" applyBorder="1" applyAlignment="1">
      <alignment horizontal="center" vertical="center" wrapText="1"/>
    </xf>
    <xf numFmtId="1" fontId="1" fillId="0" borderId="17" xfId="0" applyNumberFormat="1" applyFont="1" applyFill="1" applyBorder="1" applyAlignment="1">
      <alignment horizontal="center" vertical="center" wrapText="1"/>
    </xf>
    <xf numFmtId="1" fontId="1" fillId="0" borderId="66" xfId="0" applyNumberFormat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164" fontId="8" fillId="0" borderId="17" xfId="0" applyNumberFormat="1" applyFont="1" applyFill="1" applyBorder="1" applyAlignment="1">
      <alignment horizontal="center" vertical="center" wrapText="1"/>
    </xf>
    <xf numFmtId="164" fontId="8" fillId="0" borderId="7" xfId="0" applyNumberFormat="1" applyFont="1" applyFill="1" applyBorder="1" applyAlignment="1">
      <alignment horizontal="center" vertical="center"/>
    </xf>
    <xf numFmtId="2" fontId="8" fillId="0" borderId="7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2" fontId="36" fillId="0" borderId="11" xfId="0" applyNumberFormat="1" applyFont="1" applyFill="1" applyBorder="1" applyAlignment="1">
      <alignment horizontal="center" vertical="center"/>
    </xf>
    <xf numFmtId="0" fontId="13" fillId="0" borderId="21" xfId="0" applyFont="1" applyFill="1" applyBorder="1"/>
    <xf numFmtId="0" fontId="13" fillId="0" borderId="9" xfId="0" applyFont="1" applyFill="1" applyBorder="1"/>
    <xf numFmtId="0" fontId="13" fillId="0" borderId="16" xfId="0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/>
    </xf>
    <xf numFmtId="164" fontId="36" fillId="0" borderId="9" xfId="0" applyNumberFormat="1" applyFont="1" applyFill="1" applyBorder="1" applyAlignment="1">
      <alignment horizontal="center"/>
    </xf>
    <xf numFmtId="164" fontId="36" fillId="0" borderId="0" xfId="0" applyNumberFormat="1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164" fontId="36" fillId="0" borderId="0" xfId="0" applyNumberFormat="1" applyFont="1" applyFill="1" applyBorder="1" applyAlignment="1">
      <alignment horizontal="center"/>
    </xf>
    <xf numFmtId="0" fontId="36" fillId="0" borderId="22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166" fontId="36" fillId="0" borderId="3" xfId="0" applyNumberFormat="1" applyFont="1" applyFill="1" applyBorder="1" applyAlignment="1">
      <alignment horizontal="center" vertical="center"/>
    </xf>
    <xf numFmtId="0" fontId="36" fillId="0" borderId="2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165" fontId="36" fillId="0" borderId="3" xfId="0" applyNumberFormat="1" applyFont="1" applyFill="1" applyBorder="1" applyAlignment="1">
      <alignment horizontal="center" vertical="center"/>
    </xf>
    <xf numFmtId="2" fontId="13" fillId="0" borderId="3" xfId="0" applyNumberFormat="1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6" fillId="0" borderId="8" xfId="0" applyNumberFormat="1" applyFont="1" applyFill="1" applyBorder="1" applyAlignment="1">
      <alignment horizontal="center" vertical="center"/>
    </xf>
    <xf numFmtId="0" fontId="13" fillId="0" borderId="24" xfId="0" applyFont="1" applyFill="1" applyBorder="1"/>
    <xf numFmtId="0" fontId="13" fillId="0" borderId="17" xfId="0" applyFont="1" applyFill="1" applyBorder="1"/>
    <xf numFmtId="0" fontId="13" fillId="0" borderId="19" xfId="0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/>
    </xf>
    <xf numFmtId="164" fontId="36" fillId="0" borderId="17" xfId="0" applyNumberFormat="1" applyFont="1" applyFill="1" applyBorder="1" applyAlignment="1">
      <alignment horizontal="center"/>
    </xf>
    <xf numFmtId="164" fontId="36" fillId="0" borderId="7" xfId="0" applyNumberFormat="1" applyFont="1" applyFill="1" applyBorder="1" applyAlignment="1">
      <alignment horizontal="center" vertical="center"/>
    </xf>
    <xf numFmtId="2" fontId="36" fillId="0" borderId="7" xfId="0" applyNumberFormat="1" applyFont="1" applyFill="1" applyBorder="1" applyAlignment="1">
      <alignment horizontal="center" vertical="center"/>
    </xf>
    <xf numFmtId="164" fontId="36" fillId="0" borderId="7" xfId="0" applyNumberFormat="1" applyFont="1" applyFill="1" applyBorder="1" applyAlignment="1">
      <alignment horizontal="center"/>
    </xf>
    <xf numFmtId="0" fontId="36" fillId="0" borderId="24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166" fontId="36" fillId="0" borderId="7" xfId="0" applyNumberFormat="1" applyFont="1" applyFill="1" applyBorder="1" applyAlignment="1">
      <alignment horizontal="center" vertical="center"/>
    </xf>
    <xf numFmtId="0" fontId="36" fillId="0" borderId="26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/>
    </xf>
    <xf numFmtId="165" fontId="36" fillId="0" borderId="7" xfId="0" applyNumberFormat="1" applyFont="1" applyFill="1" applyBorder="1" applyAlignment="1">
      <alignment horizontal="center"/>
    </xf>
    <xf numFmtId="2" fontId="13" fillId="0" borderId="7" xfId="0" applyNumberFormat="1" applyFont="1" applyFill="1" applyBorder="1" applyAlignment="1">
      <alignment horizontal="center"/>
    </xf>
    <xf numFmtId="2" fontId="36" fillId="0" borderId="21" xfId="0" applyNumberFormat="1" applyFont="1" applyFill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0" fontId="36" fillId="0" borderId="21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166" fontId="36" fillId="0" borderId="0" xfId="0" applyNumberFormat="1" applyFont="1" applyFill="1" applyBorder="1" applyAlignment="1">
      <alignment horizontal="center" vertical="center"/>
    </xf>
    <xf numFmtId="0" fontId="36" fillId="0" borderId="27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165" fontId="31" fillId="0" borderId="0" xfId="0" applyNumberFormat="1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/>
    <xf numFmtId="2" fontId="36" fillId="0" borderId="4" xfId="0" applyNumberFormat="1" applyFont="1" applyFill="1" applyBorder="1" applyAlignment="1">
      <alignment horizontal="center"/>
    </xf>
    <xf numFmtId="164" fontId="36" fillId="0" borderId="1" xfId="0" applyNumberFormat="1" applyFont="1" applyFill="1" applyBorder="1" applyAlignment="1">
      <alignment horizontal="center"/>
    </xf>
    <xf numFmtId="164" fontId="36" fillId="0" borderId="3" xfId="0" applyNumberFormat="1" applyFont="1" applyFill="1" applyBorder="1" applyAlignment="1">
      <alignment horizontal="center"/>
    </xf>
    <xf numFmtId="2" fontId="36" fillId="0" borderId="3" xfId="0" applyNumberFormat="1" applyFont="1" applyFill="1" applyBorder="1" applyAlignment="1">
      <alignment horizontal="center"/>
    </xf>
    <xf numFmtId="164" fontId="36" fillId="0" borderId="3" xfId="0" applyNumberFormat="1" applyFont="1" applyFill="1" applyBorder="1" applyAlignment="1">
      <alignment horizontal="center" vertical="center"/>
    </xf>
    <xf numFmtId="0" fontId="36" fillId="0" borderId="25" xfId="0" applyFont="1" applyFill="1" applyBorder="1" applyAlignment="1">
      <alignment horizontal="center"/>
    </xf>
    <xf numFmtId="2" fontId="36" fillId="0" borderId="11" xfId="0" applyNumberFormat="1" applyFont="1" applyFill="1" applyBorder="1" applyAlignment="1">
      <alignment horizontal="center"/>
    </xf>
    <xf numFmtId="2" fontId="36" fillId="0" borderId="8" xfId="0" applyNumberFormat="1" applyFont="1" applyFill="1" applyBorder="1" applyAlignment="1">
      <alignment horizontal="center"/>
    </xf>
    <xf numFmtId="2" fontId="36" fillId="0" borderId="7" xfId="0" applyNumberFormat="1" applyFont="1" applyFill="1" applyBorder="1" applyAlignment="1">
      <alignment horizontal="center"/>
    </xf>
    <xf numFmtId="0" fontId="36" fillId="0" borderId="26" xfId="0" applyFont="1" applyFill="1" applyBorder="1" applyAlignment="1">
      <alignment horizontal="center"/>
    </xf>
    <xf numFmtId="164" fontId="36" fillId="0" borderId="16" xfId="0" applyNumberFormat="1" applyFont="1" applyFill="1" applyBorder="1" applyAlignment="1">
      <alignment horizontal="center"/>
    </xf>
    <xf numFmtId="2" fontId="36" fillId="0" borderId="13" xfId="0" applyNumberFormat="1" applyFont="1" applyFill="1" applyBorder="1" applyAlignment="1">
      <alignment horizontal="center"/>
    </xf>
    <xf numFmtId="0" fontId="13" fillId="0" borderId="23" xfId="0" applyFont="1" applyFill="1" applyBorder="1"/>
    <xf numFmtId="0" fontId="13" fillId="0" borderId="12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28" xfId="0" applyFont="1" applyFill="1" applyBorder="1" applyAlignment="1">
      <alignment horizontal="center"/>
    </xf>
    <xf numFmtId="164" fontId="36" fillId="0" borderId="5" xfId="0" applyNumberFormat="1" applyFont="1" applyFill="1" applyBorder="1" applyAlignment="1">
      <alignment horizontal="center"/>
    </xf>
    <xf numFmtId="164" fontId="36" fillId="0" borderId="55" xfId="0" applyNumberFormat="1" applyFont="1" applyFill="1" applyBorder="1" applyAlignment="1">
      <alignment horizontal="center"/>
    </xf>
    <xf numFmtId="164" fontId="36" fillId="0" borderId="12" xfId="0" applyNumberFormat="1" applyFont="1" applyFill="1" applyBorder="1" applyAlignment="1">
      <alignment horizontal="center"/>
    </xf>
    <xf numFmtId="165" fontId="36" fillId="0" borderId="12" xfId="0" applyNumberFormat="1" applyFont="1" applyFill="1" applyBorder="1" applyAlignment="1">
      <alignment horizontal="center"/>
    </xf>
    <xf numFmtId="164" fontId="36" fillId="0" borderId="12" xfId="0" applyNumberFormat="1" applyFont="1" applyFill="1" applyBorder="1" applyAlignment="1">
      <alignment horizontal="center" vertical="center"/>
    </xf>
    <xf numFmtId="0" fontId="36" fillId="0" borderId="3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horizontal="center" vertical="center"/>
    </xf>
    <xf numFmtId="166" fontId="36" fillId="0" borderId="29" xfId="0" applyNumberFormat="1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/>
    </xf>
    <xf numFmtId="164" fontId="36" fillId="0" borderId="19" xfId="0" applyNumberFormat="1" applyFont="1" applyFill="1" applyBorder="1" applyAlignment="1">
      <alignment horizontal="center"/>
    </xf>
    <xf numFmtId="164" fontId="36" fillId="0" borderId="54" xfId="0" applyNumberFormat="1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26" xfId="0" applyFont="1" applyFill="1" applyBorder="1" applyAlignment="1">
      <alignment horizontal="center"/>
    </xf>
    <xf numFmtId="164" fontId="36" fillId="0" borderId="1" xfId="0" applyNumberFormat="1" applyFont="1" applyFill="1" applyBorder="1" applyAlignment="1">
      <alignment horizontal="center" vertical="center"/>
    </xf>
    <xf numFmtId="164" fontId="36" fillId="0" borderId="54" xfId="0" applyNumberFormat="1" applyFont="1" applyFill="1" applyBorder="1" applyAlignment="1">
      <alignment horizontal="center" vertical="center"/>
    </xf>
    <xf numFmtId="2" fontId="36" fillId="0" borderId="3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/>
    </xf>
    <xf numFmtId="164" fontId="36" fillId="0" borderId="17" xfId="0" applyNumberFormat="1" applyFont="1" applyFill="1" applyBorder="1" applyAlignment="1">
      <alignment horizontal="center" vertical="center"/>
    </xf>
    <xf numFmtId="164" fontId="36" fillId="0" borderId="19" xfId="0" applyNumberFormat="1" applyFont="1" applyFill="1" applyBorder="1" applyAlignment="1">
      <alignment horizontal="center" vertical="center"/>
    </xf>
    <xf numFmtId="2" fontId="36" fillId="0" borderId="22" xfId="0" applyNumberFormat="1" applyFont="1" applyFill="1" applyBorder="1" applyAlignment="1">
      <alignment horizontal="center" vertical="center"/>
    </xf>
    <xf numFmtId="164" fontId="36" fillId="0" borderId="9" xfId="0" applyNumberFormat="1" applyFont="1" applyFill="1" applyBorder="1" applyAlignment="1">
      <alignment horizontal="center" vertical="center"/>
    </xf>
    <xf numFmtId="2" fontId="31" fillId="0" borderId="21" xfId="2" applyNumberFormat="1" applyFont="1" applyFill="1" applyBorder="1" applyAlignment="1">
      <alignment horizontal="center" vertical="center"/>
    </xf>
    <xf numFmtId="0" fontId="8" fillId="0" borderId="21" xfId="2" applyFont="1" applyFill="1" applyBorder="1"/>
    <xf numFmtId="0" fontId="8" fillId="0" borderId="0" xfId="2" applyFont="1" applyFill="1" applyBorder="1"/>
    <xf numFmtId="0" fontId="8" fillId="0" borderId="16" xfId="2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7" xfId="2" applyFont="1" applyFill="1" applyBorder="1" applyAlignment="1">
      <alignment horizontal="center"/>
    </xf>
    <xf numFmtId="164" fontId="31" fillId="0" borderId="9" xfId="2" applyNumberFormat="1" applyFont="1" applyFill="1" applyBorder="1" applyAlignment="1">
      <alignment horizontal="center" vertical="center"/>
    </xf>
    <xf numFmtId="164" fontId="31" fillId="0" borderId="0" xfId="2" applyNumberFormat="1" applyFont="1" applyFill="1" applyBorder="1" applyAlignment="1">
      <alignment horizontal="center" vertical="center"/>
    </xf>
    <xf numFmtId="2" fontId="31" fillId="0" borderId="0" xfId="2" applyNumberFormat="1" applyFont="1" applyFill="1" applyBorder="1" applyAlignment="1">
      <alignment horizontal="center" vertical="center"/>
    </xf>
    <xf numFmtId="164" fontId="31" fillId="0" borderId="0" xfId="2" applyNumberFormat="1" applyFont="1" applyFill="1" applyBorder="1" applyAlignment="1">
      <alignment horizontal="center"/>
    </xf>
    <xf numFmtId="166" fontId="31" fillId="0" borderId="0" xfId="2" applyNumberFormat="1" applyFont="1" applyFill="1" applyBorder="1" applyAlignment="1">
      <alignment horizontal="center" vertical="center"/>
    </xf>
    <xf numFmtId="0" fontId="31" fillId="0" borderId="27" xfId="2" applyFont="1" applyFill="1" applyBorder="1" applyAlignment="1">
      <alignment horizontal="center" vertical="center"/>
    </xf>
    <xf numFmtId="0" fontId="31" fillId="0" borderId="27" xfId="2" applyFont="1" applyFill="1" applyBorder="1" applyAlignment="1">
      <alignment horizontal="center"/>
    </xf>
    <xf numFmtId="165" fontId="31" fillId="0" borderId="0" xfId="2" applyNumberFormat="1" applyFont="1" applyFill="1" applyBorder="1" applyAlignment="1">
      <alignment horizontal="center"/>
    </xf>
    <xf numFmtId="165" fontId="31" fillId="0" borderId="0" xfId="2" applyNumberFormat="1" applyFont="1" applyFill="1" applyBorder="1" applyAlignment="1">
      <alignment horizontal="center" vertical="center"/>
    </xf>
    <xf numFmtId="2" fontId="8" fillId="0" borderId="0" xfId="2" applyNumberFormat="1" applyFont="1" applyFill="1" applyBorder="1" applyAlignment="1">
      <alignment horizontal="center"/>
    </xf>
    <xf numFmtId="165" fontId="8" fillId="0" borderId="0" xfId="2" applyNumberFormat="1" applyFont="1" applyFill="1" applyBorder="1" applyAlignment="1">
      <alignment horizontal="center"/>
    </xf>
    <xf numFmtId="1" fontId="8" fillId="0" borderId="0" xfId="2" applyNumberFormat="1" applyFont="1" applyFill="1" applyBorder="1" applyAlignment="1">
      <alignment horizontal="center"/>
    </xf>
    <xf numFmtId="2" fontId="8" fillId="0" borderId="0" xfId="2" applyNumberFormat="1" applyFont="1" applyFill="1" applyBorder="1"/>
    <xf numFmtId="2" fontId="36" fillId="0" borderId="24" xfId="0" applyNumberFormat="1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wrapText="1"/>
    </xf>
    <xf numFmtId="0" fontId="36" fillId="0" borderId="31" xfId="0" applyFont="1" applyFill="1" applyBorder="1" applyAlignment="1">
      <alignment horizontal="center" vertical="center"/>
    </xf>
    <xf numFmtId="0" fontId="36" fillId="0" borderId="32" xfId="0" applyFont="1" applyFill="1" applyBorder="1" applyAlignment="1">
      <alignment horizontal="center" vertical="center"/>
    </xf>
    <xf numFmtId="166" fontId="36" fillId="0" borderId="32" xfId="0" applyNumberFormat="1" applyFont="1" applyFill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/>
    </xf>
    <xf numFmtId="2" fontId="36" fillId="0" borderId="4" xfId="0" applyNumberFormat="1" applyFont="1" applyFill="1" applyBorder="1" applyAlignment="1">
      <alignment horizontal="center" vertical="center"/>
    </xf>
    <xf numFmtId="0" fontId="36" fillId="0" borderId="27" xfId="0" applyFont="1" applyFill="1" applyBorder="1" applyAlignment="1">
      <alignment horizontal="center" vertical="center"/>
    </xf>
    <xf numFmtId="168" fontId="9" fillId="0" borderId="0" xfId="0" applyNumberFormat="1" applyFont="1" applyFill="1" applyBorder="1"/>
    <xf numFmtId="2" fontId="36" fillId="0" borderId="13" xfId="0" applyNumberFormat="1" applyFont="1" applyFill="1" applyBorder="1" applyAlignment="1">
      <alignment horizontal="center" vertical="center"/>
    </xf>
    <xf numFmtId="164" fontId="36" fillId="0" borderId="5" xfId="0" applyNumberFormat="1" applyFont="1" applyFill="1" applyBorder="1" applyAlignment="1">
      <alignment horizontal="center" vertical="center"/>
    </xf>
    <xf numFmtId="165" fontId="36" fillId="0" borderId="12" xfId="0" applyNumberFormat="1" applyFont="1" applyFill="1" applyBorder="1" applyAlignment="1">
      <alignment horizontal="center" vertical="center"/>
    </xf>
    <xf numFmtId="2" fontId="36" fillId="0" borderId="36" xfId="0" applyNumberFormat="1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0" fontId="36" fillId="0" borderId="23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166" fontId="36" fillId="0" borderId="12" xfId="0" applyNumberFormat="1" applyFont="1" applyFill="1" applyBorder="1" applyAlignment="1">
      <alignment horizontal="center" vertical="center"/>
    </xf>
    <xf numFmtId="0" fontId="36" fillId="0" borderId="28" xfId="0" applyFont="1" applyFill="1" applyBorder="1" applyAlignment="1">
      <alignment horizontal="center" vertical="center"/>
    </xf>
    <xf numFmtId="164" fontId="36" fillId="0" borderId="70" xfId="0" applyNumberFormat="1" applyFont="1" applyFill="1" applyBorder="1" applyAlignment="1">
      <alignment horizontal="center" vertical="center"/>
    </xf>
    <xf numFmtId="164" fontId="36" fillId="0" borderId="71" xfId="0" applyNumberFormat="1" applyFont="1" applyFill="1" applyBorder="1" applyAlignment="1">
      <alignment horizontal="center" vertical="center"/>
    </xf>
    <xf numFmtId="165" fontId="36" fillId="0" borderId="71" xfId="0" applyNumberFormat="1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left" vertical="center"/>
    </xf>
    <xf numFmtId="0" fontId="36" fillId="4" borderId="8" xfId="0" applyFont="1" applyFill="1" applyBorder="1" applyAlignment="1">
      <alignment horizontal="left" vertical="center"/>
    </xf>
    <xf numFmtId="2" fontId="36" fillId="4" borderId="8" xfId="0" applyNumberFormat="1" applyFont="1" applyFill="1" applyBorder="1" applyAlignment="1">
      <alignment horizontal="center" vertical="center"/>
    </xf>
    <xf numFmtId="0" fontId="13" fillId="4" borderId="24" xfId="0" applyFont="1" applyFill="1" applyBorder="1"/>
    <xf numFmtId="0" fontId="13" fillId="4" borderId="7" xfId="0" applyFont="1" applyFill="1" applyBorder="1"/>
    <xf numFmtId="0" fontId="8" fillId="4" borderId="19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/>
    </xf>
    <xf numFmtId="2" fontId="13" fillId="4" borderId="7" xfId="0" applyNumberFormat="1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164" fontId="36" fillId="4" borderId="17" xfId="0" applyNumberFormat="1" applyFont="1" applyFill="1" applyBorder="1" applyAlignment="1">
      <alignment horizontal="center" vertical="center"/>
    </xf>
    <xf numFmtId="2" fontId="36" fillId="4" borderId="7" xfId="0" applyNumberFormat="1" applyFont="1" applyFill="1" applyBorder="1" applyAlignment="1">
      <alignment horizontal="center" vertical="center"/>
    </xf>
    <xf numFmtId="164" fontId="36" fillId="4" borderId="7" xfId="0" applyNumberFormat="1" applyFont="1" applyFill="1" applyBorder="1" applyAlignment="1">
      <alignment horizontal="center"/>
    </xf>
    <xf numFmtId="2" fontId="36" fillId="4" borderId="7" xfId="0" applyNumberFormat="1" applyFont="1" applyFill="1" applyBorder="1" applyAlignment="1">
      <alignment horizontal="center"/>
    </xf>
    <xf numFmtId="0" fontId="36" fillId="4" borderId="24" xfId="0" applyFont="1" applyFill="1" applyBorder="1" applyAlignment="1">
      <alignment horizontal="center" vertical="center"/>
    </xf>
    <xf numFmtId="0" fontId="36" fillId="4" borderId="7" xfId="0" applyFont="1" applyFill="1" applyBorder="1" applyAlignment="1">
      <alignment horizontal="center" vertical="center"/>
    </xf>
    <xf numFmtId="166" fontId="36" fillId="4" borderId="7" xfId="0" applyNumberFormat="1" applyFont="1" applyFill="1" applyBorder="1" applyAlignment="1">
      <alignment horizontal="center" vertical="center"/>
    </xf>
    <xf numFmtId="0" fontId="36" fillId="4" borderId="26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left" vertical="center"/>
    </xf>
    <xf numFmtId="164" fontId="31" fillId="0" borderId="11" xfId="0" applyNumberFormat="1" applyFont="1" applyFill="1" applyBorder="1" applyAlignment="1">
      <alignment horizontal="center"/>
    </xf>
    <xf numFmtId="0" fontId="31" fillId="0" borderId="9" xfId="0" applyFont="1" applyFill="1" applyBorder="1" applyAlignment="1">
      <alignment horizontal="center"/>
    </xf>
    <xf numFmtId="2" fontId="31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/>
    </xf>
    <xf numFmtId="166" fontId="31" fillId="0" borderId="0" xfId="0" applyNumberFormat="1" applyFont="1" applyFill="1" applyBorder="1" applyAlignment="1">
      <alignment horizontal="center"/>
    </xf>
    <xf numFmtId="0" fontId="31" fillId="0" borderId="27" xfId="0" applyFont="1" applyBorder="1" applyAlignment="1">
      <alignment horizontal="center"/>
    </xf>
    <xf numFmtId="0" fontId="13" fillId="0" borderId="0" xfId="0" applyFont="1" applyBorder="1"/>
    <xf numFmtId="164" fontId="31" fillId="0" borderId="11" xfId="0" applyNumberFormat="1" applyFont="1" applyFill="1" applyBorder="1" applyAlignment="1">
      <alignment horizontal="center" vertical="center"/>
    </xf>
    <xf numFmtId="164" fontId="31" fillId="0" borderId="0" xfId="0" applyNumberFormat="1" applyFont="1" applyFill="1" applyBorder="1" applyAlignment="1">
      <alignment horizontal="center"/>
    </xf>
    <xf numFmtId="2" fontId="31" fillId="0" borderId="0" xfId="0" applyNumberFormat="1" applyFont="1" applyFill="1" applyBorder="1" applyAlignment="1">
      <alignment horizontal="center"/>
    </xf>
    <xf numFmtId="166" fontId="31" fillId="0" borderId="0" xfId="0" applyNumberFormat="1" applyFont="1" applyFill="1" applyBorder="1" applyAlignment="1">
      <alignment horizontal="center" vertical="center"/>
    </xf>
    <xf numFmtId="165" fontId="31" fillId="0" borderId="0" xfId="0" applyNumberFormat="1" applyFont="1" applyFill="1" applyBorder="1" applyAlignment="1">
      <alignment horizontal="center" vertical="center"/>
    </xf>
    <xf numFmtId="0" fontId="31" fillId="0" borderId="11" xfId="0" applyFont="1" applyFill="1" applyBorder="1"/>
    <xf numFmtId="0" fontId="31" fillId="0" borderId="9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166" fontId="31" fillId="0" borderId="0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31" fillId="0" borderId="4" xfId="0" applyFont="1" applyFill="1" applyBorder="1"/>
    <xf numFmtId="0" fontId="31" fillId="0" borderId="4" xfId="0" applyFont="1" applyBorder="1" applyAlignment="1">
      <alignment horizontal="center"/>
    </xf>
    <xf numFmtId="0" fontId="13" fillId="0" borderId="22" xfId="0" applyFont="1" applyFill="1" applyBorder="1"/>
    <xf numFmtId="0" fontId="13" fillId="0" borderId="3" xfId="0" applyFont="1" applyFill="1" applyBorder="1"/>
    <xf numFmtId="0" fontId="13" fillId="0" borderId="22" xfId="0" applyFont="1" applyFill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54" xfId="0" applyFont="1" applyFill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3" xfId="0" applyFont="1" applyBorder="1" applyAlignment="1">
      <alignment horizontal="center" wrapText="1"/>
    </xf>
    <xf numFmtId="2" fontId="31" fillId="0" borderId="3" xfId="0" applyNumberFormat="1" applyFont="1" applyBorder="1" applyAlignment="1">
      <alignment horizontal="center"/>
    </xf>
    <xf numFmtId="166" fontId="31" fillId="0" borderId="3" xfId="0" applyNumberFormat="1" applyFont="1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25" fillId="0" borderId="27" xfId="0" applyFont="1" applyBorder="1" applyAlignment="1">
      <alignment horizontal="center"/>
    </xf>
    <xf numFmtId="0" fontId="31" fillId="0" borderId="45" xfId="0" applyFont="1" applyBorder="1" applyAlignment="1">
      <alignment horizontal="center"/>
    </xf>
    <xf numFmtId="0" fontId="31" fillId="0" borderId="0" xfId="0" applyFont="1" applyBorder="1" applyAlignment="1">
      <alignment horizontal="center" wrapText="1"/>
    </xf>
    <xf numFmtId="2" fontId="31" fillId="0" borderId="0" xfId="0" applyNumberFormat="1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0" fontId="31" fillId="0" borderId="8" xfId="0" applyFont="1" applyFill="1" applyBorder="1"/>
    <xf numFmtId="0" fontId="31" fillId="0" borderId="8" xfId="0" applyFont="1" applyBorder="1" applyAlignment="1">
      <alignment horizontal="center"/>
    </xf>
    <xf numFmtId="0" fontId="25" fillId="0" borderId="26" xfId="0" applyFont="1" applyBorder="1" applyAlignment="1">
      <alignment horizontal="center"/>
    </xf>
    <xf numFmtId="0" fontId="31" fillId="0" borderId="47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31" fillId="0" borderId="7" xfId="0" applyFont="1" applyBorder="1" applyAlignment="1">
      <alignment horizontal="center" wrapText="1"/>
    </xf>
    <xf numFmtId="2" fontId="31" fillId="0" borderId="7" xfId="0" applyNumberFormat="1" applyFont="1" applyBorder="1" applyAlignment="1">
      <alignment horizontal="center"/>
    </xf>
    <xf numFmtId="166" fontId="31" fillId="0" borderId="7" xfId="0" applyNumberFormat="1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left"/>
    </xf>
    <xf numFmtId="2" fontId="13" fillId="0" borderId="0" xfId="0" applyNumberFormat="1" applyFont="1" applyFill="1" applyBorder="1" applyAlignment="1">
      <alignment horizontal="left"/>
    </xf>
    <xf numFmtId="0" fontId="37" fillId="0" borderId="0" xfId="0" applyFont="1" applyAlignment="1">
      <alignment horizontal="left" vertical="center"/>
    </xf>
    <xf numFmtId="0" fontId="13" fillId="0" borderId="0" xfId="0" applyFont="1" applyFill="1" applyBorder="1" applyAlignment="1">
      <alignment horizontal="left"/>
    </xf>
    <xf numFmtId="171" fontId="9" fillId="0" borderId="0" xfId="0" applyNumberFormat="1" applyFont="1"/>
    <xf numFmtId="0" fontId="1" fillId="0" borderId="2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164" fontId="1" fillId="0" borderId="2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164" fontId="8" fillId="0" borderId="2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164" fontId="8" fillId="0" borderId="27" xfId="0" applyNumberFormat="1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72" xfId="0" applyFont="1" applyFill="1" applyBorder="1" applyAlignment="1">
      <alignment horizontal="left" vertical="center"/>
    </xf>
    <xf numFmtId="0" fontId="31" fillId="0" borderId="72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164" fontId="1" fillId="0" borderId="67" xfId="0" applyNumberFormat="1" applyFont="1" applyFill="1" applyBorder="1" applyAlignment="1">
      <alignment horizontal="center" vertical="center"/>
    </xf>
    <xf numFmtId="164" fontId="1" fillId="0" borderId="71" xfId="0" applyNumberFormat="1" applyFont="1" applyFill="1" applyBorder="1" applyAlignment="1">
      <alignment horizontal="center" vertical="center"/>
    </xf>
    <xf numFmtId="2" fontId="1" fillId="0" borderId="71" xfId="0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/>
    </xf>
    <xf numFmtId="164" fontId="8" fillId="0" borderId="69" xfId="0" applyNumberFormat="1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164" fontId="1" fillId="0" borderId="35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center"/>
    </xf>
    <xf numFmtId="164" fontId="8" fillId="0" borderId="27" xfId="0" applyNumberFormat="1" applyFont="1" applyFill="1" applyBorder="1" applyAlignment="1">
      <alignment horizontal="center"/>
    </xf>
    <xf numFmtId="164" fontId="13" fillId="0" borderId="54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/>
    </xf>
    <xf numFmtId="2" fontId="1" fillId="0" borderId="7" xfId="0" applyNumberFormat="1" applyFont="1" applyFill="1" applyBorder="1" applyAlignment="1">
      <alignment horizontal="center"/>
    </xf>
    <xf numFmtId="164" fontId="8" fillId="0" borderId="26" xfId="0" applyNumberFormat="1" applyFont="1" applyFill="1" applyBorder="1" applyAlignment="1">
      <alignment horizontal="center"/>
    </xf>
    <xf numFmtId="164" fontId="13" fillId="0" borderId="19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/>
    </xf>
    <xf numFmtId="164" fontId="13" fillId="0" borderId="22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/>
    </xf>
    <xf numFmtId="164" fontId="8" fillId="0" borderId="25" xfId="0" applyNumberFormat="1" applyFont="1" applyFill="1" applyBorder="1" applyAlignment="1">
      <alignment horizontal="center"/>
    </xf>
    <xf numFmtId="164" fontId="13" fillId="0" borderId="16" xfId="0" applyNumberFormat="1" applyFont="1" applyFill="1" applyBorder="1" applyAlignment="1">
      <alignment horizontal="center" vertical="center"/>
    </xf>
    <xf numFmtId="169" fontId="13" fillId="0" borderId="0" xfId="0" applyNumberFormat="1" applyFont="1" applyBorder="1" applyAlignment="1">
      <alignment horizontal="center"/>
    </xf>
    <xf numFmtId="0" fontId="13" fillId="0" borderId="19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164" fontId="38" fillId="0" borderId="0" xfId="0" applyNumberFormat="1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center"/>
    </xf>
    <xf numFmtId="164" fontId="38" fillId="0" borderId="0" xfId="0" applyNumberFormat="1" applyFont="1" applyFill="1" applyBorder="1" applyAlignment="1">
      <alignment horizontal="center"/>
    </xf>
    <xf numFmtId="0" fontId="13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23" fillId="0" borderId="0" xfId="0" applyFont="1" applyFill="1" applyBorder="1" applyAlignment="1">
      <alignment vertical="center"/>
    </xf>
    <xf numFmtId="167" fontId="38" fillId="0" borderId="0" xfId="0" applyNumberFormat="1" applyFont="1" applyFill="1" applyBorder="1" applyAlignment="1">
      <alignment horizontal="center" vertical="center"/>
    </xf>
    <xf numFmtId="0" fontId="39" fillId="0" borderId="0" xfId="0" applyFont="1" applyBorder="1" applyAlignment="1"/>
    <xf numFmtId="0" fontId="39" fillId="0" borderId="0" xfId="0" applyFont="1" applyBorder="1" applyAlignment="1">
      <alignment horizontal="center"/>
    </xf>
    <xf numFmtId="0" fontId="13" fillId="0" borderId="0" xfId="0" applyFont="1" applyFill="1" applyBorder="1" applyAlignment="1"/>
    <xf numFmtId="0" fontId="8" fillId="0" borderId="0" xfId="0" applyFont="1" applyAlignment="1">
      <alignment horizontal="center" vertical="center"/>
    </xf>
    <xf numFmtId="166" fontId="14" fillId="0" borderId="0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/>
    </xf>
    <xf numFmtId="165" fontId="13" fillId="2" borderId="27" xfId="0" applyNumberFormat="1" applyFont="1" applyFill="1" applyBorder="1" applyAlignment="1">
      <alignment horizontal="center" vertical="center"/>
    </xf>
    <xf numFmtId="1" fontId="13" fillId="2" borderId="21" xfId="0" applyNumberFormat="1" applyFont="1" applyFill="1" applyBorder="1" applyAlignment="1">
      <alignment horizontal="center" vertical="center"/>
    </xf>
    <xf numFmtId="1" fontId="13" fillId="2" borderId="0" xfId="0" applyNumberFormat="1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164" fontId="1" fillId="2" borderId="2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 wrapText="1"/>
    </xf>
    <xf numFmtId="1" fontId="1" fillId="2" borderId="21" xfId="0" applyNumberFormat="1" applyFont="1" applyFill="1" applyBorder="1" applyAlignment="1">
      <alignment horizontal="center" vertical="center" wrapText="1"/>
    </xf>
    <xf numFmtId="167" fontId="13" fillId="2" borderId="0" xfId="0" applyNumberFormat="1" applyFont="1" applyFill="1" applyBorder="1" applyAlignment="1">
      <alignment horizontal="center" vertical="center"/>
    </xf>
    <xf numFmtId="2" fontId="1" fillId="2" borderId="27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1" fontId="1" fillId="0" borderId="20" xfId="0" applyNumberFormat="1" applyFont="1" applyBorder="1" applyAlignment="1">
      <alignment horizontal="center" vertical="center" wrapText="1"/>
    </xf>
    <xf numFmtId="1" fontId="1" fillId="0" borderId="37" xfId="0" applyNumberFormat="1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 wrapText="1"/>
    </xf>
    <xf numFmtId="0" fontId="36" fillId="0" borderId="8" xfId="0" applyFont="1" applyFill="1" applyBorder="1" applyAlignment="1">
      <alignment horizontal="center" vertical="center" wrapText="1"/>
    </xf>
    <xf numFmtId="2" fontId="16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3" fillId="0" borderId="2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166" fontId="12" fillId="0" borderId="0" xfId="0" applyNumberFormat="1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/>
    </xf>
    <xf numFmtId="170" fontId="9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vertical="top"/>
    </xf>
    <xf numFmtId="165" fontId="9" fillId="0" borderId="0" xfId="0" applyNumberFormat="1" applyFont="1" applyFill="1" applyBorder="1"/>
    <xf numFmtId="167" fontId="9" fillId="0" borderId="0" xfId="0" applyNumberFormat="1" applyFont="1" applyFill="1" applyBorder="1" applyAlignment="1">
      <alignment horizontal="center"/>
    </xf>
    <xf numFmtId="168" fontId="9" fillId="0" borderId="0" xfId="0" applyNumberFormat="1" applyFont="1" applyFill="1" applyBorder="1" applyAlignment="1">
      <alignment horizontal="center"/>
    </xf>
    <xf numFmtId="171" fontId="9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/>
    <xf numFmtId="0" fontId="9" fillId="0" borderId="0" xfId="0" applyFont="1" applyFill="1" applyBorder="1" applyAlignment="1"/>
    <xf numFmtId="0" fontId="27" fillId="0" borderId="0" xfId="0" applyFont="1" applyFill="1" applyBorder="1"/>
    <xf numFmtId="166" fontId="27" fillId="0" borderId="0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Border="1" applyAlignment="1">
      <alignment horizontal="center" vertical="center"/>
    </xf>
    <xf numFmtId="165" fontId="13" fillId="0" borderId="0" xfId="0" applyNumberFormat="1" applyFont="1" applyFill="1" applyBorder="1"/>
    <xf numFmtId="165" fontId="13" fillId="0" borderId="0" xfId="0" applyNumberFormat="1" applyFont="1" applyFill="1"/>
    <xf numFmtId="165" fontId="13" fillId="0" borderId="0" xfId="0" applyNumberFormat="1" applyFont="1" applyFill="1" applyBorder="1" applyAlignment="1"/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31" fillId="0" borderId="11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left" vertical="center"/>
    </xf>
    <xf numFmtId="0" fontId="36" fillId="0" borderId="13" xfId="0" applyFont="1" applyFill="1" applyBorder="1" applyAlignment="1">
      <alignment horizontal="left" vertical="center"/>
    </xf>
    <xf numFmtId="0" fontId="31" fillId="0" borderId="11" xfId="2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0" fillId="0" borderId="0" xfId="0" applyFont="1"/>
    <xf numFmtId="1" fontId="13" fillId="0" borderId="0" xfId="0" applyNumberFormat="1" applyFont="1" applyFill="1" applyBorder="1"/>
    <xf numFmtId="171" fontId="1" fillId="0" borderId="0" xfId="0" applyNumberFormat="1" applyFont="1" applyFill="1" applyBorder="1" applyAlignment="1">
      <alignment horizontal="center" vertical="center"/>
    </xf>
    <xf numFmtId="172" fontId="1" fillId="0" borderId="0" xfId="0" applyNumberFormat="1" applyFont="1" applyFill="1" applyBorder="1" applyAlignment="1">
      <alignment horizontal="center" vertical="center"/>
    </xf>
    <xf numFmtId="164" fontId="31" fillId="0" borderId="11" xfId="0" applyNumberFormat="1" applyFont="1" applyFill="1" applyBorder="1"/>
    <xf numFmtId="164" fontId="31" fillId="0" borderId="8" xfId="0" applyNumberFormat="1" applyFont="1" applyFill="1" applyBorder="1"/>
    <xf numFmtId="0" fontId="36" fillId="0" borderId="11" xfId="3">
      <alignment horizontal="left" vertical="center"/>
    </xf>
    <xf numFmtId="0" fontId="36" fillId="0" borderId="36" xfId="3" applyBorder="1">
      <alignment horizontal="left" vertical="center"/>
    </xf>
    <xf numFmtId="0" fontId="36" fillId="0" borderId="4" xfId="3" applyBorder="1">
      <alignment horizontal="left" vertical="center"/>
    </xf>
    <xf numFmtId="164" fontId="31" fillId="0" borderId="25" xfId="0" applyNumberFormat="1" applyFont="1" applyFill="1" applyBorder="1"/>
    <xf numFmtId="164" fontId="31" fillId="0" borderId="27" xfId="0" applyNumberFormat="1" applyFont="1" applyFill="1" applyBorder="1"/>
    <xf numFmtId="0" fontId="36" fillId="0" borderId="11" xfId="3" applyBorder="1">
      <alignment horizontal="left" vertical="center"/>
    </xf>
    <xf numFmtId="0" fontId="36" fillId="0" borderId="8" xfId="3" applyBorder="1">
      <alignment horizontal="left" vertical="center"/>
    </xf>
    <xf numFmtId="164" fontId="36" fillId="0" borderId="0" xfId="0" applyNumberFormat="1" applyFont="1" applyFill="1" applyBorder="1" applyAlignment="1">
      <alignment horizontal="left" vertical="center"/>
    </xf>
    <xf numFmtId="164" fontId="36" fillId="0" borderId="7" xfId="0" applyNumberFormat="1" applyFont="1" applyFill="1" applyBorder="1" applyAlignment="1">
      <alignment horizontal="left" vertical="center"/>
    </xf>
    <xf numFmtId="164" fontId="36" fillId="0" borderId="3" xfId="0" applyNumberFormat="1" applyFont="1" applyFill="1" applyBorder="1" applyAlignment="1">
      <alignment horizontal="left" vertical="center"/>
    </xf>
    <xf numFmtId="164" fontId="36" fillId="0" borderId="12" xfId="0" applyNumberFormat="1" applyFont="1" applyFill="1" applyBorder="1" applyAlignment="1">
      <alignment horizontal="left" vertical="center"/>
    </xf>
    <xf numFmtId="164" fontId="31" fillId="0" borderId="0" xfId="2" applyNumberFormat="1" applyFont="1" applyFill="1" applyBorder="1" applyAlignment="1">
      <alignment horizontal="left" vertical="center"/>
    </xf>
    <xf numFmtId="164" fontId="36" fillId="0" borderId="29" xfId="0" applyNumberFormat="1" applyFont="1" applyFill="1" applyBorder="1" applyAlignment="1">
      <alignment horizontal="left" vertical="center"/>
    </xf>
    <xf numFmtId="164" fontId="36" fillId="0" borderId="25" xfId="0" applyNumberFormat="1" applyFont="1" applyFill="1" applyBorder="1" applyAlignment="1">
      <alignment horizontal="left" vertical="center"/>
    </xf>
    <xf numFmtId="164" fontId="36" fillId="0" borderId="27" xfId="0" applyNumberFormat="1" applyFont="1" applyFill="1" applyBorder="1" applyAlignment="1">
      <alignment horizontal="left" vertical="center"/>
    </xf>
    <xf numFmtId="164" fontId="36" fillId="4" borderId="26" xfId="0" applyNumberFormat="1" applyFont="1" applyFill="1" applyBorder="1" applyAlignment="1">
      <alignment horizontal="left" vertical="center"/>
    </xf>
    <xf numFmtId="164" fontId="31" fillId="0" borderId="27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29" fillId="0" borderId="0" xfId="0" applyFont="1"/>
    <xf numFmtId="0" fontId="16" fillId="0" borderId="0" xfId="0" applyFont="1" applyFill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8" fillId="0" borderId="35" xfId="0" applyFont="1" applyFill="1" applyBorder="1"/>
    <xf numFmtId="49" fontId="8" fillId="0" borderId="29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center" wrapText="1"/>
    </xf>
    <xf numFmtId="0" fontId="8" fillId="0" borderId="29" xfId="0" applyFont="1" applyFill="1" applyBorder="1" applyAlignment="1">
      <alignment horizontal="center"/>
    </xf>
    <xf numFmtId="2" fontId="8" fillId="0" borderId="29" xfId="0" applyNumberFormat="1" applyFont="1" applyBorder="1" applyAlignment="1">
      <alignment horizontal="center"/>
    </xf>
    <xf numFmtId="2" fontId="8" fillId="0" borderId="29" xfId="0" applyNumberFormat="1" applyFont="1" applyFill="1" applyBorder="1" applyAlignment="1">
      <alignment horizontal="center"/>
    </xf>
    <xf numFmtId="0" fontId="31" fillId="0" borderId="29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164" fontId="31" fillId="0" borderId="29" xfId="0" applyNumberFormat="1" applyFont="1" applyFill="1" applyBorder="1" applyAlignment="1">
      <alignment horizontal="center"/>
    </xf>
    <xf numFmtId="2" fontId="13" fillId="0" borderId="29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8" fillId="0" borderId="16" xfId="0" applyFont="1" applyFill="1" applyBorder="1"/>
    <xf numFmtId="0" fontId="8" fillId="0" borderId="12" xfId="0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29" xfId="0" applyFont="1" applyFill="1" applyBorder="1" applyAlignment="1">
      <alignment horizontal="left" vertical="center"/>
    </xf>
    <xf numFmtId="0" fontId="13" fillId="0" borderId="29" xfId="0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/>
    </xf>
    <xf numFmtId="0" fontId="31" fillId="0" borderId="29" xfId="0" applyFont="1" applyFill="1" applyBorder="1" applyAlignment="1">
      <alignment horizontal="center" vertical="center"/>
    </xf>
    <xf numFmtId="0" fontId="13" fillId="0" borderId="29" xfId="0" applyFont="1" applyBorder="1"/>
    <xf numFmtId="0" fontId="13" fillId="0" borderId="29" xfId="0" applyFont="1" applyFill="1" applyBorder="1" applyAlignment="1">
      <alignment horizontal="center"/>
    </xf>
    <xf numFmtId="1" fontId="13" fillId="0" borderId="29" xfId="0" applyNumberFormat="1" applyFont="1" applyFill="1" applyBorder="1" applyAlignment="1">
      <alignment horizontal="center"/>
    </xf>
    <xf numFmtId="165" fontId="13" fillId="0" borderId="29" xfId="0" applyNumberFormat="1" applyFont="1" applyFill="1" applyBorder="1" applyAlignment="1">
      <alignment horizontal="center"/>
    </xf>
    <xf numFmtId="0" fontId="13" fillId="0" borderId="12" xfId="0" applyFont="1" applyBorder="1"/>
    <xf numFmtId="0" fontId="9" fillId="0" borderId="0" xfId="0" applyFont="1" applyBorder="1" applyAlignment="1">
      <alignment horizontal="center"/>
    </xf>
    <xf numFmtId="0" fontId="31" fillId="0" borderId="11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3" fillId="0" borderId="8" xfId="0" applyFont="1" applyFill="1" applyBorder="1"/>
    <xf numFmtId="0" fontId="36" fillId="0" borderId="4" xfId="0" applyFont="1" applyFill="1" applyBorder="1" applyAlignment="1">
      <alignment horizontal="center" vertical="center" wrapText="1"/>
    </xf>
    <xf numFmtId="0" fontId="13" fillId="0" borderId="11" xfId="0" applyFont="1" applyFill="1" applyBorder="1"/>
    <xf numFmtId="0" fontId="16" fillId="0" borderId="4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35" xfId="0" applyFont="1" applyBorder="1"/>
    <xf numFmtId="0" fontId="9" fillId="0" borderId="29" xfId="0" applyFont="1" applyBorder="1"/>
    <xf numFmtId="0" fontId="9" fillId="0" borderId="16" xfId="0" applyFont="1" applyBorder="1"/>
    <xf numFmtId="0" fontId="9" fillId="0" borderId="55" xfId="0" applyFont="1" applyBorder="1"/>
    <xf numFmtId="0" fontId="9" fillId="0" borderId="12" xfId="0" applyFont="1" applyBorder="1"/>
    <xf numFmtId="0" fontId="9" fillId="0" borderId="9" xfId="0" applyFont="1" applyBorder="1" applyAlignment="1">
      <alignment horizontal="center"/>
    </xf>
    <xf numFmtId="0" fontId="9" fillId="0" borderId="5" xfId="0" applyFont="1" applyBorder="1"/>
    <xf numFmtId="0" fontId="9" fillId="0" borderId="14" xfId="0" applyFont="1" applyBorder="1"/>
    <xf numFmtId="0" fontId="8" fillId="0" borderId="0" xfId="1">
      <alignment horizontal="center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2" fontId="13" fillId="0" borderId="0" xfId="0" applyNumberFormat="1" applyFont="1" applyBorder="1" applyAlignment="1">
      <alignment horizontal="left"/>
    </xf>
    <xf numFmtId="0" fontId="25" fillId="0" borderId="73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2" borderId="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6" fillId="0" borderId="21" xfId="0" applyFont="1" applyBorder="1" applyAlignment="1">
      <alignment horizontal="left" vertical="center"/>
    </xf>
    <xf numFmtId="0" fontId="36" fillId="0" borderId="22" xfId="0" applyFont="1" applyBorder="1" applyAlignment="1">
      <alignment horizontal="left" vertical="center"/>
    </xf>
    <xf numFmtId="0" fontId="36" fillId="0" borderId="24" xfId="0" applyFont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0" borderId="12" xfId="0" applyFont="1" applyBorder="1" applyAlignment="1">
      <alignment horizontal="left" vertical="center"/>
    </xf>
    <xf numFmtId="0" fontId="36" fillId="0" borderId="7" xfId="0" applyFont="1" applyBorder="1" applyAlignment="1">
      <alignment horizontal="left" vertical="center"/>
    </xf>
    <xf numFmtId="0" fontId="31" fillId="0" borderId="21" xfId="2" applyFont="1" applyFill="1" applyBorder="1" applyAlignment="1">
      <alignment horizontal="left" vertical="center"/>
    </xf>
    <xf numFmtId="0" fontId="36" fillId="0" borderId="3" xfId="0" applyFont="1" applyBorder="1" applyAlignment="1">
      <alignment horizontal="left" vertical="center"/>
    </xf>
    <xf numFmtId="0" fontId="36" fillId="0" borderId="30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/>
    </xf>
    <xf numFmtId="0" fontId="36" fillId="0" borderId="11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31" fillId="0" borderId="11" xfId="0" applyFont="1" applyBorder="1"/>
    <xf numFmtId="0" fontId="31" fillId="0" borderId="4" xfId="0" applyFont="1" applyBorder="1"/>
    <xf numFmtId="0" fontId="31" fillId="0" borderId="8" xfId="0" applyFont="1" applyBorder="1"/>
    <xf numFmtId="0" fontId="36" fillId="0" borderId="11" xfId="0" applyFont="1" applyBorder="1" applyAlignment="1">
      <alignment vertical="center"/>
    </xf>
    <xf numFmtId="0" fontId="36" fillId="0" borderId="4" xfId="0" applyFont="1" applyBorder="1" applyAlignment="1">
      <alignment vertical="center" wrapText="1"/>
    </xf>
    <xf numFmtId="0" fontId="36" fillId="0" borderId="11" xfId="0" applyFont="1" applyBorder="1" applyAlignment="1">
      <alignment vertical="center" wrapText="1"/>
    </xf>
    <xf numFmtId="164" fontId="36" fillId="0" borderId="9" xfId="0" applyNumberFormat="1" applyFont="1" applyBorder="1" applyAlignment="1">
      <alignment horizontal="center"/>
    </xf>
    <xf numFmtId="164" fontId="36" fillId="0" borderId="1" xfId="0" applyNumberFormat="1" applyFont="1" applyBorder="1" applyAlignment="1">
      <alignment horizontal="center"/>
    </xf>
    <xf numFmtId="164" fontId="36" fillId="0" borderId="17" xfId="0" applyNumberFormat="1" applyFont="1" applyBorder="1" applyAlignment="1">
      <alignment horizontal="center"/>
    </xf>
    <xf numFmtId="164" fontId="36" fillId="0" borderId="5" xfId="0" applyNumberFormat="1" applyFont="1" applyBorder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7" xfId="0" applyNumberFormat="1" applyFont="1" applyBorder="1" applyAlignment="1">
      <alignment horizontal="center" vertical="center"/>
    </xf>
    <xf numFmtId="164" fontId="36" fillId="0" borderId="9" xfId="0" applyNumberFormat="1" applyFont="1" applyBorder="1" applyAlignment="1">
      <alignment horizontal="center" vertical="center"/>
    </xf>
    <xf numFmtId="164" fontId="36" fillId="0" borderId="5" xfId="0" applyNumberFormat="1" applyFont="1" applyBorder="1" applyAlignment="1">
      <alignment horizontal="center" vertical="center"/>
    </xf>
    <xf numFmtId="164" fontId="36" fillId="0" borderId="70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/>
    </xf>
    <xf numFmtId="164" fontId="36" fillId="0" borderId="3" xfId="0" applyNumberFormat="1" applyFont="1" applyBorder="1" applyAlignment="1">
      <alignment horizontal="center"/>
    </xf>
    <xf numFmtId="164" fontId="36" fillId="0" borderId="7" xfId="0" applyNumberFormat="1" applyFont="1" applyBorder="1" applyAlignment="1">
      <alignment horizontal="center"/>
    </xf>
    <xf numFmtId="164" fontId="36" fillId="0" borderId="12" xfId="0" applyNumberFormat="1" applyFont="1" applyBorder="1" applyAlignment="1">
      <alignment horizontal="center"/>
    </xf>
    <xf numFmtId="164" fontId="36" fillId="0" borderId="3" xfId="0" applyNumberFormat="1" applyFont="1" applyBorder="1" applyAlignment="1">
      <alignment horizontal="center" vertical="center"/>
    </xf>
    <xf numFmtId="164" fontId="36" fillId="0" borderId="7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/>
    </xf>
    <xf numFmtId="164" fontId="36" fillId="0" borderId="12" xfId="0" applyNumberFormat="1" applyFont="1" applyBorder="1" applyAlignment="1">
      <alignment horizontal="center" vertical="center"/>
    </xf>
    <xf numFmtId="164" fontId="36" fillId="0" borderId="71" xfId="0" applyNumberFormat="1" applyFont="1" applyBorder="1" applyAlignment="1">
      <alignment horizontal="center" vertical="center"/>
    </xf>
    <xf numFmtId="2" fontId="36" fillId="0" borderId="3" xfId="0" applyNumberFormat="1" applyFont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/>
    </xf>
    <xf numFmtId="2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wrapText="1"/>
    </xf>
    <xf numFmtId="164" fontId="36" fillId="0" borderId="16" xfId="0" applyNumberFormat="1" applyFont="1" applyBorder="1" applyAlignment="1">
      <alignment horizontal="center"/>
    </xf>
    <xf numFmtId="164" fontId="36" fillId="0" borderId="55" xfId="0" applyNumberFormat="1" applyFont="1" applyBorder="1" applyAlignment="1">
      <alignment horizontal="center"/>
    </xf>
    <xf numFmtId="164" fontId="36" fillId="0" borderId="19" xfId="0" applyNumberFormat="1" applyFont="1" applyBorder="1" applyAlignment="1">
      <alignment horizontal="center"/>
    </xf>
    <xf numFmtId="164" fontId="36" fillId="0" borderId="54" xfId="0" applyNumberFormat="1" applyFont="1" applyBorder="1" applyAlignment="1">
      <alignment horizontal="center"/>
    </xf>
    <xf numFmtId="164" fontId="36" fillId="0" borderId="54" xfId="0" applyNumberFormat="1" applyFont="1" applyBorder="1" applyAlignment="1">
      <alignment horizontal="center" vertical="center"/>
    </xf>
    <xf numFmtId="164" fontId="36" fillId="0" borderId="19" xfId="0" applyNumberFormat="1" applyFont="1" applyBorder="1" applyAlignment="1">
      <alignment horizontal="center" vertical="center"/>
    </xf>
    <xf numFmtId="2" fontId="36" fillId="0" borderId="0" xfId="0" applyNumberFormat="1" applyFont="1" applyAlignment="1">
      <alignment horizontal="center"/>
    </xf>
    <xf numFmtId="2" fontId="36" fillId="0" borderId="3" xfId="0" applyNumberFormat="1" applyFont="1" applyBorder="1" applyAlignment="1">
      <alignment horizontal="center"/>
    </xf>
    <xf numFmtId="2" fontId="36" fillId="0" borderId="7" xfId="0" applyNumberFormat="1" applyFont="1" applyBorder="1" applyAlignment="1">
      <alignment horizontal="center"/>
    </xf>
    <xf numFmtId="165" fontId="36" fillId="0" borderId="0" xfId="0" applyNumberFormat="1" applyFont="1" applyAlignment="1">
      <alignment horizontal="center"/>
    </xf>
    <xf numFmtId="165" fontId="36" fillId="0" borderId="12" xfId="0" applyNumberFormat="1" applyFont="1" applyBorder="1" applyAlignment="1">
      <alignment horizontal="center"/>
    </xf>
    <xf numFmtId="165" fontId="36" fillId="0" borderId="7" xfId="0" applyNumberFormat="1" applyFont="1" applyBorder="1" applyAlignment="1">
      <alignment horizontal="center"/>
    </xf>
    <xf numFmtId="2" fontId="36" fillId="0" borderId="7" xfId="0" applyNumberFormat="1" applyFont="1" applyBorder="1" applyAlignment="1">
      <alignment horizontal="center" vertical="center"/>
    </xf>
    <xf numFmtId="165" fontId="36" fillId="0" borderId="3" xfId="0" applyNumberFormat="1" applyFont="1" applyBorder="1" applyAlignment="1">
      <alignment horizontal="center" vertical="center"/>
    </xf>
    <xf numFmtId="165" fontId="36" fillId="0" borderId="0" xfId="0" applyNumberFormat="1" applyFont="1" applyAlignment="1">
      <alignment horizontal="center" vertical="center"/>
    </xf>
    <xf numFmtId="165" fontId="36" fillId="0" borderId="12" xfId="0" applyNumberFormat="1" applyFont="1" applyBorder="1" applyAlignment="1">
      <alignment horizontal="center" vertical="center"/>
    </xf>
    <xf numFmtId="165" fontId="36" fillId="0" borderId="71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55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44" fillId="0" borderId="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2" fontId="36" fillId="0" borderId="21" xfId="0" applyNumberFormat="1" applyFont="1" applyBorder="1" applyAlignment="1">
      <alignment horizontal="center"/>
    </xf>
    <xf numFmtId="2" fontId="36" fillId="0" borderId="4" xfId="0" applyNumberFormat="1" applyFont="1" applyBorder="1" applyAlignment="1">
      <alignment horizontal="center"/>
    </xf>
    <xf numFmtId="2" fontId="36" fillId="0" borderId="11" xfId="0" applyNumberFormat="1" applyFont="1" applyBorder="1" applyAlignment="1">
      <alignment horizontal="center"/>
    </xf>
    <xf numFmtId="2" fontId="36" fillId="0" borderId="8" xfId="0" applyNumberFormat="1" applyFont="1" applyBorder="1" applyAlignment="1">
      <alignment horizontal="center"/>
    </xf>
    <xf numFmtId="2" fontId="36" fillId="0" borderId="13" xfId="0" applyNumberFormat="1" applyFont="1" applyBorder="1" applyAlignment="1">
      <alignment horizontal="center"/>
    </xf>
    <xf numFmtId="2" fontId="36" fillId="0" borderId="11" xfId="0" applyNumberFormat="1" applyFont="1" applyBorder="1" applyAlignment="1">
      <alignment horizontal="center" vertical="center"/>
    </xf>
    <xf numFmtId="2" fontId="36" fillId="0" borderId="22" xfId="0" applyNumberFormat="1" applyFont="1" applyBorder="1" applyAlignment="1">
      <alignment horizontal="center" vertical="center"/>
    </xf>
    <xf numFmtId="2" fontId="36" fillId="0" borderId="24" xfId="0" applyNumberFormat="1" applyFont="1" applyBorder="1" applyAlignment="1">
      <alignment horizontal="center" vertical="center"/>
    </xf>
    <xf numFmtId="2" fontId="36" fillId="0" borderId="4" xfId="0" applyNumberFormat="1" applyFont="1" applyBorder="1" applyAlignment="1">
      <alignment horizontal="center" vertical="center"/>
    </xf>
    <xf numFmtId="2" fontId="36" fillId="0" borderId="13" xfId="0" applyNumberFormat="1" applyFont="1" applyBorder="1" applyAlignment="1">
      <alignment horizontal="center" vertical="center"/>
    </xf>
    <xf numFmtId="2" fontId="36" fillId="0" borderId="36" xfId="0" applyNumberFormat="1" applyFont="1" applyBorder="1" applyAlignment="1">
      <alignment horizontal="center" vertical="center"/>
    </xf>
    <xf numFmtId="2" fontId="36" fillId="0" borderId="8" xfId="0" applyNumberFormat="1" applyFont="1" applyBorder="1" applyAlignment="1">
      <alignment horizontal="center" vertical="center"/>
    </xf>
    <xf numFmtId="164" fontId="31" fillId="0" borderId="11" xfId="0" applyNumberFormat="1" applyFont="1" applyBorder="1" applyAlignment="1">
      <alignment horizontal="center"/>
    </xf>
    <xf numFmtId="164" fontId="31" fillId="0" borderId="11" xfId="0" applyNumberFormat="1" applyFont="1" applyBorder="1" applyAlignment="1">
      <alignment horizontal="center" vertical="center"/>
    </xf>
    <xf numFmtId="2" fontId="13" fillId="4" borderId="0" xfId="0" applyNumberFormat="1" applyFont="1" applyFill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13" fillId="0" borderId="22" xfId="0" applyNumberFormat="1" applyFont="1" applyBorder="1" applyAlignment="1">
      <alignment horizontal="center"/>
    </xf>
    <xf numFmtId="2" fontId="13" fillId="0" borderId="21" xfId="0" applyNumberFormat="1" applyFont="1" applyBorder="1" applyAlignment="1">
      <alignment horizontal="center"/>
    </xf>
    <xf numFmtId="2" fontId="13" fillId="0" borderId="24" xfId="0" applyNumberFormat="1" applyFont="1" applyBorder="1" applyAlignment="1">
      <alignment horizontal="center"/>
    </xf>
    <xf numFmtId="0" fontId="13" fillId="0" borderId="22" xfId="0" applyFont="1" applyBorder="1" applyAlignment="1">
      <alignment horizontal="center" vertical="center"/>
    </xf>
    <xf numFmtId="2" fontId="13" fillId="0" borderId="0" xfId="0" applyNumberFormat="1" applyFont="1" applyBorder="1" applyAlignment="1"/>
    <xf numFmtId="0" fontId="13" fillId="0" borderId="1" xfId="0" applyFont="1" applyBorder="1" applyAlignment="1">
      <alignment horizontal="center" vertical="center"/>
    </xf>
    <xf numFmtId="11" fontId="13" fillId="0" borderId="29" xfId="0" applyNumberFormat="1" applyFont="1" applyBorder="1" applyAlignment="1">
      <alignment horizontal="center"/>
    </xf>
    <xf numFmtId="11" fontId="13" fillId="0" borderId="0" xfId="0" applyNumberFormat="1" applyFont="1" applyBorder="1" applyAlignment="1">
      <alignment horizontal="center"/>
    </xf>
    <xf numFmtId="11" fontId="13" fillId="0" borderId="12" xfId="0" applyNumberFormat="1" applyFont="1" applyBorder="1" applyAlignment="1">
      <alignment horizontal="center"/>
    </xf>
    <xf numFmtId="0" fontId="7" fillId="0" borderId="5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6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" fillId="0" borderId="4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3" fillId="7" borderId="0" xfId="0" applyFont="1" applyFill="1" applyAlignment="1">
      <alignment vertical="center"/>
    </xf>
    <xf numFmtId="0" fontId="13" fillId="0" borderId="47" xfId="0" applyFont="1" applyBorder="1" applyAlignment="1">
      <alignment vertical="center"/>
    </xf>
    <xf numFmtId="0" fontId="1" fillId="0" borderId="4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24" fillId="7" borderId="0" xfId="0" applyNumberFormat="1" applyFont="1" applyFill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0" xfId="1" applyNumberFormat="1" applyFont="1" applyAlignment="1">
      <alignment horizontal="center" vertical="center" wrapText="1"/>
    </xf>
    <xf numFmtId="0" fontId="17" fillId="0" borderId="9" xfId="0" applyFont="1" applyBorder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24" fillId="7" borderId="0" xfId="0" applyNumberFormat="1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7" borderId="3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3" fillId="7" borderId="55" xfId="0" applyFont="1" applyFill="1" applyBorder="1" applyAlignment="1">
      <alignment horizontal="center" vertical="center"/>
    </xf>
    <xf numFmtId="165" fontId="9" fillId="0" borderId="0" xfId="0" applyNumberFormat="1" applyFont="1"/>
    <xf numFmtId="11" fontId="13" fillId="0" borderId="0" xfId="0" applyNumberFormat="1" applyFont="1"/>
    <xf numFmtId="2" fontId="13" fillId="0" borderId="23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1" fontId="1" fillId="7" borderId="0" xfId="0" applyNumberFormat="1" applyFont="1" applyFill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44" fillId="0" borderId="9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5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63" xfId="0" applyNumberFormat="1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5" xfId="0" applyNumberFormat="1" applyFont="1" applyBorder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11" fontId="9" fillId="0" borderId="0" xfId="0" applyNumberFormat="1" applyFont="1"/>
    <xf numFmtId="168" fontId="13" fillId="0" borderId="0" xfId="0" applyNumberFormat="1" applyFont="1"/>
    <xf numFmtId="171" fontId="13" fillId="0" borderId="9" xfId="0" applyNumberFormat="1" applyFont="1" applyBorder="1" applyAlignment="1">
      <alignment horizontal="center"/>
    </xf>
    <xf numFmtId="171" fontId="13" fillId="0" borderId="0" xfId="0" applyNumberFormat="1" applyFont="1"/>
    <xf numFmtId="171" fontId="13" fillId="0" borderId="0" xfId="0" applyNumberFormat="1" applyFont="1" applyFill="1" applyBorder="1" applyAlignment="1"/>
    <xf numFmtId="174" fontId="13" fillId="0" borderId="0" xfId="0" applyNumberFormat="1" applyFont="1" applyFill="1" applyBorder="1" applyAlignment="1"/>
    <xf numFmtId="0" fontId="13" fillId="2" borderId="16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36" fillId="2" borderId="11" xfId="0" applyNumberFormat="1" applyFont="1" applyFill="1" applyBorder="1" applyAlignment="1">
      <alignment horizontal="center" vertical="center"/>
    </xf>
    <xf numFmtId="164" fontId="36" fillId="2" borderId="9" xfId="0" applyNumberFormat="1" applyFont="1" applyFill="1" applyBorder="1" applyAlignment="1">
      <alignment horizontal="center" vertical="center"/>
    </xf>
    <xf numFmtId="164" fontId="36" fillId="2" borderId="0" xfId="0" applyNumberFormat="1" applyFont="1" applyFill="1" applyAlignment="1">
      <alignment horizontal="center" vertical="center"/>
    </xf>
    <xf numFmtId="2" fontId="13" fillId="2" borderId="0" xfId="0" applyNumberFormat="1" applyFont="1" applyFill="1" applyAlignment="1">
      <alignment horizontal="center"/>
    </xf>
    <xf numFmtId="165" fontId="13" fillId="8" borderId="27" xfId="0" applyNumberFormat="1" applyFont="1" applyFill="1" applyBorder="1" applyAlignment="1">
      <alignment horizontal="center"/>
    </xf>
    <xf numFmtId="165" fontId="13" fillId="2" borderId="27" xfId="0" applyNumberFormat="1" applyFont="1" applyFill="1" applyBorder="1" applyAlignment="1">
      <alignment horizontal="center"/>
    </xf>
    <xf numFmtId="173" fontId="13" fillId="0" borderId="0" xfId="0" applyNumberFormat="1" applyFont="1" applyAlignment="1">
      <alignment horizontal="center"/>
    </xf>
    <xf numFmtId="0" fontId="22" fillId="0" borderId="36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13" fillId="0" borderId="46" xfId="0" applyFont="1" applyFill="1" applyBorder="1" applyAlignment="1">
      <alignment horizontal="left" vertical="center"/>
    </xf>
    <xf numFmtId="0" fontId="13" fillId="0" borderId="45" xfId="0" applyFont="1" applyFill="1" applyBorder="1" applyAlignment="1">
      <alignment horizontal="left" vertical="center"/>
    </xf>
    <xf numFmtId="0" fontId="13" fillId="0" borderId="44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1" fontId="1" fillId="0" borderId="25" xfId="0" applyNumberFormat="1" applyFont="1" applyBorder="1" applyAlignment="1">
      <alignment horizontal="center" vertical="center" wrapText="1"/>
    </xf>
    <xf numFmtId="1" fontId="1" fillId="0" borderId="28" xfId="0" applyNumberFormat="1" applyFont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  <xf numFmtId="1" fontId="1" fillId="0" borderId="37" xfId="0" applyNumberFormat="1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1" fontId="1" fillId="0" borderId="54" xfId="0" applyNumberFormat="1" applyFont="1" applyFill="1" applyBorder="1" applyAlignment="1">
      <alignment horizontal="center" vertical="center" wrapText="1"/>
    </xf>
    <xf numFmtId="1" fontId="1" fillId="0" borderId="55" xfId="0" applyNumberFormat="1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left" vertical="center"/>
    </xf>
    <xf numFmtId="0" fontId="13" fillId="7" borderId="46" xfId="0" applyFont="1" applyFill="1" applyBorder="1" applyAlignment="1">
      <alignment horizontal="center" vertical="center"/>
    </xf>
    <xf numFmtId="0" fontId="13" fillId="7" borderId="45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22" fillId="0" borderId="21" xfId="0" applyFont="1" applyBorder="1" applyAlignment="1">
      <alignment horizontal="left" vertical="center"/>
    </xf>
    <xf numFmtId="0" fontId="1" fillId="0" borderId="54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" fillId="0" borderId="46" xfId="0" applyFont="1" applyBorder="1" applyAlignment="1">
      <alignment horizontal="center" vertical="center" textRotation="90" wrapText="1"/>
    </xf>
    <xf numFmtId="0" fontId="1" fillId="0" borderId="45" xfId="0" applyFont="1" applyBorder="1" applyAlignment="1">
      <alignment horizontal="center" vertical="center" textRotation="90" wrapText="1"/>
    </xf>
    <xf numFmtId="0" fontId="1" fillId="0" borderId="44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46" xfId="0" applyFont="1" applyFill="1" applyBorder="1" applyAlignment="1">
      <alignment horizontal="left" vertical="center" wrapText="1"/>
    </xf>
    <xf numFmtId="0" fontId="7" fillId="0" borderId="45" xfId="0" applyFont="1" applyFill="1" applyBorder="1" applyAlignment="1">
      <alignment horizontal="left" vertical="center" wrapText="1"/>
    </xf>
    <xf numFmtId="0" fontId="7" fillId="0" borderId="44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22" fillId="0" borderId="30" xfId="0" applyFont="1" applyFill="1" applyBorder="1" applyAlignment="1">
      <alignment horizontal="left" vertical="center"/>
    </xf>
    <xf numFmtId="0" fontId="22" fillId="0" borderId="21" xfId="0" applyFont="1" applyFill="1" applyBorder="1" applyAlignment="1">
      <alignment horizontal="left" vertical="center"/>
    </xf>
    <xf numFmtId="0" fontId="22" fillId="0" borderId="24" xfId="0" applyFont="1" applyFill="1" applyBorder="1" applyAlignment="1">
      <alignment horizontal="left" vertical="center"/>
    </xf>
    <xf numFmtId="0" fontId="22" fillId="0" borderId="46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0" fontId="13" fillId="0" borderId="20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7" fillId="5" borderId="31" xfId="0" applyFont="1" applyFill="1" applyBorder="1" applyAlignment="1">
      <alignment horizontal="center" vertical="center"/>
    </xf>
    <xf numFmtId="0" fontId="17" fillId="5" borderId="32" xfId="0" applyFont="1" applyFill="1" applyBorder="1" applyAlignment="1">
      <alignment horizontal="center" vertical="center"/>
    </xf>
    <xf numFmtId="0" fontId="17" fillId="5" borderId="33" xfId="0" applyFont="1" applyFill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47" xfId="0" applyFont="1" applyFill="1" applyBorder="1" applyAlignment="1">
      <alignment horizontal="left" vertical="center"/>
    </xf>
    <xf numFmtId="0" fontId="13" fillId="0" borderId="41" xfId="0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textRotation="90" wrapText="1"/>
    </xf>
    <xf numFmtId="0" fontId="1" fillId="0" borderId="21" xfId="0" applyFont="1" applyFill="1" applyBorder="1" applyAlignment="1">
      <alignment horizontal="center" vertical="center" textRotation="90" wrapText="1"/>
    </xf>
    <xf numFmtId="0" fontId="1" fillId="0" borderId="23" xfId="0" applyFont="1" applyFill="1" applyBorder="1" applyAlignment="1">
      <alignment horizontal="center" vertical="center" textRotation="90" wrapText="1"/>
    </xf>
    <xf numFmtId="1" fontId="1" fillId="0" borderId="16" xfId="0" applyNumberFormat="1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textRotation="90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1" fillId="0" borderId="46" xfId="1" applyFont="1" applyBorder="1" applyAlignment="1">
      <alignment horizontal="center" vertical="center" textRotation="90" wrapText="1"/>
    </xf>
    <xf numFmtId="0" fontId="1" fillId="0" borderId="45" xfId="1" applyFont="1" applyBorder="1" applyAlignment="1">
      <alignment horizontal="center" vertical="center" textRotation="90" wrapText="1"/>
    </xf>
    <xf numFmtId="0" fontId="1" fillId="0" borderId="47" xfId="1" applyFont="1" applyBorder="1" applyAlignment="1">
      <alignment horizontal="center" vertical="center" textRotation="90" wrapText="1"/>
    </xf>
    <xf numFmtId="1" fontId="1" fillId="0" borderId="10" xfId="0" applyNumberFormat="1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13" xfId="1" applyFont="1" applyBorder="1" applyAlignment="1">
      <alignment horizontal="left" vertical="center" wrapText="1"/>
    </xf>
    <xf numFmtId="0" fontId="1" fillId="0" borderId="43" xfId="1" applyFont="1" applyBorder="1" applyAlignment="1">
      <alignment horizontal="center" vertical="center" wrapText="1"/>
    </xf>
    <xf numFmtId="0" fontId="1" fillId="0" borderId="44" xfId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 wrapText="1"/>
    </xf>
    <xf numFmtId="1" fontId="1" fillId="0" borderId="41" xfId="0" applyNumberFormat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left" vertical="center" wrapText="1"/>
    </xf>
    <xf numFmtId="0" fontId="7" fillId="0" borderId="21" xfId="1" applyFont="1" applyBorder="1" applyAlignment="1">
      <alignment horizontal="left" vertical="center" wrapText="1"/>
    </xf>
    <xf numFmtId="0" fontId="7" fillId="0" borderId="24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left" vertical="center" wrapText="1"/>
    </xf>
    <xf numFmtId="0" fontId="1" fillId="0" borderId="44" xfId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22" fillId="7" borderId="46" xfId="0" applyFont="1" applyFill="1" applyBorder="1" applyAlignment="1">
      <alignment horizontal="left" vertical="center"/>
    </xf>
    <xf numFmtId="0" fontId="22" fillId="7" borderId="4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22" fillId="0" borderId="47" xfId="0" applyFont="1" applyBorder="1" applyAlignment="1">
      <alignment horizontal="left" vertical="center"/>
    </xf>
    <xf numFmtId="0" fontId="33" fillId="0" borderId="21" xfId="0" applyFont="1" applyBorder="1" applyAlignment="1">
      <alignment horizontal="left" vertical="center"/>
    </xf>
    <xf numFmtId="0" fontId="33" fillId="0" borderId="23" xfId="0" applyFont="1" applyBorder="1" applyAlignment="1">
      <alignment horizontal="left" vertical="center"/>
    </xf>
    <xf numFmtId="0" fontId="33" fillId="0" borderId="4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7" borderId="3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3" fillId="7" borderId="55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7" fillId="0" borderId="3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2" fillId="2" borderId="43" xfId="0" applyFont="1" applyFill="1" applyBorder="1" applyAlignment="1">
      <alignment horizontal="left" vertical="center"/>
    </xf>
    <xf numFmtId="0" fontId="12" fillId="2" borderId="45" xfId="0" applyFont="1" applyFill="1" applyBorder="1" applyAlignment="1">
      <alignment horizontal="left" vertical="center"/>
    </xf>
    <xf numFmtId="0" fontId="12" fillId="2" borderId="47" xfId="0" applyFont="1" applyFill="1" applyBorder="1" applyAlignment="1">
      <alignment horizontal="left" vertical="center"/>
    </xf>
    <xf numFmtId="0" fontId="16" fillId="2" borderId="45" xfId="0" applyFont="1" applyFill="1" applyBorder="1" applyAlignment="1">
      <alignment horizontal="left" vertical="center"/>
    </xf>
    <xf numFmtId="0" fontId="16" fillId="2" borderId="47" xfId="0" applyFont="1" applyFill="1" applyBorder="1" applyAlignment="1">
      <alignment horizontal="left" vertical="center"/>
    </xf>
    <xf numFmtId="0" fontId="16" fillId="2" borderId="43" xfId="0" applyFont="1" applyFill="1" applyBorder="1" applyAlignment="1">
      <alignment horizontal="left" vertical="center" wrapText="1"/>
    </xf>
    <xf numFmtId="0" fontId="16" fillId="2" borderId="45" xfId="0" applyFont="1" applyFill="1" applyBorder="1" applyAlignment="1">
      <alignment horizontal="left" vertical="center" wrapText="1"/>
    </xf>
    <xf numFmtId="0" fontId="16" fillId="2" borderId="47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 wrapText="1"/>
    </xf>
    <xf numFmtId="0" fontId="16" fillId="2" borderId="8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23" fillId="2" borderId="35" xfId="0" applyFont="1" applyFill="1" applyBorder="1" applyAlignment="1">
      <alignment horizontal="left" vertical="center"/>
    </xf>
    <xf numFmtId="0" fontId="23" fillId="2" borderId="16" xfId="0" applyFont="1" applyFill="1" applyBorder="1" applyAlignment="1">
      <alignment horizontal="left" vertical="center"/>
    </xf>
    <xf numFmtId="0" fontId="23" fillId="2" borderId="29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left" vertical="center"/>
    </xf>
    <xf numFmtId="0" fontId="23" fillId="2" borderId="11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left" vertical="center"/>
    </xf>
    <xf numFmtId="0" fontId="16" fillId="2" borderId="21" xfId="0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3" fillId="0" borderId="22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6" fillId="2" borderId="35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16" fillId="2" borderId="55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8" fillId="0" borderId="4" xfId="0" applyNumberFormat="1" applyFont="1" applyFill="1" applyBorder="1" applyAlignment="1">
      <alignment horizontal="center" vertical="center"/>
    </xf>
    <xf numFmtId="164" fontId="8" fillId="0" borderId="13" xfId="0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" fillId="0" borderId="56" xfId="0" applyNumberFormat="1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43" xfId="0" applyFont="1" applyFill="1" applyBorder="1" applyAlignment="1">
      <alignment horizontal="left" vertical="center"/>
    </xf>
    <xf numFmtId="0" fontId="16" fillId="0" borderId="45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164" fontId="16" fillId="0" borderId="32" xfId="0" applyNumberFormat="1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36" xfId="0" applyFont="1" applyFill="1" applyBorder="1" applyAlignment="1">
      <alignment horizontal="center" vertical="center" wrapText="1"/>
    </xf>
    <xf numFmtId="0" fontId="13" fillId="0" borderId="8" xfId="0" applyFont="1" applyFill="1" applyBorder="1"/>
    <xf numFmtId="0" fontId="13" fillId="0" borderId="11" xfId="0" applyFont="1" applyFill="1" applyBorder="1"/>
  </cellXfs>
  <cellStyles count="4">
    <cellStyle name="Bad" xfId="2" builtinId="27"/>
    <cellStyle name="Normal" xfId="0" builtinId="0"/>
    <cellStyle name="Normal 2" xfId="1" xr:uid="{00000000-0005-0000-0000-000002000000}"/>
    <cellStyle name="Style 1" xfId="3" xr:uid="{88861074-7313-4E58-824E-E0EF026E17F1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99CC"/>
      <color rgb="FF00DE00"/>
      <color rgb="FF8424CC"/>
      <color rgb="FFD60093"/>
      <color rgb="FF00FFFF"/>
      <color rgb="FF66FFFF"/>
      <color rgb="FF1B11DF"/>
      <color rgb="FF00CC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'Beam tests'!$B$3</c:f>
              <c:strCache>
                <c:ptCount val="1"/>
                <c:pt idx="0">
                  <c:v>RHS &amp; SHS Beams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('Beam tests'!$H$20:$H$26,'Beam tests'!$H$41:$H$48,'Beam tests'!$H$64:$H$67)</c:f>
              <c:numCache>
                <c:formatCode>General</c:formatCode>
                <c:ptCount val="19"/>
                <c:pt idx="0">
                  <c:v>6.3237199579274899</c:v>
                </c:pt>
                <c:pt idx="1">
                  <c:v>14.086411020717325</c:v>
                </c:pt>
                <c:pt idx="2">
                  <c:v>8.3759973970421022</c:v>
                </c:pt>
                <c:pt idx="3">
                  <c:v>22.31536193329276</c:v>
                </c:pt>
                <c:pt idx="4">
                  <c:v>28.72979521416919</c:v>
                </c:pt>
                <c:pt idx="5">
                  <c:v>35.043715313447528</c:v>
                </c:pt>
                <c:pt idx="6">
                  <c:v>72.688845729366051</c:v>
                </c:pt>
                <c:pt idx="7">
                  <c:v>2.0738983157119941</c:v>
                </c:pt>
                <c:pt idx="8">
                  <c:v>4.2731426425040944</c:v>
                </c:pt>
                <c:pt idx="9">
                  <c:v>5.30807746151625</c:v>
                </c:pt>
                <c:pt idx="10">
                  <c:v>19.131990192444725</c:v>
                </c:pt>
                <c:pt idx="11">
                  <c:v>2.8617016862600235</c:v>
                </c:pt>
                <c:pt idx="12">
                  <c:v>2.8060318680650762</c:v>
                </c:pt>
                <c:pt idx="13">
                  <c:v>21.693988346165273</c:v>
                </c:pt>
                <c:pt idx="14">
                  <c:v>89.611369078739983</c:v>
                </c:pt>
                <c:pt idx="15">
                  <c:v>18.335217750112548</c:v>
                </c:pt>
                <c:pt idx="16">
                  <c:v>5.1384807490036648</c:v>
                </c:pt>
                <c:pt idx="17">
                  <c:v>10.484063984774323</c:v>
                </c:pt>
                <c:pt idx="18">
                  <c:v>7.7223869655797968</c:v>
                </c:pt>
              </c:numCache>
            </c:numRef>
          </c:xVal>
          <c:yVal>
            <c:numRef>
              <c:f>('Beam tests'!$I$20:$I$26,'Beam tests'!$I$41:$I$48,'Beam tests'!$I$64:$I$67)</c:f>
              <c:numCache>
                <c:formatCode>0.0</c:formatCode>
                <c:ptCount val="19"/>
                <c:pt idx="0">
                  <c:v>7.9</c:v>
                </c:pt>
                <c:pt idx="1">
                  <c:v>19</c:v>
                </c:pt>
                <c:pt idx="2">
                  <c:v>8.6999999999999993</c:v>
                </c:pt>
                <c:pt idx="3">
                  <c:v>29.4</c:v>
                </c:pt>
                <c:pt idx="4">
                  <c:v>26.8</c:v>
                </c:pt>
                <c:pt idx="5">
                  <c:v>33.4</c:v>
                </c:pt>
                <c:pt idx="6">
                  <c:v>52.1</c:v>
                </c:pt>
                <c:pt idx="7">
                  <c:v>2.1</c:v>
                </c:pt>
                <c:pt idx="8">
                  <c:v>4.7</c:v>
                </c:pt>
                <c:pt idx="9">
                  <c:v>6</c:v>
                </c:pt>
                <c:pt idx="10">
                  <c:v>21.2</c:v>
                </c:pt>
                <c:pt idx="11">
                  <c:v>3.3</c:v>
                </c:pt>
                <c:pt idx="12">
                  <c:v>3.2</c:v>
                </c:pt>
                <c:pt idx="13">
                  <c:v>27.3</c:v>
                </c:pt>
                <c:pt idx="14">
                  <c:v>101.4</c:v>
                </c:pt>
                <c:pt idx="15">
                  <c:v>19</c:v>
                </c:pt>
                <c:pt idx="16">
                  <c:v>5</c:v>
                </c:pt>
                <c:pt idx="17">
                  <c:v>11.1</c:v>
                </c:pt>
                <c:pt idx="1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0CA2-4BD9-A9AD-9243CE9D93BB}"/>
            </c:ext>
          </c:extLst>
        </c:ser>
        <c:ser>
          <c:idx val="1"/>
          <c:order val="1"/>
          <c:tx>
            <c:strRef>
              <c:f>'Beam tests'!$B$73</c:f>
              <c:strCache>
                <c:ptCount val="1"/>
                <c:pt idx="0">
                  <c:v>Welded I sections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'Beam tests'!$H$84:$H$87</c:f>
              <c:numCache>
                <c:formatCode>General</c:formatCode>
                <c:ptCount val="4"/>
                <c:pt idx="0">
                  <c:v>118.84459480546114</c:v>
                </c:pt>
                <c:pt idx="1">
                  <c:v>150.12884504429456</c:v>
                </c:pt>
                <c:pt idx="2">
                  <c:v>194.59347988022745</c:v>
                </c:pt>
                <c:pt idx="3">
                  <c:v>217.45741779142793</c:v>
                </c:pt>
              </c:numCache>
            </c:numRef>
          </c:xVal>
          <c:yVal>
            <c:numRef>
              <c:f>'Beam tests'!$I$84:$I$87</c:f>
              <c:numCache>
                <c:formatCode>General</c:formatCode>
                <c:ptCount val="4"/>
                <c:pt idx="0">
                  <c:v>116</c:v>
                </c:pt>
                <c:pt idx="1">
                  <c:v>144</c:v>
                </c:pt>
                <c:pt idx="2">
                  <c:v>185</c:v>
                </c:pt>
                <c:pt idx="3">
                  <c:v>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0CA2-4BD9-A9AD-9243CE9D93BB}"/>
            </c:ext>
          </c:extLst>
        </c:ser>
        <c:ser>
          <c:idx val="2"/>
          <c:order val="2"/>
          <c:tx>
            <c:v>line</c:v>
          </c:tx>
          <c:spPr>
            <a:ln w="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'Beam tests'!$F$102:$F$103</c:f>
              <c:strCache>
                <c:ptCount val="2"/>
                <c:pt idx="0">
                  <c:v>Cold rolled</c:v>
                </c:pt>
                <c:pt idx="1">
                  <c:v>Cold rolled</c:v>
                </c:pt>
              </c:strCache>
            </c:strRef>
          </c:xVal>
          <c:yVal>
            <c:numRef>
              <c:f>'Beam tests'!$F$102:$F$103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0CA2-4BD9-A9AD-9243CE9D9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800271"/>
        <c:axId val="572799855"/>
      </c:scatterChart>
      <c:valAx>
        <c:axId val="57280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99855"/>
        <c:crosses val="autoZero"/>
        <c:crossBetween val="midCat"/>
      </c:valAx>
      <c:valAx>
        <c:axId val="572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0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</a:t>
            </a:r>
            <a:r>
              <a:rPr lang="en-GB" sz="1800" b="0" i="0" baseline="-25000">
                <a:effectLst/>
              </a:rPr>
              <a:t>buckling</a:t>
            </a:r>
            <a:r>
              <a:rPr lang="en-GB" sz="1800" b="0" i="0" baseline="0">
                <a:effectLst/>
              </a:rPr>
              <a:t>/M</a:t>
            </a:r>
            <a:r>
              <a:rPr lang="en-GB" sz="1800" b="0" i="0" baseline="-25000">
                <a:effectLst/>
              </a:rPr>
              <a:t>theoretical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'Beam tests'!$AX$100:$AX$125</c:f>
              <c:strCache>
                <c:ptCount val="26"/>
                <c:pt idx="0">
                  <c:v>0.506689671</c:v>
                </c:pt>
                <c:pt idx="1">
                  <c:v>0.232441161</c:v>
                </c:pt>
                <c:pt idx="2">
                  <c:v>0.488244466</c:v>
                </c:pt>
                <c:pt idx="3">
                  <c:v>0.380386257</c:v>
                </c:pt>
                <c:pt idx="4">
                  <c:v>T</c:v>
                </c:pt>
                <c:pt idx="5">
                  <c:v>0.488049644</c:v>
                </c:pt>
                <c:pt idx="6">
                  <c:v>0.402213608</c:v>
                </c:pt>
                <c:pt idx="7">
                  <c:v>0.389047212</c:v>
                </c:pt>
                <c:pt idx="8">
                  <c:v>1.536303322</c:v>
                </c:pt>
                <c:pt idx="9">
                  <c:v>1.156838347</c:v>
                </c:pt>
                <c:pt idx="10">
                  <c:v>0.946084426</c:v>
                </c:pt>
                <c:pt idx="11">
                  <c:v>0.409484228</c:v>
                </c:pt>
                <c:pt idx="12">
                  <c:v>0.32221664</c:v>
                </c:pt>
                <c:pt idx="13">
                  <c:v>0.226391618</c:v>
                </c:pt>
                <c:pt idx="14">
                  <c:v>0.295504268</c:v>
                </c:pt>
                <c:pt idx="15">
                  <c:v>0.575540642</c:v>
                </c:pt>
                <c:pt idx="16">
                  <c:v>0.339720056</c:v>
                </c:pt>
                <c:pt idx="17">
                  <c:v>0.282140801</c:v>
                </c:pt>
                <c:pt idx="18">
                  <c:v>0.252330394</c:v>
                </c:pt>
                <c:pt idx="19">
                  <c:v>0.57256761</c:v>
                </c:pt>
                <c:pt idx="20">
                  <c:v>0.411112411</c:v>
                </c:pt>
                <c:pt idx="21">
                  <c:v>0.323048278</c:v>
                </c:pt>
                <c:pt idx="22">
                  <c:v>0.248531319</c:v>
                </c:pt>
                <c:pt idx="23">
                  <c:v>0.216123463</c:v>
                </c:pt>
                <c:pt idx="24">
                  <c:v>0.193437942</c:v>
                </c:pt>
                <c:pt idx="25">
                  <c:v>0.296224436</c:v>
                </c:pt>
              </c:strCache>
            </c:strRef>
          </c:xVal>
          <c:yVal>
            <c:numRef>
              <c:f>'Beam tests'!$AS$100:$AS$125</c:f>
              <c:numCache>
                <c:formatCode>General</c:formatCode>
                <c:ptCount val="26"/>
                <c:pt idx="0">
                  <c:v>1.0498609457920332</c:v>
                </c:pt>
                <c:pt idx="1">
                  <c:v>1.0579900698149121</c:v>
                </c:pt>
                <c:pt idx="2">
                  <c:v>1.0878717399336948</c:v>
                </c:pt>
                <c:pt idx="3">
                  <c:v>0.98426941112870769</c:v>
                </c:pt>
                <c:pt idx="4">
                  <c:v>1.0230576410524543</c:v>
                </c:pt>
                <c:pt idx="5">
                  <c:v>0.99598822487118943</c:v>
                </c:pt>
                <c:pt idx="6">
                  <c:v>1.0164952561115601</c:v>
                </c:pt>
                <c:pt idx="7">
                  <c:v>1.0172159894868886</c:v>
                </c:pt>
                <c:pt idx="8">
                  <c:v>0.9173312896890996</c:v>
                </c:pt>
                <c:pt idx="9">
                  <c:v>0.82936804865195901</c:v>
                </c:pt>
                <c:pt idx="10">
                  <c:v>1.1118134555068859</c:v>
                </c:pt>
                <c:pt idx="11">
                  <c:v>1.0044687813966642</c:v>
                </c:pt>
                <c:pt idx="12">
                  <c:v>1.083876604944741</c:v>
                </c:pt>
                <c:pt idx="13">
                  <c:v>0.94822986645656615</c:v>
                </c:pt>
                <c:pt idx="14">
                  <c:v>0.92639274773083158</c:v>
                </c:pt>
                <c:pt idx="15">
                  <c:v>0.96266663434383803</c:v>
                </c:pt>
                <c:pt idx="16">
                  <c:v>1.0038331398584546</c:v>
                </c:pt>
                <c:pt idx="17">
                  <c:v>0.86001276514027059</c:v>
                </c:pt>
                <c:pt idx="18">
                  <c:v>0.97745844500062395</c:v>
                </c:pt>
                <c:pt idx="19">
                  <c:v>0.96048022535632638</c:v>
                </c:pt>
                <c:pt idx="20">
                  <c:v>1.1323237855756603</c:v>
                </c:pt>
                <c:pt idx="21">
                  <c:v>1.147677518022552</c:v>
                </c:pt>
                <c:pt idx="22">
                  <c:v>0.93615564532556794</c:v>
                </c:pt>
                <c:pt idx="23">
                  <c:v>1.0535841593669519</c:v>
                </c:pt>
                <c:pt idx="24">
                  <c:v>0.89712783768200755</c:v>
                </c:pt>
                <c:pt idx="25">
                  <c:v>0.89533320393169769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F-4740-A8EE-6662FFF93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286879"/>
        <c:axId val="263286047"/>
      </c:scatterChart>
      <c:valAx>
        <c:axId val="26328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λ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86047"/>
        <c:crosses val="autoZero"/>
        <c:crossBetween val="midCat"/>
      </c:valAx>
      <c:valAx>
        <c:axId val="26328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</a:t>
                </a:r>
                <a:r>
                  <a:rPr lang="en-GB" baseline="-25000"/>
                  <a:t>buckling</a:t>
                </a:r>
                <a:r>
                  <a:rPr lang="en-GB" baseline="0"/>
                  <a:t>/</a:t>
                </a:r>
                <a:r>
                  <a:rPr lang="en-GB" sz="1000" b="0" i="0" u="none" strike="noStrike" baseline="0">
                    <a:effectLst/>
                  </a:rPr>
                  <a:t>M</a:t>
                </a:r>
                <a:r>
                  <a:rPr lang="en-GB" sz="1000" b="0" i="0" u="none" strike="noStrike" baseline="-25000">
                    <a:effectLst/>
                  </a:rPr>
                  <a:t>theoretical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8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</a:t>
            </a:r>
            <a:r>
              <a:rPr lang="en-GB" sz="1800" b="0" i="0" baseline="-25000">
                <a:effectLst/>
              </a:rPr>
              <a:t>Ult</a:t>
            </a:r>
            <a:r>
              <a:rPr lang="en-GB" sz="1800" b="0" i="0" baseline="0">
                <a:effectLst/>
              </a:rPr>
              <a:t>/M</a:t>
            </a:r>
            <a:r>
              <a:rPr lang="en-GB" sz="1800" b="0" i="0" baseline="-25000">
                <a:effectLst/>
              </a:rPr>
              <a:t>theoretical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'Beam tests'!$AX$100:$AX$183</c:f>
              <c:strCache>
                <c:ptCount val="84"/>
                <c:pt idx="0">
                  <c:v>0.506689671</c:v>
                </c:pt>
                <c:pt idx="1">
                  <c:v>0.232441161</c:v>
                </c:pt>
                <c:pt idx="2">
                  <c:v>0.488244466</c:v>
                </c:pt>
                <c:pt idx="3">
                  <c:v>0.380386257</c:v>
                </c:pt>
                <c:pt idx="4">
                  <c:v>T</c:v>
                </c:pt>
                <c:pt idx="5">
                  <c:v>0.488049644</c:v>
                </c:pt>
                <c:pt idx="6">
                  <c:v>0.402213608</c:v>
                </c:pt>
                <c:pt idx="7">
                  <c:v>0.389047212</c:v>
                </c:pt>
                <c:pt idx="8">
                  <c:v>1.536303322</c:v>
                </c:pt>
                <c:pt idx="9">
                  <c:v>1.156838347</c:v>
                </c:pt>
                <c:pt idx="10">
                  <c:v>0.946084426</c:v>
                </c:pt>
                <c:pt idx="11">
                  <c:v>0.409484228</c:v>
                </c:pt>
                <c:pt idx="12">
                  <c:v>0.32221664</c:v>
                </c:pt>
                <c:pt idx="13">
                  <c:v>0.226391618</c:v>
                </c:pt>
                <c:pt idx="14">
                  <c:v>0.295504268</c:v>
                </c:pt>
                <c:pt idx="15">
                  <c:v>0.575540642</c:v>
                </c:pt>
                <c:pt idx="16">
                  <c:v>0.339720056</c:v>
                </c:pt>
                <c:pt idx="17">
                  <c:v>0.282140801</c:v>
                </c:pt>
                <c:pt idx="18">
                  <c:v>0.252330394</c:v>
                </c:pt>
                <c:pt idx="19">
                  <c:v>0.57256761</c:v>
                </c:pt>
                <c:pt idx="20">
                  <c:v>0.411112411</c:v>
                </c:pt>
                <c:pt idx="21">
                  <c:v>0.323048278</c:v>
                </c:pt>
                <c:pt idx="22">
                  <c:v>0.248531319</c:v>
                </c:pt>
                <c:pt idx="23">
                  <c:v>0.216123463</c:v>
                </c:pt>
                <c:pt idx="24">
                  <c:v>0.193437942</c:v>
                </c:pt>
                <c:pt idx="25">
                  <c:v>0.296224436</c:v>
                </c:pt>
                <c:pt idx="26">
                  <c:v>0.558745116</c:v>
                </c:pt>
                <c:pt idx="27">
                  <c:v>0.559217711</c:v>
                </c:pt>
                <c:pt idx="28">
                  <c:v>0.558745116</c:v>
                </c:pt>
                <c:pt idx="29">
                  <c:v>0.282094268</c:v>
                </c:pt>
                <c:pt idx="30">
                  <c:v>0.282206115</c:v>
                </c:pt>
                <c:pt idx="31">
                  <c:v>0.281793526</c:v>
                </c:pt>
                <c:pt idx="32">
                  <c:v>0.186158939</c:v>
                </c:pt>
                <c:pt idx="33">
                  <c:v>0.523502367</c:v>
                </c:pt>
                <c:pt idx="34">
                  <c:v>0.341812499</c:v>
                </c:pt>
                <c:pt idx="35">
                  <c:v>0.254920292</c:v>
                </c:pt>
                <c:pt idx="36">
                  <c:v>0.431875758</c:v>
                </c:pt>
                <c:pt idx="37">
                  <c:v>0.217065362</c:v>
                </c:pt>
                <c:pt idx="38">
                  <c:v>0.595468867</c:v>
                </c:pt>
                <c:pt idx="39">
                  <c:v>0.264290168</c:v>
                </c:pt>
                <c:pt idx="40">
                  <c:v>0.493995201</c:v>
                </c:pt>
                <c:pt idx="41">
                  <c:v>0.585310006</c:v>
                </c:pt>
                <c:pt idx="42">
                  <c:v>0.545877814</c:v>
                </c:pt>
                <c:pt idx="43">
                  <c:v>0.528160049</c:v>
                </c:pt>
                <c:pt idx="44">
                  <c:v>0.436899904</c:v>
                </c:pt>
                <c:pt idx="45">
                  <c:v>0.601648754</c:v>
                </c:pt>
                <c:pt idx="46">
                  <c:v>0.486630229</c:v>
                </c:pt>
                <c:pt idx="47">
                  <c:v>0.499500069</c:v>
                </c:pt>
                <c:pt idx="48">
                  <c:v>0.499500069</c:v>
                </c:pt>
                <c:pt idx="49">
                  <c:v>0.226490783</c:v>
                </c:pt>
                <c:pt idx="50">
                  <c:v>0.217778706</c:v>
                </c:pt>
                <c:pt idx="51">
                  <c:v>0.231176542</c:v>
                </c:pt>
                <c:pt idx="52">
                  <c:v>0.482079768</c:v>
                </c:pt>
                <c:pt idx="53">
                  <c:v>0.374013007</c:v>
                </c:pt>
                <c:pt idx="54">
                  <c:v>0.997084023</c:v>
                </c:pt>
                <c:pt idx="55">
                  <c:v>0.644243862</c:v>
                </c:pt>
                <c:pt idx="56">
                  <c:v>0.484979429</c:v>
                </c:pt>
                <c:pt idx="57">
                  <c:v>0.355234632</c:v>
                </c:pt>
                <c:pt idx="58">
                  <c:v>0.143051709</c:v>
                </c:pt>
                <c:pt idx="59">
                  <c:v>0.718904219</c:v>
                </c:pt>
                <c:pt idx="60">
                  <c:v>0.252157875</c:v>
                </c:pt>
                <c:pt idx="61">
                  <c:v>0.436508302</c:v>
                </c:pt>
                <c:pt idx="62">
                  <c:v>0.717844681</c:v>
                </c:pt>
                <c:pt idx="63">
                  <c:v>1.036675503</c:v>
                </c:pt>
                <c:pt idx="64">
                  <c:v>0.483813963</c:v>
                </c:pt>
                <c:pt idx="65">
                  <c:v>0.645547803</c:v>
                </c:pt>
                <c:pt idx="66">
                  <c:v>0.737059174</c:v>
                </c:pt>
                <c:pt idx="67">
                  <c:v>0.360679512</c:v>
                </c:pt>
                <c:pt idx="68">
                  <c:v>0.382237415</c:v>
                </c:pt>
                <c:pt idx="69">
                  <c:v>0.665771439</c:v>
                </c:pt>
                <c:pt idx="70">
                  <c:v>0.291905866</c:v>
                </c:pt>
                <c:pt idx="71">
                  <c:v>0.43404659</c:v>
                </c:pt>
                <c:pt idx="72">
                  <c:v>0.546443987</c:v>
                </c:pt>
                <c:pt idx="73">
                  <c:v>0.553331807</c:v>
                </c:pt>
                <c:pt idx="74">
                  <c:v>0.458575407</c:v>
                </c:pt>
                <c:pt idx="75">
                  <c:v>0.450011984</c:v>
                </c:pt>
                <c:pt idx="76">
                  <c:v>0.426395421</c:v>
                </c:pt>
                <c:pt idx="77">
                  <c:v>0.425209105</c:v>
                </c:pt>
                <c:pt idx="78">
                  <c:v>0.235841864</c:v>
                </c:pt>
                <c:pt idx="79">
                  <c:v>0.231907732</c:v>
                </c:pt>
                <c:pt idx="80">
                  <c:v>0.506689671</c:v>
                </c:pt>
                <c:pt idx="81">
                  <c:v>0.232441161</c:v>
                </c:pt>
                <c:pt idx="82">
                  <c:v>0.488244466</c:v>
                </c:pt>
                <c:pt idx="83">
                  <c:v>0.380386257</c:v>
                </c:pt>
              </c:strCache>
            </c:strRef>
          </c:xVal>
          <c:yVal>
            <c:numRef>
              <c:f>'Beam tests'!$AR$100:$AR$183</c:f>
              <c:numCache>
                <c:formatCode>General</c:formatCode>
                <c:ptCount val="84"/>
                <c:pt idx="0">
                  <c:v>1.1051167850442454</c:v>
                </c:pt>
                <c:pt idx="1">
                  <c:v>1.1214694740038067</c:v>
                </c:pt>
                <c:pt idx="2">
                  <c:v>1.1074730325451128</c:v>
                </c:pt>
                <c:pt idx="3">
                  <c:v>1.1108183354166845</c:v>
                </c:pt>
                <c:pt idx="4">
                  <c:v>1.1641690398183102</c:v>
                </c:pt>
                <c:pt idx="5">
                  <c:v>1.1689028472446599</c:v>
                </c:pt>
                <c:pt idx="6">
                  <c:v>1.203310600478009</c:v>
                </c:pt>
                <c:pt idx="7">
                  <c:v>1.2311165480238511</c:v>
                </c:pt>
                <c:pt idx="8">
                  <c:v>1.3330895032417398</c:v>
                </c:pt>
                <c:pt idx="9">
                  <c:v>1.0925541760908473</c:v>
                </c:pt>
                <c:pt idx="10">
                  <c:v>1.3515482318505583</c:v>
                </c:pt>
                <c:pt idx="11">
                  <c:v>1.1852731620480637</c:v>
                </c:pt>
                <c:pt idx="12">
                  <c:v>1.3792861109983079</c:v>
                </c:pt>
                <c:pt idx="13">
                  <c:v>1.0440616082793042</c:v>
                </c:pt>
                <c:pt idx="14">
                  <c:v>1.1291976465583919</c:v>
                </c:pt>
                <c:pt idx="15">
                  <c:v>1.0164627109689348</c:v>
                </c:pt>
                <c:pt idx="16">
                  <c:v>1.1508442061986721</c:v>
                </c:pt>
                <c:pt idx="17">
                  <c:v>0.99457946839163058</c:v>
                </c:pt>
                <c:pt idx="18">
                  <c:v>1.1479049354099855</c:v>
                </c:pt>
                <c:pt idx="19">
                  <c:v>1.0141541203027093</c:v>
                </c:pt>
                <c:pt idx="20">
                  <c:v>1.1801330120777438</c:v>
                </c:pt>
                <c:pt idx="21">
                  <c:v>1.2773225709843585</c:v>
                </c:pt>
                <c:pt idx="22">
                  <c:v>1.2738117840669267</c:v>
                </c:pt>
                <c:pt idx="23">
                  <c:v>1.0656861395758965</c:v>
                </c:pt>
                <c:pt idx="24">
                  <c:v>1.3109962047894528</c:v>
                </c:pt>
                <c:pt idx="25">
                  <c:v>1.0955732650812868</c:v>
                </c:pt>
                <c:pt idx="26">
                  <c:v>1.2626179363196899</c:v>
                </c:pt>
                <c:pt idx="27">
                  <c:v>1.265164152617835</c:v>
                </c:pt>
                <c:pt idx="28">
                  <c:v>1.2626179363196899</c:v>
                </c:pt>
                <c:pt idx="29">
                  <c:v>1.213237143848273</c:v>
                </c:pt>
                <c:pt idx="30">
                  <c:v>1.2103132664105891</c:v>
                </c:pt>
                <c:pt idx="31">
                  <c:v>1.2096017153519376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1.3193825802216212</c:v>
                </c:pt>
                <c:pt idx="37">
                  <c:v>1.4719027008074979</c:v>
                </c:pt>
                <c:pt idx="38">
                  <c:v>1.1751569006517701</c:v>
                </c:pt>
                <c:pt idx="39">
                  <c:v>1.4644849407672311</c:v>
                </c:pt>
                <c:pt idx="40">
                  <c:v>1.1375964317481169</c:v>
                </c:pt>
                <c:pt idx="41">
                  <c:v>1.0947855027768283</c:v>
                </c:pt>
                <c:pt idx="42">
                  <c:v>1.0112998455318123</c:v>
                </c:pt>
                <c:pt idx="43">
                  <c:v>1.1934276888639874</c:v>
                </c:pt>
                <c:pt idx="44">
                  <c:v>1.1612470392467487</c:v>
                </c:pt>
                <c:pt idx="45">
                  <c:v>1.1642580128594266</c:v>
                </c:pt>
                <c:pt idx="46">
                  <c:v>1.1551099301601213</c:v>
                </c:pt>
                <c:pt idx="47">
                  <c:v>0</c:v>
                </c:pt>
                <c:pt idx="48">
                  <c:v>0</c:v>
                </c:pt>
                <c:pt idx="49">
                  <c:v>1.1284557429962938</c:v>
                </c:pt>
                <c:pt idx="50">
                  <c:v>1.0976961312604003</c:v>
                </c:pt>
                <c:pt idx="51">
                  <c:v>1.1460868406283427</c:v>
                </c:pt>
                <c:pt idx="52">
                  <c:v>1.3546009463044382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1.1108283951859665</c:v>
                </c:pt>
                <c:pt idx="58">
                  <c:v>1.1856057834555538</c:v>
                </c:pt>
                <c:pt idx="59">
                  <c:v>1.2203040531340843</c:v>
                </c:pt>
                <c:pt idx="60">
                  <c:v>1.274243677506337</c:v>
                </c:pt>
                <c:pt idx="61">
                  <c:v>1.2052954216071621</c:v>
                </c:pt>
                <c:pt idx="62">
                  <c:v>1.2331359641227229</c:v>
                </c:pt>
                <c:pt idx="63">
                  <c:v>1.4154194977292343</c:v>
                </c:pt>
                <c:pt idx="64">
                  <c:v>1.1813677757608576</c:v>
                </c:pt>
                <c:pt idx="65">
                  <c:v>1.2544604876453112</c:v>
                </c:pt>
                <c:pt idx="66">
                  <c:v>1.2545640622840906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1.1037404634951584</c:v>
                </c:pt>
                <c:pt idx="81">
                  <c:v>1.1235053088729321</c:v>
                </c:pt>
                <c:pt idx="82">
                  <c:v>1.1080018204137423</c:v>
                </c:pt>
                <c:pt idx="83">
                  <c:v>1.1106487830007663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3-4C3E-9742-F3427950B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286879"/>
        <c:axId val="263286047"/>
      </c:scatterChart>
      <c:valAx>
        <c:axId val="26328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λ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86047"/>
        <c:crosses val="autoZero"/>
        <c:crossBetween val="midCat"/>
      </c:valAx>
      <c:valAx>
        <c:axId val="26328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</a:t>
                </a:r>
                <a:r>
                  <a:rPr lang="en-GB" baseline="-25000"/>
                  <a:t>Ult</a:t>
                </a:r>
                <a:r>
                  <a:rPr lang="en-GB" baseline="0"/>
                  <a:t>/</a:t>
                </a:r>
                <a:r>
                  <a:rPr lang="en-GB" sz="1000" b="0" i="0" u="none" strike="noStrike" baseline="0">
                    <a:effectLst/>
                  </a:rPr>
                  <a:t>M</a:t>
                </a:r>
                <a:r>
                  <a:rPr lang="en-GB" sz="1000" b="0" i="0" u="none" strike="noStrike" baseline="-25000">
                    <a:effectLst/>
                  </a:rPr>
                  <a:t>theoretical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8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tests'!$BU$101:$BU$137</c:f>
              <c:numCache>
                <c:formatCode>0.0000000</c:formatCode>
                <c:ptCount val="37"/>
                <c:pt idx="0">
                  <c:v>0.5587451159971345</c:v>
                </c:pt>
                <c:pt idx="1">
                  <c:v>0.5592177114430229</c:v>
                </c:pt>
                <c:pt idx="2">
                  <c:v>0.5587451159971345</c:v>
                </c:pt>
                <c:pt idx="3">
                  <c:v>0.28209426797961062</c:v>
                </c:pt>
                <c:pt idx="4">
                  <c:v>0.28220611472903623</c:v>
                </c:pt>
                <c:pt idx="5">
                  <c:v>0.28179352610886116</c:v>
                </c:pt>
                <c:pt idx="6">
                  <c:v>0.4318757581413028</c:v>
                </c:pt>
                <c:pt idx="7">
                  <c:v>0.21706536169325091</c:v>
                </c:pt>
                <c:pt idx="8">
                  <c:v>0.5954688669822793</c:v>
                </c:pt>
                <c:pt idx="9">
                  <c:v>0.26429016800686722</c:v>
                </c:pt>
                <c:pt idx="10">
                  <c:v>0.49399520055251012</c:v>
                </c:pt>
                <c:pt idx="11">
                  <c:v>0.58531000574556924</c:v>
                </c:pt>
                <c:pt idx="12">
                  <c:v>0.54587781436399352</c:v>
                </c:pt>
                <c:pt idx="13">
                  <c:v>0.52816004868933941</c:v>
                </c:pt>
                <c:pt idx="14">
                  <c:v>0.43689990407608209</c:v>
                </c:pt>
                <c:pt idx="15">
                  <c:v>0.60164875439353072</c:v>
                </c:pt>
                <c:pt idx="16">
                  <c:v>0.48663022872071232</c:v>
                </c:pt>
                <c:pt idx="17">
                  <c:v>0.22649078289584409</c:v>
                </c:pt>
                <c:pt idx="18">
                  <c:v>0.21777870605728875</c:v>
                </c:pt>
                <c:pt idx="19">
                  <c:v>0.23117654166795612</c:v>
                </c:pt>
                <c:pt idx="20">
                  <c:v>0.48207976774924355</c:v>
                </c:pt>
                <c:pt idx="21">
                  <c:v>0.35523463218133777</c:v>
                </c:pt>
                <c:pt idx="22">
                  <c:v>0.14305170880961199</c:v>
                </c:pt>
                <c:pt idx="23">
                  <c:v>0.25215787497754283</c:v>
                </c:pt>
                <c:pt idx="24">
                  <c:v>0.43650830195139273</c:v>
                </c:pt>
                <c:pt idx="25">
                  <c:v>0.48381396318765241</c:v>
                </c:pt>
                <c:pt idx="26">
                  <c:v>0.64554780347065355</c:v>
                </c:pt>
                <c:pt idx="27">
                  <c:v>0.50668967145855681</c:v>
                </c:pt>
                <c:pt idx="28">
                  <c:v>0.48824446561256313</c:v>
                </c:pt>
                <c:pt idx="29">
                  <c:v>0.58129227965036112</c:v>
                </c:pt>
                <c:pt idx="30">
                  <c:v>0.48804964391057654</c:v>
                </c:pt>
                <c:pt idx="31">
                  <c:v>0.40221360824670005</c:v>
                </c:pt>
                <c:pt idx="32">
                  <c:v>0.38904721236575557</c:v>
                </c:pt>
                <c:pt idx="33">
                  <c:v>0.49117842164005493</c:v>
                </c:pt>
                <c:pt idx="34">
                  <c:v>0.39351073115623852</c:v>
                </c:pt>
                <c:pt idx="35">
                  <c:v>0.44058712115339005</c:v>
                </c:pt>
                <c:pt idx="36">
                  <c:v>0.49513194738504401</c:v>
                </c:pt>
              </c:numCache>
            </c:numRef>
          </c:xVal>
          <c:yVal>
            <c:numRef>
              <c:f>'Beam tests'!$BR$101:$BR$137</c:f>
              <c:numCache>
                <c:formatCode>0.000</c:formatCode>
                <c:ptCount val="3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74-4E1D-A032-70FC51801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024031"/>
        <c:axId val="1736024447"/>
      </c:scatterChart>
      <c:valAx>
        <c:axId val="173602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24447"/>
        <c:crosses val="autoZero"/>
        <c:crossBetween val="midCat"/>
      </c:valAx>
      <c:valAx>
        <c:axId val="173602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2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4066408961035943E-2"/>
                  <c:y val="-6.98701508496919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'Beam tests'!$CP$122:$CP$145</c:f>
              <c:numCache>
                <c:formatCode>0.000</c:formatCode>
                <c:ptCount val="24"/>
                <c:pt idx="0">
                  <c:v>0.4557431570430171</c:v>
                </c:pt>
                <c:pt idx="1">
                  <c:v>0.22952184486798491</c:v>
                </c:pt>
                <c:pt idx="2">
                  <c:v>0.61629503379247896</c:v>
                </c:pt>
                <c:pt idx="3">
                  <c:v>0.28413755018822406</c:v>
                </c:pt>
                <c:pt idx="4">
                  <c:v>0.50905382807088806</c:v>
                </c:pt>
                <c:pt idx="5">
                  <c:v>0.59628222804591868</c:v>
                </c:pt>
                <c:pt idx="6">
                  <c:v>0.58061403806919676</c:v>
                </c:pt>
                <c:pt idx="7">
                  <c:v>0.54687553483925333</c:v>
                </c:pt>
                <c:pt idx="8">
                  <c:v>0.45182758836569253</c:v>
                </c:pt>
                <c:pt idx="9">
                  <c:v>0.61823645413370176</c:v>
                </c:pt>
                <c:pt idx="10">
                  <c:v>0.50412282018425258</c:v>
                </c:pt>
                <c:pt idx="11">
                  <c:v>0.50430305249123053</c:v>
                </c:pt>
                <c:pt idx="12">
                  <c:v>0.37328741674358334</c:v>
                </c:pt>
                <c:pt idx="13">
                  <c:v>0.26093642738112288</c:v>
                </c:pt>
                <c:pt idx="14">
                  <c:v>0.43436454826771281</c:v>
                </c:pt>
                <c:pt idx="15">
                  <c:v>0.50095812841783383</c:v>
                </c:pt>
                <c:pt idx="16">
                  <c:v>0.66975134775048206</c:v>
                </c:pt>
                <c:pt idx="17">
                  <c:v>0.51243205790590274</c:v>
                </c:pt>
                <c:pt idx="18">
                  <c:v>0.49335141239367603</c:v>
                </c:pt>
                <c:pt idx="19">
                  <c:v>0.38307792068403523</c:v>
                </c:pt>
                <c:pt idx="20">
                  <c:v>0.73807546520434975</c:v>
                </c:pt>
                <c:pt idx="21">
                  <c:v>0.71985542111400336</c:v>
                </c:pt>
                <c:pt idx="22">
                  <c:v>1.0583923998642484</c:v>
                </c:pt>
                <c:pt idx="23">
                  <c:v>0.75823939558119724</c:v>
                </c:pt>
              </c:numCache>
            </c:numRef>
          </c:xVal>
          <c:yVal>
            <c:numRef>
              <c:f>'Beam tests'!$CU$122:$CU$145</c:f>
              <c:numCache>
                <c:formatCode>General</c:formatCode>
                <c:ptCount val="24"/>
                <c:pt idx="0">
                  <c:v>1.2004650863289337</c:v>
                </c:pt>
                <c:pt idx="1">
                  <c:v>1.7725648783178216</c:v>
                </c:pt>
                <c:pt idx="2">
                  <c:v>1.3715446619456977</c:v>
                </c:pt>
                <c:pt idx="3">
                  <c:v>2.3861179104205457</c:v>
                </c:pt>
                <c:pt idx="4">
                  <c:v>1.1773095729334102</c:v>
                </c:pt>
                <c:pt idx="5">
                  <c:v>1.1585641341812383</c:v>
                </c:pt>
                <c:pt idx="6">
                  <c:v>1.1835126268224556</c:v>
                </c:pt>
                <c:pt idx="7">
                  <c:v>2.705041188548452</c:v>
                </c:pt>
                <c:pt idx="8">
                  <c:v>1.8299847294889739</c:v>
                </c:pt>
                <c:pt idx="9">
                  <c:v>2.4614194320349658</c:v>
                </c:pt>
                <c:pt idx="10">
                  <c:v>1.9612358796191356</c:v>
                </c:pt>
                <c:pt idx="11">
                  <c:v>1.72094009421825</c:v>
                </c:pt>
                <c:pt idx="12">
                  <c:v>1.5642948014104117</c:v>
                </c:pt>
                <c:pt idx="13">
                  <c:v>1.3170919506663521</c:v>
                </c:pt>
                <c:pt idx="14">
                  <c:v>1.6160425515327999</c:v>
                </c:pt>
                <c:pt idx="15">
                  <c:v>1.8799037719743479</c:v>
                </c:pt>
                <c:pt idx="16">
                  <c:v>2.8320570592612992</c:v>
                </c:pt>
                <c:pt idx="17">
                  <c:v>1.1499325220096401</c:v>
                </c:pt>
                <c:pt idx="18">
                  <c:v>1.4399375476303593</c:v>
                </c:pt>
                <c:pt idx="19">
                  <c:v>1.7983624742881517</c:v>
                </c:pt>
                <c:pt idx="20">
                  <c:v>2.0990469795125928</c:v>
                </c:pt>
                <c:pt idx="21">
                  <c:v>1.7621712532011979</c:v>
                </c:pt>
                <c:pt idx="22">
                  <c:v>2.556844753756196</c:v>
                </c:pt>
                <c:pt idx="23">
                  <c:v>2.1639167366956946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4-4379-8494-6A54ED89295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tests'!$CP$122:$CP$141</c:f>
              <c:numCache>
                <c:formatCode>0.000</c:formatCode>
                <c:ptCount val="20"/>
                <c:pt idx="0">
                  <c:v>0.4557431570430171</c:v>
                </c:pt>
                <c:pt idx="1">
                  <c:v>0.22952184486798491</c:v>
                </c:pt>
                <c:pt idx="2">
                  <c:v>0.61629503379247896</c:v>
                </c:pt>
                <c:pt idx="3">
                  <c:v>0.28413755018822406</c:v>
                </c:pt>
                <c:pt idx="4">
                  <c:v>0.50905382807088806</c:v>
                </c:pt>
                <c:pt idx="5">
                  <c:v>0.59628222804591868</c:v>
                </c:pt>
                <c:pt idx="6">
                  <c:v>0.58061403806919676</c:v>
                </c:pt>
                <c:pt idx="7">
                  <c:v>0.54687553483925333</c:v>
                </c:pt>
                <c:pt idx="8">
                  <c:v>0.45182758836569253</c:v>
                </c:pt>
                <c:pt idx="9">
                  <c:v>0.61823645413370176</c:v>
                </c:pt>
                <c:pt idx="10">
                  <c:v>0.50412282018425258</c:v>
                </c:pt>
                <c:pt idx="11">
                  <c:v>0.50430305249123053</c:v>
                </c:pt>
                <c:pt idx="12">
                  <c:v>0.37328741674358334</c:v>
                </c:pt>
                <c:pt idx="13">
                  <c:v>0.26093642738112288</c:v>
                </c:pt>
                <c:pt idx="14">
                  <c:v>0.43436454826771281</c:v>
                </c:pt>
                <c:pt idx="15">
                  <c:v>0.50095812841783383</c:v>
                </c:pt>
                <c:pt idx="16">
                  <c:v>0.66975134775048206</c:v>
                </c:pt>
                <c:pt idx="17">
                  <c:v>0.51243205790590274</c:v>
                </c:pt>
                <c:pt idx="18">
                  <c:v>0.49335141239367603</c:v>
                </c:pt>
                <c:pt idx="19">
                  <c:v>0.38307792068403523</c:v>
                </c:pt>
              </c:numCache>
            </c:numRef>
          </c:xVal>
          <c:yVal>
            <c:numRef>
              <c:f>'Beam tests'!$CX$122:$CX$141</c:f>
              <c:numCache>
                <c:formatCode>0.000</c:formatCode>
                <c:ptCount val="20"/>
                <c:pt idx="0">
                  <c:v>1.3317612348350953</c:v>
                </c:pt>
                <c:pt idx="1">
                  <c:v>0.65886486032920855</c:v>
                </c:pt>
                <c:pt idx="2">
                  <c:v>2.068702196495658</c:v>
                </c:pt>
                <c:pt idx="3">
                  <c:v>0.92711262043548737</c:v>
                </c:pt>
                <c:pt idx="4">
                  <c:v>1.0203665831046533</c:v>
                </c:pt>
                <c:pt idx="5">
                  <c:v>1.4457561520417481</c:v>
                </c:pt>
                <c:pt idx="6">
                  <c:v>1.3817217054938014</c:v>
                </c:pt>
                <c:pt idx="7">
                  <c:v>2.6535071581366365</c:v>
                </c:pt>
                <c:pt idx="8">
                  <c:v>1.5505590802511913</c:v>
                </c:pt>
                <c:pt idx="9">
                  <c:v>2.9864213840598128</c:v>
                </c:pt>
                <c:pt idx="10">
                  <c:v>1.9107996337408084</c:v>
                </c:pt>
                <c:pt idx="11">
                  <c:v>1.4041254570299377</c:v>
                </c:pt>
                <c:pt idx="12">
                  <c:v>0.79207502995063694</c:v>
                </c:pt>
                <c:pt idx="13">
                  <c:v>0.97387307323765993</c:v>
                </c:pt>
                <c:pt idx="14">
                  <c:v>0.74988661665063183</c:v>
                </c:pt>
                <c:pt idx="15">
                  <c:v>1.3769147993742064</c:v>
                </c:pt>
                <c:pt idx="16">
                  <c:v>3.9495107910874596</c:v>
                </c:pt>
                <c:pt idx="17">
                  <c:v>0.93195763245222329</c:v>
                </c:pt>
                <c:pt idx="18">
                  <c:v>4.0326533896055992</c:v>
                </c:pt>
                <c:pt idx="19">
                  <c:v>6.7003817305910998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E4-4379-8494-6A54ED89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57215"/>
        <c:axId val="196761791"/>
      </c:scatterChart>
      <c:valAx>
        <c:axId val="1967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1791"/>
        <c:crosses val="autoZero"/>
        <c:crossBetween val="midCat"/>
      </c:valAx>
      <c:valAx>
        <c:axId val="1967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5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tests'!$CR$122:$CR$145</c:f>
              <c:numCache>
                <c:formatCode>General</c:formatCode>
                <c:ptCount val="24"/>
                <c:pt idx="0">
                  <c:v>2.0306999999999999E-4</c:v>
                </c:pt>
                <c:pt idx="1">
                  <c:v>3.9534999999999999E-4</c:v>
                </c:pt>
                <c:pt idx="2">
                  <c:v>9.5030000000000003E-5</c:v>
                </c:pt>
                <c:pt idx="3">
                  <c:v>5.25078E-4</c:v>
                </c:pt>
                <c:pt idx="4">
                  <c:v>1.00624E-4</c:v>
                </c:pt>
                <c:pt idx="5">
                  <c:v>7.7433000000000002E-5</c:v>
                </c:pt>
                <c:pt idx="6">
                  <c:v>7.0389999999999995E-5</c:v>
                </c:pt>
                <c:pt idx="7">
                  <c:v>2.7066349383974317E-4</c:v>
                </c:pt>
                <c:pt idx="8">
                  <c:v>2.7287463107849034E-4</c:v>
                </c:pt>
                <c:pt idx="9">
                  <c:v>2.4632944166103288E-4</c:v>
                </c:pt>
                <c:pt idx="10">
                  <c:v>2.8392757007687336E-4</c:v>
                </c:pt>
                <c:pt idx="11">
                  <c:v>2.5359999999999998E-4</c:v>
                </c:pt>
                <c:pt idx="12">
                  <c:v>8.7256499999999995E-4</c:v>
                </c:pt>
                <c:pt idx="13">
                  <c:v>5.4607199999999999E-4</c:v>
                </c:pt>
                <c:pt idx="14">
                  <c:v>5.7545999999999997E-4</c:v>
                </c:pt>
                <c:pt idx="15">
                  <c:v>1.51306E-4</c:v>
                </c:pt>
                <c:pt idx="16">
                  <c:v>2.2197558268590456E-4</c:v>
                </c:pt>
                <c:pt idx="17">
                  <c:v>8.6331517409065595E-5</c:v>
                </c:pt>
                <c:pt idx="18">
                  <c:v>1.5566707136004999E-4</c:v>
                </c:pt>
                <c:pt idx="19">
                  <c:v>3.1540348337361643E-4</c:v>
                </c:pt>
                <c:pt idx="20">
                  <c:v>1.18214E-4</c:v>
                </c:pt>
                <c:pt idx="21">
                  <c:v>2.8858300000000003E-4</c:v>
                </c:pt>
                <c:pt idx="22">
                  <c:v>5.4880000000000003E-5</c:v>
                </c:pt>
                <c:pt idx="23">
                  <c:v>1.7099846112488776E-4</c:v>
                </c:pt>
              </c:numCache>
            </c:numRef>
          </c:xVal>
          <c:yVal>
            <c:numRef>
              <c:f>'Beam tests'!$CT$122:$CT$145</c:f>
              <c:numCache>
                <c:formatCode>General</c:formatCode>
                <c:ptCount val="24"/>
                <c:pt idx="0">
                  <c:v>1.6915943854810099E-4</c:v>
                </c:pt>
                <c:pt idx="1">
                  <c:v>2.2303838061780301E-4</c:v>
                </c:pt>
                <c:pt idx="2" formatCode="0.00E+00">
                  <c:v>6.9286843248100104E-5</c:v>
                </c:pt>
                <c:pt idx="3">
                  <c:v>2.20055345004915E-4</c:v>
                </c:pt>
                <c:pt idx="4" formatCode="0.00E+00">
                  <c:v>8.5469448574416196E-5</c:v>
                </c:pt>
                <c:pt idx="5" formatCode="0.00E+00">
                  <c:v>6.6835315987683495E-5</c:v>
                </c:pt>
                <c:pt idx="6" formatCode="0.00E+00">
                  <c:v>5.9475495575392398E-5</c:v>
                </c:pt>
                <c:pt idx="7">
                  <c:v>1.0005891776641799E-4</c:v>
                </c:pt>
                <c:pt idx="8">
                  <c:v>1.49113064541632E-4</c:v>
                </c:pt>
                <c:pt idx="9">
                  <c:v>1.0007617493186899E-4</c:v>
                </c:pt>
                <c:pt idx="10">
                  <c:v>1.4476972047442401E-4</c:v>
                </c:pt>
                <c:pt idx="11">
                  <c:v>1.47361317719313E-4</c:v>
                </c:pt>
                <c:pt idx="12">
                  <c:v>5.5780086925640297E-4</c:v>
                </c:pt>
                <c:pt idx="13">
                  <c:v>4.1460431044600002E-4</c:v>
                </c:pt>
                <c:pt idx="14">
                  <c:v>3.56092108746878E-4</c:v>
                </c:pt>
                <c:pt idx="15" formatCode="0.00E+00">
                  <c:v>8.0486034580957606E-5</c:v>
                </c:pt>
                <c:pt idx="16" formatCode="0.00E+00">
                  <c:v>7.8379629379290698E-5</c:v>
                </c:pt>
                <c:pt idx="17" formatCode="0.00E+00">
                  <c:v>7.5075289859783496E-5</c:v>
                </c:pt>
                <c:pt idx="18">
                  <c:v>1.08106821449461E-4</c:v>
                </c:pt>
                <c:pt idx="19">
                  <c:v>1.7538371039379201E-4</c:v>
                </c:pt>
                <c:pt idx="20" formatCode="0.00E+00">
                  <c:v>5.63179391189471E-5</c:v>
                </c:pt>
                <c:pt idx="21">
                  <c:v>1.6376558150960299E-4</c:v>
                </c:pt>
                <c:pt idx="22" formatCode="0.00E+00">
                  <c:v>2.1463954711907002E-5</c:v>
                </c:pt>
                <c:pt idx="23" formatCode="0.00E+00">
                  <c:v>7.9022662113147096E-5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3-4288-A300-12F477073132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tests'!$CR$122:$CR$145</c:f>
              <c:numCache>
                <c:formatCode>General</c:formatCode>
                <c:ptCount val="24"/>
                <c:pt idx="0">
                  <c:v>2.0306999999999999E-4</c:v>
                </c:pt>
                <c:pt idx="1">
                  <c:v>3.9534999999999999E-4</c:v>
                </c:pt>
                <c:pt idx="2">
                  <c:v>9.5030000000000003E-5</c:v>
                </c:pt>
                <c:pt idx="3">
                  <c:v>5.25078E-4</c:v>
                </c:pt>
                <c:pt idx="4">
                  <c:v>1.00624E-4</c:v>
                </c:pt>
                <c:pt idx="5">
                  <c:v>7.7433000000000002E-5</c:v>
                </c:pt>
                <c:pt idx="6">
                  <c:v>7.0389999999999995E-5</c:v>
                </c:pt>
                <c:pt idx="7">
                  <c:v>2.7066349383974317E-4</c:v>
                </c:pt>
                <c:pt idx="8">
                  <c:v>2.7287463107849034E-4</c:v>
                </c:pt>
                <c:pt idx="9">
                  <c:v>2.4632944166103288E-4</c:v>
                </c:pt>
                <c:pt idx="10">
                  <c:v>2.8392757007687336E-4</c:v>
                </c:pt>
                <c:pt idx="11">
                  <c:v>2.5359999999999998E-4</c:v>
                </c:pt>
                <c:pt idx="12">
                  <c:v>8.7256499999999995E-4</c:v>
                </c:pt>
                <c:pt idx="13">
                  <c:v>5.4607199999999999E-4</c:v>
                </c:pt>
                <c:pt idx="14">
                  <c:v>5.7545999999999997E-4</c:v>
                </c:pt>
                <c:pt idx="15">
                  <c:v>1.51306E-4</c:v>
                </c:pt>
                <c:pt idx="16">
                  <c:v>2.2197558268590456E-4</c:v>
                </c:pt>
                <c:pt idx="17">
                  <c:v>8.6331517409065595E-5</c:v>
                </c:pt>
                <c:pt idx="18">
                  <c:v>1.5566707136004999E-4</c:v>
                </c:pt>
                <c:pt idx="19">
                  <c:v>3.1540348337361643E-4</c:v>
                </c:pt>
                <c:pt idx="20">
                  <c:v>1.18214E-4</c:v>
                </c:pt>
                <c:pt idx="21">
                  <c:v>2.8858300000000003E-4</c:v>
                </c:pt>
                <c:pt idx="22">
                  <c:v>5.4880000000000003E-5</c:v>
                </c:pt>
                <c:pt idx="23">
                  <c:v>1.7099846112488776E-4</c:v>
                </c:pt>
              </c:numCache>
            </c:numRef>
          </c:xVal>
          <c:yVal>
            <c:numRef>
              <c:f>'Beam tests'!$CW$122:$CW$141</c:f>
              <c:numCache>
                <c:formatCode>General</c:formatCode>
                <c:ptCount val="20"/>
                <c:pt idx="0">
                  <c:v>1.524822878818402E-4</c:v>
                </c:pt>
                <c:pt idx="1">
                  <c:v>6.0004717781194056E-4</c:v>
                </c:pt>
                <c:pt idx="2">
                  <c:v>4.5937013148136555E-5</c:v>
                </c:pt>
                <c:pt idx="3">
                  <c:v>5.6635837807208155E-4</c:v>
                </c:pt>
                <c:pt idx="4">
                  <c:v>9.8615538440932605E-5</c:v>
                </c:pt>
                <c:pt idx="5">
                  <c:v>5.3558824488241932E-5</c:v>
                </c:pt>
                <c:pt idx="6">
                  <c:v>5.0943688385385773E-5</c:v>
                </c:pt>
                <c:pt idx="7">
                  <c:v>1.0200217211014056E-4</c:v>
                </c:pt>
                <c:pt idx="8">
                  <c:v>1.7598467195089693E-4</c:v>
                </c:pt>
                <c:pt idx="9">
                  <c:v>8.2483149556800568E-5</c:v>
                </c:pt>
                <c:pt idx="10">
                  <c:v>1.4859096948905261E-4</c:v>
                </c:pt>
                <c:pt idx="11">
                  <c:v>1.806106418271376E-4</c:v>
                </c:pt>
                <c:pt idx="12">
                  <c:v>1.1016191231964215E-3</c:v>
                </c:pt>
                <c:pt idx="13">
                  <c:v>5.6072194108886593E-4</c:v>
                </c:pt>
                <c:pt idx="14">
                  <c:v>7.6739601324036393E-4</c:v>
                </c:pt>
                <c:pt idx="15">
                  <c:v>1.0988769971008158E-4</c:v>
                </c:pt>
                <c:pt idx="16">
                  <c:v>5.6203310847211466E-5</c:v>
                </c:pt>
                <c:pt idx="17">
                  <c:v>9.2634594538278399E-5</c:v>
                </c:pt>
                <c:pt idx="18">
                  <c:v>3.8601649167590504E-5</c:v>
                </c:pt>
                <c:pt idx="19">
                  <c:v>4.7072464831909196E-5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23-4288-A300-12F477073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272703"/>
        <c:axId val="426276447"/>
      </c:scatterChart>
      <c:valAx>
        <c:axId val="4262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76447"/>
        <c:crosses val="autoZero"/>
        <c:crossBetween val="midCat"/>
      </c:valAx>
      <c:valAx>
        <c:axId val="4262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72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837518</xdr:colOff>
      <xdr:row>45</xdr:row>
      <xdr:rowOff>87084</xdr:rowOff>
    </xdr:from>
    <xdr:to>
      <xdr:col>85</xdr:col>
      <xdr:colOff>408894</xdr:colOff>
      <xdr:row>90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FFD77-C069-4E43-8444-A3FD8633B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228600</xdr:colOff>
      <xdr:row>80</xdr:row>
      <xdr:rowOff>76199</xdr:rowOff>
    </xdr:from>
    <xdr:to>
      <xdr:col>45</xdr:col>
      <xdr:colOff>142875</xdr:colOff>
      <xdr:row>95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DA2597-EB23-46E2-9612-80117B509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247650</xdr:colOff>
      <xdr:row>80</xdr:row>
      <xdr:rowOff>114300</xdr:rowOff>
    </xdr:from>
    <xdr:to>
      <xdr:col>53</xdr:col>
      <xdr:colOff>733425</xdr:colOff>
      <xdr:row>96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932279-BD3D-49CB-89EA-9F24C471D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606137</xdr:colOff>
      <xdr:row>42</xdr:row>
      <xdr:rowOff>74464</xdr:rowOff>
    </xdr:from>
    <xdr:to>
      <xdr:col>69</xdr:col>
      <xdr:colOff>515649</xdr:colOff>
      <xdr:row>81</xdr:row>
      <xdr:rowOff>77931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79F65D-7FB1-487F-B5E4-083CDD51A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107</xdr:col>
      <xdr:colOff>286429</xdr:colOff>
      <xdr:row>133</xdr:row>
      <xdr:rowOff>26533</xdr:rowOff>
    </xdr:from>
    <xdr:to>
      <xdr:col>114</xdr:col>
      <xdr:colOff>657224</xdr:colOff>
      <xdr:row>156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5A41E5-9FBA-4F64-9B7B-C83DA0A3E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100</xdr:col>
      <xdr:colOff>433386</xdr:colOff>
      <xdr:row>158</xdr:row>
      <xdr:rowOff>116340</xdr:rowOff>
    </xdr:from>
    <xdr:to>
      <xdr:col>109</xdr:col>
      <xdr:colOff>136071</xdr:colOff>
      <xdr:row>189</xdr:row>
      <xdr:rowOff>86404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0B969C-8A70-4B10-A444-83960F0E2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EM212"/>
  <sheetViews>
    <sheetView topLeftCell="AB132" zoomScale="85" zoomScaleNormal="85" workbookViewId="0">
      <selection activeCell="F5" sqref="F5:F6"/>
    </sheetView>
  </sheetViews>
  <sheetFormatPr defaultColWidth="9.06640625" defaultRowHeight="12.75" x14ac:dyDescent="0.45"/>
  <cols>
    <col min="1" max="1" width="33.796875" style="437" bestFit="1" customWidth="1"/>
    <col min="2" max="2" width="25.265625" style="437" bestFit="1" customWidth="1"/>
    <col min="3" max="3" width="17.265625" style="437" bestFit="1" customWidth="1"/>
    <col min="4" max="4" width="23.73046875" style="437" bestFit="1" customWidth="1"/>
    <col min="5" max="5" width="17.06640625" style="437" bestFit="1" customWidth="1"/>
    <col min="6" max="6" width="19.265625" style="437" bestFit="1" customWidth="1"/>
    <col min="7" max="7" width="12.73046875" style="437" bestFit="1" customWidth="1"/>
    <col min="8" max="8" width="9.33203125" style="437" customWidth="1"/>
    <col min="9" max="9" width="9.06640625" style="437" customWidth="1"/>
    <col min="10" max="10" width="10.33203125" style="437" customWidth="1"/>
    <col min="11" max="11" width="14" style="437" customWidth="1"/>
    <col min="12" max="12" width="17" style="437" bestFit="1" customWidth="1"/>
    <col min="13" max="14" width="17.06640625" style="437" bestFit="1" customWidth="1"/>
    <col min="15" max="15" width="13" style="437" bestFit="1" customWidth="1"/>
    <col min="16" max="16" width="19.59765625" style="437" bestFit="1" customWidth="1"/>
    <col min="17" max="17" width="13" style="437" bestFit="1" customWidth="1"/>
    <col min="18" max="18" width="23.59765625" style="437" customWidth="1"/>
    <col min="19" max="19" width="19" style="437" bestFit="1" customWidth="1"/>
    <col min="20" max="20" width="14.796875" style="437" bestFit="1" customWidth="1"/>
    <col min="21" max="21" width="13.59765625" style="437" bestFit="1" customWidth="1"/>
    <col min="22" max="22" width="17.33203125" style="437" bestFit="1" customWidth="1"/>
    <col min="23" max="23" width="13.06640625" style="437" bestFit="1" customWidth="1"/>
    <col min="24" max="25" width="13" style="437" bestFit="1" customWidth="1"/>
    <col min="26" max="26" width="13.265625" style="437" customWidth="1"/>
    <col min="27" max="27" width="13" style="437" bestFit="1" customWidth="1"/>
    <col min="28" max="28" width="14.59765625" style="437" customWidth="1"/>
    <col min="29" max="30" width="8.33203125" style="437" bestFit="1" customWidth="1"/>
    <col min="31" max="31" width="10.796875" style="437" customWidth="1"/>
    <col min="32" max="32" width="13.796875" style="437" customWidth="1"/>
    <col min="33" max="33" width="9.06640625" style="437" customWidth="1"/>
    <col min="34" max="34" width="11.796875" style="437" bestFit="1" customWidth="1"/>
    <col min="35" max="35" width="10.59765625" style="437" bestFit="1" customWidth="1"/>
    <col min="36" max="36" width="8.06640625" style="437" bestFit="1" customWidth="1"/>
    <col min="37" max="37" width="12.59765625" style="437" bestFit="1" customWidth="1"/>
    <col min="38" max="38" width="11.265625" style="437" bestFit="1" customWidth="1"/>
    <col min="39" max="39" width="13.265625" style="437" bestFit="1" customWidth="1"/>
    <col min="40" max="40" width="11.796875" style="437" bestFit="1" customWidth="1"/>
    <col min="41" max="41" width="11" style="437" customWidth="1"/>
    <col min="42" max="42" width="12.59765625" style="437" bestFit="1" customWidth="1"/>
    <col min="43" max="43" width="12.33203125" style="437" bestFit="1" customWidth="1"/>
    <col min="44" max="44" width="11.33203125" style="437" customWidth="1"/>
    <col min="45" max="45" width="9.73046875" style="437" customWidth="1"/>
    <col min="46" max="47" width="9.265625" style="437" bestFit="1" customWidth="1"/>
    <col min="48" max="48" width="9.265625" style="437" customWidth="1"/>
    <col min="49" max="49" width="11.265625" style="437" customWidth="1"/>
    <col min="50" max="50" width="11.06640625" style="437" customWidth="1"/>
    <col min="51" max="51" width="16.265625" style="437" bestFit="1" customWidth="1"/>
    <col min="52" max="52" width="16.73046875" style="437" bestFit="1" customWidth="1"/>
    <col min="53" max="53" width="13.06640625" style="437" customWidth="1"/>
    <col min="54" max="54" width="12" style="437" customWidth="1"/>
    <col min="55" max="55" width="9.06640625" style="437"/>
    <col min="56" max="56" width="10" style="437" bestFit="1" customWidth="1"/>
    <col min="57" max="57" width="12" style="437" bestFit="1" customWidth="1"/>
    <col min="58" max="58" width="13.73046875" style="437" bestFit="1" customWidth="1"/>
    <col min="59" max="59" width="16.265625" style="437" bestFit="1" customWidth="1"/>
    <col min="60" max="60" width="16.73046875" style="437" bestFit="1" customWidth="1"/>
    <col min="61" max="61" width="11.73046875" style="437" customWidth="1"/>
    <col min="62" max="62" width="12.73046875" style="437" bestFit="1" customWidth="1"/>
    <col min="63" max="63" width="9.06640625" style="437"/>
    <col min="64" max="64" width="13" style="437" bestFit="1" customWidth="1"/>
    <col min="65" max="65" width="19" style="437" bestFit="1" customWidth="1"/>
    <col min="66" max="66" width="12" style="437" customWidth="1"/>
    <col min="67" max="67" width="12.06640625" style="437" bestFit="1" customWidth="1"/>
    <col min="68" max="68" width="10" style="437" bestFit="1" customWidth="1"/>
    <col min="69" max="69" width="9.59765625" style="437" customWidth="1"/>
    <col min="70" max="70" width="16.73046875" style="437" bestFit="1" customWidth="1"/>
    <col min="71" max="71" width="11" style="437" bestFit="1" customWidth="1"/>
    <col min="72" max="72" width="12.265625" style="437" bestFit="1" customWidth="1"/>
    <col min="73" max="73" width="14.73046875" style="437" bestFit="1" customWidth="1"/>
    <col min="74" max="74" width="11.265625" style="437" bestFit="1" customWidth="1"/>
    <col min="75" max="75" width="10.265625" style="437" customWidth="1"/>
    <col min="76" max="76" width="12.06640625" style="437" customWidth="1"/>
    <col min="77" max="77" width="18.796875" style="437" customWidth="1"/>
    <col min="78" max="78" width="13.265625" style="437" customWidth="1"/>
    <col min="79" max="79" width="17.796875" style="437" bestFit="1" customWidth="1"/>
    <col min="80" max="80" width="15.06640625" style="437" customWidth="1"/>
    <col min="81" max="81" width="24.59765625" style="437" bestFit="1" customWidth="1"/>
    <col min="82" max="82" width="17.06640625" style="437" bestFit="1" customWidth="1"/>
    <col min="83" max="83" width="14.06640625" style="437" customWidth="1"/>
    <col min="84" max="84" width="11.33203125" style="437" customWidth="1"/>
    <col min="85" max="85" width="11" style="437" bestFit="1" customWidth="1"/>
    <col min="86" max="86" width="16.73046875" style="437" bestFit="1" customWidth="1"/>
    <col min="87" max="87" width="11.33203125" style="437" bestFit="1" customWidth="1"/>
    <col min="88" max="91" width="17.06640625" style="437" bestFit="1" customWidth="1"/>
    <col min="92" max="92" width="15.796875" style="437" bestFit="1" customWidth="1"/>
    <col min="93" max="93" width="12.59765625" style="437" bestFit="1" customWidth="1"/>
    <col min="94" max="94" width="11.59765625" style="437" bestFit="1" customWidth="1"/>
    <col min="95" max="95" width="13.59765625" style="437" bestFit="1" customWidth="1"/>
    <col min="96" max="96" width="11" style="437" bestFit="1" customWidth="1"/>
    <col min="97" max="97" width="12.73046875" style="437" customWidth="1"/>
    <col min="98" max="98" width="12" style="437" customWidth="1"/>
    <col min="99" max="99" width="18.73046875" style="437" customWidth="1"/>
    <col min="100" max="100" width="17.06640625" style="437" bestFit="1" customWidth="1"/>
    <col min="101" max="101" width="19.06640625" style="437" bestFit="1" customWidth="1"/>
    <col min="102" max="102" width="23.59765625" style="437" bestFit="1" customWidth="1"/>
    <col min="103" max="103" width="19.265625" style="437" bestFit="1" customWidth="1"/>
    <col min="104" max="104" width="15.73046875" style="437" bestFit="1" customWidth="1"/>
    <col min="105" max="105" width="18" style="437" bestFit="1" customWidth="1"/>
    <col min="106" max="107" width="17.06640625" style="437" bestFit="1" customWidth="1"/>
    <col min="108" max="109" width="17.796875" style="437" bestFit="1" customWidth="1"/>
    <col min="110" max="110" width="16.59765625" style="437" bestFit="1" customWidth="1"/>
    <col min="111" max="111" width="14.796875" style="437" customWidth="1"/>
    <col min="112" max="112" width="11" style="437" customWidth="1"/>
    <col min="113" max="113" width="12.33203125" style="437" customWidth="1"/>
    <col min="114" max="114" width="11.796875" style="437" customWidth="1"/>
    <col min="115" max="16384" width="9.06640625" style="437"/>
  </cols>
  <sheetData>
    <row r="1" spans="1:143" ht="13.15" x14ac:dyDescent="0.45">
      <c r="A1" s="378"/>
      <c r="B1" s="378"/>
      <c r="C1" s="378"/>
      <c r="D1" s="378"/>
      <c r="H1" s="504"/>
      <c r="I1" s="504"/>
      <c r="K1" s="1157"/>
      <c r="L1" s="1157"/>
      <c r="M1" s="1157"/>
      <c r="N1" s="1157"/>
      <c r="O1" s="1158"/>
      <c r="P1" s="138"/>
      <c r="Q1" s="138"/>
      <c r="R1" s="138"/>
      <c r="S1" s="1159"/>
      <c r="AB1" s="456"/>
    </row>
    <row r="2" spans="1:143" ht="13.5" customHeight="1" x14ac:dyDescent="0.45">
      <c r="A2" s="378"/>
      <c r="B2" s="378"/>
      <c r="C2" s="378"/>
      <c r="D2" s="378"/>
      <c r="H2" s="504"/>
      <c r="I2" s="504"/>
      <c r="K2" s="1157"/>
      <c r="L2" s="1160"/>
      <c r="M2" s="1156"/>
      <c r="N2" s="1157"/>
      <c r="O2" s="1161"/>
      <c r="P2" s="1162"/>
      <c r="Q2" s="1161"/>
      <c r="R2" s="488"/>
      <c r="S2" s="1099"/>
    </row>
    <row r="3" spans="1:143" ht="13.5" thickBot="1" x14ac:dyDescent="0.5">
      <c r="A3" s="439"/>
      <c r="B3" s="439"/>
      <c r="C3" s="439"/>
      <c r="D3" s="439"/>
      <c r="E3" s="439"/>
      <c r="F3" s="1675"/>
      <c r="G3" s="1675"/>
      <c r="H3" s="1098"/>
      <c r="I3" s="1098"/>
      <c r="M3" s="654"/>
      <c r="N3" s="654"/>
      <c r="CD3" s="440"/>
    </row>
    <row r="4" spans="1:143" ht="13.5" thickBot="1" x14ac:dyDescent="0.5">
      <c r="J4" s="1589" t="s">
        <v>20</v>
      </c>
      <c r="K4" s="1590"/>
      <c r="L4" s="1590"/>
      <c r="M4" s="1590"/>
      <c r="N4" s="1590"/>
      <c r="O4" s="1590"/>
      <c r="P4" s="1590"/>
      <c r="Q4" s="1590"/>
      <c r="R4" s="1590"/>
      <c r="S4" s="1590"/>
      <c r="T4" s="1590"/>
      <c r="U4" s="1590"/>
      <c r="V4" s="1590"/>
      <c r="W4" s="1590"/>
      <c r="X4" s="1590"/>
      <c r="Y4" s="1590"/>
      <c r="Z4" s="1590"/>
      <c r="AA4" s="1590"/>
      <c r="AB4" s="1591"/>
      <c r="AC4" s="1556" t="s">
        <v>0</v>
      </c>
      <c r="AD4" s="1557"/>
      <c r="AE4" s="1557"/>
      <c r="AF4" s="1557"/>
      <c r="AG4" s="1557"/>
      <c r="AH4" s="1557"/>
      <c r="AI4" s="1557"/>
      <c r="AJ4" s="1558"/>
      <c r="AK4" s="1594" t="s">
        <v>151</v>
      </c>
      <c r="AL4" s="1595"/>
      <c r="AM4" s="1595"/>
      <c r="AN4" s="1596"/>
      <c r="AO4" s="286"/>
      <c r="AP4" s="286"/>
      <c r="AQ4" s="286"/>
      <c r="AR4" s="286"/>
      <c r="AS4" s="286"/>
      <c r="AT4" s="286"/>
      <c r="AU4" s="286"/>
      <c r="AV4" s="286"/>
      <c r="AW4" s="286"/>
      <c r="AX4" s="286"/>
      <c r="AY4" s="286"/>
      <c r="AZ4" s="286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86"/>
      <c r="BT4" s="286"/>
      <c r="BU4" s="286"/>
      <c r="BV4" s="286"/>
      <c r="BW4" s="286"/>
      <c r="BX4" s="286"/>
      <c r="BY4" s="286"/>
      <c r="BZ4" s="286"/>
      <c r="CA4" s="286"/>
      <c r="CB4" s="286"/>
      <c r="CC4" s="286"/>
      <c r="CD4" s="286"/>
      <c r="CE4" s="286"/>
      <c r="CF4" s="286"/>
      <c r="CG4" s="286"/>
      <c r="CH4" s="589"/>
      <c r="CI4" s="589"/>
      <c r="CJ4" s="589"/>
      <c r="CK4" s="589"/>
      <c r="CL4" s="1114"/>
      <c r="CM4" s="1116"/>
      <c r="CN4" s="1116"/>
      <c r="CO4" s="1116"/>
      <c r="DX4" s="441"/>
      <c r="DY4" s="441"/>
      <c r="DZ4" s="441"/>
      <c r="EA4" s="441"/>
      <c r="EB4" s="441"/>
      <c r="EC4" s="441"/>
      <c r="ED4" s="441"/>
      <c r="EE4" s="441"/>
      <c r="EF4" s="441"/>
      <c r="EG4" s="441"/>
      <c r="EH4" s="441"/>
      <c r="EI4" s="441"/>
      <c r="EJ4" s="441"/>
      <c r="EK4" s="441"/>
      <c r="EL4" s="441"/>
      <c r="EM4" s="441"/>
    </row>
    <row r="5" spans="1:143" ht="18.75" customHeight="1" x14ac:dyDescent="0.45">
      <c r="A5" s="1618" t="s">
        <v>2</v>
      </c>
      <c r="B5" s="1624" t="s">
        <v>3</v>
      </c>
      <c r="C5" s="1631" t="s">
        <v>4</v>
      </c>
      <c r="D5" s="1605" t="s">
        <v>5</v>
      </c>
      <c r="E5" s="1605" t="s">
        <v>184</v>
      </c>
      <c r="F5" s="1607" t="s">
        <v>16</v>
      </c>
      <c r="G5" s="1607" t="s">
        <v>145</v>
      </c>
      <c r="H5" s="1603" t="s">
        <v>7</v>
      </c>
      <c r="I5" s="1585" t="s">
        <v>198</v>
      </c>
      <c r="J5" s="1587" t="s">
        <v>17</v>
      </c>
      <c r="K5" s="1588"/>
      <c r="L5" s="1592" t="s">
        <v>146</v>
      </c>
      <c r="M5" s="1593"/>
      <c r="N5" s="1593"/>
      <c r="O5" s="1593"/>
      <c r="P5" s="1593"/>
      <c r="Q5" s="1593"/>
      <c r="R5" s="1588"/>
      <c r="S5" s="1592" t="s">
        <v>147</v>
      </c>
      <c r="T5" s="1593"/>
      <c r="U5" s="1593"/>
      <c r="V5" s="1593"/>
      <c r="W5" s="1593"/>
      <c r="X5" s="1597" t="s">
        <v>20</v>
      </c>
      <c r="Y5" s="1549"/>
      <c r="Z5" s="1562"/>
      <c r="AA5" s="139" t="s">
        <v>196</v>
      </c>
      <c r="AB5" s="1546"/>
      <c r="AC5" s="611" t="s">
        <v>8</v>
      </c>
      <c r="AD5" s="605" t="s">
        <v>9</v>
      </c>
      <c r="AE5" s="623" t="s">
        <v>10</v>
      </c>
      <c r="AF5" s="605" t="s">
        <v>11</v>
      </c>
      <c r="AG5" s="623" t="s">
        <v>12</v>
      </c>
      <c r="AH5" s="26" t="s">
        <v>13</v>
      </c>
      <c r="AI5" s="613" t="s">
        <v>14</v>
      </c>
      <c r="AJ5" s="602" t="s">
        <v>15</v>
      </c>
      <c r="AK5" s="28" t="s">
        <v>178</v>
      </c>
      <c r="AL5" s="1126" t="s">
        <v>194</v>
      </c>
      <c r="AM5" s="290" t="s">
        <v>195</v>
      </c>
      <c r="AN5" s="291" t="s">
        <v>197</v>
      </c>
      <c r="AO5" s="1114"/>
      <c r="AP5" s="1116"/>
      <c r="AQ5" s="1116"/>
      <c r="AR5" s="1116"/>
      <c r="AS5" s="1116"/>
      <c r="AT5" s="1116"/>
      <c r="AU5" s="1116"/>
      <c r="AV5" s="1116"/>
      <c r="AW5" s="1116"/>
      <c r="AX5" s="1116"/>
      <c r="AY5" s="1114"/>
      <c r="AZ5" s="1114"/>
      <c r="BA5" s="1114"/>
      <c r="BB5" s="1114"/>
      <c r="BC5" s="1120"/>
      <c r="BD5" s="1120"/>
      <c r="BE5" s="1116"/>
      <c r="BF5" s="1116"/>
      <c r="BG5" s="1116"/>
      <c r="BH5" s="1116"/>
      <c r="BI5" s="1116"/>
      <c r="BJ5" s="1116"/>
      <c r="BK5" s="1116"/>
      <c r="BL5" s="1120"/>
      <c r="BM5" s="1120"/>
      <c r="BN5" s="287"/>
      <c r="BO5" s="287"/>
      <c r="BP5" s="1120"/>
      <c r="BQ5" s="1120"/>
      <c r="BR5" s="1120"/>
      <c r="BS5" s="1120"/>
      <c r="BT5" s="1116"/>
      <c r="BU5" s="1115"/>
      <c r="BV5" s="1144"/>
      <c r="BW5" s="1114"/>
      <c r="BX5" s="1145"/>
      <c r="BY5" s="1115"/>
      <c r="BZ5" s="1144"/>
      <c r="CA5" s="1114"/>
      <c r="CB5" s="1145"/>
      <c r="CC5" s="1114"/>
      <c r="CD5" s="1114"/>
      <c r="CE5" s="1114"/>
      <c r="CF5" s="1114"/>
      <c r="CG5" s="1114"/>
      <c r="CH5" s="1114"/>
      <c r="CI5" s="1114"/>
      <c r="CJ5" s="176"/>
      <c r="CK5" s="1114"/>
      <c r="CL5" s="1114"/>
      <c r="CM5" s="1114"/>
      <c r="CN5" s="1114"/>
      <c r="CO5" s="1114"/>
      <c r="CR5" s="442"/>
      <c r="CS5" s="443"/>
      <c r="CT5" s="444"/>
      <c r="CU5" s="442"/>
      <c r="CV5" s="442"/>
      <c r="CW5" s="443"/>
      <c r="DX5" s="143"/>
      <c r="DY5" s="143"/>
      <c r="DZ5" s="143"/>
      <c r="EA5" s="143"/>
      <c r="EB5" s="143"/>
      <c r="EC5" s="143"/>
      <c r="ED5" s="143"/>
      <c r="EE5" s="143"/>
      <c r="EF5" s="143"/>
      <c r="EG5" s="143"/>
      <c r="EH5" s="143"/>
      <c r="EI5" s="143"/>
      <c r="EJ5" s="143"/>
      <c r="EK5" s="143"/>
      <c r="EL5" s="143"/>
      <c r="EM5" s="143"/>
    </row>
    <row r="6" spans="1:143" ht="15" x14ac:dyDescent="0.45">
      <c r="A6" s="1619"/>
      <c r="B6" s="1625"/>
      <c r="C6" s="1539"/>
      <c r="D6" s="1606"/>
      <c r="E6" s="1606"/>
      <c r="F6" s="1608"/>
      <c r="G6" s="1630"/>
      <c r="H6" s="1604"/>
      <c r="I6" s="1602"/>
      <c r="J6" s="77" t="s">
        <v>315</v>
      </c>
      <c r="K6" s="79" t="s">
        <v>350</v>
      </c>
      <c r="L6" s="73" t="s">
        <v>311</v>
      </c>
      <c r="M6" s="79" t="s">
        <v>351</v>
      </c>
      <c r="N6" s="79" t="s">
        <v>312</v>
      </c>
      <c r="O6" s="79" t="s">
        <v>352</v>
      </c>
      <c r="P6" s="79" t="s">
        <v>188</v>
      </c>
      <c r="Q6" s="79" t="s">
        <v>189</v>
      </c>
      <c r="R6" s="79" t="s">
        <v>190</v>
      </c>
      <c r="S6" s="614" t="s">
        <v>311</v>
      </c>
      <c r="T6" s="668" t="s">
        <v>353</v>
      </c>
      <c r="U6" s="608" t="s">
        <v>191</v>
      </c>
      <c r="V6" s="79" t="s">
        <v>192</v>
      </c>
      <c r="W6" s="608" t="s">
        <v>193</v>
      </c>
      <c r="X6" s="144" t="s">
        <v>314</v>
      </c>
      <c r="Y6" s="80" t="s">
        <v>142</v>
      </c>
      <c r="Z6" s="144" t="s">
        <v>180</v>
      </c>
      <c r="AA6" s="70" t="s">
        <v>23</v>
      </c>
      <c r="AB6" s="1547"/>
      <c r="AC6" s="621" t="s">
        <v>21</v>
      </c>
      <c r="AD6" s="606" t="s">
        <v>21</v>
      </c>
      <c r="AE6" s="599" t="s">
        <v>21</v>
      </c>
      <c r="AF6" s="624" t="s">
        <v>21</v>
      </c>
      <c r="AG6" s="617" t="s">
        <v>21</v>
      </c>
      <c r="AH6" s="24" t="s">
        <v>21</v>
      </c>
      <c r="AI6" s="609" t="s">
        <v>22</v>
      </c>
      <c r="AJ6" s="603" t="s">
        <v>22</v>
      </c>
      <c r="AK6" s="198" t="s">
        <v>181</v>
      </c>
      <c r="AL6" s="1120" t="s">
        <v>23</v>
      </c>
      <c r="AM6" s="1127" t="s">
        <v>24</v>
      </c>
      <c r="AN6" s="292" t="s">
        <v>23</v>
      </c>
      <c r="AO6" s="1116"/>
      <c r="AP6" s="1114"/>
      <c r="AQ6" s="1114"/>
      <c r="AR6" s="1114"/>
      <c r="AS6" s="1114"/>
      <c r="AT6" s="1114"/>
      <c r="AU6" s="1114"/>
      <c r="AV6" s="1114"/>
      <c r="AW6" s="1114"/>
      <c r="AX6" s="1114"/>
      <c r="AY6" s="1114"/>
      <c r="AZ6" s="1114"/>
      <c r="BA6" s="1116"/>
      <c r="BB6" s="1116"/>
      <c r="BC6" s="1120"/>
      <c r="BD6" s="1114"/>
      <c r="BE6" s="1116"/>
      <c r="BF6" s="1116"/>
      <c r="BG6" s="1116"/>
      <c r="BH6" s="1116"/>
      <c r="BI6" s="1116"/>
      <c r="BJ6" s="1116"/>
      <c r="BK6" s="1116"/>
      <c r="BL6" s="1120"/>
      <c r="BM6" s="1120"/>
      <c r="BN6" s="287"/>
      <c r="BO6" s="287"/>
      <c r="BP6" s="1120"/>
      <c r="BQ6" s="1114"/>
      <c r="BR6" s="1114"/>
      <c r="BS6" s="1114"/>
      <c r="BT6" s="1116"/>
      <c r="BU6" s="287"/>
      <c r="BV6" s="287"/>
      <c r="BW6" s="287"/>
      <c r="BX6" s="287"/>
      <c r="BY6" s="287"/>
      <c r="BZ6" s="287"/>
      <c r="CA6" s="287"/>
      <c r="CB6" s="287"/>
      <c r="CC6" s="1116"/>
      <c r="CD6" s="1116"/>
      <c r="CE6" s="1116"/>
      <c r="CF6" s="1116"/>
      <c r="CG6" s="1116"/>
      <c r="CH6" s="1114"/>
      <c r="CI6" s="1154"/>
      <c r="CJ6" s="596"/>
      <c r="CK6" s="1114"/>
      <c r="CL6" s="1114"/>
      <c r="CM6" s="1114"/>
      <c r="CN6" s="1114"/>
      <c r="CO6" s="1116"/>
      <c r="CR6" s="442"/>
      <c r="CS6" s="440"/>
      <c r="CT6" s="444"/>
      <c r="CU6" s="442"/>
      <c r="CV6" s="442"/>
      <c r="CW6" s="440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</row>
    <row r="7" spans="1:143" ht="15" customHeight="1" x14ac:dyDescent="0.45">
      <c r="A7" s="1620" t="s">
        <v>200</v>
      </c>
      <c r="B7" s="1609">
        <v>1.4300999999999999</v>
      </c>
      <c r="C7" s="446" t="s">
        <v>37</v>
      </c>
      <c r="D7" s="201" t="s">
        <v>38</v>
      </c>
      <c r="E7" s="121" t="s">
        <v>39</v>
      </c>
      <c r="F7" s="16" t="s">
        <v>40</v>
      </c>
      <c r="G7" s="108">
        <f>AI7*X7*0.001</f>
        <v>39.745012540091743</v>
      </c>
      <c r="H7" s="447">
        <v>55.87</v>
      </c>
      <c r="I7" s="448">
        <f>H7/G7</f>
        <v>1.4057109667192229</v>
      </c>
      <c r="J7" s="627">
        <v>279</v>
      </c>
      <c r="K7" s="170">
        <v>641</v>
      </c>
      <c r="L7" s="449" t="s">
        <v>41</v>
      </c>
      <c r="M7" s="159" t="s">
        <v>41</v>
      </c>
      <c r="N7" s="159">
        <f>J7</f>
        <v>279</v>
      </c>
      <c r="O7" s="159">
        <f>K7</f>
        <v>641</v>
      </c>
      <c r="P7" s="169">
        <f>AI7-AJ7</f>
        <v>110.37599999999999</v>
      </c>
      <c r="Q7" s="169">
        <f>P7</f>
        <v>110.37599999999999</v>
      </c>
      <c r="R7" s="22"/>
      <c r="S7" s="618" t="s">
        <v>41</v>
      </c>
      <c r="T7" s="165">
        <f>(1.673*J7)/((AH7/AE7)^0.126)</f>
        <v>463.64010257416777</v>
      </c>
      <c r="U7" s="165">
        <f>AJ7</f>
        <v>19.304000000000016</v>
      </c>
      <c r="V7" s="165">
        <f>U7</f>
        <v>19.304000000000016</v>
      </c>
      <c r="W7" s="22"/>
      <c r="X7" s="450">
        <f>((N7*Q7)+(T7*V7))/(Q7+V7)</f>
        <v>306.48529102476664</v>
      </c>
      <c r="Y7" s="121">
        <f>AL7</f>
        <v>203000</v>
      </c>
      <c r="Z7" s="451">
        <f>X7/Y7</f>
        <v>1.5097797587426927E-3</v>
      </c>
      <c r="AA7" s="452">
        <f>K7</f>
        <v>641</v>
      </c>
      <c r="AB7" s="161"/>
      <c r="AC7" s="200">
        <v>75</v>
      </c>
      <c r="AD7" s="202">
        <v>24.9</v>
      </c>
      <c r="AE7" s="202">
        <v>2.92</v>
      </c>
      <c r="AF7" s="202">
        <f>AD7-AE7-AH7</f>
        <v>18.899999999999999</v>
      </c>
      <c r="AG7" s="135">
        <v>6</v>
      </c>
      <c r="AH7" s="640">
        <f>AG7-AE7</f>
        <v>3.08</v>
      </c>
      <c r="AI7" s="202">
        <v>129.68</v>
      </c>
      <c r="AJ7" s="163">
        <f>AI7-(2*AF7*AE7)</f>
        <v>19.304000000000016</v>
      </c>
      <c r="AK7" s="203">
        <f>J7</f>
        <v>279</v>
      </c>
      <c r="AL7" s="22">
        <v>203000</v>
      </c>
      <c r="AM7" s="206">
        <f>AK7/AL7</f>
        <v>1.374384236453202E-3</v>
      </c>
      <c r="AN7" s="453">
        <f>K7</f>
        <v>641</v>
      </c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76"/>
      <c r="BA7" s="195"/>
      <c r="BB7" s="1114"/>
      <c r="BC7" s="176"/>
      <c r="BD7" s="1114"/>
      <c r="BE7" s="195"/>
      <c r="BF7" s="195"/>
      <c r="BG7" s="176"/>
      <c r="BH7" s="176"/>
      <c r="BI7" s="176"/>
      <c r="BJ7" s="176"/>
      <c r="BK7" s="176"/>
      <c r="BL7" s="1115"/>
      <c r="BM7" s="226"/>
      <c r="BN7" s="176"/>
      <c r="BO7" s="195"/>
      <c r="BP7" s="176"/>
      <c r="BQ7" s="1114"/>
      <c r="BR7" s="195"/>
      <c r="BS7" s="195"/>
      <c r="BT7" s="1116"/>
      <c r="BU7" s="176"/>
      <c r="BV7" s="176"/>
      <c r="BW7" s="273"/>
      <c r="BX7" s="273"/>
      <c r="BY7" s="176"/>
      <c r="BZ7" s="176"/>
      <c r="CA7" s="273"/>
      <c r="CB7" s="273"/>
      <c r="CC7" s="176"/>
      <c r="CD7" s="176"/>
      <c r="CE7" s="176"/>
      <c r="CF7" s="176"/>
      <c r="CG7" s="195"/>
      <c r="CH7" s="176"/>
      <c r="CI7" s="176"/>
      <c r="CJ7" s="176"/>
      <c r="CK7" s="195"/>
      <c r="CL7" s="195"/>
      <c r="CM7" s="1114"/>
      <c r="CN7" s="176"/>
      <c r="CO7" s="226"/>
      <c r="CR7" s="455"/>
      <c r="CS7" s="456"/>
      <c r="CT7" s="442"/>
      <c r="CU7" s="442"/>
      <c r="CV7" s="455"/>
      <c r="CW7" s="456"/>
      <c r="DX7" s="360"/>
      <c r="DY7" s="457"/>
      <c r="DZ7" s="360"/>
      <c r="EA7" s="360"/>
      <c r="EB7" s="360"/>
      <c r="EC7" s="458"/>
      <c r="ED7" s="458"/>
      <c r="EE7" s="143"/>
      <c r="EF7" s="360"/>
      <c r="EG7" s="173"/>
      <c r="EH7" s="173"/>
      <c r="EI7" s="173"/>
      <c r="EJ7" s="143"/>
      <c r="EK7" s="173"/>
      <c r="EL7" s="143"/>
      <c r="EM7" s="143"/>
    </row>
    <row r="8" spans="1:143" ht="15.75" customHeight="1" x14ac:dyDescent="0.45">
      <c r="A8" s="1621"/>
      <c r="B8" s="1610"/>
      <c r="C8" s="619" t="s">
        <v>37</v>
      </c>
      <c r="D8" s="201" t="s">
        <v>42</v>
      </c>
      <c r="E8" s="295" t="s">
        <v>39</v>
      </c>
      <c r="F8" s="15" t="s">
        <v>40</v>
      </c>
      <c r="G8" s="89">
        <f t="shared" ref="G8:G18" si="0">AI8*X8*0.001</f>
        <v>48.123228700892376</v>
      </c>
      <c r="H8" s="459">
        <v>59.38</v>
      </c>
      <c r="I8" s="454">
        <f t="shared" ref="I8:I18" si="1">H8/G8</f>
        <v>1.2339155456312698</v>
      </c>
      <c r="J8" s="625">
        <v>279</v>
      </c>
      <c r="K8" s="616">
        <v>641</v>
      </c>
      <c r="L8" s="460" t="s">
        <v>41</v>
      </c>
      <c r="M8" s="609" t="s">
        <v>41</v>
      </c>
      <c r="N8" s="609">
        <f t="shared" ref="N8:N17" si="2">J8</f>
        <v>279</v>
      </c>
      <c r="O8" s="609">
        <f>K8</f>
        <v>641</v>
      </c>
      <c r="P8" s="162">
        <f t="shared" ref="P8:P17" si="3">AI8-AJ8</f>
        <v>134.78</v>
      </c>
      <c r="Q8" s="162">
        <f>P8</f>
        <v>134.78</v>
      </c>
      <c r="R8" s="624"/>
      <c r="S8" s="615" t="s">
        <v>41</v>
      </c>
      <c r="T8" s="173">
        <f>(1.673*J8)/((AH8/AE8)^0.126)</f>
        <v>447.83349088515814</v>
      </c>
      <c r="U8" s="173">
        <f t="shared" ref="U8:U18" si="4">AJ8</f>
        <v>23.490000000000009</v>
      </c>
      <c r="V8" s="173">
        <f t="shared" ref="V8:V18" si="5">U8</f>
        <v>23.490000000000009</v>
      </c>
      <c r="W8" s="624"/>
      <c r="X8" s="461">
        <f>((N8*Q8)+(T8*V8))/(Q8+V8)</f>
        <v>304.05780439055013</v>
      </c>
      <c r="Y8" s="295">
        <f>AL8</f>
        <v>203000</v>
      </c>
      <c r="Z8" s="462">
        <f t="shared" ref="Z8:Z18" si="6">X8/Y8</f>
        <v>1.4978216965051731E-3</v>
      </c>
      <c r="AA8" s="463">
        <f t="shared" ref="AA8:AA18" si="7">K8</f>
        <v>641</v>
      </c>
      <c r="AB8" s="622"/>
      <c r="AC8" s="140">
        <v>90</v>
      </c>
      <c r="AD8" s="617">
        <v>30</v>
      </c>
      <c r="AE8" s="617">
        <v>2.93</v>
      </c>
      <c r="AF8" s="617">
        <f>AD8-AE8-AH8</f>
        <v>23</v>
      </c>
      <c r="AG8" s="24">
        <v>7</v>
      </c>
      <c r="AH8" s="213">
        <f t="shared" ref="AH8:AH18" si="8">AG8-AE8</f>
        <v>4.07</v>
      </c>
      <c r="AI8" s="617">
        <v>158.27000000000001</v>
      </c>
      <c r="AJ8" s="171">
        <f>AI8-(2*AF8*AE8)</f>
        <v>23.490000000000009</v>
      </c>
      <c r="AK8" s="198">
        <f t="shared" ref="AK8:AK18" si="9">J8</f>
        <v>279</v>
      </c>
      <c r="AL8" s="1120">
        <v>203000</v>
      </c>
      <c r="AM8" s="164">
        <f t="shared" ref="AM8:AM18" si="10">AK8/AL8</f>
        <v>1.374384236453202E-3</v>
      </c>
      <c r="AN8" s="464">
        <f t="shared" ref="AN8:AN18" si="11">K8</f>
        <v>641</v>
      </c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76"/>
      <c r="BA8" s="195"/>
      <c r="BB8" s="1114"/>
      <c r="BC8" s="176"/>
      <c r="BD8" s="1114"/>
      <c r="BE8" s="195"/>
      <c r="BF8" s="195"/>
      <c r="BG8" s="176"/>
      <c r="BH8" s="176"/>
      <c r="BI8" s="176"/>
      <c r="BJ8" s="176"/>
      <c r="BK8" s="176"/>
      <c r="BL8" s="1115"/>
      <c r="BM8" s="226"/>
      <c r="BN8" s="176"/>
      <c r="BO8" s="195"/>
      <c r="BP8" s="176"/>
      <c r="BQ8" s="1114"/>
      <c r="BR8" s="195"/>
      <c r="BS8" s="195"/>
      <c r="BT8" s="1116"/>
      <c r="BU8" s="176"/>
      <c r="BV8" s="176"/>
      <c r="BW8" s="273"/>
      <c r="BX8" s="273"/>
      <c r="BY8" s="176"/>
      <c r="BZ8" s="176"/>
      <c r="CA8" s="273"/>
      <c r="CB8" s="273"/>
      <c r="CC8" s="176"/>
      <c r="CD8" s="176"/>
      <c r="CE8" s="176"/>
      <c r="CF8" s="176"/>
      <c r="CG8" s="195"/>
      <c r="CH8" s="176"/>
      <c r="CI8" s="176"/>
      <c r="CJ8" s="176"/>
      <c r="CK8" s="195"/>
      <c r="CL8" s="195"/>
      <c r="CM8" s="1114"/>
      <c r="CN8" s="176"/>
      <c r="CO8" s="226"/>
      <c r="CR8" s="443"/>
      <c r="CS8" s="443"/>
      <c r="DX8" s="360"/>
      <c r="DY8" s="457"/>
      <c r="DZ8" s="360"/>
      <c r="EA8" s="360"/>
      <c r="EB8" s="360"/>
      <c r="EC8" s="458"/>
      <c r="ED8" s="458"/>
      <c r="EE8" s="143"/>
      <c r="EF8" s="360"/>
      <c r="EG8" s="173"/>
      <c r="EH8" s="173"/>
      <c r="EI8" s="173"/>
      <c r="EJ8" s="143"/>
      <c r="EK8" s="173"/>
      <c r="EL8" s="143"/>
      <c r="EM8" s="143"/>
    </row>
    <row r="9" spans="1:143" ht="16.5" customHeight="1" x14ac:dyDescent="0.45">
      <c r="A9" s="1621"/>
      <c r="B9" s="1610"/>
      <c r="C9" s="619" t="s">
        <v>37</v>
      </c>
      <c r="D9" s="201" t="s">
        <v>43</v>
      </c>
      <c r="E9" s="295" t="s">
        <v>39</v>
      </c>
      <c r="F9" s="15" t="s">
        <v>40</v>
      </c>
      <c r="G9" s="89">
        <f t="shared" si="0"/>
        <v>64.642598898596731</v>
      </c>
      <c r="H9" s="465">
        <v>66.86</v>
      </c>
      <c r="I9" s="454">
        <f t="shared" si="1"/>
        <v>1.0343024745165592</v>
      </c>
      <c r="J9" s="625">
        <v>279</v>
      </c>
      <c r="K9" s="616">
        <v>641</v>
      </c>
      <c r="L9" s="460" t="s">
        <v>41</v>
      </c>
      <c r="M9" s="609" t="s">
        <v>41</v>
      </c>
      <c r="N9" s="609">
        <f t="shared" si="2"/>
        <v>279</v>
      </c>
      <c r="O9" s="609">
        <f t="shared" ref="O9:O17" si="12">K9</f>
        <v>641</v>
      </c>
      <c r="P9" s="162">
        <f t="shared" si="3"/>
        <v>193.673</v>
      </c>
      <c r="Q9" s="162">
        <f t="shared" ref="Q9:Q18" si="13">P9</f>
        <v>193.673</v>
      </c>
      <c r="R9" s="624"/>
      <c r="S9" s="615" t="s">
        <v>41</v>
      </c>
      <c r="T9" s="173">
        <f t="shared" ref="T9:T18" si="14">(1.673*J9)/((AH9/AE9)^0.126)</f>
        <v>447.83349088515814</v>
      </c>
      <c r="U9" s="173">
        <f t="shared" si="4"/>
        <v>23.687000000000012</v>
      </c>
      <c r="V9" s="173">
        <f t="shared" si="5"/>
        <v>23.687000000000012</v>
      </c>
      <c r="W9" s="624"/>
      <c r="X9" s="461">
        <f t="shared" ref="X9:X18" si="15">((N9*Q9)+(T9*V9))/(Q9+V9)</f>
        <v>297.39878035791651</v>
      </c>
      <c r="Y9" s="295">
        <f t="shared" ref="Y9:Y18" si="16">AL9</f>
        <v>203000</v>
      </c>
      <c r="Z9" s="462">
        <f t="shared" si="6"/>
        <v>1.4650186224527907E-3</v>
      </c>
      <c r="AA9" s="463">
        <f t="shared" si="7"/>
        <v>641</v>
      </c>
      <c r="AB9" s="622"/>
      <c r="AC9" s="140">
        <v>120</v>
      </c>
      <c r="AD9" s="617">
        <v>40.049999999999997</v>
      </c>
      <c r="AE9" s="617">
        <v>2.93</v>
      </c>
      <c r="AF9" s="617">
        <f t="shared" ref="AF9:AF18" si="17">AD9-AE9-AH9</f>
        <v>33.049999999999997</v>
      </c>
      <c r="AG9" s="24">
        <v>7</v>
      </c>
      <c r="AH9" s="213">
        <f t="shared" si="8"/>
        <v>4.07</v>
      </c>
      <c r="AI9" s="617">
        <v>217.36</v>
      </c>
      <c r="AJ9" s="171">
        <f t="shared" ref="AJ9:AJ18" si="18">AI9-(2*AF9*AE9)</f>
        <v>23.687000000000012</v>
      </c>
      <c r="AK9" s="198">
        <f t="shared" si="9"/>
        <v>279</v>
      </c>
      <c r="AL9" s="1120">
        <v>203000</v>
      </c>
      <c r="AM9" s="164">
        <f t="shared" si="10"/>
        <v>1.374384236453202E-3</v>
      </c>
      <c r="AN9" s="464">
        <f t="shared" si="11"/>
        <v>641</v>
      </c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76"/>
      <c r="BA9" s="195"/>
      <c r="BB9" s="1114"/>
      <c r="BC9" s="176"/>
      <c r="BD9" s="1114"/>
      <c r="BE9" s="195"/>
      <c r="BF9" s="195"/>
      <c r="BG9" s="176"/>
      <c r="BH9" s="176"/>
      <c r="BI9" s="176"/>
      <c r="BJ9" s="176"/>
      <c r="BK9" s="176"/>
      <c r="BL9" s="1115"/>
      <c r="BM9" s="226"/>
      <c r="BN9" s="176"/>
      <c r="BO9" s="195"/>
      <c r="BP9" s="176"/>
      <c r="BQ9" s="1114"/>
      <c r="BR9" s="195"/>
      <c r="BS9" s="195"/>
      <c r="BT9" s="1116"/>
      <c r="BU9" s="176"/>
      <c r="BV9" s="176"/>
      <c r="BW9" s="273"/>
      <c r="BX9" s="273"/>
      <c r="BY9" s="176"/>
      <c r="BZ9" s="176"/>
      <c r="CA9" s="273"/>
      <c r="CB9" s="273"/>
      <c r="CC9" s="176"/>
      <c r="CD9" s="176"/>
      <c r="CE9" s="176"/>
      <c r="CF9" s="176"/>
      <c r="CG9" s="195"/>
      <c r="CH9" s="176"/>
      <c r="CI9" s="176"/>
      <c r="CJ9" s="176"/>
      <c r="CK9" s="195"/>
      <c r="CL9" s="195"/>
      <c r="CM9" s="1114"/>
      <c r="CN9" s="176"/>
      <c r="CO9" s="226"/>
      <c r="CR9" s="443"/>
      <c r="DX9" s="360"/>
      <c r="DY9" s="457"/>
      <c r="DZ9" s="360"/>
      <c r="EA9" s="360"/>
      <c r="EB9" s="360"/>
      <c r="EC9" s="458"/>
      <c r="ED9" s="458"/>
      <c r="EE9" s="143"/>
      <c r="EF9" s="360"/>
      <c r="EG9" s="173"/>
      <c r="EH9" s="173"/>
      <c r="EI9" s="173"/>
      <c r="EJ9" s="143"/>
      <c r="EK9" s="173"/>
      <c r="EL9" s="143"/>
      <c r="EM9" s="143"/>
    </row>
    <row r="10" spans="1:143" ht="17.25" customHeight="1" x14ac:dyDescent="0.45">
      <c r="A10" s="1621"/>
      <c r="B10" s="1610"/>
      <c r="C10" s="619" t="s">
        <v>37</v>
      </c>
      <c r="D10" s="201" t="s">
        <v>44</v>
      </c>
      <c r="E10" s="295" t="s">
        <v>39</v>
      </c>
      <c r="F10" s="15" t="s">
        <v>40</v>
      </c>
      <c r="G10" s="89">
        <f t="shared" si="0"/>
        <v>64.76881839137252</v>
      </c>
      <c r="H10" s="459">
        <v>65.64</v>
      </c>
      <c r="I10" s="454">
        <f t="shared" si="1"/>
        <v>1.0134506330401656</v>
      </c>
      <c r="J10" s="625">
        <v>279</v>
      </c>
      <c r="K10" s="616">
        <v>641</v>
      </c>
      <c r="L10" s="460" t="s">
        <v>41</v>
      </c>
      <c r="M10" s="609" t="s">
        <v>41</v>
      </c>
      <c r="N10" s="609">
        <f t="shared" si="2"/>
        <v>279</v>
      </c>
      <c r="O10" s="609">
        <f t="shared" si="12"/>
        <v>641</v>
      </c>
      <c r="P10" s="162">
        <f t="shared" si="3"/>
        <v>192.501</v>
      </c>
      <c r="Q10" s="162">
        <f t="shared" si="13"/>
        <v>192.501</v>
      </c>
      <c r="R10" s="624"/>
      <c r="S10" s="615" t="s">
        <v>41</v>
      </c>
      <c r="T10" s="173">
        <f t="shared" si="14"/>
        <v>447.83349088515814</v>
      </c>
      <c r="U10" s="173">
        <f t="shared" si="4"/>
        <v>24.698999999999984</v>
      </c>
      <c r="V10" s="173">
        <f t="shared" si="5"/>
        <v>24.698999999999984</v>
      </c>
      <c r="W10" s="624"/>
      <c r="X10" s="461">
        <f t="shared" si="15"/>
        <v>298.19897970245177</v>
      </c>
      <c r="Y10" s="295">
        <f t="shared" si="16"/>
        <v>203000</v>
      </c>
      <c r="Z10" s="462">
        <f t="shared" si="6"/>
        <v>1.4689604911450826E-3</v>
      </c>
      <c r="AA10" s="463">
        <f t="shared" si="7"/>
        <v>641</v>
      </c>
      <c r="AB10" s="622"/>
      <c r="AC10" s="140">
        <v>120</v>
      </c>
      <c r="AD10" s="617">
        <v>39.85</v>
      </c>
      <c r="AE10" s="617">
        <v>2.93</v>
      </c>
      <c r="AF10" s="617">
        <f t="shared" si="17"/>
        <v>32.85</v>
      </c>
      <c r="AG10" s="24">
        <v>7</v>
      </c>
      <c r="AH10" s="213">
        <f t="shared" si="8"/>
        <v>4.07</v>
      </c>
      <c r="AI10" s="617">
        <v>217.2</v>
      </c>
      <c r="AJ10" s="171">
        <f t="shared" si="18"/>
        <v>24.698999999999984</v>
      </c>
      <c r="AK10" s="198">
        <f t="shared" si="9"/>
        <v>279</v>
      </c>
      <c r="AL10" s="1120">
        <v>203000</v>
      </c>
      <c r="AM10" s="164">
        <f t="shared" si="10"/>
        <v>1.374384236453202E-3</v>
      </c>
      <c r="AN10" s="464">
        <f t="shared" si="11"/>
        <v>641</v>
      </c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76"/>
      <c r="BA10" s="195"/>
      <c r="BB10" s="1114"/>
      <c r="BC10" s="176"/>
      <c r="BD10" s="1114"/>
      <c r="BE10" s="195"/>
      <c r="BF10" s="195"/>
      <c r="BG10" s="176"/>
      <c r="BH10" s="176"/>
      <c r="BI10" s="176"/>
      <c r="BJ10" s="176"/>
      <c r="BK10" s="176"/>
      <c r="BL10" s="1115"/>
      <c r="BM10" s="226"/>
      <c r="BN10" s="176"/>
      <c r="BO10" s="195"/>
      <c r="BP10" s="176"/>
      <c r="BQ10" s="1114"/>
      <c r="BR10" s="195"/>
      <c r="BS10" s="195"/>
      <c r="BT10" s="1116"/>
      <c r="BU10" s="176"/>
      <c r="BV10" s="176"/>
      <c r="BW10" s="273"/>
      <c r="BX10" s="273"/>
      <c r="BY10" s="176"/>
      <c r="BZ10" s="176"/>
      <c r="CA10" s="273"/>
      <c r="CB10" s="273"/>
      <c r="CC10" s="176"/>
      <c r="CD10" s="176"/>
      <c r="CE10" s="176"/>
      <c r="CF10" s="176"/>
      <c r="CG10" s="195"/>
      <c r="CH10" s="176"/>
      <c r="CI10" s="176"/>
      <c r="CJ10" s="176"/>
      <c r="CK10" s="195"/>
      <c r="CL10" s="195"/>
      <c r="CM10" s="1114"/>
      <c r="CN10" s="176"/>
      <c r="CO10" s="226"/>
      <c r="DX10" s="360"/>
      <c r="DY10" s="457"/>
      <c r="DZ10" s="360"/>
      <c r="EA10" s="360"/>
      <c r="EB10" s="360"/>
      <c r="EC10" s="458"/>
      <c r="ED10" s="458"/>
      <c r="EE10" s="143"/>
      <c r="EF10" s="360"/>
      <c r="EG10" s="173"/>
      <c r="EH10" s="173"/>
      <c r="EI10" s="173"/>
      <c r="EJ10" s="143"/>
      <c r="EK10" s="173"/>
      <c r="EL10" s="143"/>
      <c r="EM10" s="143"/>
    </row>
    <row r="11" spans="1:143" ht="16.5" customHeight="1" x14ac:dyDescent="0.45">
      <c r="A11" s="1621"/>
      <c r="B11" s="1610"/>
      <c r="C11" s="619" t="s">
        <v>37</v>
      </c>
      <c r="D11" s="201" t="s">
        <v>45</v>
      </c>
      <c r="E11" s="295" t="s">
        <v>39</v>
      </c>
      <c r="F11" s="15" t="s">
        <v>40</v>
      </c>
      <c r="G11" s="89">
        <f t="shared" si="0"/>
        <v>80.911595399069398</v>
      </c>
      <c r="H11" s="459">
        <v>68.69</v>
      </c>
      <c r="I11" s="454">
        <f t="shared" si="1"/>
        <v>0.84895124933836164</v>
      </c>
      <c r="J11" s="625">
        <v>279</v>
      </c>
      <c r="K11" s="616">
        <v>641</v>
      </c>
      <c r="L11" s="460" t="s">
        <v>41</v>
      </c>
      <c r="M11" s="609" t="s">
        <v>41</v>
      </c>
      <c r="N11" s="609">
        <f t="shared" si="2"/>
        <v>279</v>
      </c>
      <c r="O11" s="609">
        <f t="shared" si="12"/>
        <v>641</v>
      </c>
      <c r="P11" s="162">
        <f t="shared" si="3"/>
        <v>251.98000000000002</v>
      </c>
      <c r="Q11" s="162">
        <f t="shared" si="13"/>
        <v>251.98000000000002</v>
      </c>
      <c r="R11" s="624"/>
      <c r="S11" s="615" t="s">
        <v>41</v>
      </c>
      <c r="T11" s="173">
        <f t="shared" si="14"/>
        <v>447.83349088515814</v>
      </c>
      <c r="U11" s="173">
        <f t="shared" si="4"/>
        <v>23.689999999999998</v>
      </c>
      <c r="V11" s="173">
        <f t="shared" si="5"/>
        <v>23.689999999999998</v>
      </c>
      <c r="W11" s="624"/>
      <c r="X11" s="461">
        <f t="shared" si="15"/>
        <v>293.5088888855131</v>
      </c>
      <c r="Y11" s="295">
        <f t="shared" si="16"/>
        <v>203000</v>
      </c>
      <c r="Z11" s="462">
        <f t="shared" si="6"/>
        <v>1.4458565954951384E-3</v>
      </c>
      <c r="AA11" s="463">
        <f t="shared" si="7"/>
        <v>641</v>
      </c>
      <c r="AB11" s="622"/>
      <c r="AC11" s="140">
        <v>150</v>
      </c>
      <c r="AD11" s="617">
        <v>50</v>
      </c>
      <c r="AE11" s="617">
        <v>2.93</v>
      </c>
      <c r="AF11" s="617">
        <f t="shared" si="17"/>
        <v>43</v>
      </c>
      <c r="AG11" s="24">
        <v>7</v>
      </c>
      <c r="AH11" s="213">
        <f t="shared" si="8"/>
        <v>4.07</v>
      </c>
      <c r="AI11" s="617">
        <v>275.67</v>
      </c>
      <c r="AJ11" s="171">
        <f t="shared" si="18"/>
        <v>23.689999999999998</v>
      </c>
      <c r="AK11" s="198">
        <f t="shared" si="9"/>
        <v>279</v>
      </c>
      <c r="AL11" s="1120">
        <v>203000</v>
      </c>
      <c r="AM11" s="164">
        <f t="shared" si="10"/>
        <v>1.374384236453202E-3</v>
      </c>
      <c r="AN11" s="464">
        <f t="shared" si="11"/>
        <v>641</v>
      </c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76"/>
      <c r="BA11" s="195"/>
      <c r="BB11" s="1114"/>
      <c r="BC11" s="176"/>
      <c r="BD11" s="1114"/>
      <c r="BE11" s="195"/>
      <c r="BF11" s="195"/>
      <c r="BG11" s="176"/>
      <c r="BH11" s="176"/>
      <c r="BI11" s="176"/>
      <c r="BJ11" s="176"/>
      <c r="BK11" s="176"/>
      <c r="BL11" s="1115"/>
      <c r="BM11" s="226"/>
      <c r="BN11" s="176"/>
      <c r="BO11" s="195"/>
      <c r="BP11" s="176"/>
      <c r="BQ11" s="1114"/>
      <c r="BR11" s="195"/>
      <c r="BS11" s="195"/>
      <c r="BT11" s="1116"/>
      <c r="BU11" s="176"/>
      <c r="BV11" s="176"/>
      <c r="BW11" s="273"/>
      <c r="BX11" s="273"/>
      <c r="BY11" s="176"/>
      <c r="BZ11" s="176"/>
      <c r="CA11" s="273"/>
      <c r="CB11" s="273"/>
      <c r="CC11" s="176"/>
      <c r="CD11" s="176"/>
      <c r="CE11" s="176"/>
      <c r="CF11" s="176"/>
      <c r="CG11" s="195"/>
      <c r="CH11" s="176"/>
      <c r="CI11" s="176"/>
      <c r="CJ11" s="176"/>
      <c r="CK11" s="195"/>
      <c r="CL11" s="195"/>
      <c r="CM11" s="1114"/>
      <c r="CN11" s="176"/>
      <c r="CO11" s="226"/>
      <c r="DX11" s="360"/>
      <c r="DY11" s="457"/>
      <c r="DZ11" s="360"/>
      <c r="EA11" s="360"/>
      <c r="EB11" s="360"/>
      <c r="EC11" s="458"/>
      <c r="ED11" s="458"/>
      <c r="EE11" s="143"/>
      <c r="EF11" s="360"/>
      <c r="EG11" s="173"/>
      <c r="EH11" s="173"/>
      <c r="EI11" s="173"/>
      <c r="EJ11" s="143"/>
      <c r="EK11" s="173"/>
      <c r="EL11" s="143"/>
      <c r="EM11" s="143"/>
    </row>
    <row r="12" spans="1:143" ht="16.5" customHeight="1" x14ac:dyDescent="0.45">
      <c r="A12" s="1626"/>
      <c r="B12" s="1611"/>
      <c r="C12" s="620" t="s">
        <v>37</v>
      </c>
      <c r="D12" s="209" t="s">
        <v>46</v>
      </c>
      <c r="E12" s="604" t="s">
        <v>39</v>
      </c>
      <c r="F12" s="122" t="s">
        <v>40</v>
      </c>
      <c r="G12" s="89">
        <f t="shared" si="0"/>
        <v>98.201525903735558</v>
      </c>
      <c r="H12" s="466">
        <v>69.61</v>
      </c>
      <c r="I12" s="467">
        <f t="shared" si="1"/>
        <v>0.70884845586042011</v>
      </c>
      <c r="J12" s="600">
        <v>279</v>
      </c>
      <c r="K12" s="601">
        <v>641</v>
      </c>
      <c r="L12" s="468" t="s">
        <v>41</v>
      </c>
      <c r="M12" s="610" t="s">
        <v>41</v>
      </c>
      <c r="N12" s="610">
        <f t="shared" si="2"/>
        <v>279</v>
      </c>
      <c r="O12" s="610">
        <f t="shared" si="12"/>
        <v>641</v>
      </c>
      <c r="P12" s="177">
        <f t="shared" si="3"/>
        <v>310.58000000000004</v>
      </c>
      <c r="Q12" s="177">
        <f t="shared" si="13"/>
        <v>310.58000000000004</v>
      </c>
      <c r="R12" s="606"/>
      <c r="S12" s="612" t="s">
        <v>41</v>
      </c>
      <c r="T12" s="179">
        <f t="shared" si="14"/>
        <v>464.02996800866055</v>
      </c>
      <c r="U12" s="179">
        <f t="shared" si="4"/>
        <v>24.889999999999986</v>
      </c>
      <c r="V12" s="179">
        <f t="shared" si="5"/>
        <v>24.889999999999986</v>
      </c>
      <c r="W12" s="606"/>
      <c r="X12" s="469">
        <f t="shared" si="15"/>
        <v>292.72819001322188</v>
      </c>
      <c r="Y12" s="604">
        <f t="shared" si="16"/>
        <v>203000</v>
      </c>
      <c r="Z12" s="470">
        <f t="shared" si="6"/>
        <v>1.4420107882424722E-3</v>
      </c>
      <c r="AA12" s="471">
        <f t="shared" si="7"/>
        <v>641</v>
      </c>
      <c r="AB12" s="598"/>
      <c r="AC12" s="621">
        <v>180</v>
      </c>
      <c r="AD12" s="599">
        <v>59</v>
      </c>
      <c r="AE12" s="599">
        <v>2.93</v>
      </c>
      <c r="AF12" s="599">
        <f t="shared" si="17"/>
        <v>53</v>
      </c>
      <c r="AG12" s="27">
        <v>6</v>
      </c>
      <c r="AH12" s="214">
        <f t="shared" si="8"/>
        <v>3.07</v>
      </c>
      <c r="AI12" s="599">
        <v>335.47</v>
      </c>
      <c r="AJ12" s="183">
        <f t="shared" si="18"/>
        <v>24.889999999999986</v>
      </c>
      <c r="AK12" s="198">
        <f t="shared" si="9"/>
        <v>279</v>
      </c>
      <c r="AL12" s="1120">
        <v>203000</v>
      </c>
      <c r="AM12" s="178">
        <f t="shared" si="10"/>
        <v>1.374384236453202E-3</v>
      </c>
      <c r="AN12" s="472">
        <f t="shared" si="11"/>
        <v>641</v>
      </c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76"/>
      <c r="BA12" s="195"/>
      <c r="BB12" s="1114"/>
      <c r="BC12" s="176"/>
      <c r="BD12" s="1114"/>
      <c r="BE12" s="195"/>
      <c r="BF12" s="195"/>
      <c r="BG12" s="176"/>
      <c r="BH12" s="176"/>
      <c r="BI12" s="176"/>
      <c r="BJ12" s="176"/>
      <c r="BK12" s="176"/>
      <c r="BL12" s="1115"/>
      <c r="BM12" s="226"/>
      <c r="BN12" s="176"/>
      <c r="BO12" s="195"/>
      <c r="BP12" s="176"/>
      <c r="BQ12" s="1114"/>
      <c r="BR12" s="195"/>
      <c r="BS12" s="195"/>
      <c r="BT12" s="1116"/>
      <c r="BU12" s="176"/>
      <c r="BV12" s="176"/>
      <c r="BW12" s="273"/>
      <c r="BX12" s="273"/>
      <c r="BY12" s="176"/>
      <c r="BZ12" s="176"/>
      <c r="CA12" s="273"/>
      <c r="CB12" s="273"/>
      <c r="CC12" s="176"/>
      <c r="CD12" s="176"/>
      <c r="CE12" s="176"/>
      <c r="CF12" s="176"/>
      <c r="CG12" s="195"/>
      <c r="CH12" s="176"/>
      <c r="CI12" s="176"/>
      <c r="CJ12" s="176"/>
      <c r="CK12" s="195"/>
      <c r="CL12" s="195"/>
      <c r="CM12" s="1114"/>
      <c r="CN12" s="176"/>
      <c r="CO12" s="226"/>
      <c r="DX12" s="360"/>
      <c r="DY12" s="457"/>
      <c r="DZ12" s="360"/>
      <c r="EA12" s="360"/>
      <c r="EB12" s="360"/>
      <c r="EC12" s="458"/>
      <c r="ED12" s="458"/>
      <c r="EE12" s="143"/>
      <c r="EF12" s="360"/>
      <c r="EG12" s="173"/>
      <c r="EH12" s="173"/>
      <c r="EI12" s="173"/>
      <c r="EJ12" s="143"/>
      <c r="EK12" s="173"/>
      <c r="EL12" s="143"/>
      <c r="EM12" s="143"/>
    </row>
    <row r="13" spans="1:143" ht="15.75" customHeight="1" x14ac:dyDescent="0.45">
      <c r="A13" s="1620" t="s">
        <v>200</v>
      </c>
      <c r="B13" s="1609">
        <v>1.4318</v>
      </c>
      <c r="C13" s="140" t="s">
        <v>37</v>
      </c>
      <c r="D13" s="473" t="s">
        <v>47</v>
      </c>
      <c r="E13" s="295" t="s">
        <v>39</v>
      </c>
      <c r="F13" s="15" t="s">
        <v>40</v>
      </c>
      <c r="G13" s="108">
        <f t="shared" si="0"/>
        <v>75.683030910081698</v>
      </c>
      <c r="H13" s="459">
        <v>79.67</v>
      </c>
      <c r="I13" s="175">
        <f t="shared" si="1"/>
        <v>1.0526798285160539</v>
      </c>
      <c r="J13" s="625">
        <v>508</v>
      </c>
      <c r="K13" s="616">
        <v>829</v>
      </c>
      <c r="L13" s="460" t="s">
        <v>41</v>
      </c>
      <c r="M13" s="609" t="s">
        <v>41</v>
      </c>
      <c r="N13" s="609">
        <f t="shared" si="2"/>
        <v>508</v>
      </c>
      <c r="O13" s="609">
        <f t="shared" si="12"/>
        <v>829</v>
      </c>
      <c r="P13" s="162">
        <f t="shared" si="3"/>
        <v>114.64200000000001</v>
      </c>
      <c r="Q13" s="162">
        <f t="shared" si="13"/>
        <v>114.64200000000001</v>
      </c>
      <c r="R13" s="624"/>
      <c r="S13" s="615" t="s">
        <v>41</v>
      </c>
      <c r="T13" s="173">
        <f t="shared" si="14"/>
        <v>847.74491739147186</v>
      </c>
      <c r="U13" s="173">
        <f t="shared" si="4"/>
        <v>20.577999999999989</v>
      </c>
      <c r="V13" s="173">
        <f t="shared" si="5"/>
        <v>20.577999999999989</v>
      </c>
      <c r="W13" s="624"/>
      <c r="X13" s="461">
        <f t="shared" si="15"/>
        <v>559.7029352912416</v>
      </c>
      <c r="Y13" s="295">
        <f t="shared" si="16"/>
        <v>206000</v>
      </c>
      <c r="Z13" s="462">
        <f t="shared" si="6"/>
        <v>2.7170045402487458E-3</v>
      </c>
      <c r="AA13" s="463">
        <f t="shared" si="7"/>
        <v>829</v>
      </c>
      <c r="AB13" s="622"/>
      <c r="AC13" s="200">
        <v>75</v>
      </c>
      <c r="AD13" s="202">
        <v>25.3</v>
      </c>
      <c r="AE13" s="202">
        <v>2.97</v>
      </c>
      <c r="AF13" s="617">
        <f t="shared" si="17"/>
        <v>19.3</v>
      </c>
      <c r="AG13" s="24">
        <v>6</v>
      </c>
      <c r="AH13" s="213">
        <f t="shared" si="8"/>
        <v>3.03</v>
      </c>
      <c r="AI13" s="617">
        <v>135.22</v>
      </c>
      <c r="AJ13" s="171">
        <f t="shared" si="18"/>
        <v>20.577999999999989</v>
      </c>
      <c r="AK13" s="203">
        <f t="shared" si="9"/>
        <v>508</v>
      </c>
      <c r="AL13" s="22">
        <v>206000</v>
      </c>
      <c r="AM13" s="164">
        <f t="shared" si="10"/>
        <v>2.4660194174757283E-3</v>
      </c>
      <c r="AN13" s="453">
        <f t="shared" si="11"/>
        <v>829</v>
      </c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76"/>
      <c r="BA13" s="195"/>
      <c r="BB13" s="1114"/>
      <c r="BC13" s="176"/>
      <c r="BD13" s="1114"/>
      <c r="BE13" s="195"/>
      <c r="BF13" s="195"/>
      <c r="BG13" s="176"/>
      <c r="BH13" s="176"/>
      <c r="BI13" s="176"/>
      <c r="BJ13" s="176"/>
      <c r="BK13" s="176"/>
      <c r="BL13" s="1115"/>
      <c r="BM13" s="226"/>
      <c r="BN13" s="176"/>
      <c r="BO13" s="195"/>
      <c r="BP13" s="176"/>
      <c r="BQ13" s="1114"/>
      <c r="BR13" s="195"/>
      <c r="BS13" s="195"/>
      <c r="BT13" s="1116"/>
      <c r="BU13" s="176"/>
      <c r="BV13" s="176"/>
      <c r="BW13" s="273"/>
      <c r="BX13" s="273"/>
      <c r="BY13" s="176"/>
      <c r="BZ13" s="176"/>
      <c r="CA13" s="273"/>
      <c r="CB13" s="273"/>
      <c r="CC13" s="176"/>
      <c r="CD13" s="176"/>
      <c r="CE13" s="176"/>
      <c r="CF13" s="176"/>
      <c r="CG13" s="195"/>
      <c r="CH13" s="176"/>
      <c r="CI13" s="176"/>
      <c r="CJ13" s="176"/>
      <c r="CK13" s="195"/>
      <c r="CL13" s="195"/>
      <c r="CM13" s="1114"/>
      <c r="CN13" s="176"/>
      <c r="CO13" s="226"/>
      <c r="DX13" s="360"/>
      <c r="DY13" s="457"/>
      <c r="DZ13" s="360"/>
      <c r="EA13" s="360"/>
      <c r="EB13" s="360"/>
      <c r="EC13" s="458"/>
      <c r="ED13" s="458"/>
      <c r="EE13" s="143"/>
      <c r="EF13" s="360"/>
      <c r="EG13" s="173"/>
      <c r="EH13" s="173"/>
      <c r="EI13" s="173"/>
      <c r="EJ13" s="143"/>
      <c r="EK13" s="173"/>
      <c r="EL13" s="143"/>
      <c r="EM13" s="143"/>
    </row>
    <row r="14" spans="1:143" ht="14.25" customHeight="1" x14ac:dyDescent="0.45">
      <c r="A14" s="1621"/>
      <c r="B14" s="1610"/>
      <c r="C14" s="140" t="s">
        <v>37</v>
      </c>
      <c r="D14" s="473" t="s">
        <v>48</v>
      </c>
      <c r="E14" s="295" t="s">
        <v>39</v>
      </c>
      <c r="F14" s="15" t="s">
        <v>40</v>
      </c>
      <c r="G14" s="89">
        <f t="shared" si="0"/>
        <v>90.134735328421897</v>
      </c>
      <c r="H14" s="459">
        <v>89.76</v>
      </c>
      <c r="I14" s="175">
        <f t="shared" si="1"/>
        <v>0.9958424981550511</v>
      </c>
      <c r="J14" s="625">
        <v>508</v>
      </c>
      <c r="K14" s="616">
        <v>829</v>
      </c>
      <c r="L14" s="460" t="s">
        <v>41</v>
      </c>
      <c r="M14" s="609" t="s">
        <v>41</v>
      </c>
      <c r="N14" s="609">
        <f t="shared" si="2"/>
        <v>508</v>
      </c>
      <c r="O14" s="609">
        <f t="shared" si="12"/>
        <v>829</v>
      </c>
      <c r="P14" s="162">
        <f t="shared" si="3"/>
        <v>136.62</v>
      </c>
      <c r="Q14" s="162">
        <f t="shared" si="13"/>
        <v>136.62</v>
      </c>
      <c r="R14" s="624"/>
      <c r="S14" s="615" t="s">
        <v>41</v>
      </c>
      <c r="T14" s="173">
        <f t="shared" si="14"/>
        <v>817.82151196930533</v>
      </c>
      <c r="U14" s="173">
        <f t="shared" si="4"/>
        <v>25.349999999999994</v>
      </c>
      <c r="V14" s="173">
        <f t="shared" si="5"/>
        <v>25.349999999999994</v>
      </c>
      <c r="W14" s="624"/>
      <c r="X14" s="461">
        <f t="shared" si="15"/>
        <v>556.49030887461811</v>
      </c>
      <c r="Y14" s="295">
        <f t="shared" si="16"/>
        <v>206000</v>
      </c>
      <c r="Z14" s="462">
        <f t="shared" si="6"/>
        <v>2.7014092663816412E-3</v>
      </c>
      <c r="AA14" s="463">
        <f t="shared" si="7"/>
        <v>829</v>
      </c>
      <c r="AB14" s="622"/>
      <c r="AC14" s="140">
        <v>90</v>
      </c>
      <c r="AD14" s="617">
        <v>30</v>
      </c>
      <c r="AE14" s="617">
        <v>2.97</v>
      </c>
      <c r="AF14" s="617">
        <f t="shared" si="17"/>
        <v>23</v>
      </c>
      <c r="AG14" s="24">
        <v>7</v>
      </c>
      <c r="AH14" s="213">
        <f t="shared" si="8"/>
        <v>4.0299999999999994</v>
      </c>
      <c r="AI14" s="617">
        <v>161.97</v>
      </c>
      <c r="AJ14" s="171">
        <f t="shared" si="18"/>
        <v>25.349999999999994</v>
      </c>
      <c r="AK14" s="198">
        <f t="shared" si="9"/>
        <v>508</v>
      </c>
      <c r="AL14" s="1120">
        <v>206000</v>
      </c>
      <c r="AM14" s="164">
        <f t="shared" si="10"/>
        <v>2.4660194174757283E-3</v>
      </c>
      <c r="AN14" s="464">
        <f t="shared" si="11"/>
        <v>829</v>
      </c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76"/>
      <c r="BA14" s="195"/>
      <c r="BB14" s="1114"/>
      <c r="BC14" s="176"/>
      <c r="BD14" s="1114"/>
      <c r="BE14" s="195"/>
      <c r="BF14" s="195"/>
      <c r="BG14" s="176"/>
      <c r="BH14" s="176"/>
      <c r="BI14" s="176"/>
      <c r="BJ14" s="176"/>
      <c r="BK14" s="176"/>
      <c r="BL14" s="1115"/>
      <c r="BM14" s="226"/>
      <c r="BN14" s="176"/>
      <c r="BO14" s="510"/>
      <c r="BP14" s="176"/>
      <c r="BQ14" s="1114"/>
      <c r="BR14" s="195"/>
      <c r="BS14" s="195"/>
      <c r="BT14" s="1116"/>
      <c r="BU14" s="176"/>
      <c r="BV14" s="176"/>
      <c r="BW14" s="273"/>
      <c r="BX14" s="273"/>
      <c r="BY14" s="176"/>
      <c r="BZ14" s="176"/>
      <c r="CA14" s="273"/>
      <c r="CB14" s="273"/>
      <c r="CC14" s="176"/>
      <c r="CD14" s="176"/>
      <c r="CE14" s="176"/>
      <c r="CF14" s="176"/>
      <c r="CG14" s="195"/>
      <c r="CH14" s="176"/>
      <c r="CI14" s="176"/>
      <c r="CJ14" s="176"/>
      <c r="CK14" s="195"/>
      <c r="CL14" s="195"/>
      <c r="CM14" s="1114"/>
      <c r="CN14" s="176"/>
      <c r="CO14" s="226"/>
      <c r="DX14" s="360"/>
      <c r="DY14" s="457"/>
      <c r="DZ14" s="360"/>
      <c r="EA14" s="360"/>
      <c r="EB14" s="360"/>
      <c r="EC14" s="458"/>
      <c r="ED14" s="458"/>
      <c r="EE14" s="143"/>
      <c r="EF14" s="360"/>
      <c r="EG14" s="173"/>
      <c r="EH14" s="173"/>
      <c r="EI14" s="173"/>
      <c r="EJ14" s="143"/>
      <c r="EK14" s="173"/>
      <c r="EL14" s="143"/>
      <c r="EM14" s="143"/>
    </row>
    <row r="15" spans="1:143" ht="16.5" customHeight="1" x14ac:dyDescent="0.45">
      <c r="A15" s="1621"/>
      <c r="B15" s="1610"/>
      <c r="C15" s="140" t="s">
        <v>37</v>
      </c>
      <c r="D15" s="473" t="s">
        <v>44</v>
      </c>
      <c r="E15" s="295" t="s">
        <v>39</v>
      </c>
      <c r="F15" s="15" t="s">
        <v>40</v>
      </c>
      <c r="G15" s="89">
        <f t="shared" si="0"/>
        <v>121.37467991753056</v>
      </c>
      <c r="H15" s="459">
        <v>108.66</v>
      </c>
      <c r="I15" s="175">
        <f t="shared" si="1"/>
        <v>0.89524437941941681</v>
      </c>
      <c r="J15" s="625">
        <v>508</v>
      </c>
      <c r="K15" s="616">
        <v>829</v>
      </c>
      <c r="L15" s="460" t="s">
        <v>41</v>
      </c>
      <c r="M15" s="609" t="s">
        <v>41</v>
      </c>
      <c r="N15" s="609">
        <f t="shared" si="2"/>
        <v>508</v>
      </c>
      <c r="O15" s="609">
        <f t="shared" si="12"/>
        <v>829</v>
      </c>
      <c r="P15" s="162">
        <f t="shared" si="3"/>
        <v>205.36</v>
      </c>
      <c r="Q15" s="162">
        <f t="shared" si="13"/>
        <v>205.36</v>
      </c>
      <c r="R15" s="624"/>
      <c r="S15" s="615" t="s">
        <v>41</v>
      </c>
      <c r="T15" s="173">
        <f t="shared" si="14"/>
        <v>851.31302633702262</v>
      </c>
      <c r="U15" s="173">
        <f t="shared" si="4"/>
        <v>20.029999999999973</v>
      </c>
      <c r="V15" s="173">
        <f t="shared" si="5"/>
        <v>20.029999999999973</v>
      </c>
      <c r="W15" s="624"/>
      <c r="X15" s="461">
        <f t="shared" si="15"/>
        <v>538.50960520666649</v>
      </c>
      <c r="Y15" s="295">
        <f t="shared" si="16"/>
        <v>206000</v>
      </c>
      <c r="Z15" s="462">
        <f t="shared" si="6"/>
        <v>2.6141242971197401E-3</v>
      </c>
      <c r="AA15" s="463">
        <f t="shared" si="7"/>
        <v>829</v>
      </c>
      <c r="AB15" s="622"/>
      <c r="AC15" s="140">
        <v>120</v>
      </c>
      <c r="AD15" s="617">
        <v>40</v>
      </c>
      <c r="AE15" s="617">
        <v>3.02</v>
      </c>
      <c r="AF15" s="617">
        <f t="shared" si="17"/>
        <v>34</v>
      </c>
      <c r="AG15" s="24">
        <v>6</v>
      </c>
      <c r="AH15" s="213">
        <f>AG15-AE15</f>
        <v>2.98</v>
      </c>
      <c r="AI15" s="617">
        <v>225.39</v>
      </c>
      <c r="AJ15" s="171">
        <f t="shared" si="18"/>
        <v>20.029999999999973</v>
      </c>
      <c r="AK15" s="198">
        <f t="shared" si="9"/>
        <v>508</v>
      </c>
      <c r="AL15" s="1120">
        <v>206000</v>
      </c>
      <c r="AM15" s="164">
        <f t="shared" si="10"/>
        <v>2.4660194174757283E-3</v>
      </c>
      <c r="AN15" s="464">
        <f t="shared" si="11"/>
        <v>829</v>
      </c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76"/>
      <c r="BA15" s="195"/>
      <c r="BB15" s="1114"/>
      <c r="BC15" s="176"/>
      <c r="BD15" s="1114"/>
      <c r="BE15" s="195"/>
      <c r="BF15" s="195"/>
      <c r="BG15" s="176"/>
      <c r="BH15" s="176"/>
      <c r="BI15" s="176"/>
      <c r="BJ15" s="176"/>
      <c r="BK15" s="176"/>
      <c r="BL15" s="1115"/>
      <c r="BM15" s="226"/>
      <c r="BN15" s="176"/>
      <c r="BO15" s="195"/>
      <c r="BP15" s="176"/>
      <c r="BQ15" s="1114"/>
      <c r="BR15" s="195"/>
      <c r="BS15" s="195"/>
      <c r="BT15" s="1116"/>
      <c r="BU15" s="176"/>
      <c r="BV15" s="176"/>
      <c r="BW15" s="273"/>
      <c r="BX15" s="273"/>
      <c r="BY15" s="176"/>
      <c r="BZ15" s="176"/>
      <c r="CA15" s="273"/>
      <c r="CB15" s="273"/>
      <c r="CC15" s="176"/>
      <c r="CD15" s="176"/>
      <c r="CE15" s="176"/>
      <c r="CF15" s="176"/>
      <c r="CG15" s="195"/>
      <c r="CH15" s="176"/>
      <c r="CI15" s="176"/>
      <c r="CJ15" s="176"/>
      <c r="CK15" s="195"/>
      <c r="CL15" s="195"/>
      <c r="CM15" s="1114"/>
      <c r="CN15" s="176"/>
      <c r="CO15" s="226"/>
      <c r="DX15" s="360"/>
      <c r="DY15" s="457"/>
      <c r="DZ15" s="360"/>
      <c r="EA15" s="360"/>
      <c r="EB15" s="360"/>
      <c r="EC15" s="458"/>
      <c r="ED15" s="458"/>
      <c r="EE15" s="143"/>
      <c r="EF15" s="360"/>
      <c r="EG15" s="173"/>
      <c r="EH15" s="173"/>
      <c r="EI15" s="173"/>
      <c r="EJ15" s="143"/>
      <c r="EK15" s="173"/>
      <c r="EL15" s="143"/>
      <c r="EM15" s="143"/>
    </row>
    <row r="16" spans="1:143" ht="15" customHeight="1" x14ac:dyDescent="0.45">
      <c r="A16" s="1621"/>
      <c r="B16" s="1610"/>
      <c r="C16" s="140" t="s">
        <v>37</v>
      </c>
      <c r="D16" s="473" t="s">
        <v>44</v>
      </c>
      <c r="E16" s="295" t="s">
        <v>39</v>
      </c>
      <c r="F16" s="15" t="s">
        <v>40</v>
      </c>
      <c r="G16" s="89">
        <f t="shared" si="0"/>
        <v>122.57563947804883</v>
      </c>
      <c r="H16" s="459">
        <v>100.23</v>
      </c>
      <c r="I16" s="175">
        <f t="shared" si="1"/>
        <v>0.81769918090412619</v>
      </c>
      <c r="J16" s="625">
        <v>508</v>
      </c>
      <c r="K16" s="616">
        <v>829</v>
      </c>
      <c r="L16" s="460" t="s">
        <v>41</v>
      </c>
      <c r="M16" s="609" t="s">
        <v>41</v>
      </c>
      <c r="N16" s="609">
        <f t="shared" si="2"/>
        <v>508</v>
      </c>
      <c r="O16" s="609">
        <f t="shared" si="12"/>
        <v>829</v>
      </c>
      <c r="P16" s="162">
        <f t="shared" si="3"/>
        <v>199.62199999999999</v>
      </c>
      <c r="Q16" s="162">
        <f t="shared" si="13"/>
        <v>199.62199999999999</v>
      </c>
      <c r="R16" s="624"/>
      <c r="S16" s="615" t="s">
        <v>41</v>
      </c>
      <c r="T16" s="173">
        <f t="shared" si="14"/>
        <v>820.83385598141865</v>
      </c>
      <c r="U16" s="173">
        <f t="shared" si="4"/>
        <v>25.788000000000011</v>
      </c>
      <c r="V16" s="173">
        <f t="shared" si="5"/>
        <v>25.788000000000011</v>
      </c>
      <c r="W16" s="624"/>
      <c r="X16" s="461">
        <f t="shared" si="15"/>
        <v>543.78971420100629</v>
      </c>
      <c r="Y16" s="295">
        <f t="shared" si="16"/>
        <v>206000</v>
      </c>
      <c r="Z16" s="462">
        <f t="shared" si="6"/>
        <v>2.6397558941796424E-3</v>
      </c>
      <c r="AA16" s="463">
        <f t="shared" si="7"/>
        <v>829</v>
      </c>
      <c r="AB16" s="622"/>
      <c r="AC16" s="140">
        <v>120</v>
      </c>
      <c r="AD16" s="617">
        <v>40.049999999999997</v>
      </c>
      <c r="AE16" s="617">
        <v>3.02</v>
      </c>
      <c r="AF16" s="617">
        <f t="shared" si="17"/>
        <v>33.049999999999997</v>
      </c>
      <c r="AG16" s="24">
        <v>7</v>
      </c>
      <c r="AH16" s="213">
        <f t="shared" si="8"/>
        <v>3.98</v>
      </c>
      <c r="AI16" s="617">
        <v>225.41</v>
      </c>
      <c r="AJ16" s="171">
        <f t="shared" si="18"/>
        <v>25.788000000000011</v>
      </c>
      <c r="AK16" s="198">
        <f t="shared" si="9"/>
        <v>508</v>
      </c>
      <c r="AL16" s="1120">
        <v>206000</v>
      </c>
      <c r="AM16" s="164">
        <f t="shared" si="10"/>
        <v>2.4660194174757283E-3</v>
      </c>
      <c r="AN16" s="464">
        <f t="shared" si="11"/>
        <v>829</v>
      </c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76"/>
      <c r="BA16" s="195"/>
      <c r="BB16" s="1114"/>
      <c r="BC16" s="176"/>
      <c r="BD16" s="1114"/>
      <c r="BE16" s="195"/>
      <c r="BF16" s="195"/>
      <c r="BG16" s="176"/>
      <c r="BH16" s="176"/>
      <c r="BI16" s="176"/>
      <c r="BJ16" s="176"/>
      <c r="BK16" s="176"/>
      <c r="BL16" s="1115"/>
      <c r="BM16" s="226"/>
      <c r="BN16" s="176"/>
      <c r="BO16" s="195"/>
      <c r="BP16" s="176"/>
      <c r="BQ16" s="1114"/>
      <c r="BR16" s="195"/>
      <c r="BS16" s="195"/>
      <c r="BT16" s="1116"/>
      <c r="BU16" s="176"/>
      <c r="BV16" s="176"/>
      <c r="BW16" s="273"/>
      <c r="BX16" s="273"/>
      <c r="BY16" s="176"/>
      <c r="BZ16" s="176"/>
      <c r="CA16" s="273"/>
      <c r="CB16" s="273"/>
      <c r="CC16" s="176"/>
      <c r="CD16" s="176"/>
      <c r="CE16" s="176"/>
      <c r="CF16" s="176"/>
      <c r="CG16" s="195"/>
      <c r="CH16" s="176"/>
      <c r="CI16" s="176"/>
      <c r="CJ16" s="176"/>
      <c r="CK16" s="195"/>
      <c r="CL16" s="195"/>
      <c r="CM16" s="1114"/>
      <c r="CN16" s="176"/>
      <c r="CO16" s="226"/>
      <c r="DX16" s="360"/>
      <c r="DY16" s="457"/>
      <c r="DZ16" s="360"/>
      <c r="EA16" s="360"/>
      <c r="EB16" s="360"/>
      <c r="EC16" s="458"/>
      <c r="ED16" s="458"/>
      <c r="EE16" s="143"/>
      <c r="EF16" s="360"/>
      <c r="EG16" s="173"/>
      <c r="EH16" s="173"/>
      <c r="EI16" s="173"/>
      <c r="EJ16" s="143"/>
      <c r="EK16" s="173"/>
      <c r="EL16" s="143"/>
      <c r="EM16" s="143"/>
    </row>
    <row r="17" spans="1:143" ht="16.5" customHeight="1" x14ac:dyDescent="0.45">
      <c r="A17" s="1621"/>
      <c r="B17" s="1610"/>
      <c r="C17" s="140" t="s">
        <v>37</v>
      </c>
      <c r="D17" s="473" t="s">
        <v>45</v>
      </c>
      <c r="E17" s="295" t="s">
        <v>39</v>
      </c>
      <c r="F17" s="15" t="s">
        <v>40</v>
      </c>
      <c r="G17" s="89">
        <f t="shared" si="0"/>
        <v>152.70975542233236</v>
      </c>
      <c r="H17" s="459">
        <v>108.73</v>
      </c>
      <c r="I17" s="175">
        <f t="shared" si="1"/>
        <v>0.71200428354624468</v>
      </c>
      <c r="J17" s="625">
        <v>508</v>
      </c>
      <c r="K17" s="616">
        <v>829</v>
      </c>
      <c r="L17" s="460" t="s">
        <v>41</v>
      </c>
      <c r="M17" s="609" t="s">
        <v>41</v>
      </c>
      <c r="N17" s="609">
        <f t="shared" si="2"/>
        <v>508</v>
      </c>
      <c r="O17" s="609">
        <f t="shared" si="12"/>
        <v>829</v>
      </c>
      <c r="P17" s="162">
        <f t="shared" si="3"/>
        <v>265.18099999999998</v>
      </c>
      <c r="Q17" s="162">
        <f t="shared" si="13"/>
        <v>265.18099999999998</v>
      </c>
      <c r="R17" s="624"/>
      <c r="S17" s="615" t="s">
        <v>41</v>
      </c>
      <c r="T17" s="173">
        <f t="shared" si="14"/>
        <v>850.59820512937097</v>
      </c>
      <c r="U17" s="173">
        <f t="shared" si="4"/>
        <v>21.158999999999992</v>
      </c>
      <c r="V17" s="173">
        <f t="shared" si="5"/>
        <v>21.158999999999992</v>
      </c>
      <c r="W17" s="624"/>
      <c r="X17" s="461">
        <f t="shared" si="15"/>
        <v>533.31618154058935</v>
      </c>
      <c r="Y17" s="295">
        <f t="shared" si="16"/>
        <v>206000</v>
      </c>
      <c r="Z17" s="462">
        <f t="shared" si="6"/>
        <v>2.58891350262422E-3</v>
      </c>
      <c r="AA17" s="463">
        <f t="shared" si="7"/>
        <v>829</v>
      </c>
      <c r="AB17" s="622"/>
      <c r="AC17" s="140">
        <v>150</v>
      </c>
      <c r="AD17" s="617">
        <v>50.05</v>
      </c>
      <c r="AE17" s="617">
        <v>3.01</v>
      </c>
      <c r="AF17" s="617">
        <f t="shared" si="17"/>
        <v>44.05</v>
      </c>
      <c r="AG17" s="24">
        <v>6</v>
      </c>
      <c r="AH17" s="213">
        <f t="shared" si="8"/>
        <v>2.99</v>
      </c>
      <c r="AI17" s="617">
        <v>286.33999999999997</v>
      </c>
      <c r="AJ17" s="171">
        <f t="shared" si="18"/>
        <v>21.158999999999992</v>
      </c>
      <c r="AK17" s="198">
        <f t="shared" si="9"/>
        <v>508</v>
      </c>
      <c r="AL17" s="1120">
        <v>206000</v>
      </c>
      <c r="AM17" s="164">
        <f t="shared" si="10"/>
        <v>2.4660194174757283E-3</v>
      </c>
      <c r="AN17" s="464">
        <f t="shared" si="11"/>
        <v>829</v>
      </c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76"/>
      <c r="BA17" s="195"/>
      <c r="BB17" s="1114"/>
      <c r="BC17" s="176"/>
      <c r="BD17" s="1114"/>
      <c r="BE17" s="195"/>
      <c r="BF17" s="195"/>
      <c r="BG17" s="176"/>
      <c r="BH17" s="176"/>
      <c r="BI17" s="176"/>
      <c r="BJ17" s="176"/>
      <c r="BK17" s="176"/>
      <c r="BL17" s="1115"/>
      <c r="BM17" s="226"/>
      <c r="BN17" s="176"/>
      <c r="BO17" s="195"/>
      <c r="BP17" s="176"/>
      <c r="BQ17" s="1114"/>
      <c r="BR17" s="195"/>
      <c r="BS17" s="195"/>
      <c r="BT17" s="1116"/>
      <c r="BU17" s="176"/>
      <c r="BV17" s="176"/>
      <c r="BW17" s="273"/>
      <c r="BX17" s="273"/>
      <c r="BY17" s="176"/>
      <c r="BZ17" s="176"/>
      <c r="CA17" s="273"/>
      <c r="CB17" s="273"/>
      <c r="CC17" s="176"/>
      <c r="CD17" s="176"/>
      <c r="CE17" s="176"/>
      <c r="CF17" s="176"/>
      <c r="CG17" s="195"/>
      <c r="CH17" s="176"/>
      <c r="CI17" s="176"/>
      <c r="CJ17" s="176"/>
      <c r="CK17" s="195"/>
      <c r="CL17" s="195"/>
      <c r="CM17" s="1114"/>
      <c r="CN17" s="176"/>
      <c r="CO17" s="226"/>
      <c r="DX17" s="360"/>
      <c r="DY17" s="457"/>
      <c r="DZ17" s="360"/>
      <c r="EA17" s="360"/>
      <c r="EB17" s="360"/>
      <c r="EC17" s="458"/>
      <c r="ED17" s="458"/>
      <c r="EE17" s="143"/>
      <c r="EF17" s="360"/>
      <c r="EG17" s="173"/>
      <c r="EH17" s="173"/>
      <c r="EI17" s="173"/>
      <c r="EJ17" s="143"/>
      <c r="EK17" s="173"/>
      <c r="EL17" s="143"/>
      <c r="EM17" s="143"/>
    </row>
    <row r="18" spans="1:143" ht="16.5" customHeight="1" thickBot="1" x14ac:dyDescent="0.5">
      <c r="A18" s="1622"/>
      <c r="B18" s="1623"/>
      <c r="C18" s="474" t="s">
        <v>37</v>
      </c>
      <c r="D18" s="475" t="s">
        <v>46</v>
      </c>
      <c r="E18" s="123" t="s">
        <v>39</v>
      </c>
      <c r="F18" s="12" t="s">
        <v>40</v>
      </c>
      <c r="G18" s="109">
        <f t="shared" si="0"/>
        <v>184.34427875190474</v>
      </c>
      <c r="H18" s="476">
        <v>106.36</v>
      </c>
      <c r="I18" s="191">
        <f t="shared" si="1"/>
        <v>0.57696393248603073</v>
      </c>
      <c r="J18" s="628">
        <v>508</v>
      </c>
      <c r="K18" s="192">
        <v>829</v>
      </c>
      <c r="L18" s="477" t="s">
        <v>41</v>
      </c>
      <c r="M18" s="189" t="s">
        <v>41</v>
      </c>
      <c r="N18" s="189">
        <f>J18</f>
        <v>508</v>
      </c>
      <c r="O18" s="189">
        <f>K18</f>
        <v>829</v>
      </c>
      <c r="P18" s="186">
        <f>AI18-AJ18</f>
        <v>321.18</v>
      </c>
      <c r="Q18" s="186">
        <f t="shared" si="13"/>
        <v>321.18</v>
      </c>
      <c r="R18" s="233"/>
      <c r="S18" s="626" t="s">
        <v>41</v>
      </c>
      <c r="T18" s="190">
        <f t="shared" si="14"/>
        <v>821.43616719289219</v>
      </c>
      <c r="U18" s="190">
        <f t="shared" si="4"/>
        <v>25.79000000000002</v>
      </c>
      <c r="V18" s="190">
        <f t="shared" si="5"/>
        <v>25.79000000000002</v>
      </c>
      <c r="W18" s="233"/>
      <c r="X18" s="478">
        <f t="shared" si="15"/>
        <v>531.29745727845261</v>
      </c>
      <c r="Y18" s="123">
        <f t="shared" si="16"/>
        <v>206000</v>
      </c>
      <c r="Z18" s="479">
        <f t="shared" si="6"/>
        <v>2.5791138702837505E-3</v>
      </c>
      <c r="AA18" s="480">
        <f t="shared" si="7"/>
        <v>829</v>
      </c>
      <c r="AB18" s="185"/>
      <c r="AC18" s="474">
        <v>180</v>
      </c>
      <c r="AD18" s="23">
        <v>60</v>
      </c>
      <c r="AE18" s="23">
        <v>3.03</v>
      </c>
      <c r="AF18" s="23">
        <f t="shared" si="17"/>
        <v>53</v>
      </c>
      <c r="AG18" s="25">
        <v>7</v>
      </c>
      <c r="AH18" s="641">
        <f t="shared" si="8"/>
        <v>3.97</v>
      </c>
      <c r="AI18" s="23">
        <v>346.97</v>
      </c>
      <c r="AJ18" s="187">
        <f t="shared" si="18"/>
        <v>25.79000000000002</v>
      </c>
      <c r="AK18" s="481">
        <f t="shared" si="9"/>
        <v>508</v>
      </c>
      <c r="AL18" s="233">
        <v>206000</v>
      </c>
      <c r="AM18" s="188">
        <f t="shared" si="10"/>
        <v>2.4660194174757283E-3</v>
      </c>
      <c r="AN18" s="482">
        <f t="shared" si="11"/>
        <v>829</v>
      </c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76"/>
      <c r="BA18" s="195"/>
      <c r="BB18" s="1114"/>
      <c r="BC18" s="176"/>
      <c r="BD18" s="1114"/>
      <c r="BE18" s="195"/>
      <c r="BF18" s="195"/>
      <c r="BG18" s="176"/>
      <c r="BH18" s="176"/>
      <c r="BI18" s="176"/>
      <c r="BJ18" s="176"/>
      <c r="BK18" s="176"/>
      <c r="BL18" s="1115"/>
      <c r="BM18" s="226"/>
      <c r="BN18" s="176"/>
      <c r="BO18" s="195"/>
      <c r="BP18" s="176"/>
      <c r="BQ18" s="1114"/>
      <c r="BR18" s="195"/>
      <c r="BS18" s="195"/>
      <c r="BT18" s="1116"/>
      <c r="BU18" s="176"/>
      <c r="BV18" s="176"/>
      <c r="BW18" s="273"/>
      <c r="BX18" s="273"/>
      <c r="BY18" s="176"/>
      <c r="BZ18" s="176"/>
      <c r="CA18" s="273"/>
      <c r="CB18" s="273"/>
      <c r="CC18" s="176"/>
      <c r="CD18" s="176"/>
      <c r="CE18" s="176"/>
      <c r="CF18" s="176"/>
      <c r="CG18" s="195"/>
      <c r="CH18" s="176"/>
      <c r="CI18" s="176"/>
      <c r="CJ18" s="176"/>
      <c r="CK18" s="195"/>
      <c r="CL18" s="195"/>
      <c r="CM18" s="1114"/>
      <c r="CN18" s="176"/>
      <c r="CO18" s="226"/>
      <c r="DX18" s="360"/>
      <c r="DY18" s="457"/>
      <c r="DZ18" s="360"/>
      <c r="EA18" s="360"/>
      <c r="EB18" s="360"/>
      <c r="EC18" s="458"/>
      <c r="ED18" s="458"/>
      <c r="EE18" s="143"/>
      <c r="EF18" s="360"/>
      <c r="EG18" s="173"/>
      <c r="EH18" s="173"/>
      <c r="EI18" s="173"/>
      <c r="EJ18" s="143"/>
      <c r="EK18" s="173"/>
      <c r="EL18" s="143"/>
      <c r="EM18" s="143"/>
    </row>
    <row r="19" spans="1:143" ht="13.15" x14ac:dyDescent="0.45">
      <c r="X19" s="485"/>
      <c r="AA19" s="486"/>
      <c r="AK19" s="487"/>
      <c r="AL19" s="487"/>
      <c r="AM19" s="438"/>
      <c r="AN19" s="487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V19" s="488"/>
      <c r="BW19" s="487"/>
      <c r="CA19" s="489"/>
      <c r="CC19" s="490"/>
      <c r="CD19" s="176"/>
      <c r="CE19" s="491"/>
      <c r="CF19" s="492"/>
      <c r="CG19" s="493"/>
      <c r="CH19" s="492"/>
      <c r="CI19" s="493"/>
      <c r="CJ19" s="493"/>
      <c r="CK19" s="493"/>
      <c r="CL19" s="493"/>
    </row>
    <row r="20" spans="1:143" x14ac:dyDescent="0.45">
      <c r="CC20" s="494"/>
      <c r="CD20" s="493"/>
      <c r="CE20" s="495"/>
      <c r="CF20" s="595"/>
      <c r="CG20" s="493"/>
      <c r="CH20" s="491"/>
      <c r="CI20" s="493"/>
      <c r="CJ20" s="493"/>
      <c r="CK20" s="493"/>
      <c r="CL20" s="493"/>
    </row>
    <row r="21" spans="1:143" x14ac:dyDescent="0.45">
      <c r="CC21" s="496"/>
      <c r="CD21" s="497"/>
      <c r="CE21" s="495"/>
      <c r="CF21" s="595"/>
      <c r="CG21" s="497"/>
      <c r="CH21" s="491"/>
      <c r="CI21" s="497"/>
      <c r="CJ21" s="497"/>
      <c r="CK21" s="497"/>
      <c r="CL21" s="497"/>
    </row>
    <row r="22" spans="1:143" ht="13.15" thickBot="1" x14ac:dyDescent="0.5"/>
    <row r="23" spans="1:143" ht="15.75" customHeight="1" thickBot="1" x14ac:dyDescent="0.5">
      <c r="J23" s="1556" t="s">
        <v>141</v>
      </c>
      <c r="K23" s="1557"/>
      <c r="L23" s="1557"/>
      <c r="M23" s="1557"/>
      <c r="N23" s="1557"/>
      <c r="O23" s="1557"/>
      <c r="P23" s="1557"/>
      <c r="Q23" s="1557"/>
      <c r="R23" s="1557"/>
      <c r="S23" s="1557"/>
      <c r="T23" s="1557"/>
      <c r="U23" s="1557"/>
      <c r="V23" s="1557"/>
      <c r="W23" s="1557"/>
      <c r="X23" s="1557"/>
      <c r="Y23" s="1557"/>
      <c r="Z23" s="1557"/>
      <c r="AA23" s="1557"/>
      <c r="AB23" s="1558"/>
      <c r="AC23" s="1598" t="s">
        <v>0</v>
      </c>
      <c r="AD23" s="1599"/>
      <c r="AE23" s="1599"/>
      <c r="AF23" s="1599"/>
      <c r="AG23" s="1599"/>
      <c r="AH23" s="1599"/>
      <c r="AI23" s="1599"/>
      <c r="AJ23" s="1600"/>
      <c r="AK23" s="1594" t="s">
        <v>150</v>
      </c>
      <c r="AL23" s="1595"/>
      <c r="AM23" s="1595"/>
      <c r="AN23" s="1596"/>
      <c r="AO23" s="286"/>
      <c r="AP23" s="286"/>
      <c r="AQ23" s="286"/>
      <c r="AR23" s="286"/>
      <c r="AS23" s="286"/>
      <c r="AT23" s="286"/>
      <c r="AU23" s="286"/>
      <c r="AV23" s="286"/>
      <c r="AW23" s="286"/>
      <c r="AX23" s="286"/>
      <c r="AY23" s="286"/>
      <c r="AZ23" s="286"/>
      <c r="BA23" s="286"/>
      <c r="BB23" s="286"/>
      <c r="BC23" s="286"/>
      <c r="BD23" s="286"/>
      <c r="BE23" s="286"/>
      <c r="BF23" s="286"/>
      <c r="BG23" s="286"/>
      <c r="BH23" s="286"/>
      <c r="BI23" s="286"/>
      <c r="BJ23" s="286"/>
      <c r="BK23" s="286"/>
      <c r="BL23" s="286"/>
      <c r="BM23" s="286"/>
      <c r="BN23" s="286"/>
      <c r="BO23" s="286"/>
      <c r="BP23" s="286"/>
      <c r="BQ23" s="286"/>
      <c r="BR23" s="286"/>
      <c r="BS23" s="286"/>
      <c r="BT23" s="286"/>
      <c r="BU23" s="286"/>
      <c r="BV23" s="286"/>
      <c r="BW23" s="286"/>
      <c r="BX23" s="286"/>
      <c r="BY23" s="286"/>
      <c r="BZ23" s="286"/>
      <c r="CA23" s="286"/>
      <c r="CB23" s="286"/>
      <c r="CC23" s="286"/>
      <c r="CD23" s="286"/>
      <c r="CE23" s="286"/>
      <c r="CF23" s="286"/>
      <c r="CG23" s="286"/>
      <c r="CH23" s="286"/>
      <c r="CI23" s="286"/>
      <c r="CJ23" s="286"/>
      <c r="CK23" s="286"/>
      <c r="CL23" s="286"/>
      <c r="CM23" s="286"/>
      <c r="CN23" s="286"/>
      <c r="CO23" s="286"/>
      <c r="CP23" s="286"/>
      <c r="CQ23" s="286"/>
      <c r="CR23" s="286"/>
      <c r="CS23" s="286"/>
      <c r="CT23" s="286"/>
      <c r="CU23" s="286"/>
      <c r="CV23" s="286"/>
      <c r="CW23" s="1114"/>
      <c r="CX23" s="1116"/>
      <c r="CY23" s="1116"/>
      <c r="CZ23" s="1116"/>
      <c r="DA23" s="1116"/>
      <c r="DB23" s="1116"/>
      <c r="DC23" s="1116"/>
    </row>
    <row r="24" spans="1:143" ht="25.5" customHeight="1" x14ac:dyDescent="0.35">
      <c r="A24" s="1632" t="s">
        <v>2</v>
      </c>
      <c r="B24" s="1634" t="s">
        <v>3</v>
      </c>
      <c r="C24" s="1605" t="s">
        <v>4</v>
      </c>
      <c r="D24" s="30" t="s">
        <v>5</v>
      </c>
      <c r="E24" s="1605" t="s">
        <v>184</v>
      </c>
      <c r="F24" s="1607" t="s">
        <v>16</v>
      </c>
      <c r="G24" s="1607" t="s">
        <v>145</v>
      </c>
      <c r="H24" s="1603" t="s">
        <v>7</v>
      </c>
      <c r="I24" s="1585" t="s">
        <v>198</v>
      </c>
      <c r="J24" s="1587" t="s">
        <v>17</v>
      </c>
      <c r="K24" s="1588"/>
      <c r="L24" s="1592" t="s">
        <v>18</v>
      </c>
      <c r="M24" s="1593"/>
      <c r="N24" s="1593"/>
      <c r="O24" s="1593"/>
      <c r="P24" s="1593"/>
      <c r="Q24" s="1593"/>
      <c r="R24" s="1588"/>
      <c r="S24" s="1614" t="s">
        <v>19</v>
      </c>
      <c r="T24" s="1636"/>
      <c r="U24" s="1636"/>
      <c r="V24" s="1636"/>
      <c r="W24" s="1637"/>
      <c r="X24" s="1592" t="s">
        <v>50</v>
      </c>
      <c r="Y24" s="1593"/>
      <c r="Z24" s="1593"/>
      <c r="AA24" s="357" t="s">
        <v>196</v>
      </c>
      <c r="AB24" s="1639"/>
      <c r="AC24" s="37" t="s">
        <v>8</v>
      </c>
      <c r="AD24" s="30" t="s">
        <v>49</v>
      </c>
      <c r="AE24" s="31" t="s">
        <v>9</v>
      </c>
      <c r="AF24" s="31" t="s">
        <v>10</v>
      </c>
      <c r="AG24" s="372" t="s">
        <v>12</v>
      </c>
      <c r="AH24" s="26" t="s">
        <v>13</v>
      </c>
      <c r="AI24" s="351" t="s">
        <v>14</v>
      </c>
      <c r="AJ24" s="353" t="s">
        <v>15</v>
      </c>
      <c r="AK24" s="28" t="s">
        <v>178</v>
      </c>
      <c r="AL24" s="1126" t="s">
        <v>194</v>
      </c>
      <c r="AM24" s="290" t="s">
        <v>195</v>
      </c>
      <c r="AN24" s="291" t="s">
        <v>197</v>
      </c>
      <c r="AO24" s="1145"/>
      <c r="AP24" s="1114"/>
      <c r="AQ24" s="1116"/>
      <c r="AR24" s="1116"/>
      <c r="AS24" s="1116"/>
      <c r="AT24" s="1116"/>
      <c r="AU24" s="1116"/>
      <c r="AV24" s="1116"/>
      <c r="AW24" s="1116"/>
      <c r="AX24" s="1116"/>
      <c r="AY24" s="1116"/>
      <c r="AZ24" s="1114"/>
      <c r="BA24" s="1116"/>
      <c r="BB24" s="1116"/>
      <c r="BC24" s="1116"/>
      <c r="BD24" s="1116"/>
      <c r="BE24" s="1116"/>
      <c r="BF24" s="1116"/>
      <c r="BG24" s="1116"/>
      <c r="BH24" s="1116"/>
      <c r="BI24" s="1116"/>
      <c r="BJ24" s="1116"/>
      <c r="BK24" s="1116"/>
      <c r="BL24" s="1116"/>
      <c r="BM24" s="1116"/>
      <c r="BN24" s="1116"/>
      <c r="BO24" s="1116"/>
      <c r="BP24" s="1116"/>
      <c r="BQ24" s="1116"/>
      <c r="BR24" s="1116"/>
      <c r="BS24" s="1116"/>
      <c r="BT24" s="1116"/>
      <c r="BU24" s="1116"/>
      <c r="BV24" s="1116"/>
      <c r="BW24" s="1116"/>
      <c r="BX24" s="1120"/>
      <c r="BY24" s="1120"/>
      <c r="BZ24" s="287"/>
      <c r="CA24" s="287"/>
      <c r="CB24" s="325"/>
      <c r="CC24" s="325"/>
      <c r="CD24" s="1120"/>
      <c r="CE24" s="1120"/>
      <c r="CF24" s="1115"/>
      <c r="CG24" s="1144"/>
      <c r="CH24" s="1114"/>
      <c r="CI24" s="1145"/>
      <c r="CJ24" s="1115"/>
      <c r="CK24" s="1144"/>
      <c r="CL24" s="1114"/>
      <c r="CM24" s="1145"/>
      <c r="CN24" s="1114"/>
      <c r="CO24" s="1114"/>
      <c r="CP24" s="1114"/>
      <c r="CQ24" s="1114"/>
      <c r="CR24" s="1114"/>
      <c r="CS24" s="1114"/>
      <c r="CT24" s="1114"/>
      <c r="CU24" s="1114"/>
      <c r="CV24" s="1114"/>
      <c r="CW24" s="1114"/>
      <c r="CX24" s="1114"/>
      <c r="CY24" s="1114"/>
      <c r="CZ24" s="1114"/>
      <c r="DA24" s="1114"/>
      <c r="DB24" s="1114"/>
      <c r="DC24" s="1114"/>
    </row>
    <row r="25" spans="1:143" ht="16.5" customHeight="1" x14ac:dyDescent="0.45">
      <c r="A25" s="1633"/>
      <c r="B25" s="1635"/>
      <c r="C25" s="1606"/>
      <c r="D25" s="21"/>
      <c r="E25" s="1606"/>
      <c r="F25" s="1608"/>
      <c r="G25" s="1630"/>
      <c r="H25" s="1638"/>
      <c r="I25" s="1602"/>
      <c r="J25" s="77" t="s">
        <v>179</v>
      </c>
      <c r="K25" s="79" t="s">
        <v>185</v>
      </c>
      <c r="L25" s="73" t="s">
        <v>311</v>
      </c>
      <c r="M25" s="79" t="s">
        <v>351</v>
      </c>
      <c r="N25" s="79" t="s">
        <v>312</v>
      </c>
      <c r="O25" s="79" t="s">
        <v>352</v>
      </c>
      <c r="P25" s="79" t="s">
        <v>188</v>
      </c>
      <c r="Q25" s="79" t="s">
        <v>189</v>
      </c>
      <c r="R25" s="79" t="s">
        <v>190</v>
      </c>
      <c r="S25" s="73" t="s">
        <v>27</v>
      </c>
      <c r="T25" s="79" t="s">
        <v>353</v>
      </c>
      <c r="U25" s="79" t="s">
        <v>191</v>
      </c>
      <c r="V25" s="79" t="s">
        <v>192</v>
      </c>
      <c r="W25" s="80" t="s">
        <v>193</v>
      </c>
      <c r="X25" s="607" t="s">
        <v>314</v>
      </c>
      <c r="Y25" s="370" t="s">
        <v>142</v>
      </c>
      <c r="Z25" s="73" t="s">
        <v>180</v>
      </c>
      <c r="AA25" s="346" t="s">
        <v>23</v>
      </c>
      <c r="AB25" s="1547"/>
      <c r="AC25" s="38" t="s">
        <v>21</v>
      </c>
      <c r="AD25" s="32" t="s">
        <v>21</v>
      </c>
      <c r="AE25" s="33" t="s">
        <v>21</v>
      </c>
      <c r="AF25" s="33" t="s">
        <v>21</v>
      </c>
      <c r="AG25" s="371" t="s">
        <v>21</v>
      </c>
      <c r="AH25" s="27" t="s">
        <v>21</v>
      </c>
      <c r="AI25" s="362" t="s">
        <v>22</v>
      </c>
      <c r="AJ25" s="354" t="s">
        <v>22</v>
      </c>
      <c r="AK25" s="29" t="s">
        <v>181</v>
      </c>
      <c r="AL25" s="1127" t="s">
        <v>23</v>
      </c>
      <c r="AM25" s="1127" t="s">
        <v>24</v>
      </c>
      <c r="AN25" s="292" t="s">
        <v>23</v>
      </c>
      <c r="AO25" s="1145"/>
      <c r="AP25" s="1116"/>
      <c r="AQ25" s="1114"/>
      <c r="AR25" s="1114"/>
      <c r="AS25" s="1114"/>
      <c r="AT25" s="1114"/>
      <c r="AU25" s="1114"/>
      <c r="AV25" s="1114"/>
      <c r="AW25" s="1114"/>
      <c r="AX25" s="1114"/>
      <c r="AY25" s="1114"/>
      <c r="AZ25" s="1116"/>
      <c r="BA25" s="1114"/>
      <c r="BB25" s="1114"/>
      <c r="BC25" s="1114"/>
      <c r="BD25" s="1114"/>
      <c r="BE25" s="1114"/>
      <c r="BF25" s="1114"/>
      <c r="BG25" s="1116"/>
      <c r="BH25" s="1120"/>
      <c r="BI25" s="1120"/>
      <c r="BJ25" s="1114"/>
      <c r="BK25" s="1114"/>
      <c r="BL25" s="1114"/>
      <c r="BM25" s="1114"/>
      <c r="BN25" s="1114"/>
      <c r="BO25" s="1120"/>
      <c r="BP25" s="1120"/>
      <c r="BQ25" s="1114"/>
      <c r="BR25" s="1114"/>
      <c r="BS25" s="1114"/>
      <c r="BT25" s="1114"/>
      <c r="BU25" s="1114"/>
      <c r="BV25" s="1116"/>
      <c r="BW25" s="1116"/>
      <c r="BX25" s="1120"/>
      <c r="BY25" s="1120"/>
      <c r="BZ25" s="287"/>
      <c r="CA25" s="287"/>
      <c r="CB25" s="1114"/>
      <c r="CC25" s="1116"/>
      <c r="CD25" s="1116"/>
      <c r="CE25" s="1120"/>
      <c r="CF25" s="287"/>
      <c r="CG25" s="287"/>
      <c r="CH25" s="287"/>
      <c r="CI25" s="287"/>
      <c r="CJ25" s="287"/>
      <c r="CK25" s="287"/>
      <c r="CL25" s="287"/>
      <c r="CM25" s="287"/>
      <c r="CN25" s="1116"/>
      <c r="CO25" s="1116"/>
      <c r="CP25" s="1116"/>
      <c r="CQ25" s="1116"/>
      <c r="CR25" s="1116"/>
      <c r="CS25" s="1114"/>
      <c r="CT25" s="1154"/>
      <c r="CU25" s="1154"/>
      <c r="CV25" s="1114"/>
      <c r="CW25" s="1114"/>
      <c r="CX25" s="1114"/>
      <c r="CY25" s="1114"/>
      <c r="CZ25" s="1114"/>
      <c r="DA25" s="1114"/>
      <c r="DB25" s="1114"/>
      <c r="DC25" s="1114"/>
    </row>
    <row r="26" spans="1:143" ht="16.5" customHeight="1" x14ac:dyDescent="0.35">
      <c r="A26" s="1640" t="s">
        <v>201</v>
      </c>
      <c r="B26" s="1627">
        <v>1.4300999999999999</v>
      </c>
      <c r="C26" s="121" t="s">
        <v>37</v>
      </c>
      <c r="D26" s="130" t="s">
        <v>51</v>
      </c>
      <c r="E26" s="121" t="s">
        <v>39</v>
      </c>
      <c r="F26" s="16" t="s">
        <v>40</v>
      </c>
      <c r="G26" s="108">
        <f>AI26*X26*0.001</f>
        <v>80.444386711503668</v>
      </c>
      <c r="H26" s="104">
        <v>106.04</v>
      </c>
      <c r="I26" s="168">
        <f>H26/G26</f>
        <v>1.318177741602897</v>
      </c>
      <c r="J26" s="375">
        <v>279</v>
      </c>
      <c r="K26" s="170">
        <v>641</v>
      </c>
      <c r="L26" s="348" t="s">
        <v>41</v>
      </c>
      <c r="M26" s="165" t="s">
        <v>41</v>
      </c>
      <c r="N26" s="498">
        <f>J26</f>
        <v>279</v>
      </c>
      <c r="O26" s="159">
        <f>K26</f>
        <v>641</v>
      </c>
      <c r="P26" s="169">
        <f>AI26-AJ26</f>
        <v>206.55106406077485</v>
      </c>
      <c r="Q26" s="169">
        <f>P26</f>
        <v>206.55106406077485</v>
      </c>
      <c r="R26" s="42"/>
      <c r="S26" s="359" t="s">
        <v>41</v>
      </c>
      <c r="T26" s="162">
        <f>(1.673*J26)/((AH26/AF26)^0.126)</f>
        <v>447.83349088515814</v>
      </c>
      <c r="U26" s="162">
        <f>AJ26</f>
        <v>50.948935939225144</v>
      </c>
      <c r="V26" s="162">
        <f>U26</f>
        <v>50.948935939225144</v>
      </c>
      <c r="W26" s="42"/>
      <c r="X26" s="450">
        <f>((N26*Q26)+(T26*V26))/(Q26+V26)</f>
        <v>312.4053852873929</v>
      </c>
      <c r="Y26" s="364">
        <f>AL26</f>
        <v>203000</v>
      </c>
      <c r="Z26" s="164">
        <f>X26/Y26</f>
        <v>1.5389427846669601E-3</v>
      </c>
      <c r="AA26" s="499">
        <f>K26</f>
        <v>641</v>
      </c>
      <c r="AB26" s="161"/>
      <c r="AC26" s="39">
        <v>150</v>
      </c>
      <c r="AD26" s="642">
        <v>49.75</v>
      </c>
      <c r="AE26" s="643">
        <v>24.83</v>
      </c>
      <c r="AF26" s="643">
        <v>2.93</v>
      </c>
      <c r="AG26" s="35">
        <v>7</v>
      </c>
      <c r="AH26" s="173">
        <f>AG26-AF26</f>
        <v>4.07</v>
      </c>
      <c r="AI26" s="24">
        <v>257.5</v>
      </c>
      <c r="AJ26" s="163">
        <f>2*0.25*PI()*(AG26^2-AH26^2)</f>
        <v>50.948935939225144</v>
      </c>
      <c r="AK26" s="62">
        <f>J26</f>
        <v>279</v>
      </c>
      <c r="AL26" s="43">
        <v>203000</v>
      </c>
      <c r="AM26" s="164">
        <f>AK26/AL26</f>
        <v>1.374384236453202E-3</v>
      </c>
      <c r="AN26" s="1128">
        <f>K26</f>
        <v>641</v>
      </c>
      <c r="AO26" s="1114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76"/>
      <c r="BB26" s="176"/>
      <c r="BC26" s="1114"/>
      <c r="BD26" s="1114"/>
      <c r="BE26" s="195"/>
      <c r="BF26" s="1114"/>
      <c r="BG26" s="1114"/>
      <c r="BH26" s="176"/>
      <c r="BI26" s="1114"/>
      <c r="BJ26" s="176"/>
      <c r="BK26" s="195"/>
      <c r="BL26" s="195"/>
      <c r="BM26" s="176"/>
      <c r="BN26" s="195"/>
      <c r="BO26" s="176"/>
      <c r="BP26" s="1114"/>
      <c r="BQ26" s="195"/>
      <c r="BR26" s="176"/>
      <c r="BS26" s="176"/>
      <c r="BT26" s="273"/>
      <c r="BU26" s="176"/>
      <c r="BV26" s="176"/>
      <c r="BW26" s="176"/>
      <c r="BX26" s="1115"/>
      <c r="BY26" s="226"/>
      <c r="BZ26" s="195"/>
      <c r="CA26" s="195"/>
      <c r="CB26" s="151"/>
      <c r="CC26" s="195"/>
      <c r="CD26" s="195"/>
      <c r="CE26" s="195"/>
      <c r="CF26" s="273"/>
      <c r="CG26" s="195"/>
      <c r="CH26" s="273"/>
      <c r="CI26" s="176"/>
      <c r="CJ26" s="273"/>
      <c r="CK26" s="195"/>
      <c r="CL26" s="273"/>
      <c r="CM26" s="176"/>
      <c r="CN26" s="176"/>
      <c r="CO26" s="176"/>
      <c r="CP26" s="176"/>
      <c r="CQ26" s="176"/>
      <c r="CR26" s="195"/>
      <c r="CS26" s="195"/>
      <c r="CT26" s="195"/>
      <c r="CU26" s="176"/>
      <c r="CV26" s="195"/>
      <c r="CW26" s="195"/>
      <c r="CX26" s="195"/>
      <c r="CY26" s="195"/>
      <c r="CZ26" s="195"/>
      <c r="DA26" s="273"/>
      <c r="DB26" s="1116"/>
      <c r="DC26" s="195"/>
    </row>
    <row r="27" spans="1:143" ht="15.75" customHeight="1" x14ac:dyDescent="0.35">
      <c r="A27" s="1641"/>
      <c r="B27" s="1628"/>
      <c r="C27" s="295" t="s">
        <v>37</v>
      </c>
      <c r="D27" s="130" t="s">
        <v>52</v>
      </c>
      <c r="E27" s="295" t="s">
        <v>39</v>
      </c>
      <c r="F27" s="15" t="s">
        <v>40</v>
      </c>
      <c r="G27" s="89">
        <f t="shared" ref="G27:G36" si="19">AI27*X27*0.001</f>
        <v>128.87939763752888</v>
      </c>
      <c r="H27" s="105">
        <v>134.18</v>
      </c>
      <c r="I27" s="175">
        <f t="shared" ref="I27:I36" si="20">H27/G27</f>
        <v>1.0411283918115366</v>
      </c>
      <c r="J27" s="363">
        <v>279</v>
      </c>
      <c r="K27" s="361">
        <v>641</v>
      </c>
      <c r="L27" s="359" t="s">
        <v>41</v>
      </c>
      <c r="M27" s="173" t="s">
        <v>41</v>
      </c>
      <c r="N27" s="501">
        <f t="shared" ref="N27:N36" si="21">J27</f>
        <v>279</v>
      </c>
      <c r="O27" s="360">
        <f t="shared" ref="O27:O36" si="22">K27</f>
        <v>641</v>
      </c>
      <c r="P27" s="162">
        <f t="shared" ref="P27:P36" si="23">AI27-AJ27</f>
        <v>380.41908396140866</v>
      </c>
      <c r="Q27" s="162">
        <f t="shared" ref="Q27:Q36" si="24">P27</f>
        <v>380.41908396140866</v>
      </c>
      <c r="R27" s="43"/>
      <c r="S27" s="359" t="s">
        <v>41</v>
      </c>
      <c r="T27" s="162">
        <f t="shared" ref="T27:T36" si="25">(1.673*J27)/((AH27/AF27)^0.126)</f>
        <v>447.50222910240649</v>
      </c>
      <c r="U27" s="162">
        <f t="shared" ref="U27:U36" si="26">AJ27</f>
        <v>50.820916038591363</v>
      </c>
      <c r="V27" s="162">
        <f t="shared" ref="V27:V36" si="27">U27</f>
        <v>50.820916038591363</v>
      </c>
      <c r="W27" s="43"/>
      <c r="X27" s="461">
        <f>((N27*Q27)+(T27*V27))/(Q27+V27)</f>
        <v>298.85770716429107</v>
      </c>
      <c r="Y27" s="365">
        <f>AL27</f>
        <v>203000</v>
      </c>
      <c r="Z27" s="164">
        <f t="shared" ref="Z27:Z36" si="28">X27/Y27</f>
        <v>1.4722054540112861E-3</v>
      </c>
      <c r="AA27" s="499">
        <f t="shared" ref="AA27:AA36" si="29">K27</f>
        <v>641</v>
      </c>
      <c r="AB27" s="369"/>
      <c r="AC27" s="39">
        <v>240</v>
      </c>
      <c r="AD27" s="642">
        <v>80.3</v>
      </c>
      <c r="AE27" s="643">
        <v>39.58</v>
      </c>
      <c r="AF27" s="643">
        <v>2.92</v>
      </c>
      <c r="AG27" s="35">
        <v>7</v>
      </c>
      <c r="AH27" s="173">
        <f t="shared" ref="AH27:AH36" si="30">AG27-AF27</f>
        <v>4.08</v>
      </c>
      <c r="AI27" s="24">
        <v>431.24</v>
      </c>
      <c r="AJ27" s="171">
        <f t="shared" ref="AJ27:AJ36" si="31">2*0.25*PI()*(AG27^2-AH27^2)</f>
        <v>50.820916038591363</v>
      </c>
      <c r="AK27" s="62">
        <f t="shared" ref="AK27:AK36" si="32">J27</f>
        <v>279</v>
      </c>
      <c r="AL27" s="43">
        <v>203000</v>
      </c>
      <c r="AM27" s="164">
        <f t="shared" ref="AM27:AM36" si="33">AK27/AL27</f>
        <v>1.374384236453202E-3</v>
      </c>
      <c r="AN27" s="1128">
        <f t="shared" ref="AN27:AN36" si="34">K27</f>
        <v>641</v>
      </c>
      <c r="AO27" s="1114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76"/>
      <c r="BB27" s="176"/>
      <c r="BC27" s="1114"/>
      <c r="BD27" s="1114"/>
      <c r="BE27" s="195"/>
      <c r="BF27" s="1114"/>
      <c r="BG27" s="1114"/>
      <c r="BH27" s="176"/>
      <c r="BI27" s="1114"/>
      <c r="BJ27" s="176"/>
      <c r="BK27" s="195"/>
      <c r="BL27" s="195"/>
      <c r="BM27" s="176"/>
      <c r="BN27" s="195"/>
      <c r="BO27" s="176"/>
      <c r="BP27" s="1114"/>
      <c r="BQ27" s="195"/>
      <c r="BR27" s="176"/>
      <c r="BS27" s="176"/>
      <c r="BT27" s="273"/>
      <c r="BU27" s="176"/>
      <c r="BV27" s="176"/>
      <c r="BW27" s="176"/>
      <c r="BX27" s="1115"/>
      <c r="BY27" s="226"/>
      <c r="BZ27" s="195"/>
      <c r="CA27" s="195"/>
      <c r="CB27" s="151"/>
      <c r="CC27" s="195"/>
      <c r="CD27" s="195"/>
      <c r="CE27" s="195"/>
      <c r="CF27" s="273"/>
      <c r="CG27" s="195"/>
      <c r="CH27" s="273"/>
      <c r="CI27" s="176"/>
      <c r="CJ27" s="273"/>
      <c r="CK27" s="195"/>
      <c r="CL27" s="273"/>
      <c r="CM27" s="176"/>
      <c r="CN27" s="176"/>
      <c r="CO27" s="176"/>
      <c r="CP27" s="176"/>
      <c r="CQ27" s="176"/>
      <c r="CR27" s="195"/>
      <c r="CS27" s="195"/>
      <c r="CT27" s="195"/>
      <c r="CU27" s="176"/>
      <c r="CV27" s="195"/>
      <c r="CW27" s="195"/>
      <c r="CX27" s="195"/>
      <c r="CY27" s="195"/>
      <c r="CZ27" s="195"/>
      <c r="DA27" s="273"/>
      <c r="DB27" s="1116"/>
      <c r="DC27" s="195"/>
    </row>
    <row r="28" spans="1:143" ht="15.75" customHeight="1" x14ac:dyDescent="0.35">
      <c r="A28" s="1641"/>
      <c r="B28" s="1628"/>
      <c r="C28" s="295" t="s">
        <v>37</v>
      </c>
      <c r="D28" s="130" t="s">
        <v>53</v>
      </c>
      <c r="E28" s="295" t="s">
        <v>39</v>
      </c>
      <c r="F28" s="15" t="s">
        <v>40</v>
      </c>
      <c r="G28" s="89">
        <f t="shared" si="19"/>
        <v>162.69724383751355</v>
      </c>
      <c r="H28" s="105">
        <v>146.22999999999999</v>
      </c>
      <c r="I28" s="175">
        <f t="shared" si="20"/>
        <v>0.8987859692696486</v>
      </c>
      <c r="J28" s="363">
        <v>279</v>
      </c>
      <c r="K28" s="361">
        <v>641</v>
      </c>
      <c r="L28" s="359" t="s">
        <v>41</v>
      </c>
      <c r="M28" s="173" t="s">
        <v>41</v>
      </c>
      <c r="N28" s="501">
        <f t="shared" si="21"/>
        <v>279</v>
      </c>
      <c r="O28" s="360">
        <f t="shared" si="22"/>
        <v>641</v>
      </c>
      <c r="P28" s="162">
        <f t="shared" si="23"/>
        <v>513.71593053579295</v>
      </c>
      <c r="Q28" s="162">
        <f t="shared" si="24"/>
        <v>513.71593053579295</v>
      </c>
      <c r="R28" s="43"/>
      <c r="S28" s="359" t="s">
        <v>41</v>
      </c>
      <c r="T28" s="162">
        <f t="shared" si="25"/>
        <v>464.02996800866055</v>
      </c>
      <c r="U28" s="162">
        <f t="shared" si="26"/>
        <v>41.744069464207051</v>
      </c>
      <c r="V28" s="162">
        <f t="shared" si="27"/>
        <v>41.744069464207051</v>
      </c>
      <c r="W28" s="43"/>
      <c r="X28" s="461">
        <f t="shared" ref="X28:X36" si="35">((N28*Q28)+(T28*V28))/(Q28+V28)</f>
        <v>292.90541863953035</v>
      </c>
      <c r="Y28" s="365">
        <f t="shared" ref="Y28:Y36" si="36">AL28</f>
        <v>203000</v>
      </c>
      <c r="Z28" s="164">
        <f t="shared" si="28"/>
        <v>1.4428838356627112E-3</v>
      </c>
      <c r="AA28" s="499">
        <f t="shared" si="29"/>
        <v>641</v>
      </c>
      <c r="AB28" s="369"/>
      <c r="AC28" s="39">
        <v>300</v>
      </c>
      <c r="AD28" s="642">
        <v>100.45</v>
      </c>
      <c r="AE28" s="643">
        <v>49.98</v>
      </c>
      <c r="AF28" s="643">
        <v>2.93</v>
      </c>
      <c r="AG28" s="35">
        <v>6</v>
      </c>
      <c r="AH28" s="173">
        <f t="shared" si="30"/>
        <v>3.07</v>
      </c>
      <c r="AI28" s="24">
        <v>555.46</v>
      </c>
      <c r="AJ28" s="171">
        <f t="shared" si="31"/>
        <v>41.744069464207051</v>
      </c>
      <c r="AK28" s="62">
        <f t="shared" si="32"/>
        <v>279</v>
      </c>
      <c r="AL28" s="43">
        <v>203000</v>
      </c>
      <c r="AM28" s="164">
        <f t="shared" si="33"/>
        <v>1.374384236453202E-3</v>
      </c>
      <c r="AN28" s="1128">
        <f t="shared" si="34"/>
        <v>641</v>
      </c>
      <c r="AO28" s="1114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76"/>
      <c r="BB28" s="176"/>
      <c r="BC28" s="1114"/>
      <c r="BD28" s="1114"/>
      <c r="BE28" s="195"/>
      <c r="BF28" s="1114"/>
      <c r="BG28" s="1114"/>
      <c r="BH28" s="176"/>
      <c r="BI28" s="1114"/>
      <c r="BJ28" s="176"/>
      <c r="BK28" s="195"/>
      <c r="BL28" s="195"/>
      <c r="BM28" s="176"/>
      <c r="BN28" s="195"/>
      <c r="BO28" s="176"/>
      <c r="BP28" s="1114"/>
      <c r="BQ28" s="195"/>
      <c r="BR28" s="176"/>
      <c r="BS28" s="176"/>
      <c r="BT28" s="273"/>
      <c r="BU28" s="176"/>
      <c r="BV28" s="176"/>
      <c r="BW28" s="176"/>
      <c r="BX28" s="1115"/>
      <c r="BY28" s="226"/>
      <c r="BZ28" s="195"/>
      <c r="CA28" s="195"/>
      <c r="CB28" s="151"/>
      <c r="CC28" s="195"/>
      <c r="CD28" s="195"/>
      <c r="CE28" s="195"/>
      <c r="CF28" s="273"/>
      <c r="CG28" s="195"/>
      <c r="CH28" s="273"/>
      <c r="CI28" s="176"/>
      <c r="CJ28" s="273"/>
      <c r="CK28" s="195"/>
      <c r="CL28" s="273"/>
      <c r="CM28" s="176"/>
      <c r="CN28" s="176"/>
      <c r="CO28" s="176"/>
      <c r="CP28" s="176"/>
      <c r="CQ28" s="176"/>
      <c r="CR28" s="195"/>
      <c r="CS28" s="195"/>
      <c r="CT28" s="195"/>
      <c r="CU28" s="176"/>
      <c r="CV28" s="195"/>
      <c r="CW28" s="195"/>
      <c r="CX28" s="195"/>
      <c r="CY28" s="195"/>
      <c r="CZ28" s="195"/>
      <c r="DA28" s="273"/>
      <c r="DB28" s="1116"/>
      <c r="DC28" s="195"/>
    </row>
    <row r="29" spans="1:143" ht="16.5" customHeight="1" x14ac:dyDescent="0.35">
      <c r="A29" s="1641"/>
      <c r="B29" s="1628"/>
      <c r="C29" s="295" t="s">
        <v>37</v>
      </c>
      <c r="D29" s="130" t="s">
        <v>53</v>
      </c>
      <c r="E29" s="295" t="s">
        <v>39</v>
      </c>
      <c r="F29" s="15" t="s">
        <v>40</v>
      </c>
      <c r="G29" s="89">
        <f t="shared" si="19"/>
        <v>162.6135438375135</v>
      </c>
      <c r="H29" s="105">
        <v>140.43</v>
      </c>
      <c r="I29" s="175">
        <f t="shared" si="20"/>
        <v>0.86358120416046213</v>
      </c>
      <c r="J29" s="363">
        <v>279</v>
      </c>
      <c r="K29" s="361">
        <v>641</v>
      </c>
      <c r="L29" s="359" t="s">
        <v>41</v>
      </c>
      <c r="M29" s="173" t="s">
        <v>41</v>
      </c>
      <c r="N29" s="501">
        <f t="shared" si="21"/>
        <v>279</v>
      </c>
      <c r="O29" s="360">
        <f t="shared" si="22"/>
        <v>641</v>
      </c>
      <c r="P29" s="162">
        <f t="shared" si="23"/>
        <v>513.41593053579288</v>
      </c>
      <c r="Q29" s="162">
        <f t="shared" si="24"/>
        <v>513.41593053579288</v>
      </c>
      <c r="R29" s="43"/>
      <c r="S29" s="359" t="s">
        <v>41</v>
      </c>
      <c r="T29" s="162">
        <f t="shared" si="25"/>
        <v>464.02996800866055</v>
      </c>
      <c r="U29" s="162">
        <f t="shared" si="26"/>
        <v>41.744069464207051</v>
      </c>
      <c r="V29" s="162">
        <f t="shared" si="27"/>
        <v>41.744069464207051</v>
      </c>
      <c r="W29" s="43"/>
      <c r="X29" s="461">
        <f t="shared" si="35"/>
        <v>292.91293291576034</v>
      </c>
      <c r="Y29" s="365">
        <f t="shared" si="36"/>
        <v>203000</v>
      </c>
      <c r="Z29" s="164">
        <f t="shared" si="28"/>
        <v>1.442920851801775E-3</v>
      </c>
      <c r="AA29" s="499">
        <f t="shared" si="29"/>
        <v>641</v>
      </c>
      <c r="AB29" s="369"/>
      <c r="AC29" s="39">
        <v>300</v>
      </c>
      <c r="AD29" s="642">
        <v>101.1</v>
      </c>
      <c r="AE29" s="643">
        <v>49.6</v>
      </c>
      <c r="AF29" s="643">
        <v>2.93</v>
      </c>
      <c r="AG29" s="35">
        <v>6</v>
      </c>
      <c r="AH29" s="173">
        <f t="shared" si="30"/>
        <v>3.07</v>
      </c>
      <c r="AI29" s="24">
        <v>555.16</v>
      </c>
      <c r="AJ29" s="171">
        <f t="shared" si="31"/>
        <v>41.744069464207051</v>
      </c>
      <c r="AK29" s="62">
        <f t="shared" si="32"/>
        <v>279</v>
      </c>
      <c r="AL29" s="43">
        <v>203000</v>
      </c>
      <c r="AM29" s="164">
        <f t="shared" si="33"/>
        <v>1.374384236453202E-3</v>
      </c>
      <c r="AN29" s="1128">
        <f t="shared" si="34"/>
        <v>641</v>
      </c>
      <c r="AO29" s="1114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76"/>
      <c r="BB29" s="176"/>
      <c r="BC29" s="1114"/>
      <c r="BD29" s="1114"/>
      <c r="BE29" s="195"/>
      <c r="BF29" s="1114"/>
      <c r="BG29" s="1114"/>
      <c r="BH29" s="176"/>
      <c r="BI29" s="1114"/>
      <c r="BJ29" s="176"/>
      <c r="BK29" s="195"/>
      <c r="BL29" s="195"/>
      <c r="BM29" s="176"/>
      <c r="BN29" s="195"/>
      <c r="BO29" s="176"/>
      <c r="BP29" s="1114"/>
      <c r="BQ29" s="195"/>
      <c r="BR29" s="176"/>
      <c r="BS29" s="176"/>
      <c r="BT29" s="273"/>
      <c r="BU29" s="176"/>
      <c r="BV29" s="176"/>
      <c r="BW29" s="176"/>
      <c r="BX29" s="1115"/>
      <c r="BY29" s="226"/>
      <c r="BZ29" s="195"/>
      <c r="CA29" s="195"/>
      <c r="CB29" s="151"/>
      <c r="CC29" s="195"/>
      <c r="CD29" s="195"/>
      <c r="CE29" s="195"/>
      <c r="CF29" s="273"/>
      <c r="CG29" s="195"/>
      <c r="CH29" s="273"/>
      <c r="CI29" s="176"/>
      <c r="CJ29" s="273"/>
      <c r="CK29" s="195"/>
      <c r="CL29" s="273"/>
      <c r="CM29" s="176"/>
      <c r="CN29" s="176"/>
      <c r="CO29" s="176"/>
      <c r="CP29" s="176"/>
      <c r="CQ29" s="176"/>
      <c r="CR29" s="195"/>
      <c r="CS29" s="195"/>
      <c r="CT29" s="195"/>
      <c r="CU29" s="176"/>
      <c r="CV29" s="195"/>
      <c r="CW29" s="195"/>
      <c r="CX29" s="195"/>
      <c r="CY29" s="195"/>
      <c r="CZ29" s="195"/>
      <c r="DA29" s="273"/>
      <c r="DB29" s="1116"/>
      <c r="DC29" s="195"/>
    </row>
    <row r="30" spans="1:143" ht="15.75" customHeight="1" x14ac:dyDescent="0.35">
      <c r="A30" s="1641"/>
      <c r="B30" s="1628"/>
      <c r="C30" s="295" t="s">
        <v>37</v>
      </c>
      <c r="D30" s="130" t="s">
        <v>54</v>
      </c>
      <c r="E30" s="295" t="s">
        <v>39</v>
      </c>
      <c r="F30" s="15" t="s">
        <v>40</v>
      </c>
      <c r="G30" s="89">
        <f>AI30*X30*0.001</f>
        <v>202.61314230004788</v>
      </c>
      <c r="H30" s="105">
        <v>156</v>
      </c>
      <c r="I30" s="175">
        <f t="shared" si="20"/>
        <v>0.76994018368749784</v>
      </c>
      <c r="J30" s="363">
        <v>279</v>
      </c>
      <c r="K30" s="361">
        <v>641</v>
      </c>
      <c r="L30" s="359" t="s">
        <v>41</v>
      </c>
      <c r="M30" s="173" t="s">
        <v>41</v>
      </c>
      <c r="N30" s="501">
        <f t="shared" si="21"/>
        <v>279</v>
      </c>
      <c r="O30" s="360">
        <f t="shared" si="22"/>
        <v>641</v>
      </c>
      <c r="P30" s="162">
        <f t="shared" si="23"/>
        <v>657.00253450989078</v>
      </c>
      <c r="Q30" s="162">
        <f t="shared" si="24"/>
        <v>657.00253450989078</v>
      </c>
      <c r="R30" s="43"/>
      <c r="S30" s="359" t="s">
        <v>41</v>
      </c>
      <c r="T30" s="162">
        <f t="shared" si="25"/>
        <v>463.64010257416777</v>
      </c>
      <c r="U30" s="162">
        <f t="shared" si="26"/>
        <v>41.64746549010917</v>
      </c>
      <c r="V30" s="162">
        <f t="shared" si="27"/>
        <v>41.64746549010917</v>
      </c>
      <c r="W30" s="43"/>
      <c r="X30" s="461">
        <f t="shared" si="35"/>
        <v>290.0066446719357</v>
      </c>
      <c r="Y30" s="365">
        <f t="shared" si="36"/>
        <v>203000</v>
      </c>
      <c r="Z30" s="164">
        <f t="shared" si="28"/>
        <v>1.4286041609454961E-3</v>
      </c>
      <c r="AA30" s="499">
        <f t="shared" si="29"/>
        <v>641</v>
      </c>
      <c r="AB30" s="369"/>
      <c r="AC30" s="39">
        <v>450</v>
      </c>
      <c r="AD30" s="642">
        <v>150.4</v>
      </c>
      <c r="AE30" s="643">
        <v>49.68</v>
      </c>
      <c r="AF30" s="643">
        <v>2.92</v>
      </c>
      <c r="AG30" s="35">
        <v>6</v>
      </c>
      <c r="AH30" s="173">
        <f t="shared" si="30"/>
        <v>3.08</v>
      </c>
      <c r="AI30" s="24">
        <v>698.65</v>
      </c>
      <c r="AJ30" s="171">
        <f t="shared" si="31"/>
        <v>41.64746549010917</v>
      </c>
      <c r="AK30" s="62">
        <f t="shared" si="32"/>
        <v>279</v>
      </c>
      <c r="AL30" s="43">
        <v>203000</v>
      </c>
      <c r="AM30" s="164">
        <f t="shared" si="33"/>
        <v>1.374384236453202E-3</v>
      </c>
      <c r="AN30" s="1128">
        <f t="shared" si="34"/>
        <v>641</v>
      </c>
      <c r="AO30" s="1114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76"/>
      <c r="BB30" s="176"/>
      <c r="BC30" s="1114"/>
      <c r="BD30" s="1114"/>
      <c r="BE30" s="195"/>
      <c r="BF30" s="1114"/>
      <c r="BG30" s="1114"/>
      <c r="BH30" s="176"/>
      <c r="BI30" s="1114"/>
      <c r="BJ30" s="176"/>
      <c r="BK30" s="195"/>
      <c r="BL30" s="195"/>
      <c r="BM30" s="176"/>
      <c r="BN30" s="195"/>
      <c r="BO30" s="176"/>
      <c r="BP30" s="1114"/>
      <c r="BQ30" s="195"/>
      <c r="BR30" s="176"/>
      <c r="BS30" s="176"/>
      <c r="BT30" s="273"/>
      <c r="BU30" s="176"/>
      <c r="BV30" s="176"/>
      <c r="BW30" s="176"/>
      <c r="BX30" s="1115"/>
      <c r="BY30" s="226"/>
      <c r="BZ30" s="195"/>
      <c r="CA30" s="195"/>
      <c r="CB30" s="151"/>
      <c r="CC30" s="195"/>
      <c r="CD30" s="195"/>
      <c r="CE30" s="195"/>
      <c r="CF30" s="273"/>
      <c r="CG30" s="195"/>
      <c r="CH30" s="273"/>
      <c r="CI30" s="176"/>
      <c r="CJ30" s="273"/>
      <c r="CK30" s="195"/>
      <c r="CL30" s="273"/>
      <c r="CM30" s="176"/>
      <c r="CN30" s="176"/>
      <c r="CO30" s="176"/>
      <c r="CP30" s="176"/>
      <c r="CQ30" s="176"/>
      <c r="CR30" s="195"/>
      <c r="CS30" s="195"/>
      <c r="CT30" s="195"/>
      <c r="CU30" s="176"/>
      <c r="CV30" s="195"/>
      <c r="CW30" s="195"/>
      <c r="CX30" s="195"/>
      <c r="CY30" s="195"/>
      <c r="CZ30" s="195"/>
      <c r="DA30" s="273"/>
      <c r="DB30" s="1116"/>
      <c r="DC30" s="195"/>
    </row>
    <row r="31" spans="1:143" ht="15.75" customHeight="1" x14ac:dyDescent="0.35">
      <c r="A31" s="1643"/>
      <c r="B31" s="1644"/>
      <c r="C31" s="357" t="s">
        <v>37</v>
      </c>
      <c r="D31" s="131" t="s">
        <v>55</v>
      </c>
      <c r="E31" s="357" t="s">
        <v>39</v>
      </c>
      <c r="F31" s="122" t="s">
        <v>40</v>
      </c>
      <c r="G31" s="89">
        <f>AI31*X31*0.001</f>
        <v>121.19573763752888</v>
      </c>
      <c r="H31" s="106">
        <v>125.02</v>
      </c>
      <c r="I31" s="182">
        <f>H31/G31</f>
        <v>1.0315544295287735</v>
      </c>
      <c r="J31" s="355">
        <v>279</v>
      </c>
      <c r="K31" s="356">
        <v>641</v>
      </c>
      <c r="L31" s="349" t="s">
        <v>41</v>
      </c>
      <c r="M31" s="179" t="s">
        <v>41</v>
      </c>
      <c r="N31" s="502">
        <f t="shared" si="21"/>
        <v>279</v>
      </c>
      <c r="O31" s="362">
        <f t="shared" si="22"/>
        <v>641</v>
      </c>
      <c r="P31" s="177">
        <f t="shared" si="23"/>
        <v>352.87908396140864</v>
      </c>
      <c r="Q31" s="177">
        <f t="shared" si="24"/>
        <v>352.87908396140864</v>
      </c>
      <c r="R31" s="117"/>
      <c r="S31" s="349" t="s">
        <v>41</v>
      </c>
      <c r="T31" s="177">
        <f t="shared" si="25"/>
        <v>447.50222910240649</v>
      </c>
      <c r="U31" s="177">
        <f t="shared" si="26"/>
        <v>50.820916038591363</v>
      </c>
      <c r="V31" s="177">
        <f t="shared" si="27"/>
        <v>50.820916038591363</v>
      </c>
      <c r="W31" s="44"/>
      <c r="X31" s="469">
        <f t="shared" si="35"/>
        <v>300.21237958268239</v>
      </c>
      <c r="Y31" s="366">
        <f t="shared" si="36"/>
        <v>203000</v>
      </c>
      <c r="Z31" s="178">
        <f t="shared" si="28"/>
        <v>1.478878717156071E-3</v>
      </c>
      <c r="AA31" s="471">
        <f t="shared" si="29"/>
        <v>641</v>
      </c>
      <c r="AB31" s="352"/>
      <c r="AC31" s="38">
        <v>150</v>
      </c>
      <c r="AD31" s="644">
        <v>50.25</v>
      </c>
      <c r="AE31" s="645">
        <v>49.48</v>
      </c>
      <c r="AF31" s="645">
        <v>2.92</v>
      </c>
      <c r="AG31" s="36">
        <v>7</v>
      </c>
      <c r="AH31" s="179">
        <f t="shared" si="30"/>
        <v>4.08</v>
      </c>
      <c r="AI31" s="27">
        <v>403.7</v>
      </c>
      <c r="AJ31" s="171">
        <f t="shared" si="31"/>
        <v>50.820916038591363</v>
      </c>
      <c r="AK31" s="63">
        <f t="shared" si="32"/>
        <v>279</v>
      </c>
      <c r="AL31" s="44">
        <v>203000</v>
      </c>
      <c r="AM31" s="178">
        <f t="shared" si="33"/>
        <v>1.374384236453202E-3</v>
      </c>
      <c r="AN31" s="1119">
        <f t="shared" si="34"/>
        <v>641</v>
      </c>
      <c r="AO31" s="1114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76"/>
      <c r="BB31" s="176"/>
      <c r="BC31" s="1114"/>
      <c r="BD31" s="1114"/>
      <c r="BE31" s="195"/>
      <c r="BF31" s="1114"/>
      <c r="BG31" s="1114"/>
      <c r="BH31" s="176"/>
      <c r="BI31" s="1114"/>
      <c r="BJ31" s="176"/>
      <c r="BK31" s="195"/>
      <c r="BL31" s="195"/>
      <c r="BM31" s="176"/>
      <c r="BN31" s="195"/>
      <c r="BO31" s="176"/>
      <c r="BP31" s="1114"/>
      <c r="BQ31" s="195"/>
      <c r="BR31" s="176"/>
      <c r="BS31" s="176"/>
      <c r="BT31" s="273"/>
      <c r="BU31" s="176"/>
      <c r="BV31" s="176"/>
      <c r="BW31" s="176"/>
      <c r="BX31" s="1115"/>
      <c r="BY31" s="226"/>
      <c r="BZ31" s="195"/>
      <c r="CA31" s="195"/>
      <c r="CB31" s="151"/>
      <c r="CC31" s="195"/>
      <c r="CD31" s="195"/>
      <c r="CE31" s="195"/>
      <c r="CF31" s="273"/>
      <c r="CG31" s="195"/>
      <c r="CH31" s="273"/>
      <c r="CI31" s="176"/>
      <c r="CJ31" s="273"/>
      <c r="CK31" s="195"/>
      <c r="CL31" s="273"/>
      <c r="CM31" s="176"/>
      <c r="CN31" s="176"/>
      <c r="CO31" s="176"/>
      <c r="CP31" s="176"/>
      <c r="CQ31" s="176"/>
      <c r="CR31" s="195"/>
      <c r="CS31" s="195"/>
      <c r="CT31" s="195"/>
      <c r="CU31" s="176"/>
      <c r="CV31" s="195"/>
      <c r="CW31" s="195"/>
      <c r="CX31" s="195"/>
      <c r="CY31" s="195"/>
      <c r="CZ31" s="195"/>
      <c r="DA31" s="273"/>
      <c r="DB31" s="1116"/>
      <c r="DC31" s="195"/>
    </row>
    <row r="32" spans="1:143" ht="16.5" customHeight="1" x14ac:dyDescent="0.35">
      <c r="A32" s="1640" t="s">
        <v>201</v>
      </c>
      <c r="B32" s="1627">
        <v>1.4318</v>
      </c>
      <c r="C32" s="295" t="s">
        <v>37</v>
      </c>
      <c r="D32" s="132" t="s">
        <v>51</v>
      </c>
      <c r="E32" s="295" t="s">
        <v>39</v>
      </c>
      <c r="F32" s="15" t="s">
        <v>40</v>
      </c>
      <c r="G32" s="108">
        <f t="shared" si="19"/>
        <v>152.13885013598986</v>
      </c>
      <c r="H32" s="105">
        <v>186.16</v>
      </c>
      <c r="I32" s="175">
        <f t="shared" si="20"/>
        <v>1.2236190810802121</v>
      </c>
      <c r="J32" s="363">
        <v>508</v>
      </c>
      <c r="K32" s="361">
        <v>829</v>
      </c>
      <c r="L32" s="348" t="s">
        <v>41</v>
      </c>
      <c r="M32" s="165" t="s">
        <v>41</v>
      </c>
      <c r="N32" s="498">
        <f t="shared" si="21"/>
        <v>508</v>
      </c>
      <c r="O32" s="159">
        <f t="shared" si="22"/>
        <v>829</v>
      </c>
      <c r="P32" s="169">
        <f t="shared" si="23"/>
        <v>215.32302212201199</v>
      </c>
      <c r="Q32" s="169">
        <f t="shared" si="24"/>
        <v>215.32302212201199</v>
      </c>
      <c r="R32" s="43"/>
      <c r="S32" s="359" t="s">
        <v>41</v>
      </c>
      <c r="T32" s="162">
        <f>(1.673*J32)/((AH32/AF32)^0.126)</f>
        <v>820.83385598141865</v>
      </c>
      <c r="U32" s="162">
        <f t="shared" si="26"/>
        <v>52.086977877988048</v>
      </c>
      <c r="V32" s="162">
        <f t="shared" si="27"/>
        <v>52.086977877988048</v>
      </c>
      <c r="W32" s="43"/>
      <c r="X32" s="450">
        <f t="shared" si="35"/>
        <v>568.93478230428877</v>
      </c>
      <c r="Y32" s="365">
        <f t="shared" si="36"/>
        <v>206000</v>
      </c>
      <c r="Z32" s="164">
        <f t="shared" si="28"/>
        <v>2.7618193315742173E-3</v>
      </c>
      <c r="AA32" s="499">
        <f t="shared" si="29"/>
        <v>829</v>
      </c>
      <c r="AB32" s="161"/>
      <c r="AC32" s="40">
        <v>150</v>
      </c>
      <c r="AD32" s="646">
        <v>50.25</v>
      </c>
      <c r="AE32" s="647">
        <v>25.03</v>
      </c>
      <c r="AF32" s="647">
        <v>3.02</v>
      </c>
      <c r="AG32" s="34">
        <v>7</v>
      </c>
      <c r="AH32" s="173">
        <f t="shared" si="30"/>
        <v>3.98</v>
      </c>
      <c r="AI32" s="24">
        <v>267.41000000000003</v>
      </c>
      <c r="AJ32" s="163">
        <f t="shared" si="31"/>
        <v>52.086977877988048</v>
      </c>
      <c r="AK32" s="62">
        <f t="shared" si="32"/>
        <v>508</v>
      </c>
      <c r="AL32" s="43">
        <v>206000</v>
      </c>
      <c r="AM32" s="164">
        <f t="shared" si="33"/>
        <v>2.4660194174757283E-3</v>
      </c>
      <c r="AN32" s="1128">
        <f t="shared" si="34"/>
        <v>829</v>
      </c>
      <c r="AO32" s="1114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76"/>
      <c r="BB32" s="176"/>
      <c r="BC32" s="1114"/>
      <c r="BD32" s="1114"/>
      <c r="BE32" s="195"/>
      <c r="BF32" s="1114"/>
      <c r="BG32" s="1114"/>
      <c r="BH32" s="176"/>
      <c r="BI32" s="1114"/>
      <c r="BJ32" s="176"/>
      <c r="BK32" s="195"/>
      <c r="BL32" s="195"/>
      <c r="BM32" s="176"/>
      <c r="BN32" s="195"/>
      <c r="BO32" s="176"/>
      <c r="BP32" s="1114"/>
      <c r="BQ32" s="195"/>
      <c r="BR32" s="176"/>
      <c r="BS32" s="176"/>
      <c r="BT32" s="273"/>
      <c r="BU32" s="176"/>
      <c r="BV32" s="176"/>
      <c r="BW32" s="176"/>
      <c r="BX32" s="1115"/>
      <c r="BY32" s="226"/>
      <c r="BZ32" s="195"/>
      <c r="CA32" s="195"/>
      <c r="CB32" s="151"/>
      <c r="CC32" s="195"/>
      <c r="CD32" s="195"/>
      <c r="CE32" s="195"/>
      <c r="CF32" s="273"/>
      <c r="CG32" s="195"/>
      <c r="CH32" s="273"/>
      <c r="CI32" s="176"/>
      <c r="CJ32" s="273"/>
      <c r="CK32" s="195"/>
      <c r="CL32" s="273"/>
      <c r="CM32" s="176"/>
      <c r="CN32" s="176"/>
      <c r="CO32" s="176"/>
      <c r="CP32" s="176"/>
      <c r="CQ32" s="176"/>
      <c r="CR32" s="195"/>
      <c r="CS32" s="195"/>
      <c r="CT32" s="195"/>
      <c r="CU32" s="176"/>
      <c r="CV32" s="195"/>
      <c r="CW32" s="195"/>
      <c r="CX32" s="195"/>
      <c r="CY32" s="195"/>
      <c r="CZ32" s="195"/>
      <c r="DA32" s="273"/>
      <c r="DB32" s="1116"/>
      <c r="DC32" s="195"/>
    </row>
    <row r="33" spans="1:109" ht="16.5" customHeight="1" x14ac:dyDescent="0.35">
      <c r="A33" s="1641"/>
      <c r="B33" s="1628"/>
      <c r="C33" s="295" t="s">
        <v>37</v>
      </c>
      <c r="D33" s="133" t="s">
        <v>52</v>
      </c>
      <c r="E33" s="295" t="s">
        <v>39</v>
      </c>
      <c r="F33" s="15" t="s">
        <v>40</v>
      </c>
      <c r="G33" s="89">
        <f t="shared" si="19"/>
        <v>243.48907797014695</v>
      </c>
      <c r="H33" s="105">
        <v>229.72</v>
      </c>
      <c r="I33" s="175">
        <f t="shared" si="20"/>
        <v>0.94345094209180458</v>
      </c>
      <c r="J33" s="363">
        <v>508</v>
      </c>
      <c r="K33" s="361">
        <v>829</v>
      </c>
      <c r="L33" s="359" t="s">
        <v>41</v>
      </c>
      <c r="M33" s="173" t="s">
        <v>41</v>
      </c>
      <c r="N33" s="501">
        <f t="shared" si="21"/>
        <v>508</v>
      </c>
      <c r="O33" s="360">
        <f t="shared" si="22"/>
        <v>829</v>
      </c>
      <c r="P33" s="162">
        <f t="shared" si="23"/>
        <v>407.92063193585312</v>
      </c>
      <c r="Q33" s="162">
        <f t="shared" si="24"/>
        <v>407.92063193585312</v>
      </c>
      <c r="R33" s="43"/>
      <c r="S33" s="359" t="s">
        <v>41</v>
      </c>
      <c r="T33" s="162">
        <f t="shared" si="25"/>
        <v>851.31302633702262</v>
      </c>
      <c r="U33" s="162">
        <f t="shared" si="26"/>
        <v>42.599368064146873</v>
      </c>
      <c r="V33" s="162">
        <f t="shared" si="27"/>
        <v>42.599368064146873</v>
      </c>
      <c r="W33" s="43"/>
      <c r="X33" s="461">
        <f t="shared" si="35"/>
        <v>540.46230571372405</v>
      </c>
      <c r="Y33" s="365">
        <f t="shared" si="36"/>
        <v>206000</v>
      </c>
      <c r="Z33" s="164">
        <f t="shared" si="28"/>
        <v>2.623603425794777E-3</v>
      </c>
      <c r="AA33" s="499">
        <f t="shared" si="29"/>
        <v>829</v>
      </c>
      <c r="AB33" s="369"/>
      <c r="AC33" s="39">
        <v>240.5</v>
      </c>
      <c r="AD33" s="642">
        <v>80.05</v>
      </c>
      <c r="AE33" s="643">
        <v>39.979999999999997</v>
      </c>
      <c r="AF33" s="643">
        <v>3.02</v>
      </c>
      <c r="AG33" s="35">
        <v>6</v>
      </c>
      <c r="AH33" s="173">
        <f t="shared" si="30"/>
        <v>2.98</v>
      </c>
      <c r="AI33" s="24">
        <v>450.52</v>
      </c>
      <c r="AJ33" s="171">
        <f t="shared" si="31"/>
        <v>42.599368064146873</v>
      </c>
      <c r="AK33" s="62">
        <f t="shared" si="32"/>
        <v>508</v>
      </c>
      <c r="AL33" s="43">
        <v>206000</v>
      </c>
      <c r="AM33" s="164">
        <f t="shared" si="33"/>
        <v>2.4660194174757283E-3</v>
      </c>
      <c r="AN33" s="1128">
        <f t="shared" si="34"/>
        <v>829</v>
      </c>
      <c r="AO33" s="1114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76"/>
      <c r="BB33" s="176"/>
      <c r="BC33" s="1114"/>
      <c r="BD33" s="1114"/>
      <c r="BE33" s="195"/>
      <c r="BF33" s="1114"/>
      <c r="BG33" s="1114"/>
      <c r="BH33" s="176"/>
      <c r="BI33" s="1114"/>
      <c r="BJ33" s="176"/>
      <c r="BK33" s="195"/>
      <c r="BL33" s="195"/>
      <c r="BM33" s="176"/>
      <c r="BN33" s="195"/>
      <c r="BO33" s="176"/>
      <c r="BP33" s="1114"/>
      <c r="BQ33" s="195"/>
      <c r="BR33" s="176"/>
      <c r="BS33" s="176"/>
      <c r="BT33" s="273"/>
      <c r="BU33" s="176"/>
      <c r="BV33" s="176"/>
      <c r="BW33" s="176"/>
      <c r="BX33" s="1115"/>
      <c r="BY33" s="226"/>
      <c r="BZ33" s="195"/>
      <c r="CA33" s="195"/>
      <c r="CB33" s="151"/>
      <c r="CC33" s="195"/>
      <c r="CD33" s="195"/>
      <c r="CE33" s="195"/>
      <c r="CF33" s="273"/>
      <c r="CG33" s="195"/>
      <c r="CH33" s="273"/>
      <c r="CI33" s="176"/>
      <c r="CJ33" s="273"/>
      <c r="CK33" s="195"/>
      <c r="CL33" s="273"/>
      <c r="CM33" s="176"/>
      <c r="CN33" s="176"/>
      <c r="CO33" s="176"/>
      <c r="CP33" s="176"/>
      <c r="CQ33" s="176"/>
      <c r="CR33" s="195"/>
      <c r="CS33" s="195"/>
      <c r="CT33" s="195"/>
      <c r="CU33" s="176"/>
      <c r="CV33" s="195"/>
      <c r="CW33" s="195"/>
      <c r="CX33" s="195"/>
      <c r="CY33" s="195"/>
      <c r="CZ33" s="195"/>
      <c r="DA33" s="273"/>
      <c r="DB33" s="1116"/>
      <c r="DC33" s="195"/>
    </row>
    <row r="34" spans="1:109" ht="16.5" customHeight="1" x14ac:dyDescent="0.35">
      <c r="A34" s="1641"/>
      <c r="B34" s="1628"/>
      <c r="C34" s="295" t="s">
        <v>37</v>
      </c>
      <c r="D34" s="133" t="s">
        <v>53</v>
      </c>
      <c r="E34" s="295" t="s">
        <v>39</v>
      </c>
      <c r="F34" s="15" t="s">
        <v>40</v>
      </c>
      <c r="G34" s="89">
        <f>AI34*X34*0.001</f>
        <v>305.63292738807917</v>
      </c>
      <c r="H34" s="105">
        <v>233.78</v>
      </c>
      <c r="I34" s="175">
        <f t="shared" si="20"/>
        <v>0.76490449506821789</v>
      </c>
      <c r="J34" s="363">
        <v>508</v>
      </c>
      <c r="K34" s="361">
        <v>829</v>
      </c>
      <c r="L34" s="359" t="s">
        <v>41</v>
      </c>
      <c r="M34" s="173" t="s">
        <v>41</v>
      </c>
      <c r="N34" s="501">
        <f t="shared" si="21"/>
        <v>508</v>
      </c>
      <c r="O34" s="360">
        <f t="shared" si="22"/>
        <v>829</v>
      </c>
      <c r="P34" s="162">
        <f t="shared" si="23"/>
        <v>523.83682702893248</v>
      </c>
      <c r="Q34" s="162">
        <f t="shared" si="24"/>
        <v>523.83682702893248</v>
      </c>
      <c r="R34" s="43"/>
      <c r="S34" s="359" t="s">
        <v>41</v>
      </c>
      <c r="T34" s="162">
        <f t="shared" si="25"/>
        <v>834.83672041870534</v>
      </c>
      <c r="U34" s="162">
        <f t="shared" si="26"/>
        <v>47.343172971067467</v>
      </c>
      <c r="V34" s="162">
        <f t="shared" si="27"/>
        <v>47.343172971067467</v>
      </c>
      <c r="W34" s="43"/>
      <c r="X34" s="461">
        <f t="shared" si="35"/>
        <v>535.09038724759125</v>
      </c>
      <c r="Y34" s="365">
        <f t="shared" si="36"/>
        <v>206000</v>
      </c>
      <c r="Z34" s="164">
        <f t="shared" si="28"/>
        <v>2.597526151687336E-3</v>
      </c>
      <c r="AA34" s="499">
        <f t="shared" si="29"/>
        <v>829</v>
      </c>
      <c r="AB34" s="369"/>
      <c r="AC34" s="39">
        <v>300</v>
      </c>
      <c r="AD34" s="642">
        <v>100.45</v>
      </c>
      <c r="AE34" s="643">
        <v>50.05</v>
      </c>
      <c r="AF34" s="643">
        <v>3.02</v>
      </c>
      <c r="AG34" s="373">
        <v>6.5</v>
      </c>
      <c r="AH34" s="173">
        <f t="shared" si="30"/>
        <v>3.48</v>
      </c>
      <c r="AI34" s="24">
        <v>571.17999999999995</v>
      </c>
      <c r="AJ34" s="171">
        <f t="shared" si="31"/>
        <v>47.343172971067467</v>
      </c>
      <c r="AK34" s="62">
        <f t="shared" si="32"/>
        <v>508</v>
      </c>
      <c r="AL34" s="43">
        <v>206000</v>
      </c>
      <c r="AM34" s="164">
        <f t="shared" si="33"/>
        <v>2.4660194174757283E-3</v>
      </c>
      <c r="AN34" s="1128">
        <f t="shared" si="34"/>
        <v>829</v>
      </c>
      <c r="AO34" s="1114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76"/>
      <c r="BB34" s="176"/>
      <c r="BC34" s="1114"/>
      <c r="BD34" s="1114"/>
      <c r="BE34" s="195"/>
      <c r="BF34" s="1114"/>
      <c r="BG34" s="1114"/>
      <c r="BH34" s="176"/>
      <c r="BI34" s="1114"/>
      <c r="BJ34" s="176"/>
      <c r="BK34" s="195"/>
      <c r="BL34" s="195"/>
      <c r="BM34" s="176"/>
      <c r="BN34" s="195"/>
      <c r="BO34" s="176"/>
      <c r="BP34" s="1114"/>
      <c r="BQ34" s="195"/>
      <c r="BR34" s="176"/>
      <c r="BS34" s="176"/>
      <c r="BT34" s="273"/>
      <c r="BU34" s="176"/>
      <c r="BV34" s="176"/>
      <c r="BW34" s="176"/>
      <c r="BX34" s="1115"/>
      <c r="BY34" s="226"/>
      <c r="BZ34" s="195"/>
      <c r="CA34" s="195"/>
      <c r="CB34" s="151"/>
      <c r="CC34" s="195"/>
      <c r="CD34" s="195"/>
      <c r="CE34" s="195"/>
      <c r="CF34" s="273"/>
      <c r="CG34" s="195"/>
      <c r="CH34" s="273"/>
      <c r="CI34" s="176"/>
      <c r="CJ34" s="273"/>
      <c r="CK34" s="195"/>
      <c r="CL34" s="273"/>
      <c r="CM34" s="176"/>
      <c r="CN34" s="176"/>
      <c r="CO34" s="176"/>
      <c r="CP34" s="176"/>
      <c r="CQ34" s="176"/>
      <c r="CR34" s="195"/>
      <c r="CS34" s="195"/>
      <c r="CT34" s="195"/>
      <c r="CU34" s="176"/>
      <c r="CV34" s="195"/>
      <c r="CW34" s="195"/>
      <c r="CX34" s="195"/>
      <c r="CY34" s="195"/>
      <c r="CZ34" s="195"/>
      <c r="DA34" s="273"/>
      <c r="DB34" s="1116"/>
      <c r="DC34" s="195"/>
    </row>
    <row r="35" spans="1:109" ht="15.75" customHeight="1" x14ac:dyDescent="0.35">
      <c r="A35" s="1641"/>
      <c r="B35" s="1628"/>
      <c r="C35" s="295" t="s">
        <v>37</v>
      </c>
      <c r="D35" s="133" t="s">
        <v>53</v>
      </c>
      <c r="E35" s="295" t="s">
        <v>39</v>
      </c>
      <c r="F35" s="15" t="s">
        <v>40</v>
      </c>
      <c r="G35" s="89">
        <f t="shared" si="19"/>
        <v>304.31029936389177</v>
      </c>
      <c r="H35" s="105">
        <v>229.61</v>
      </c>
      <c r="I35" s="175">
        <f t="shared" si="20"/>
        <v>0.75452589176232332</v>
      </c>
      <c r="J35" s="363">
        <v>508</v>
      </c>
      <c r="K35" s="361">
        <v>829</v>
      </c>
      <c r="L35" s="359" t="s">
        <v>41</v>
      </c>
      <c r="M35" s="173" t="s">
        <v>41</v>
      </c>
      <c r="N35" s="501">
        <f t="shared" si="21"/>
        <v>508</v>
      </c>
      <c r="O35" s="360">
        <f t="shared" si="22"/>
        <v>829</v>
      </c>
      <c r="P35" s="162">
        <f t="shared" si="23"/>
        <v>527.86440847656274</v>
      </c>
      <c r="Q35" s="162">
        <f t="shared" si="24"/>
        <v>527.86440847656274</v>
      </c>
      <c r="R35" s="43"/>
      <c r="S35" s="359" t="s">
        <v>41</v>
      </c>
      <c r="T35" s="162">
        <f t="shared" si="25"/>
        <v>850.59820512937097</v>
      </c>
      <c r="U35" s="162">
        <f t="shared" si="26"/>
        <v>42.505591523437218</v>
      </c>
      <c r="V35" s="162">
        <f t="shared" si="27"/>
        <v>42.505591523437218</v>
      </c>
      <c r="W35" s="43"/>
      <c r="X35" s="461">
        <f t="shared" si="35"/>
        <v>533.53139078824586</v>
      </c>
      <c r="Y35" s="365">
        <f t="shared" si="36"/>
        <v>206000</v>
      </c>
      <c r="Z35" s="164">
        <f t="shared" si="28"/>
        <v>2.5899582077099316E-3</v>
      </c>
      <c r="AA35" s="499">
        <f t="shared" si="29"/>
        <v>829</v>
      </c>
      <c r="AB35" s="369"/>
      <c r="AC35" s="39">
        <v>300</v>
      </c>
      <c r="AD35" s="642">
        <v>100.45</v>
      </c>
      <c r="AE35" s="643">
        <v>50.05</v>
      </c>
      <c r="AF35" s="643">
        <v>3.01</v>
      </c>
      <c r="AG35" s="373">
        <v>6</v>
      </c>
      <c r="AH35" s="173">
        <f t="shared" si="30"/>
        <v>2.99</v>
      </c>
      <c r="AI35" s="24">
        <v>570.37</v>
      </c>
      <c r="AJ35" s="171">
        <f t="shared" si="31"/>
        <v>42.505591523437218</v>
      </c>
      <c r="AK35" s="62">
        <f t="shared" si="32"/>
        <v>508</v>
      </c>
      <c r="AL35" s="43">
        <v>206000</v>
      </c>
      <c r="AM35" s="164">
        <f t="shared" si="33"/>
        <v>2.4660194174757283E-3</v>
      </c>
      <c r="AN35" s="1128">
        <f t="shared" si="34"/>
        <v>829</v>
      </c>
      <c r="AO35" s="1114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76"/>
      <c r="BB35" s="176"/>
      <c r="BC35" s="1114"/>
      <c r="BD35" s="1114"/>
      <c r="BE35" s="195"/>
      <c r="BF35" s="1114"/>
      <c r="BG35" s="1114"/>
      <c r="BH35" s="176"/>
      <c r="BI35" s="1114"/>
      <c r="BJ35" s="176"/>
      <c r="BK35" s="195"/>
      <c r="BL35" s="195"/>
      <c r="BM35" s="176"/>
      <c r="BN35" s="195"/>
      <c r="BO35" s="176"/>
      <c r="BP35" s="1114"/>
      <c r="BQ35" s="195"/>
      <c r="BR35" s="176"/>
      <c r="BS35" s="176"/>
      <c r="BT35" s="273"/>
      <c r="BU35" s="176"/>
      <c r="BV35" s="176"/>
      <c r="BW35" s="176"/>
      <c r="BX35" s="1115"/>
      <c r="BY35" s="226"/>
      <c r="BZ35" s="195"/>
      <c r="CA35" s="195"/>
      <c r="CB35" s="151"/>
      <c r="CC35" s="195"/>
      <c r="CD35" s="195"/>
      <c r="CE35" s="195"/>
      <c r="CF35" s="273"/>
      <c r="CG35" s="195"/>
      <c r="CH35" s="273"/>
      <c r="CI35" s="176"/>
      <c r="CJ35" s="273"/>
      <c r="CK35" s="195"/>
      <c r="CL35" s="273"/>
      <c r="CM35" s="176"/>
      <c r="CN35" s="176"/>
      <c r="CO35" s="176"/>
      <c r="CP35" s="176"/>
      <c r="CQ35" s="176"/>
      <c r="CR35" s="195"/>
      <c r="CS35" s="195"/>
      <c r="CT35" s="195"/>
      <c r="CU35" s="176"/>
      <c r="CV35" s="195"/>
      <c r="CW35" s="195"/>
      <c r="CX35" s="195"/>
      <c r="CY35" s="195"/>
      <c r="CZ35" s="195"/>
      <c r="DA35" s="273"/>
      <c r="DB35" s="1116"/>
      <c r="DC35" s="195"/>
    </row>
    <row r="36" spans="1:109" ht="16.5" customHeight="1" thickBot="1" x14ac:dyDescent="0.4">
      <c r="A36" s="1642"/>
      <c r="B36" s="1629"/>
      <c r="C36" s="123" t="s">
        <v>37</v>
      </c>
      <c r="D36" s="134" t="s">
        <v>54</v>
      </c>
      <c r="E36" s="123" t="s">
        <v>39</v>
      </c>
      <c r="F36" s="12" t="s">
        <v>40</v>
      </c>
      <c r="G36" s="109">
        <f t="shared" si="19"/>
        <v>382.5727301359899</v>
      </c>
      <c r="H36" s="107">
        <v>228.19</v>
      </c>
      <c r="I36" s="191">
        <f t="shared" si="20"/>
        <v>0.59646174968845067</v>
      </c>
      <c r="J36" s="376">
        <v>508</v>
      </c>
      <c r="K36" s="192">
        <v>829</v>
      </c>
      <c r="L36" s="350" t="s">
        <v>41</v>
      </c>
      <c r="M36" s="190" t="s">
        <v>41</v>
      </c>
      <c r="N36" s="480">
        <f t="shared" si="21"/>
        <v>508</v>
      </c>
      <c r="O36" s="189">
        <f t="shared" si="22"/>
        <v>829</v>
      </c>
      <c r="P36" s="186">
        <f t="shared" si="23"/>
        <v>668.93302212201195</v>
      </c>
      <c r="Q36" s="186">
        <f t="shared" si="24"/>
        <v>668.93302212201195</v>
      </c>
      <c r="R36" s="45"/>
      <c r="S36" s="350" t="s">
        <v>41</v>
      </c>
      <c r="T36" s="186">
        <f t="shared" si="25"/>
        <v>820.83385598141865</v>
      </c>
      <c r="U36" s="186">
        <f t="shared" si="26"/>
        <v>52.086977877988048</v>
      </c>
      <c r="V36" s="186">
        <f t="shared" si="27"/>
        <v>52.086977877988048</v>
      </c>
      <c r="W36" s="45"/>
      <c r="X36" s="478">
        <f t="shared" si="35"/>
        <v>530.5993316912012</v>
      </c>
      <c r="Y36" s="95">
        <f t="shared" si="36"/>
        <v>206000</v>
      </c>
      <c r="Z36" s="188">
        <f t="shared" si="28"/>
        <v>2.5757249111223357E-3</v>
      </c>
      <c r="AA36" s="503">
        <f t="shared" si="29"/>
        <v>829</v>
      </c>
      <c r="AB36" s="185"/>
      <c r="AC36" s="41">
        <v>450.5</v>
      </c>
      <c r="AD36" s="648">
        <v>150.5</v>
      </c>
      <c r="AE36" s="649">
        <v>50</v>
      </c>
      <c r="AF36" s="649">
        <v>3.02</v>
      </c>
      <c r="AG36" s="23">
        <v>7</v>
      </c>
      <c r="AH36" s="190">
        <f t="shared" si="30"/>
        <v>3.98</v>
      </c>
      <c r="AI36" s="25">
        <v>721.02</v>
      </c>
      <c r="AJ36" s="187">
        <f t="shared" si="31"/>
        <v>52.086977877988048</v>
      </c>
      <c r="AK36" s="78">
        <f t="shared" si="32"/>
        <v>508</v>
      </c>
      <c r="AL36" s="45">
        <v>206000</v>
      </c>
      <c r="AM36" s="188">
        <f t="shared" si="33"/>
        <v>2.4660194174757283E-3</v>
      </c>
      <c r="AN36" s="318">
        <f t="shared" si="34"/>
        <v>829</v>
      </c>
      <c r="AO36" s="1114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76"/>
      <c r="BB36" s="176"/>
      <c r="BC36" s="1114"/>
      <c r="BD36" s="1114"/>
      <c r="BE36" s="195"/>
      <c r="BF36" s="1114"/>
      <c r="BG36" s="1114"/>
      <c r="BH36" s="176"/>
      <c r="BI36" s="1114"/>
      <c r="BJ36" s="176"/>
      <c r="BK36" s="195"/>
      <c r="BL36" s="195"/>
      <c r="BM36" s="176"/>
      <c r="BN36" s="195"/>
      <c r="BO36" s="176"/>
      <c r="BP36" s="1114"/>
      <c r="BQ36" s="195"/>
      <c r="BR36" s="176"/>
      <c r="BS36" s="176"/>
      <c r="BT36" s="273"/>
      <c r="BU36" s="176"/>
      <c r="BV36" s="176"/>
      <c r="BW36" s="176"/>
      <c r="BX36" s="1115"/>
      <c r="BY36" s="226"/>
      <c r="BZ36" s="195"/>
      <c r="CA36" s="195"/>
      <c r="CB36" s="151"/>
      <c r="CC36" s="195"/>
      <c r="CD36" s="195"/>
      <c r="CE36" s="195"/>
      <c r="CF36" s="273"/>
      <c r="CG36" s="195"/>
      <c r="CH36" s="273"/>
      <c r="CI36" s="176"/>
      <c r="CJ36" s="273"/>
      <c r="CK36" s="195"/>
      <c r="CL36" s="273"/>
      <c r="CM36" s="176"/>
      <c r="CN36" s="176"/>
      <c r="CO36" s="176"/>
      <c r="CP36" s="176"/>
      <c r="CQ36" s="176"/>
      <c r="CR36" s="195"/>
      <c r="CS36" s="195"/>
      <c r="CT36" s="195"/>
      <c r="CU36" s="176"/>
      <c r="CV36" s="195"/>
      <c r="CW36" s="195"/>
      <c r="CX36" s="195"/>
      <c r="CY36" s="195"/>
      <c r="CZ36" s="195"/>
      <c r="DA36" s="273"/>
      <c r="DB36" s="1116"/>
      <c r="DC36" s="195"/>
    </row>
    <row r="37" spans="1:109" ht="13.15" x14ac:dyDescent="0.45">
      <c r="I37" s="504"/>
      <c r="X37" s="485"/>
      <c r="Y37" s="505"/>
      <c r="Z37" s="505"/>
      <c r="AA37" s="485"/>
      <c r="AK37" s="487"/>
      <c r="AL37" s="487"/>
      <c r="AM37" s="438"/>
      <c r="AN37" s="487"/>
      <c r="CO37" s="173"/>
      <c r="CP37" s="506"/>
      <c r="CS37" s="246"/>
      <c r="CT37" s="173"/>
      <c r="CU37" s="507"/>
      <c r="CV37" s="493"/>
      <c r="CW37" s="493"/>
      <c r="CX37" s="493"/>
      <c r="CY37" s="493"/>
      <c r="CZ37" s="493"/>
      <c r="DA37" s="493"/>
      <c r="DB37" s="491"/>
      <c r="DC37" s="493"/>
      <c r="DD37" s="493"/>
      <c r="DE37" s="493"/>
    </row>
    <row r="38" spans="1:109" x14ac:dyDescent="0.45">
      <c r="AH38" s="176"/>
      <c r="CC38" s="328"/>
      <c r="CG38" s="285"/>
      <c r="CH38" s="285"/>
      <c r="CI38" s="285"/>
      <c r="CU38" s="379"/>
      <c r="CV38" s="493"/>
      <c r="CW38" s="495"/>
      <c r="CX38" s="495"/>
      <c r="CY38" s="493"/>
      <c r="CZ38" s="495"/>
      <c r="DA38" s="493"/>
      <c r="DB38" s="491"/>
      <c r="DC38" s="495"/>
      <c r="DD38" s="497"/>
      <c r="DE38" s="493"/>
    </row>
    <row r="39" spans="1:109" ht="14.25" x14ac:dyDescent="0.45">
      <c r="CC39" s="328"/>
      <c r="CG39" s="285"/>
      <c r="CH39" s="136"/>
      <c r="CI39" s="285"/>
      <c r="CU39" s="508"/>
      <c r="CV39" s="497"/>
      <c r="CW39" s="497"/>
      <c r="CX39" s="497"/>
      <c r="CY39" s="497"/>
      <c r="CZ39" s="497"/>
      <c r="DA39" s="497"/>
      <c r="DB39" s="491"/>
      <c r="DC39" s="497"/>
      <c r="DD39" s="497"/>
      <c r="DE39" s="497"/>
    </row>
    <row r="40" spans="1:109" ht="14.25" x14ac:dyDescent="0.45">
      <c r="CC40" s="328"/>
      <c r="CG40" s="285"/>
      <c r="CH40" s="136"/>
      <c r="CI40" s="285"/>
    </row>
    <row r="41" spans="1:109" ht="14.65" thickBot="1" x14ac:dyDescent="0.5">
      <c r="CC41" s="328"/>
      <c r="CG41" s="285"/>
      <c r="CH41" s="136"/>
      <c r="CI41" s="285"/>
    </row>
    <row r="42" spans="1:109" ht="17.25" customHeight="1" thickBot="1" x14ac:dyDescent="0.5">
      <c r="A42" s="733"/>
      <c r="B42" s="734"/>
      <c r="C42" s="734"/>
      <c r="D42" s="734"/>
      <c r="E42" s="734"/>
      <c r="F42" s="734"/>
      <c r="G42" s="734"/>
      <c r="H42" s="734"/>
      <c r="I42" s="734"/>
      <c r="J42" s="1556" t="s">
        <v>333</v>
      </c>
      <c r="K42" s="1557"/>
      <c r="L42" s="1557"/>
      <c r="M42" s="1558"/>
      <c r="N42" s="1556" t="s">
        <v>0</v>
      </c>
      <c r="O42" s="1557"/>
      <c r="P42" s="1557"/>
      <c r="Q42" s="1557"/>
      <c r="R42" s="1557"/>
      <c r="S42" s="1557"/>
      <c r="T42" s="1557"/>
      <c r="U42" s="1594" t="s">
        <v>148</v>
      </c>
      <c r="V42" s="1595"/>
      <c r="W42" s="1595"/>
      <c r="X42" s="1595"/>
      <c r="Y42" s="159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286"/>
      <c r="BK42" s="286"/>
      <c r="BL42" s="286"/>
      <c r="BM42" s="286"/>
      <c r="BN42" s="286"/>
      <c r="BO42" s="286"/>
      <c r="BP42" s="286"/>
      <c r="BQ42" s="286"/>
      <c r="BR42" s="286"/>
      <c r="BS42" s="286"/>
      <c r="BT42" s="286"/>
      <c r="BU42" s="286"/>
      <c r="BV42" s="286"/>
      <c r="BW42" s="286"/>
      <c r="BX42" s="286"/>
      <c r="BY42" s="1114"/>
      <c r="BZ42" s="1116"/>
      <c r="CA42" s="1116"/>
      <c r="CB42" s="1116"/>
      <c r="CC42" s="1116"/>
      <c r="CD42" s="1116"/>
      <c r="CE42" s="1116"/>
      <c r="CJ42" s="285"/>
    </row>
    <row r="43" spans="1:109" ht="18" customHeight="1" x14ac:dyDescent="0.35">
      <c r="A43" s="1572" t="s">
        <v>2</v>
      </c>
      <c r="B43" s="1645" t="s">
        <v>3</v>
      </c>
      <c r="C43" s="1605" t="s">
        <v>4</v>
      </c>
      <c r="D43" s="48" t="s">
        <v>5</v>
      </c>
      <c r="E43" s="1678" t="s">
        <v>184</v>
      </c>
      <c r="F43" s="1673" t="s">
        <v>16</v>
      </c>
      <c r="G43" s="1550" t="s">
        <v>143</v>
      </c>
      <c r="H43" s="1603" t="s">
        <v>7</v>
      </c>
      <c r="I43" s="1585" t="s">
        <v>144</v>
      </c>
      <c r="J43" s="28" t="s">
        <v>334</v>
      </c>
      <c r="K43" s="678" t="s">
        <v>335</v>
      </c>
      <c r="L43" s="721" t="s">
        <v>336</v>
      </c>
      <c r="M43" s="635" t="s">
        <v>337</v>
      </c>
      <c r="N43" s="196" t="s">
        <v>8</v>
      </c>
      <c r="O43" s="48" t="s">
        <v>49</v>
      </c>
      <c r="P43" s="49" t="s">
        <v>9</v>
      </c>
      <c r="Q43" s="48" t="s">
        <v>182</v>
      </c>
      <c r="R43" s="48" t="s">
        <v>183</v>
      </c>
      <c r="S43" s="49" t="s">
        <v>56</v>
      </c>
      <c r="T43" s="50" t="s">
        <v>14</v>
      </c>
      <c r="U43" s="61" t="s">
        <v>16</v>
      </c>
      <c r="V43" s="48" t="s">
        <v>194</v>
      </c>
      <c r="W43" s="1126" t="s">
        <v>199</v>
      </c>
      <c r="X43" s="1126" t="s">
        <v>196</v>
      </c>
      <c r="Y43" s="728"/>
      <c r="Z43" s="1114"/>
      <c r="AA43" s="1116"/>
      <c r="AB43" s="1116"/>
      <c r="AC43" s="1116"/>
      <c r="AD43" s="1116"/>
      <c r="AE43" s="1116"/>
      <c r="AF43" s="1116"/>
      <c r="AG43" s="1116"/>
      <c r="AH43" s="1116"/>
      <c r="AI43" s="1116"/>
      <c r="AJ43" s="1114"/>
      <c r="AK43" s="1116"/>
      <c r="AL43" s="1116"/>
      <c r="AM43" s="1116"/>
      <c r="AN43" s="1116"/>
      <c r="AO43" s="1116"/>
      <c r="AP43" s="1116"/>
      <c r="AQ43" s="1116"/>
      <c r="AR43" s="1116"/>
      <c r="AS43" s="1116"/>
      <c r="AT43" s="1116"/>
      <c r="AU43" s="1116"/>
      <c r="AV43" s="1116"/>
      <c r="AW43" s="1116"/>
      <c r="AX43" s="1116"/>
      <c r="AY43" s="1116"/>
      <c r="AZ43" s="1116"/>
      <c r="BA43" s="1116"/>
      <c r="BB43" s="1116"/>
      <c r="BC43" s="1116"/>
      <c r="BD43" s="1116"/>
      <c r="BE43" s="1116"/>
      <c r="BF43" s="1116"/>
      <c r="BG43" s="1116"/>
      <c r="BH43" s="1120"/>
      <c r="BI43" s="1155"/>
      <c r="BJ43" s="287"/>
      <c r="BK43" s="287"/>
      <c r="BL43" s="325"/>
      <c r="BM43" s="325"/>
      <c r="BN43" s="1120"/>
      <c r="BO43" s="1115"/>
      <c r="BP43" s="1144"/>
      <c r="BQ43" s="1114"/>
      <c r="BR43" s="1145"/>
      <c r="BS43" s="1114"/>
      <c r="BT43" s="1114"/>
      <c r="BU43" s="1114"/>
      <c r="BV43" s="1114"/>
      <c r="BW43" s="1114"/>
      <c r="BX43" s="1114"/>
      <c r="BY43" s="1114"/>
      <c r="BZ43" s="1114"/>
      <c r="CA43" s="1114"/>
      <c r="CB43" s="1114"/>
      <c r="CC43" s="1114"/>
      <c r="CD43" s="1114"/>
      <c r="CE43" s="1114"/>
      <c r="CJ43" s="285"/>
    </row>
    <row r="44" spans="1:109" ht="15.4" thickBot="1" x14ac:dyDescent="0.5">
      <c r="A44" s="1573"/>
      <c r="B44" s="1646"/>
      <c r="C44" s="1606"/>
      <c r="D44" s="197"/>
      <c r="E44" s="1679"/>
      <c r="F44" s="1674"/>
      <c r="G44" s="1551"/>
      <c r="H44" s="1604"/>
      <c r="I44" s="1586"/>
      <c r="J44" s="481" t="s">
        <v>181</v>
      </c>
      <c r="K44" s="722" t="s">
        <v>23</v>
      </c>
      <c r="L44" s="722" t="s">
        <v>181</v>
      </c>
      <c r="M44" s="723" t="s">
        <v>23</v>
      </c>
      <c r="N44" s="199" t="s">
        <v>21</v>
      </c>
      <c r="O44" s="44" t="s">
        <v>21</v>
      </c>
      <c r="P44" s="36" t="s">
        <v>21</v>
      </c>
      <c r="Q44" s="44" t="s">
        <v>21</v>
      </c>
      <c r="R44" s="44" t="s">
        <v>21</v>
      </c>
      <c r="S44" s="35" t="s">
        <v>21</v>
      </c>
      <c r="T44" s="65" t="s">
        <v>22</v>
      </c>
      <c r="U44" s="63" t="s">
        <v>23</v>
      </c>
      <c r="V44" s="44" t="s">
        <v>23</v>
      </c>
      <c r="W44" s="1127" t="s">
        <v>24</v>
      </c>
      <c r="X44" s="70" t="s">
        <v>23</v>
      </c>
      <c r="Y44" s="729"/>
      <c r="Z44" s="1116"/>
      <c r="AA44" s="1114"/>
      <c r="AB44" s="1114"/>
      <c r="AC44" s="1114"/>
      <c r="AD44" s="1114"/>
      <c r="AE44" s="1114"/>
      <c r="AF44" s="1114"/>
      <c r="AG44" s="1114"/>
      <c r="AH44" s="1114"/>
      <c r="AI44" s="1114"/>
      <c r="AJ44" s="1116"/>
      <c r="AK44" s="1114"/>
      <c r="AL44" s="1114"/>
      <c r="AM44" s="1114"/>
      <c r="AN44" s="1114"/>
      <c r="AO44" s="1114"/>
      <c r="AP44" s="1114"/>
      <c r="AQ44" s="1116"/>
      <c r="AR44" s="1120"/>
      <c r="AS44" s="1120"/>
      <c r="AT44" s="1114"/>
      <c r="AU44" s="1114"/>
      <c r="AV44" s="1114"/>
      <c r="AW44" s="1114"/>
      <c r="AX44" s="1114"/>
      <c r="AY44" s="1120"/>
      <c r="AZ44" s="1120"/>
      <c r="BA44" s="1114"/>
      <c r="BB44" s="1114"/>
      <c r="BC44" s="1114"/>
      <c r="BD44" s="1114"/>
      <c r="BE44" s="1114"/>
      <c r="BF44" s="1116"/>
      <c r="BG44" s="1116"/>
      <c r="BH44" s="1120"/>
      <c r="BI44" s="1120"/>
      <c r="BJ44" s="287"/>
      <c r="BK44" s="287"/>
      <c r="BL44" s="1114"/>
      <c r="BM44" s="1116"/>
      <c r="BN44" s="1116"/>
      <c r="BO44" s="1115"/>
      <c r="BP44" s="1144"/>
      <c r="BQ44" s="1114"/>
      <c r="BR44" s="1145"/>
      <c r="BS44" s="1114"/>
      <c r="BT44" s="1114"/>
      <c r="BU44" s="1114"/>
      <c r="BV44" s="1114"/>
      <c r="BW44" s="1114"/>
      <c r="BX44" s="1114"/>
      <c r="BY44" s="1114"/>
      <c r="BZ44" s="1114"/>
      <c r="CA44" s="1114"/>
      <c r="CB44" s="1114"/>
      <c r="CC44" s="1114"/>
      <c r="CD44" s="1114"/>
      <c r="CE44" s="1114"/>
      <c r="CJ44" s="285"/>
    </row>
    <row r="45" spans="1:109" ht="15" customHeight="1" x14ac:dyDescent="0.45">
      <c r="A45" s="1574" t="s">
        <v>202</v>
      </c>
      <c r="B45" s="1670">
        <v>1.4300999999999999</v>
      </c>
      <c r="C45" s="121" t="s">
        <v>57</v>
      </c>
      <c r="D45" s="201" t="s">
        <v>58</v>
      </c>
      <c r="E45" s="658" t="s">
        <v>39</v>
      </c>
      <c r="F45" s="17" t="s">
        <v>40</v>
      </c>
      <c r="G45" s="89">
        <f t="shared" ref="G45:G75" si="37">U45*T45*0.001</f>
        <v>119.30319</v>
      </c>
      <c r="H45" s="703">
        <v>152.76</v>
      </c>
      <c r="I45" s="175">
        <f>H45/G45</f>
        <v>1.2804351669054279</v>
      </c>
      <c r="J45" s="509">
        <v>279</v>
      </c>
      <c r="K45" s="667">
        <v>641</v>
      </c>
      <c r="L45" s="724">
        <v>279</v>
      </c>
      <c r="M45" s="663">
        <v>641</v>
      </c>
      <c r="N45" s="713">
        <v>150</v>
      </c>
      <c r="O45" s="202">
        <v>50.9</v>
      </c>
      <c r="P45" s="202">
        <v>49.9</v>
      </c>
      <c r="Q45" s="202">
        <v>2.95</v>
      </c>
      <c r="R45" s="202">
        <v>2.96</v>
      </c>
      <c r="S45" s="202">
        <f>MIN(Q45,R45)</f>
        <v>2.95</v>
      </c>
      <c r="T45" s="162">
        <f t="shared" ref="T45:T68" si="38">(O45-2*Q45)*R45+2*(P45*Q45)</f>
        <v>427.61</v>
      </c>
      <c r="U45" s="198">
        <f>((P45*Q45*J45*2)+((O45-2*Q45)*R45*L45))/T45</f>
        <v>279</v>
      </c>
      <c r="V45" s="1120">
        <v>203000</v>
      </c>
      <c r="W45" s="207">
        <f>U45/V45</f>
        <v>1.374384236453202E-3</v>
      </c>
      <c r="X45" s="64">
        <f>((P45*Q45*K45*2)+((O45-2*Q45)*R45*M45))/T45</f>
        <v>641</v>
      </c>
      <c r="Y45" s="26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76"/>
      <c r="AL45" s="176"/>
      <c r="AM45" s="1114"/>
      <c r="AN45" s="176"/>
      <c r="AO45" s="176"/>
      <c r="AP45" s="1114"/>
      <c r="AQ45" s="1114"/>
      <c r="AR45" s="176"/>
      <c r="AS45" s="176"/>
      <c r="AT45" s="176"/>
      <c r="AU45" s="176"/>
      <c r="AV45" s="176"/>
      <c r="AW45" s="176"/>
      <c r="AX45" s="176"/>
      <c r="AY45" s="176"/>
      <c r="AZ45" s="1114"/>
      <c r="BA45" s="195"/>
      <c r="BB45" s="176"/>
      <c r="BC45" s="176"/>
      <c r="BD45" s="176"/>
      <c r="BE45" s="176"/>
      <c r="BF45" s="176"/>
      <c r="BG45" s="176"/>
      <c r="BH45" s="1115"/>
      <c r="BI45" s="226"/>
      <c r="BJ45" s="195"/>
      <c r="BK45" s="195"/>
      <c r="BL45" s="176"/>
      <c r="BM45" s="195"/>
      <c r="BN45" s="226"/>
      <c r="BO45" s="176"/>
      <c r="BP45" s="195"/>
      <c r="BQ45" s="273"/>
      <c r="BR45" s="195"/>
      <c r="BS45" s="176"/>
      <c r="BT45" s="176"/>
      <c r="BU45" s="176"/>
      <c r="BV45" s="176"/>
      <c r="BW45" s="176"/>
      <c r="BX45" s="195"/>
      <c r="BY45" s="176"/>
      <c r="BZ45" s="176"/>
      <c r="CA45" s="1114"/>
      <c r="CB45" s="226"/>
      <c r="CC45" s="591"/>
      <c r="CD45" s="1116"/>
      <c r="CE45" s="700"/>
      <c r="CJ45" s="285"/>
    </row>
    <row r="46" spans="1:109" ht="15.75" customHeight="1" x14ac:dyDescent="0.45">
      <c r="A46" s="1579"/>
      <c r="B46" s="1671"/>
      <c r="C46" s="295" t="s">
        <v>57</v>
      </c>
      <c r="D46" s="201" t="s">
        <v>59</v>
      </c>
      <c r="E46" s="658" t="s">
        <v>39</v>
      </c>
      <c r="F46" s="17" t="s">
        <v>40</v>
      </c>
      <c r="G46" s="89">
        <f t="shared" si="37"/>
        <v>197.90184240000002</v>
      </c>
      <c r="H46" s="703">
        <v>192.81</v>
      </c>
      <c r="I46" s="175">
        <f t="shared" ref="I46:I63" si="39">H46/G46</f>
        <v>0.97427086914275229</v>
      </c>
      <c r="J46" s="509">
        <v>279</v>
      </c>
      <c r="K46" s="667">
        <v>641</v>
      </c>
      <c r="L46" s="501">
        <v>279</v>
      </c>
      <c r="M46" s="687">
        <v>641</v>
      </c>
      <c r="N46" s="714">
        <v>300</v>
      </c>
      <c r="O46" s="656">
        <v>50</v>
      </c>
      <c r="P46" s="656">
        <v>98.9</v>
      </c>
      <c r="Q46" s="656">
        <v>2.93</v>
      </c>
      <c r="R46" s="656">
        <v>2.94</v>
      </c>
      <c r="S46" s="656">
        <f t="shared" ref="S46:S60" si="40">MIN(Q46,R46)</f>
        <v>2.93</v>
      </c>
      <c r="T46" s="162">
        <f t="shared" si="38"/>
        <v>709.32560000000012</v>
      </c>
      <c r="U46" s="198">
        <f t="shared" ref="U46:U90" si="41">((P46*Q46*J46*2)+((O46-2*Q46)*R46*L46))/T46</f>
        <v>279</v>
      </c>
      <c r="V46" s="1120">
        <v>203000</v>
      </c>
      <c r="W46" s="207">
        <f t="shared" ref="W46:W68" si="42">U46/V46</f>
        <v>1.374384236453202E-3</v>
      </c>
      <c r="X46" s="64">
        <f t="shared" ref="X46:X90" si="43">((P46*Q46*K46*2)+((O46-2*Q46)*R46*M46))/T46</f>
        <v>641</v>
      </c>
      <c r="Y46" s="26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76"/>
      <c r="AL46" s="176"/>
      <c r="AM46" s="1114"/>
      <c r="AN46" s="176"/>
      <c r="AO46" s="176"/>
      <c r="AP46" s="1114"/>
      <c r="AQ46" s="1114"/>
      <c r="AR46" s="176"/>
      <c r="AS46" s="176"/>
      <c r="AT46" s="176"/>
      <c r="AU46" s="176"/>
      <c r="AV46" s="176"/>
      <c r="AW46" s="176"/>
      <c r="AX46" s="176"/>
      <c r="AY46" s="176"/>
      <c r="AZ46" s="1114"/>
      <c r="BA46" s="195"/>
      <c r="BB46" s="176"/>
      <c r="BC46" s="176"/>
      <c r="BD46" s="1114"/>
      <c r="BE46" s="176"/>
      <c r="BF46" s="176"/>
      <c r="BG46" s="176"/>
      <c r="BH46" s="1115"/>
      <c r="BI46" s="226"/>
      <c r="BJ46" s="195"/>
      <c r="BK46" s="195"/>
      <c r="BL46" s="176"/>
      <c r="BM46" s="195"/>
      <c r="BN46" s="226"/>
      <c r="BO46" s="176"/>
      <c r="BP46" s="195"/>
      <c r="BQ46" s="273"/>
      <c r="BR46" s="195"/>
      <c r="BS46" s="176"/>
      <c r="BT46" s="176"/>
      <c r="BU46" s="176"/>
      <c r="BV46" s="176"/>
      <c r="BW46" s="176"/>
      <c r="BX46" s="195"/>
      <c r="BY46" s="176"/>
      <c r="BZ46" s="176"/>
      <c r="CA46" s="1114"/>
      <c r="CB46" s="226"/>
      <c r="CC46" s="591"/>
      <c r="CD46" s="1116"/>
      <c r="CE46" s="700"/>
      <c r="CJ46" s="285"/>
    </row>
    <row r="47" spans="1:109" ht="15.75" customHeight="1" x14ac:dyDescent="0.45">
      <c r="A47" s="1579"/>
      <c r="B47" s="1671"/>
      <c r="C47" s="295" t="s">
        <v>57</v>
      </c>
      <c r="D47" s="201" t="s">
        <v>60</v>
      </c>
      <c r="E47" s="658" t="s">
        <v>39</v>
      </c>
      <c r="F47" s="17" t="s">
        <v>40</v>
      </c>
      <c r="G47" s="89">
        <f t="shared" si="37"/>
        <v>159.49595789999998</v>
      </c>
      <c r="H47" s="703">
        <v>171.08</v>
      </c>
      <c r="I47" s="175">
        <f t="shared" si="39"/>
        <v>1.07262906378645</v>
      </c>
      <c r="J47" s="509">
        <v>279</v>
      </c>
      <c r="K47" s="667">
        <v>641</v>
      </c>
      <c r="L47" s="501">
        <v>279</v>
      </c>
      <c r="M47" s="687">
        <v>641</v>
      </c>
      <c r="N47" s="714">
        <v>300</v>
      </c>
      <c r="O47" s="656">
        <v>101.25</v>
      </c>
      <c r="P47" s="656">
        <v>49.7</v>
      </c>
      <c r="Q47" s="656">
        <v>2.94</v>
      </c>
      <c r="R47" s="656">
        <v>2.93</v>
      </c>
      <c r="S47" s="656">
        <f t="shared" si="40"/>
        <v>2.93</v>
      </c>
      <c r="T47" s="162">
        <f t="shared" si="38"/>
        <v>571.67010000000005</v>
      </c>
      <c r="U47" s="198">
        <f t="shared" si="41"/>
        <v>278.99999999999994</v>
      </c>
      <c r="V47" s="1120">
        <v>203000</v>
      </c>
      <c r="W47" s="207">
        <f t="shared" si="42"/>
        <v>1.3743842364532016E-3</v>
      </c>
      <c r="X47" s="64">
        <f t="shared" si="43"/>
        <v>640.99999999999989</v>
      </c>
      <c r="Y47" s="26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76"/>
      <c r="AL47" s="176"/>
      <c r="AM47" s="1114"/>
      <c r="AN47" s="176"/>
      <c r="AO47" s="176"/>
      <c r="AP47" s="1114"/>
      <c r="AQ47" s="1114"/>
      <c r="AR47" s="176"/>
      <c r="AS47" s="176"/>
      <c r="AT47" s="176"/>
      <c r="AU47" s="176"/>
      <c r="AV47" s="176"/>
      <c r="AW47" s="176"/>
      <c r="AX47" s="176"/>
      <c r="AY47" s="176"/>
      <c r="AZ47" s="1114"/>
      <c r="BA47" s="195"/>
      <c r="BB47" s="176"/>
      <c r="BC47" s="176"/>
      <c r="BD47" s="1114"/>
      <c r="BE47" s="176"/>
      <c r="BF47" s="176"/>
      <c r="BG47" s="176"/>
      <c r="BH47" s="1115"/>
      <c r="BI47" s="226"/>
      <c r="BJ47" s="195"/>
      <c r="BK47" s="195"/>
      <c r="BL47" s="176"/>
      <c r="BM47" s="195"/>
      <c r="BN47" s="226"/>
      <c r="BO47" s="176"/>
      <c r="BP47" s="195"/>
      <c r="BQ47" s="273"/>
      <c r="BR47" s="195"/>
      <c r="BS47" s="176"/>
      <c r="BT47" s="176"/>
      <c r="BU47" s="176"/>
      <c r="BV47" s="176"/>
      <c r="BW47" s="176"/>
      <c r="BX47" s="195"/>
      <c r="BY47" s="176"/>
      <c r="BZ47" s="176"/>
      <c r="CA47" s="1114"/>
      <c r="CB47" s="226"/>
      <c r="CC47" s="591"/>
      <c r="CD47" s="1116"/>
      <c r="CE47" s="700"/>
      <c r="CJ47" s="285"/>
    </row>
    <row r="48" spans="1:109" ht="15.75" customHeight="1" x14ac:dyDescent="0.45">
      <c r="A48" s="1579"/>
      <c r="B48" s="1671"/>
      <c r="C48" s="295" t="s">
        <v>57</v>
      </c>
      <c r="D48" s="201" t="s">
        <v>61</v>
      </c>
      <c r="E48" s="658" t="s">
        <v>39</v>
      </c>
      <c r="F48" s="17" t="s">
        <v>40</v>
      </c>
      <c r="G48" s="89">
        <f t="shared" si="37"/>
        <v>201.37009139999998</v>
      </c>
      <c r="H48" s="703">
        <v>199.94</v>
      </c>
      <c r="I48" s="175">
        <f t="shared" si="39"/>
        <v>0.99289819361923382</v>
      </c>
      <c r="J48" s="509">
        <v>279</v>
      </c>
      <c r="K48" s="667">
        <v>641</v>
      </c>
      <c r="L48" s="501">
        <v>279</v>
      </c>
      <c r="M48" s="687">
        <v>641</v>
      </c>
      <c r="N48" s="714">
        <v>300</v>
      </c>
      <c r="O48" s="656">
        <v>101.3</v>
      </c>
      <c r="P48" s="656">
        <v>75.2</v>
      </c>
      <c r="Q48" s="656">
        <v>2.94</v>
      </c>
      <c r="R48" s="656">
        <v>2.93</v>
      </c>
      <c r="S48" s="656">
        <f t="shared" si="40"/>
        <v>2.93</v>
      </c>
      <c r="T48" s="162">
        <f t="shared" si="38"/>
        <v>721.75659999999993</v>
      </c>
      <c r="U48" s="198">
        <f t="shared" si="41"/>
        <v>279</v>
      </c>
      <c r="V48" s="1120">
        <v>203000</v>
      </c>
      <c r="W48" s="207">
        <f>U48/V48</f>
        <v>1.374384236453202E-3</v>
      </c>
      <c r="X48" s="64">
        <f t="shared" si="43"/>
        <v>641.00000000000011</v>
      </c>
      <c r="Y48" s="26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76"/>
      <c r="AL48" s="176"/>
      <c r="AM48" s="1114"/>
      <c r="AN48" s="176"/>
      <c r="AO48" s="176"/>
      <c r="AP48" s="1114"/>
      <c r="AQ48" s="1114"/>
      <c r="AR48" s="176"/>
      <c r="AS48" s="176"/>
      <c r="AT48" s="176"/>
      <c r="AU48" s="176"/>
      <c r="AV48" s="176"/>
      <c r="AW48" s="176"/>
      <c r="AX48" s="176"/>
      <c r="AY48" s="176"/>
      <c r="AZ48" s="1114"/>
      <c r="BA48" s="195"/>
      <c r="BB48" s="176"/>
      <c r="BC48" s="176"/>
      <c r="BD48" s="1114"/>
      <c r="BE48" s="176"/>
      <c r="BF48" s="176"/>
      <c r="BG48" s="176"/>
      <c r="BH48" s="1115"/>
      <c r="BI48" s="226"/>
      <c r="BJ48" s="195"/>
      <c r="BK48" s="510"/>
      <c r="BL48" s="176"/>
      <c r="BM48" s="195"/>
      <c r="BN48" s="226"/>
      <c r="BO48" s="176"/>
      <c r="BP48" s="195"/>
      <c r="BQ48" s="273"/>
      <c r="BR48" s="195"/>
      <c r="BS48" s="176"/>
      <c r="BT48" s="176"/>
      <c r="BU48" s="176"/>
      <c r="BV48" s="176"/>
      <c r="BW48" s="176"/>
      <c r="BX48" s="195"/>
      <c r="BY48" s="176"/>
      <c r="BZ48" s="176"/>
      <c r="CA48" s="1114"/>
      <c r="CB48" s="226"/>
      <c r="CC48" s="591"/>
      <c r="CD48" s="1116"/>
      <c r="CE48" s="700"/>
      <c r="CJ48" s="285"/>
    </row>
    <row r="49" spans="1:88" ht="17.25" customHeight="1" x14ac:dyDescent="0.45">
      <c r="A49" s="1579"/>
      <c r="B49" s="1671"/>
      <c r="C49" s="295" t="s">
        <v>57</v>
      </c>
      <c r="D49" s="201" t="s">
        <v>62</v>
      </c>
      <c r="E49" s="658" t="s">
        <v>39</v>
      </c>
      <c r="F49" s="17" t="s">
        <v>40</v>
      </c>
      <c r="G49" s="89">
        <f t="shared" si="37"/>
        <v>240.67510920000001</v>
      </c>
      <c r="H49" s="703">
        <v>203.37</v>
      </c>
      <c r="I49" s="175">
        <f t="shared" si="39"/>
        <v>0.84499805848639042</v>
      </c>
      <c r="J49" s="509">
        <v>279</v>
      </c>
      <c r="K49" s="667">
        <v>641</v>
      </c>
      <c r="L49" s="501">
        <v>279</v>
      </c>
      <c r="M49" s="687">
        <v>641</v>
      </c>
      <c r="N49" s="714">
        <v>300</v>
      </c>
      <c r="O49" s="656">
        <v>101.2</v>
      </c>
      <c r="P49" s="656">
        <v>99.7</v>
      </c>
      <c r="Q49" s="656">
        <v>2.93</v>
      </c>
      <c r="R49" s="656">
        <v>2.92</v>
      </c>
      <c r="S49" s="656">
        <f t="shared" si="40"/>
        <v>2.92</v>
      </c>
      <c r="T49" s="162">
        <f t="shared" si="38"/>
        <v>862.63480000000004</v>
      </c>
      <c r="U49" s="198">
        <f t="shared" si="41"/>
        <v>279</v>
      </c>
      <c r="V49" s="1120">
        <v>203000</v>
      </c>
      <c r="W49" s="207">
        <f t="shared" si="42"/>
        <v>1.374384236453202E-3</v>
      </c>
      <c r="X49" s="64">
        <f t="shared" si="43"/>
        <v>641</v>
      </c>
      <c r="Y49" s="26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76"/>
      <c r="AL49" s="176"/>
      <c r="AM49" s="1114"/>
      <c r="AN49" s="176"/>
      <c r="AO49" s="176"/>
      <c r="AP49" s="1114"/>
      <c r="AQ49" s="1114"/>
      <c r="AR49" s="176"/>
      <c r="AS49" s="176"/>
      <c r="AT49" s="176"/>
      <c r="AU49" s="176"/>
      <c r="AV49" s="176"/>
      <c r="AW49" s="176"/>
      <c r="AX49" s="176"/>
      <c r="AY49" s="176"/>
      <c r="AZ49" s="1114"/>
      <c r="BA49" s="195"/>
      <c r="BB49" s="176"/>
      <c r="BC49" s="176"/>
      <c r="BD49" s="1114"/>
      <c r="BE49" s="176"/>
      <c r="BF49" s="176"/>
      <c r="BG49" s="176"/>
      <c r="BH49" s="1115"/>
      <c r="BI49" s="226"/>
      <c r="BJ49" s="195"/>
      <c r="BK49" s="195"/>
      <c r="BL49" s="176"/>
      <c r="BM49" s="195"/>
      <c r="BN49" s="226"/>
      <c r="BO49" s="176"/>
      <c r="BP49" s="195"/>
      <c r="BQ49" s="273"/>
      <c r="BR49" s="195"/>
      <c r="BS49" s="176"/>
      <c r="BT49" s="176"/>
      <c r="BU49" s="176"/>
      <c r="BV49" s="176"/>
      <c r="BW49" s="176"/>
      <c r="BX49" s="195"/>
      <c r="BY49" s="176"/>
      <c r="BZ49" s="176"/>
      <c r="CA49" s="1114"/>
      <c r="CB49" s="226"/>
      <c r="CC49" s="591"/>
      <c r="CD49" s="1116"/>
      <c r="CE49" s="700"/>
      <c r="CJ49" s="285"/>
    </row>
    <row r="50" spans="1:88" ht="14.25" customHeight="1" x14ac:dyDescent="0.45">
      <c r="A50" s="1579"/>
      <c r="B50" s="1671"/>
      <c r="C50" s="295" t="s">
        <v>57</v>
      </c>
      <c r="D50" s="201" t="s">
        <v>63</v>
      </c>
      <c r="E50" s="658" t="s">
        <v>39</v>
      </c>
      <c r="F50" s="17" t="s">
        <v>40</v>
      </c>
      <c r="G50" s="89">
        <f t="shared" si="37"/>
        <v>282.21519599999999</v>
      </c>
      <c r="H50" s="703">
        <v>207.72</v>
      </c>
      <c r="I50" s="175">
        <f t="shared" si="39"/>
        <v>0.73603407238212648</v>
      </c>
      <c r="J50" s="509">
        <v>279</v>
      </c>
      <c r="K50" s="667">
        <v>641</v>
      </c>
      <c r="L50" s="501">
        <v>279</v>
      </c>
      <c r="M50" s="687">
        <v>641</v>
      </c>
      <c r="N50" s="714">
        <v>450</v>
      </c>
      <c r="O50" s="656">
        <v>150.9</v>
      </c>
      <c r="P50" s="656">
        <v>99.6</v>
      </c>
      <c r="Q50" s="656">
        <v>2.93</v>
      </c>
      <c r="R50" s="656">
        <v>2.95</v>
      </c>
      <c r="S50" s="656">
        <f t="shared" si="40"/>
        <v>2.93</v>
      </c>
      <c r="T50" s="162">
        <f t="shared" si="38"/>
        <v>1011.5239999999999</v>
      </c>
      <c r="U50" s="198">
        <f t="shared" si="41"/>
        <v>279</v>
      </c>
      <c r="V50" s="1120">
        <v>203000</v>
      </c>
      <c r="W50" s="207">
        <f t="shared" si="42"/>
        <v>1.374384236453202E-3</v>
      </c>
      <c r="X50" s="64">
        <f t="shared" si="43"/>
        <v>641</v>
      </c>
      <c r="Y50" s="26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76"/>
      <c r="AL50" s="176"/>
      <c r="AM50" s="1114"/>
      <c r="AN50" s="176"/>
      <c r="AO50" s="176"/>
      <c r="AP50" s="1114"/>
      <c r="AQ50" s="1114"/>
      <c r="AR50" s="176"/>
      <c r="AS50" s="176"/>
      <c r="AT50" s="176"/>
      <c r="AU50" s="176"/>
      <c r="AV50" s="176"/>
      <c r="AW50" s="176"/>
      <c r="AX50" s="176"/>
      <c r="AY50" s="176"/>
      <c r="AZ50" s="1114"/>
      <c r="BA50" s="195"/>
      <c r="BB50" s="176"/>
      <c r="BC50" s="176"/>
      <c r="BD50" s="1114"/>
      <c r="BE50" s="176"/>
      <c r="BF50" s="176"/>
      <c r="BG50" s="176"/>
      <c r="BH50" s="1115"/>
      <c r="BI50" s="226"/>
      <c r="BJ50" s="195"/>
      <c r="BK50" s="195"/>
      <c r="BL50" s="176"/>
      <c r="BM50" s="195"/>
      <c r="BN50" s="226"/>
      <c r="BO50" s="176"/>
      <c r="BP50" s="195"/>
      <c r="BQ50" s="273"/>
      <c r="BR50" s="195"/>
      <c r="BS50" s="176"/>
      <c r="BT50" s="176"/>
      <c r="BU50" s="176"/>
      <c r="BV50" s="176"/>
      <c r="BW50" s="176"/>
      <c r="BX50" s="195"/>
      <c r="BY50" s="176"/>
      <c r="BZ50" s="176"/>
      <c r="CA50" s="1114"/>
      <c r="CB50" s="226"/>
      <c r="CC50" s="591"/>
      <c r="CD50" s="1116"/>
      <c r="CE50" s="700"/>
      <c r="CJ50" s="285"/>
    </row>
    <row r="51" spans="1:88" ht="16.5" customHeight="1" x14ac:dyDescent="0.45">
      <c r="A51" s="1579"/>
      <c r="B51" s="1671"/>
      <c r="C51" s="295" t="s">
        <v>57</v>
      </c>
      <c r="D51" s="201" t="s">
        <v>64</v>
      </c>
      <c r="E51" s="658" t="s">
        <v>39</v>
      </c>
      <c r="F51" s="17" t="s">
        <v>40</v>
      </c>
      <c r="G51" s="89">
        <f t="shared" si="37"/>
        <v>323.01509580000004</v>
      </c>
      <c r="H51" s="703">
        <v>206.07</v>
      </c>
      <c r="I51" s="175">
        <f t="shared" si="39"/>
        <v>0.63795780036110616</v>
      </c>
      <c r="J51" s="509">
        <v>279</v>
      </c>
      <c r="K51" s="667">
        <v>641</v>
      </c>
      <c r="L51" s="501">
        <v>279</v>
      </c>
      <c r="M51" s="687">
        <v>641</v>
      </c>
      <c r="N51" s="714">
        <v>600</v>
      </c>
      <c r="O51" s="656">
        <v>200.7</v>
      </c>
      <c r="P51" s="656">
        <v>100.15</v>
      </c>
      <c r="Q51" s="656">
        <v>2.93</v>
      </c>
      <c r="R51" s="656">
        <v>2.93</v>
      </c>
      <c r="S51" s="656">
        <f t="shared" si="40"/>
        <v>2.93</v>
      </c>
      <c r="T51" s="162">
        <f t="shared" si="38"/>
        <v>1157.7601999999999</v>
      </c>
      <c r="U51" s="198">
        <f t="shared" si="41"/>
        <v>279</v>
      </c>
      <c r="V51" s="1120">
        <v>203000</v>
      </c>
      <c r="W51" s="207">
        <f t="shared" si="42"/>
        <v>1.374384236453202E-3</v>
      </c>
      <c r="X51" s="64">
        <f t="shared" si="43"/>
        <v>641</v>
      </c>
      <c r="Y51" s="26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76"/>
      <c r="AL51" s="176"/>
      <c r="AM51" s="1114"/>
      <c r="AN51" s="176"/>
      <c r="AO51" s="176"/>
      <c r="AP51" s="1114"/>
      <c r="AQ51" s="1114"/>
      <c r="AR51" s="176"/>
      <c r="AS51" s="176"/>
      <c r="AT51" s="176"/>
      <c r="AU51" s="176"/>
      <c r="AV51" s="176"/>
      <c r="AW51" s="176"/>
      <c r="AX51" s="176"/>
      <c r="AY51" s="176"/>
      <c r="AZ51" s="1114"/>
      <c r="BA51" s="195"/>
      <c r="BB51" s="176"/>
      <c r="BC51" s="176"/>
      <c r="BD51" s="1114"/>
      <c r="BE51" s="176"/>
      <c r="BF51" s="176"/>
      <c r="BG51" s="176"/>
      <c r="BH51" s="1115"/>
      <c r="BI51" s="226"/>
      <c r="BJ51" s="195"/>
      <c r="BK51" s="195"/>
      <c r="BL51" s="176"/>
      <c r="BM51" s="195"/>
      <c r="BN51" s="226"/>
      <c r="BO51" s="176"/>
      <c r="BP51" s="195"/>
      <c r="BQ51" s="273"/>
      <c r="BR51" s="195"/>
      <c r="BS51" s="176"/>
      <c r="BT51" s="176"/>
      <c r="BU51" s="176"/>
      <c r="BV51" s="176"/>
      <c r="BW51" s="176"/>
      <c r="BX51" s="195"/>
      <c r="BY51" s="176"/>
      <c r="BZ51" s="176"/>
      <c r="CA51" s="1114"/>
      <c r="CB51" s="226"/>
      <c r="CC51" s="591"/>
      <c r="CD51" s="1116"/>
      <c r="CE51" s="700"/>
    </row>
    <row r="52" spans="1:88" ht="17.25" customHeight="1" x14ac:dyDescent="0.45">
      <c r="A52" s="1575"/>
      <c r="B52" s="1672"/>
      <c r="C52" s="661" t="s">
        <v>57</v>
      </c>
      <c r="D52" s="209" t="s">
        <v>65</v>
      </c>
      <c r="E52" s="679" t="s">
        <v>39</v>
      </c>
      <c r="F52" s="18" t="s">
        <v>40</v>
      </c>
      <c r="G52" s="90">
        <f t="shared" si="37"/>
        <v>407.41002900000001</v>
      </c>
      <c r="H52" s="703">
        <v>231.41</v>
      </c>
      <c r="I52" s="467">
        <f t="shared" si="39"/>
        <v>0.5680027086422067</v>
      </c>
      <c r="J52" s="511">
        <v>279</v>
      </c>
      <c r="K52" s="665">
        <v>641</v>
      </c>
      <c r="L52" s="502">
        <v>279</v>
      </c>
      <c r="M52" s="664">
        <v>641</v>
      </c>
      <c r="N52" s="715">
        <v>600</v>
      </c>
      <c r="O52" s="210">
        <v>201.1</v>
      </c>
      <c r="P52" s="210">
        <v>150.4</v>
      </c>
      <c r="Q52" s="210">
        <v>2.94</v>
      </c>
      <c r="R52" s="210">
        <v>2.95</v>
      </c>
      <c r="S52" s="656">
        <f t="shared" si="40"/>
        <v>2.94</v>
      </c>
      <c r="T52" s="183">
        <f t="shared" si="38"/>
        <v>1460.251</v>
      </c>
      <c r="U52" s="29">
        <f t="shared" si="41"/>
        <v>279</v>
      </c>
      <c r="V52" s="1127">
        <v>203000</v>
      </c>
      <c r="W52" s="730">
        <f t="shared" si="42"/>
        <v>1.374384236453202E-3</v>
      </c>
      <c r="X52" s="76">
        <f t="shared" si="43"/>
        <v>641</v>
      </c>
      <c r="Y52" s="261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76"/>
      <c r="AL52" s="176"/>
      <c r="AM52" s="1114"/>
      <c r="AN52" s="176"/>
      <c r="AO52" s="176"/>
      <c r="AP52" s="1114"/>
      <c r="AQ52" s="1114"/>
      <c r="AR52" s="176"/>
      <c r="AS52" s="176"/>
      <c r="AT52" s="176"/>
      <c r="AU52" s="176"/>
      <c r="AV52" s="176"/>
      <c r="AW52" s="176"/>
      <c r="AX52" s="176"/>
      <c r="AY52" s="176"/>
      <c r="AZ52" s="1114"/>
      <c r="BA52" s="195"/>
      <c r="BB52" s="176"/>
      <c r="BC52" s="176"/>
      <c r="BD52" s="1114"/>
      <c r="BE52" s="176"/>
      <c r="BF52" s="176"/>
      <c r="BG52" s="176"/>
      <c r="BH52" s="119"/>
      <c r="BI52" s="226"/>
      <c r="BJ52" s="195"/>
      <c r="BK52" s="195"/>
      <c r="BL52" s="176"/>
      <c r="BM52" s="195"/>
      <c r="BN52" s="226"/>
      <c r="BO52" s="176"/>
      <c r="BP52" s="195"/>
      <c r="BQ52" s="273"/>
      <c r="BR52" s="195"/>
      <c r="BS52" s="176"/>
      <c r="BT52" s="176"/>
      <c r="BU52" s="176"/>
      <c r="BV52" s="176"/>
      <c r="BW52" s="176"/>
      <c r="BX52" s="195"/>
      <c r="BY52" s="176"/>
      <c r="BZ52" s="176"/>
      <c r="CA52" s="1114"/>
      <c r="CB52" s="226"/>
      <c r="CC52" s="591"/>
      <c r="CD52" s="1116"/>
      <c r="CE52" s="700"/>
    </row>
    <row r="53" spans="1:88" ht="15" customHeight="1" x14ac:dyDescent="0.45">
      <c r="A53" s="1574" t="s">
        <v>202</v>
      </c>
      <c r="B53" s="1670">
        <v>1.4318</v>
      </c>
      <c r="C53" s="295" t="s">
        <v>57</v>
      </c>
      <c r="D53" s="212" t="s">
        <v>58</v>
      </c>
      <c r="E53" s="658" t="s">
        <v>39</v>
      </c>
      <c r="F53" s="17" t="s">
        <v>40</v>
      </c>
      <c r="G53" s="213">
        <f t="shared" si="37"/>
        <v>221.4149496</v>
      </c>
      <c r="H53" s="704">
        <v>253.36</v>
      </c>
      <c r="I53" s="175">
        <f t="shared" si="39"/>
        <v>1.1442768451620398</v>
      </c>
      <c r="J53" s="512">
        <v>508</v>
      </c>
      <c r="K53" s="159">
        <v>829</v>
      </c>
      <c r="L53" s="498">
        <v>508</v>
      </c>
      <c r="M53" s="205">
        <v>829</v>
      </c>
      <c r="N53" s="713">
        <v>150</v>
      </c>
      <c r="O53" s="14">
        <v>51.3</v>
      </c>
      <c r="P53" s="202">
        <v>49.3</v>
      </c>
      <c r="Q53" s="202">
        <v>3.04</v>
      </c>
      <c r="R53" s="202">
        <v>3.01</v>
      </c>
      <c r="S53" s="202">
        <f t="shared" si="40"/>
        <v>3.01</v>
      </c>
      <c r="T53" s="162">
        <f t="shared" si="38"/>
        <v>435.85619999999994</v>
      </c>
      <c r="U53" s="198">
        <f t="shared" si="41"/>
        <v>508.00000000000006</v>
      </c>
      <c r="V53" s="1120">
        <v>206000</v>
      </c>
      <c r="W53" s="207">
        <f t="shared" si="42"/>
        <v>2.4660194174757283E-3</v>
      </c>
      <c r="X53" s="64">
        <f t="shared" si="43"/>
        <v>829</v>
      </c>
      <c r="Y53" s="259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76"/>
      <c r="AL53" s="176"/>
      <c r="AM53" s="1114"/>
      <c r="AN53" s="176"/>
      <c r="AO53" s="176"/>
      <c r="AP53" s="1114"/>
      <c r="AQ53" s="1114"/>
      <c r="AR53" s="176"/>
      <c r="AS53" s="176"/>
      <c r="AT53" s="176"/>
      <c r="AU53" s="176"/>
      <c r="AV53" s="176"/>
      <c r="AW53" s="176"/>
      <c r="AX53" s="176"/>
      <c r="AY53" s="176"/>
      <c r="AZ53" s="1114"/>
      <c r="BA53" s="195"/>
      <c r="BB53" s="176"/>
      <c r="BC53" s="176"/>
      <c r="BD53" s="1114"/>
      <c r="BE53" s="176"/>
      <c r="BF53" s="176"/>
      <c r="BG53" s="176"/>
      <c r="BH53" s="1115"/>
      <c r="BI53" s="226"/>
      <c r="BJ53" s="195"/>
      <c r="BK53" s="195"/>
      <c r="BL53" s="176"/>
      <c r="BM53" s="195"/>
      <c r="BN53" s="226"/>
      <c r="BO53" s="176"/>
      <c r="BP53" s="195"/>
      <c r="BQ53" s="273"/>
      <c r="BR53" s="195"/>
      <c r="BS53" s="176"/>
      <c r="BT53" s="176"/>
      <c r="BU53" s="176"/>
      <c r="BV53" s="176"/>
      <c r="BW53" s="176"/>
      <c r="BX53" s="195"/>
      <c r="BY53" s="176"/>
      <c r="BZ53" s="176"/>
      <c r="CA53" s="1114"/>
      <c r="CB53" s="226"/>
      <c r="CC53" s="591"/>
      <c r="CD53" s="1116"/>
      <c r="CE53" s="700"/>
    </row>
    <row r="54" spans="1:88" ht="14.25" customHeight="1" x14ac:dyDescent="0.45">
      <c r="A54" s="1579"/>
      <c r="B54" s="1671"/>
      <c r="C54" s="295" t="s">
        <v>57</v>
      </c>
      <c r="D54" s="201" t="s">
        <v>59</v>
      </c>
      <c r="E54" s="658" t="s">
        <v>39</v>
      </c>
      <c r="F54" s="17" t="s">
        <v>40</v>
      </c>
      <c r="G54" s="213">
        <f t="shared" si="37"/>
        <v>371.11035759999999</v>
      </c>
      <c r="H54" s="705">
        <v>289.64999999999998</v>
      </c>
      <c r="I54" s="175">
        <f t="shared" si="39"/>
        <v>0.78049559670926305</v>
      </c>
      <c r="J54" s="509">
        <v>508</v>
      </c>
      <c r="K54" s="667">
        <v>829</v>
      </c>
      <c r="L54" s="501">
        <v>508</v>
      </c>
      <c r="M54" s="687">
        <v>829</v>
      </c>
      <c r="N54" s="714">
        <v>300</v>
      </c>
      <c r="O54" s="60">
        <v>51.6</v>
      </c>
      <c r="P54" s="656">
        <v>99.2</v>
      </c>
      <c r="Q54" s="656">
        <v>2.99</v>
      </c>
      <c r="R54" s="656">
        <v>3.01</v>
      </c>
      <c r="S54" s="656">
        <f t="shared" si="40"/>
        <v>2.99</v>
      </c>
      <c r="T54" s="162">
        <f t="shared" si="38"/>
        <v>730.53219999999999</v>
      </c>
      <c r="U54" s="198">
        <f t="shared" si="41"/>
        <v>508</v>
      </c>
      <c r="V54" s="1120">
        <v>206000</v>
      </c>
      <c r="W54" s="207">
        <f t="shared" si="42"/>
        <v>2.4660194174757283E-3</v>
      </c>
      <c r="X54" s="64">
        <f t="shared" si="43"/>
        <v>829</v>
      </c>
      <c r="Y54" s="26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76"/>
      <c r="AL54" s="176"/>
      <c r="AM54" s="1114"/>
      <c r="AN54" s="176"/>
      <c r="AO54" s="176"/>
      <c r="AP54" s="1114"/>
      <c r="AQ54" s="1114"/>
      <c r="AR54" s="176"/>
      <c r="AS54" s="176"/>
      <c r="AT54" s="176"/>
      <c r="AU54" s="176"/>
      <c r="AV54" s="176"/>
      <c r="AW54" s="176"/>
      <c r="AX54" s="176"/>
      <c r="AY54" s="176"/>
      <c r="AZ54" s="1114"/>
      <c r="BA54" s="195"/>
      <c r="BB54" s="176"/>
      <c r="BC54" s="176"/>
      <c r="BD54" s="1114"/>
      <c r="BE54" s="176"/>
      <c r="BF54" s="176"/>
      <c r="BG54" s="176"/>
      <c r="BH54" s="1115"/>
      <c r="BI54" s="226"/>
      <c r="BJ54" s="195"/>
      <c r="BK54" s="195"/>
      <c r="BL54" s="176"/>
      <c r="BM54" s="195"/>
      <c r="BN54" s="226"/>
      <c r="BO54" s="176"/>
      <c r="BP54" s="195"/>
      <c r="BQ54" s="273"/>
      <c r="BR54" s="195"/>
      <c r="BS54" s="176"/>
      <c r="BT54" s="176"/>
      <c r="BU54" s="176"/>
      <c r="BV54" s="176"/>
      <c r="BW54" s="176"/>
      <c r="BX54" s="195"/>
      <c r="BY54" s="176"/>
      <c r="BZ54" s="1114"/>
      <c r="CA54" s="1114"/>
      <c r="CB54" s="226"/>
      <c r="CC54" s="1116"/>
      <c r="CD54" s="1116"/>
      <c r="CE54" s="700"/>
    </row>
    <row r="55" spans="1:88" ht="15" customHeight="1" x14ac:dyDescent="0.45">
      <c r="A55" s="1579"/>
      <c r="B55" s="1671"/>
      <c r="C55" s="295" t="s">
        <v>57</v>
      </c>
      <c r="D55" s="201" t="s">
        <v>60</v>
      </c>
      <c r="E55" s="658" t="s">
        <v>39</v>
      </c>
      <c r="F55" s="17" t="s">
        <v>40</v>
      </c>
      <c r="G55" s="213">
        <f t="shared" si="37"/>
        <v>300.32319919999998</v>
      </c>
      <c r="H55" s="705">
        <v>279.52999999999997</v>
      </c>
      <c r="I55" s="175">
        <f t="shared" si="39"/>
        <v>0.93076392614560288</v>
      </c>
      <c r="J55" s="509">
        <v>508</v>
      </c>
      <c r="K55" s="667">
        <v>829</v>
      </c>
      <c r="L55" s="501">
        <v>508</v>
      </c>
      <c r="M55" s="687">
        <v>829</v>
      </c>
      <c r="N55" s="714">
        <v>300</v>
      </c>
      <c r="O55" s="60">
        <v>101.3</v>
      </c>
      <c r="P55" s="656">
        <v>50.25</v>
      </c>
      <c r="Q55" s="656">
        <v>3.03</v>
      </c>
      <c r="R55" s="656">
        <v>3.01</v>
      </c>
      <c r="S55" s="656">
        <f t="shared" si="40"/>
        <v>3.01</v>
      </c>
      <c r="T55" s="162">
        <f t="shared" si="38"/>
        <v>591.18740000000003</v>
      </c>
      <c r="U55" s="198">
        <f t="shared" si="41"/>
        <v>507.99999999999994</v>
      </c>
      <c r="V55" s="1120">
        <v>206000</v>
      </c>
      <c r="W55" s="207">
        <f t="shared" si="42"/>
        <v>2.4660194174757279E-3</v>
      </c>
      <c r="X55" s="64">
        <f t="shared" si="43"/>
        <v>828.99999999999989</v>
      </c>
      <c r="Y55" s="26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76"/>
      <c r="AL55" s="176"/>
      <c r="AM55" s="1114"/>
      <c r="AN55" s="176"/>
      <c r="AO55" s="176"/>
      <c r="AP55" s="1114"/>
      <c r="AQ55" s="1114"/>
      <c r="AR55" s="176"/>
      <c r="AS55" s="176"/>
      <c r="AT55" s="176"/>
      <c r="AU55" s="176"/>
      <c r="AV55" s="176"/>
      <c r="AW55" s="176"/>
      <c r="AX55" s="176"/>
      <c r="AY55" s="176"/>
      <c r="AZ55" s="1114"/>
      <c r="BA55" s="195"/>
      <c r="BB55" s="176"/>
      <c r="BC55" s="176"/>
      <c r="BD55" s="1114"/>
      <c r="BE55" s="176"/>
      <c r="BF55" s="176"/>
      <c r="BG55" s="176"/>
      <c r="BH55" s="1115"/>
      <c r="BI55" s="226"/>
      <c r="BJ55" s="195"/>
      <c r="BK55" s="195"/>
      <c r="BL55" s="176"/>
      <c r="BM55" s="195"/>
      <c r="BN55" s="226"/>
      <c r="BO55" s="176"/>
      <c r="BP55" s="195"/>
      <c r="BQ55" s="273"/>
      <c r="BR55" s="195"/>
      <c r="BS55" s="176"/>
      <c r="BT55" s="176"/>
      <c r="BU55" s="176"/>
      <c r="BV55" s="176"/>
      <c r="BW55" s="176"/>
      <c r="BX55" s="195"/>
      <c r="BY55" s="176"/>
      <c r="BZ55" s="1114"/>
      <c r="CA55" s="1114"/>
      <c r="CB55" s="226"/>
      <c r="CC55" s="1116"/>
      <c r="CD55" s="1116"/>
      <c r="CE55" s="700"/>
    </row>
    <row r="56" spans="1:88" ht="15" customHeight="1" x14ac:dyDescent="0.45">
      <c r="A56" s="1579"/>
      <c r="B56" s="1671"/>
      <c r="C56" s="295" t="s">
        <v>57</v>
      </c>
      <c r="D56" s="201" t="s">
        <v>61</v>
      </c>
      <c r="E56" s="658" t="s">
        <v>39</v>
      </c>
      <c r="F56" s="17" t="s">
        <v>40</v>
      </c>
      <c r="G56" s="213">
        <f t="shared" si="37"/>
        <v>375.34184519999997</v>
      </c>
      <c r="H56" s="705">
        <v>309.89999999999998</v>
      </c>
      <c r="I56" s="175">
        <f t="shared" si="39"/>
        <v>0.8256473504436217</v>
      </c>
      <c r="J56" s="509">
        <v>508</v>
      </c>
      <c r="K56" s="667">
        <v>829</v>
      </c>
      <c r="L56" s="501">
        <v>508</v>
      </c>
      <c r="M56" s="687">
        <v>829</v>
      </c>
      <c r="N56" s="714">
        <v>300</v>
      </c>
      <c r="O56" s="60">
        <v>102.05</v>
      </c>
      <c r="P56" s="656">
        <v>74.8</v>
      </c>
      <c r="Q56" s="656">
        <v>3.02</v>
      </c>
      <c r="R56" s="656">
        <v>2.99</v>
      </c>
      <c r="S56" s="656">
        <f t="shared" si="40"/>
        <v>2.99</v>
      </c>
      <c r="T56" s="162">
        <f t="shared" si="38"/>
        <v>738.86189999999999</v>
      </c>
      <c r="U56" s="198">
        <f t="shared" si="41"/>
        <v>508</v>
      </c>
      <c r="V56" s="1120">
        <v>206000</v>
      </c>
      <c r="W56" s="207">
        <f t="shared" si="42"/>
        <v>2.4660194174757283E-3</v>
      </c>
      <c r="X56" s="64">
        <f t="shared" si="43"/>
        <v>829</v>
      </c>
      <c r="Y56" s="26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76"/>
      <c r="AL56" s="176"/>
      <c r="AM56" s="1114"/>
      <c r="AN56" s="176"/>
      <c r="AO56" s="176"/>
      <c r="AP56" s="1114"/>
      <c r="AQ56" s="1114"/>
      <c r="AR56" s="176"/>
      <c r="AS56" s="176"/>
      <c r="AT56" s="176"/>
      <c r="AU56" s="176"/>
      <c r="AV56" s="176"/>
      <c r="AW56" s="176"/>
      <c r="AX56" s="176"/>
      <c r="AY56" s="176"/>
      <c r="AZ56" s="1114"/>
      <c r="BA56" s="195"/>
      <c r="BB56" s="176"/>
      <c r="BC56" s="176"/>
      <c r="BD56" s="1114"/>
      <c r="BE56" s="176"/>
      <c r="BF56" s="176"/>
      <c r="BG56" s="176"/>
      <c r="BH56" s="1115"/>
      <c r="BI56" s="226"/>
      <c r="BJ56" s="195"/>
      <c r="BK56" s="195"/>
      <c r="BL56" s="176"/>
      <c r="BM56" s="195"/>
      <c r="BN56" s="226"/>
      <c r="BO56" s="176"/>
      <c r="BP56" s="195"/>
      <c r="BQ56" s="273"/>
      <c r="BR56" s="195"/>
      <c r="BS56" s="176"/>
      <c r="BT56" s="176"/>
      <c r="BU56" s="176"/>
      <c r="BV56" s="176"/>
      <c r="BW56" s="176"/>
      <c r="BX56" s="195"/>
      <c r="BY56" s="176"/>
      <c r="BZ56" s="1114"/>
      <c r="CA56" s="1114"/>
      <c r="CB56" s="226"/>
      <c r="CC56" s="1116"/>
      <c r="CD56" s="1116"/>
      <c r="CE56" s="700"/>
    </row>
    <row r="57" spans="1:88" ht="15" customHeight="1" x14ac:dyDescent="0.45">
      <c r="A57" s="1579"/>
      <c r="B57" s="1671"/>
      <c r="C57" s="295" t="s">
        <v>57</v>
      </c>
      <c r="D57" s="201" t="s">
        <v>62</v>
      </c>
      <c r="E57" s="658" t="s">
        <v>39</v>
      </c>
      <c r="F57" s="17" t="s">
        <v>40</v>
      </c>
      <c r="G57" s="213">
        <f t="shared" si="37"/>
        <v>451.50369440000003</v>
      </c>
      <c r="H57" s="703">
        <v>323.35000000000002</v>
      </c>
      <c r="I57" s="175">
        <f t="shared" si="39"/>
        <v>0.71616246779485937</v>
      </c>
      <c r="J57" s="509">
        <v>508</v>
      </c>
      <c r="K57" s="667">
        <v>829</v>
      </c>
      <c r="L57" s="501">
        <v>508</v>
      </c>
      <c r="M57" s="687">
        <v>829</v>
      </c>
      <c r="N57" s="714">
        <v>300</v>
      </c>
      <c r="O57" s="60">
        <v>100.3</v>
      </c>
      <c r="P57" s="656">
        <v>99.7</v>
      </c>
      <c r="Q57" s="656">
        <v>3.03</v>
      </c>
      <c r="R57" s="656">
        <v>3.02</v>
      </c>
      <c r="S57" s="656">
        <f t="shared" si="40"/>
        <v>3.02</v>
      </c>
      <c r="T57" s="162">
        <f t="shared" si="38"/>
        <v>888.78680000000008</v>
      </c>
      <c r="U57" s="198">
        <f t="shared" si="41"/>
        <v>508</v>
      </c>
      <c r="V57" s="1120">
        <v>206000</v>
      </c>
      <c r="W57" s="207">
        <f t="shared" si="42"/>
        <v>2.4660194174757283E-3</v>
      </c>
      <c r="X57" s="64">
        <f t="shared" si="43"/>
        <v>828.99999999999989</v>
      </c>
      <c r="Y57" s="26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76"/>
      <c r="AL57" s="176"/>
      <c r="AM57" s="1114"/>
      <c r="AN57" s="176"/>
      <c r="AO57" s="176"/>
      <c r="AP57" s="1114"/>
      <c r="AQ57" s="1114"/>
      <c r="AR57" s="176"/>
      <c r="AS57" s="176"/>
      <c r="AT57" s="176"/>
      <c r="AU57" s="176"/>
      <c r="AV57" s="176"/>
      <c r="AW57" s="176"/>
      <c r="AX57" s="176"/>
      <c r="AY57" s="176"/>
      <c r="AZ57" s="1114"/>
      <c r="BA57" s="195"/>
      <c r="BB57" s="176"/>
      <c r="BC57" s="176"/>
      <c r="BD57" s="1114"/>
      <c r="BE57" s="176"/>
      <c r="BF57" s="176"/>
      <c r="BG57" s="176"/>
      <c r="BH57" s="1115"/>
      <c r="BI57" s="226"/>
      <c r="BJ57" s="195"/>
      <c r="BK57" s="195"/>
      <c r="BL57" s="176"/>
      <c r="BM57" s="195"/>
      <c r="BN57" s="226"/>
      <c r="BO57" s="176"/>
      <c r="BP57" s="195"/>
      <c r="BQ57" s="273"/>
      <c r="BR57" s="195"/>
      <c r="BS57" s="176"/>
      <c r="BT57" s="176"/>
      <c r="BU57" s="176"/>
      <c r="BV57" s="176"/>
      <c r="BW57" s="176"/>
      <c r="BX57" s="195"/>
      <c r="BY57" s="176"/>
      <c r="BZ57" s="1114"/>
      <c r="CA57" s="1114"/>
      <c r="CB57" s="226"/>
      <c r="CC57" s="1116"/>
      <c r="CD57" s="1116"/>
      <c r="CE57" s="700"/>
    </row>
    <row r="58" spans="1:88" ht="16.5" customHeight="1" x14ac:dyDescent="0.45">
      <c r="A58" s="1579"/>
      <c r="B58" s="1671"/>
      <c r="C58" s="295" t="s">
        <v>57</v>
      </c>
      <c r="D58" s="201" t="s">
        <v>63</v>
      </c>
      <c r="E58" s="658" t="s">
        <v>39</v>
      </c>
      <c r="F58" s="17" t="s">
        <v>40</v>
      </c>
      <c r="G58" s="213">
        <f t="shared" si="37"/>
        <v>529.05345039999997</v>
      </c>
      <c r="H58" s="703">
        <v>310.11</v>
      </c>
      <c r="I58" s="175">
        <f t="shared" si="39"/>
        <v>0.58616005578554686</v>
      </c>
      <c r="J58" s="509">
        <v>508</v>
      </c>
      <c r="K58" s="667">
        <v>829</v>
      </c>
      <c r="L58" s="501">
        <v>508</v>
      </c>
      <c r="M58" s="687">
        <v>829</v>
      </c>
      <c r="N58" s="714">
        <v>450</v>
      </c>
      <c r="O58" s="60">
        <v>151.25</v>
      </c>
      <c r="P58" s="656">
        <v>99.5</v>
      </c>
      <c r="Q58" s="656">
        <v>3.03</v>
      </c>
      <c r="R58" s="656">
        <v>3.02</v>
      </c>
      <c r="S58" s="656">
        <f t="shared" si="40"/>
        <v>3.02</v>
      </c>
      <c r="T58" s="162">
        <f t="shared" si="38"/>
        <v>1041.4438</v>
      </c>
      <c r="U58" s="198">
        <f t="shared" si="41"/>
        <v>507.99999999999994</v>
      </c>
      <c r="V58" s="1120">
        <v>206000</v>
      </c>
      <c r="W58" s="207">
        <f t="shared" si="42"/>
        <v>2.4660194174757279E-3</v>
      </c>
      <c r="X58" s="64">
        <f t="shared" si="43"/>
        <v>828.99999999999989</v>
      </c>
      <c r="Y58" s="26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76"/>
      <c r="AL58" s="176"/>
      <c r="AM58" s="1114"/>
      <c r="AN58" s="176"/>
      <c r="AO58" s="176"/>
      <c r="AP58" s="1114"/>
      <c r="AQ58" s="1114"/>
      <c r="AR58" s="176"/>
      <c r="AS58" s="176"/>
      <c r="AT58" s="176"/>
      <c r="AU58" s="176"/>
      <c r="AV58" s="176"/>
      <c r="AW58" s="176"/>
      <c r="AX58" s="176"/>
      <c r="AY58" s="176"/>
      <c r="AZ58" s="1114"/>
      <c r="BA58" s="195"/>
      <c r="BB58" s="176"/>
      <c r="BC58" s="176"/>
      <c r="BD58" s="1114"/>
      <c r="BE58" s="176"/>
      <c r="BF58" s="176"/>
      <c r="BG58" s="176"/>
      <c r="BH58" s="1115"/>
      <c r="BI58" s="226"/>
      <c r="BJ58" s="195"/>
      <c r="BK58" s="195"/>
      <c r="BL58" s="176"/>
      <c r="BM58" s="195"/>
      <c r="BN58" s="226"/>
      <c r="BO58" s="176"/>
      <c r="BP58" s="195"/>
      <c r="BQ58" s="273"/>
      <c r="BR58" s="195"/>
      <c r="BS58" s="176"/>
      <c r="BT58" s="176"/>
      <c r="BU58" s="176"/>
      <c r="BV58" s="176"/>
      <c r="BW58" s="176"/>
      <c r="BX58" s="195"/>
      <c r="BY58" s="176"/>
      <c r="BZ58" s="1114"/>
      <c r="CA58" s="1114"/>
      <c r="CB58" s="226"/>
      <c r="CC58" s="1116"/>
      <c r="CD58" s="1116"/>
      <c r="CE58" s="700"/>
    </row>
    <row r="59" spans="1:88" ht="15.75" customHeight="1" x14ac:dyDescent="0.45">
      <c r="A59" s="1579"/>
      <c r="B59" s="1671"/>
      <c r="C59" s="295" t="s">
        <v>57</v>
      </c>
      <c r="D59" s="201" t="s">
        <v>64</v>
      </c>
      <c r="E59" s="658" t="s">
        <v>39</v>
      </c>
      <c r="F59" s="17" t="s">
        <v>40</v>
      </c>
      <c r="G59" s="213">
        <f t="shared" si="37"/>
        <v>606.70978480000008</v>
      </c>
      <c r="H59" s="703">
        <v>311.48</v>
      </c>
      <c r="I59" s="175">
        <f t="shared" si="39"/>
        <v>0.51339208267867054</v>
      </c>
      <c r="J59" s="509">
        <v>508</v>
      </c>
      <c r="K59" s="667">
        <v>829</v>
      </c>
      <c r="L59" s="501">
        <v>508</v>
      </c>
      <c r="M59" s="687">
        <v>829</v>
      </c>
      <c r="N59" s="714">
        <v>600</v>
      </c>
      <c r="O59" s="60">
        <v>201.95</v>
      </c>
      <c r="P59" s="656">
        <v>100.1</v>
      </c>
      <c r="Q59" s="656">
        <v>3.01</v>
      </c>
      <c r="R59" s="656">
        <v>3.02</v>
      </c>
      <c r="S59" s="656">
        <f t="shared" si="40"/>
        <v>3.01</v>
      </c>
      <c r="T59" s="162">
        <f t="shared" si="38"/>
        <v>1194.3105999999998</v>
      </c>
      <c r="U59" s="198">
        <f t="shared" si="41"/>
        <v>508.00000000000011</v>
      </c>
      <c r="V59" s="1120">
        <v>206000</v>
      </c>
      <c r="W59" s="207">
        <f t="shared" si="42"/>
        <v>2.4660194174757287E-3</v>
      </c>
      <c r="X59" s="64">
        <f t="shared" si="43"/>
        <v>829.00000000000011</v>
      </c>
      <c r="Y59" s="26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76"/>
      <c r="AL59" s="176"/>
      <c r="AM59" s="1114"/>
      <c r="AN59" s="176"/>
      <c r="AO59" s="176"/>
      <c r="AP59" s="1114"/>
      <c r="AQ59" s="1114"/>
      <c r="AR59" s="176"/>
      <c r="AS59" s="176"/>
      <c r="AT59" s="176"/>
      <c r="AU59" s="176"/>
      <c r="AV59" s="176"/>
      <c r="AW59" s="176"/>
      <c r="AX59" s="176"/>
      <c r="AY59" s="176"/>
      <c r="AZ59" s="1114"/>
      <c r="BA59" s="195"/>
      <c r="BB59" s="176"/>
      <c r="BC59" s="176"/>
      <c r="BD59" s="1114"/>
      <c r="BE59" s="176"/>
      <c r="BF59" s="176"/>
      <c r="BG59" s="176"/>
      <c r="BH59" s="1115"/>
      <c r="BI59" s="226"/>
      <c r="BJ59" s="195"/>
      <c r="BK59" s="195"/>
      <c r="BL59" s="176"/>
      <c r="BM59" s="195"/>
      <c r="BN59" s="226"/>
      <c r="BO59" s="176"/>
      <c r="BP59" s="195"/>
      <c r="BQ59" s="273"/>
      <c r="BR59" s="195"/>
      <c r="BS59" s="176"/>
      <c r="BT59" s="176"/>
      <c r="BU59" s="176"/>
      <c r="BV59" s="176"/>
      <c r="BW59" s="176"/>
      <c r="BX59" s="195"/>
      <c r="BY59" s="176"/>
      <c r="BZ59" s="1114"/>
      <c r="CA59" s="1114"/>
      <c r="CB59" s="226"/>
      <c r="CC59" s="1116"/>
      <c r="CD59" s="1116"/>
      <c r="CE59" s="700"/>
    </row>
    <row r="60" spans="1:88" ht="15.75" customHeight="1" x14ac:dyDescent="0.45">
      <c r="A60" s="1575"/>
      <c r="B60" s="1672"/>
      <c r="C60" s="661" t="s">
        <v>57</v>
      </c>
      <c r="D60" s="209" t="s">
        <v>65</v>
      </c>
      <c r="E60" s="679" t="s">
        <v>39</v>
      </c>
      <c r="F60" s="18" t="s">
        <v>40</v>
      </c>
      <c r="G60" s="214">
        <f t="shared" si="37"/>
        <v>758.20198879999998</v>
      </c>
      <c r="H60" s="706">
        <v>359.71</v>
      </c>
      <c r="I60" s="182">
        <f t="shared" si="39"/>
        <v>0.47442502830849864</v>
      </c>
      <c r="J60" s="511">
        <v>508</v>
      </c>
      <c r="K60" s="665">
        <v>829</v>
      </c>
      <c r="L60" s="502">
        <v>508</v>
      </c>
      <c r="M60" s="664">
        <v>829</v>
      </c>
      <c r="N60" s="716">
        <v>600</v>
      </c>
      <c r="O60" s="210">
        <v>201.4</v>
      </c>
      <c r="P60" s="688">
        <v>149.75</v>
      </c>
      <c r="Q60" s="688">
        <v>3.02</v>
      </c>
      <c r="R60" s="688">
        <v>3.01</v>
      </c>
      <c r="S60" s="656">
        <f t="shared" si="40"/>
        <v>3.01</v>
      </c>
      <c r="T60" s="183">
        <f t="shared" si="38"/>
        <v>1492.5236</v>
      </c>
      <c r="U60" s="29">
        <f t="shared" si="41"/>
        <v>507.99999999999994</v>
      </c>
      <c r="V60" s="1127">
        <v>206000</v>
      </c>
      <c r="W60" s="730">
        <f t="shared" si="42"/>
        <v>2.4660194174757279E-3</v>
      </c>
      <c r="X60" s="76">
        <f t="shared" si="43"/>
        <v>829</v>
      </c>
      <c r="Y60" s="261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76"/>
      <c r="AL60" s="176"/>
      <c r="AM60" s="1114"/>
      <c r="AN60" s="176"/>
      <c r="AO60" s="176"/>
      <c r="AP60" s="1114"/>
      <c r="AQ60" s="1114"/>
      <c r="AR60" s="176"/>
      <c r="AS60" s="176"/>
      <c r="AT60" s="176"/>
      <c r="AU60" s="176"/>
      <c r="AV60" s="176"/>
      <c r="AW60" s="176"/>
      <c r="AX60" s="176"/>
      <c r="AY60" s="176"/>
      <c r="AZ60" s="1114"/>
      <c r="BA60" s="195"/>
      <c r="BB60" s="176"/>
      <c r="BC60" s="176"/>
      <c r="BD60" s="1114"/>
      <c r="BE60" s="176"/>
      <c r="BF60" s="176"/>
      <c r="BG60" s="176"/>
      <c r="BH60" s="1115"/>
      <c r="BI60" s="226"/>
      <c r="BJ60" s="195"/>
      <c r="BK60" s="195"/>
      <c r="BL60" s="176"/>
      <c r="BM60" s="195"/>
      <c r="BN60" s="226"/>
      <c r="BO60" s="176"/>
      <c r="BP60" s="195"/>
      <c r="BQ60" s="273"/>
      <c r="BR60" s="195"/>
      <c r="BS60" s="176"/>
      <c r="BT60" s="176"/>
      <c r="BU60" s="176"/>
      <c r="BV60" s="176"/>
      <c r="BW60" s="176"/>
      <c r="BX60" s="195"/>
      <c r="BY60" s="176"/>
      <c r="BZ60" s="1114"/>
      <c r="CA60" s="1114"/>
      <c r="CB60" s="226"/>
      <c r="CC60" s="1116"/>
      <c r="CD60" s="1116"/>
      <c r="CE60" s="700"/>
    </row>
    <row r="61" spans="1:88" s="491" customFormat="1" ht="16.5" customHeight="1" x14ac:dyDescent="0.45">
      <c r="A61" s="1666" t="s">
        <v>203</v>
      </c>
      <c r="B61" s="1684">
        <v>1.4300999999999999</v>
      </c>
      <c r="C61" s="1100" t="s">
        <v>57</v>
      </c>
      <c r="D61" s="1101" t="s">
        <v>66</v>
      </c>
      <c r="E61" s="141" t="s">
        <v>39</v>
      </c>
      <c r="F61" s="141" t="s">
        <v>67</v>
      </c>
      <c r="G61" s="1102">
        <f t="shared" si="37"/>
        <v>718.26378</v>
      </c>
      <c r="H61" s="1103">
        <v>885</v>
      </c>
      <c r="I61" s="1104">
        <f t="shared" si="39"/>
        <v>1.2321378644486292</v>
      </c>
      <c r="J61" s="1105">
        <v>299</v>
      </c>
      <c r="K61" s="445">
        <v>610</v>
      </c>
      <c r="L61" s="1106">
        <v>299</v>
      </c>
      <c r="M61" s="1107">
        <v>610</v>
      </c>
      <c r="N61" s="1108">
        <v>451</v>
      </c>
      <c r="O61" s="1109">
        <v>158.80000000000001</v>
      </c>
      <c r="P61" s="1109">
        <v>79.5</v>
      </c>
      <c r="Q61" s="1109">
        <v>9.86</v>
      </c>
      <c r="R61" s="1109">
        <v>6</v>
      </c>
      <c r="S61" s="1110">
        <f>3*2^0.5</f>
        <v>4.2426406871192857</v>
      </c>
      <c r="T61" s="304">
        <f t="shared" si="38"/>
        <v>2402.2200000000003</v>
      </c>
      <c r="U61" s="1111">
        <f t="shared" si="41"/>
        <v>299</v>
      </c>
      <c r="V61" s="141">
        <v>198000</v>
      </c>
      <c r="W61" s="1112">
        <f>U61/V61</f>
        <v>1.5101010101010101E-3</v>
      </c>
      <c r="X61" s="1109">
        <f t="shared" si="43"/>
        <v>609.99999999999989</v>
      </c>
      <c r="Y61" s="1113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76"/>
      <c r="AL61" s="176"/>
      <c r="AM61" s="1114"/>
      <c r="AN61" s="176"/>
      <c r="AO61" s="176"/>
      <c r="AP61" s="1114"/>
      <c r="AQ61" s="1114"/>
      <c r="AR61" s="176"/>
      <c r="AS61" s="176"/>
      <c r="AT61" s="176"/>
      <c r="AU61" s="176"/>
      <c r="AV61" s="176"/>
      <c r="AW61" s="176"/>
      <c r="AX61" s="176"/>
      <c r="AY61" s="176"/>
      <c r="AZ61" s="1114"/>
      <c r="BA61" s="195"/>
      <c r="BB61" s="176"/>
      <c r="BC61" s="176"/>
      <c r="BD61" s="1114"/>
      <c r="BE61" s="176"/>
      <c r="BF61" s="176"/>
      <c r="BG61" s="176"/>
      <c r="BH61" s="1115"/>
      <c r="BI61" s="226"/>
      <c r="BJ61" s="195"/>
      <c r="BK61" s="195"/>
      <c r="BL61" s="176"/>
      <c r="BM61" s="195"/>
      <c r="BN61" s="226"/>
      <c r="BO61" s="176"/>
      <c r="BP61" s="195"/>
      <c r="BQ61" s="273"/>
      <c r="BR61" s="195"/>
      <c r="BS61" s="176"/>
      <c r="BT61" s="176"/>
      <c r="BU61" s="176"/>
      <c r="BV61" s="176"/>
      <c r="BW61" s="176"/>
      <c r="BX61" s="195"/>
      <c r="BY61" s="176"/>
      <c r="BZ61" s="1114"/>
      <c r="CA61" s="1114"/>
      <c r="CB61" s="226"/>
      <c r="CC61" s="1116"/>
      <c r="CD61" s="1116"/>
      <c r="CE61" s="700"/>
    </row>
    <row r="62" spans="1:88" ht="15.75" customHeight="1" x14ac:dyDescent="0.45">
      <c r="A62" s="1666"/>
      <c r="B62" s="1684"/>
      <c r="C62" s="295" t="s">
        <v>57</v>
      </c>
      <c r="D62" s="201" t="s">
        <v>68</v>
      </c>
      <c r="E62" s="658" t="s">
        <v>39</v>
      </c>
      <c r="F62" s="658" t="s">
        <v>67</v>
      </c>
      <c r="G62" s="89">
        <f t="shared" si="37"/>
        <v>1209.309</v>
      </c>
      <c r="H62" s="705">
        <v>1440</v>
      </c>
      <c r="I62" s="175">
        <f t="shared" si="39"/>
        <v>1.1907626586753262</v>
      </c>
      <c r="J62" s="509">
        <v>300</v>
      </c>
      <c r="K62" s="667">
        <v>610</v>
      </c>
      <c r="L62" s="501">
        <v>300</v>
      </c>
      <c r="M62" s="687">
        <v>610</v>
      </c>
      <c r="N62" s="714">
        <v>447</v>
      </c>
      <c r="O62" s="656">
        <v>159.1</v>
      </c>
      <c r="P62" s="656">
        <v>160.75</v>
      </c>
      <c r="Q62" s="656">
        <v>9.94</v>
      </c>
      <c r="R62" s="656">
        <v>6</v>
      </c>
      <c r="S62" s="656">
        <f>3*2^0.5</f>
        <v>4.2426406871192857</v>
      </c>
      <c r="T62" s="162">
        <f t="shared" si="38"/>
        <v>4031.0299999999997</v>
      </c>
      <c r="U62" s="198">
        <f t="shared" si="41"/>
        <v>300</v>
      </c>
      <c r="V62" s="1120">
        <v>198000</v>
      </c>
      <c r="W62" s="207">
        <f t="shared" si="42"/>
        <v>1.5151515151515152E-3</v>
      </c>
      <c r="X62" s="64">
        <f t="shared" si="43"/>
        <v>610</v>
      </c>
      <c r="Y62" s="26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76"/>
      <c r="AL62" s="176"/>
      <c r="AM62" s="1114"/>
      <c r="AN62" s="176"/>
      <c r="AO62" s="176"/>
      <c r="AP62" s="1114"/>
      <c r="AQ62" s="1114"/>
      <c r="AR62" s="176"/>
      <c r="AS62" s="176"/>
      <c r="AT62" s="176"/>
      <c r="AU62" s="176"/>
      <c r="AV62" s="176"/>
      <c r="AW62" s="176"/>
      <c r="AX62" s="176"/>
      <c r="AY62" s="176"/>
      <c r="AZ62" s="1114"/>
      <c r="BA62" s="195"/>
      <c r="BB62" s="176"/>
      <c r="BC62" s="176"/>
      <c r="BD62" s="1114"/>
      <c r="BE62" s="176"/>
      <c r="BF62" s="176"/>
      <c r="BG62" s="176"/>
      <c r="BH62" s="1115"/>
      <c r="BI62" s="226"/>
      <c r="BJ62" s="195"/>
      <c r="BK62" s="195"/>
      <c r="BL62" s="176"/>
      <c r="BM62" s="195"/>
      <c r="BN62" s="226"/>
      <c r="BO62" s="176"/>
      <c r="BP62" s="195"/>
      <c r="BQ62" s="273"/>
      <c r="BR62" s="195"/>
      <c r="BS62" s="176"/>
      <c r="BT62" s="176"/>
      <c r="BU62" s="176"/>
      <c r="BV62" s="176"/>
      <c r="BW62" s="176"/>
      <c r="BX62" s="195"/>
      <c r="BY62" s="176"/>
      <c r="BZ62" s="1114"/>
      <c r="CA62" s="1114"/>
      <c r="CB62" s="226"/>
      <c r="CC62" s="1116"/>
      <c r="CD62" s="1116"/>
      <c r="CE62" s="700"/>
    </row>
    <row r="63" spans="1:88" ht="16.5" customHeight="1" x14ac:dyDescent="0.45">
      <c r="A63" s="1666"/>
      <c r="B63" s="1685"/>
      <c r="C63" s="295" t="s">
        <v>57</v>
      </c>
      <c r="D63" s="215" t="s">
        <v>69</v>
      </c>
      <c r="E63" s="658" t="s">
        <v>39</v>
      </c>
      <c r="F63" s="658" t="s">
        <v>67</v>
      </c>
      <c r="G63" s="89">
        <f t="shared" si="37"/>
        <v>1489.3487999999998</v>
      </c>
      <c r="H63" s="705">
        <v>1430</v>
      </c>
      <c r="I63" s="175">
        <f t="shared" si="39"/>
        <v>0.96015117479532008</v>
      </c>
      <c r="J63" s="509">
        <v>300</v>
      </c>
      <c r="K63" s="667">
        <v>615</v>
      </c>
      <c r="L63" s="501">
        <v>300</v>
      </c>
      <c r="M63" s="687">
        <v>615</v>
      </c>
      <c r="N63" s="717">
        <v>894</v>
      </c>
      <c r="O63" s="60">
        <v>320</v>
      </c>
      <c r="P63" s="60">
        <v>160.69999999999999</v>
      </c>
      <c r="Q63" s="60">
        <v>9.84</v>
      </c>
      <c r="R63" s="60">
        <v>6</v>
      </c>
      <c r="S63" s="656">
        <f>3*2^0.5</f>
        <v>4.2426406871192857</v>
      </c>
      <c r="T63" s="162">
        <f t="shared" si="38"/>
        <v>4964.4959999999992</v>
      </c>
      <c r="U63" s="198">
        <f>((P63*Q63*J63*2)+((O63-2*Q63)*R63*L63))/T63</f>
        <v>300</v>
      </c>
      <c r="V63" s="1120">
        <v>198000</v>
      </c>
      <c r="W63" s="207">
        <f t="shared" si="42"/>
        <v>1.5151515151515152E-3</v>
      </c>
      <c r="X63" s="64">
        <f t="shared" si="43"/>
        <v>615.00000000000011</v>
      </c>
      <c r="Y63" s="26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76"/>
      <c r="AL63" s="176"/>
      <c r="AM63" s="1114"/>
      <c r="AN63" s="176"/>
      <c r="AO63" s="176"/>
      <c r="AP63" s="1114"/>
      <c r="AQ63" s="1114"/>
      <c r="AR63" s="176"/>
      <c r="AS63" s="176"/>
      <c r="AT63" s="176"/>
      <c r="AU63" s="176"/>
      <c r="AV63" s="176"/>
      <c r="AW63" s="176"/>
      <c r="AX63" s="176"/>
      <c r="AY63" s="176"/>
      <c r="AZ63" s="1114"/>
      <c r="BA63" s="195"/>
      <c r="BB63" s="176"/>
      <c r="BC63" s="176"/>
      <c r="BD63" s="1114"/>
      <c r="BE63" s="176"/>
      <c r="BF63" s="176"/>
      <c r="BG63" s="176"/>
      <c r="BH63" s="1115"/>
      <c r="BI63" s="226"/>
      <c r="BJ63" s="195"/>
      <c r="BK63" s="195"/>
      <c r="BL63" s="176"/>
      <c r="BM63" s="195"/>
      <c r="BN63" s="226"/>
      <c r="BO63" s="176"/>
      <c r="BP63" s="195"/>
      <c r="BQ63" s="273"/>
      <c r="BR63" s="195"/>
      <c r="BS63" s="176"/>
      <c r="BT63" s="176"/>
      <c r="BU63" s="176"/>
      <c r="BV63" s="176"/>
      <c r="BW63" s="176"/>
      <c r="BX63" s="195"/>
      <c r="BY63" s="176"/>
      <c r="BZ63" s="1114"/>
      <c r="CA63" s="1114"/>
      <c r="CB63" s="226"/>
      <c r="CC63" s="1116"/>
      <c r="CD63" s="1116"/>
      <c r="CE63" s="700"/>
    </row>
    <row r="64" spans="1:88" ht="17.25" customHeight="1" x14ac:dyDescent="0.45">
      <c r="A64" s="1666"/>
      <c r="B64" s="216">
        <v>1.4461999999999999</v>
      </c>
      <c r="C64" s="295" t="s">
        <v>57</v>
      </c>
      <c r="D64" s="217" t="s">
        <v>68</v>
      </c>
      <c r="E64" s="658" t="s">
        <v>39</v>
      </c>
      <c r="F64" s="658" t="s">
        <v>67</v>
      </c>
      <c r="G64" s="89">
        <f t="shared" si="37"/>
        <v>2181.8660399999999</v>
      </c>
      <c r="H64" s="705">
        <v>2590</v>
      </c>
      <c r="I64" s="175">
        <f>H64/G64</f>
        <v>1.1870572952315626</v>
      </c>
      <c r="J64" s="509">
        <v>522</v>
      </c>
      <c r="K64" s="667">
        <v>756</v>
      </c>
      <c r="L64" s="501">
        <v>522</v>
      </c>
      <c r="M64" s="664">
        <v>756</v>
      </c>
      <c r="N64" s="717">
        <v>449</v>
      </c>
      <c r="O64" s="60">
        <v>160.5</v>
      </c>
      <c r="P64" s="60">
        <v>160.30000000000001</v>
      </c>
      <c r="Q64" s="60">
        <v>10.06</v>
      </c>
      <c r="R64" s="60">
        <v>6.8</v>
      </c>
      <c r="S64" s="656">
        <f>3*2^0.5</f>
        <v>4.2426406871192857</v>
      </c>
      <c r="T64" s="183">
        <f t="shared" si="38"/>
        <v>4179.8200000000006</v>
      </c>
      <c r="U64" s="29">
        <f t="shared" si="41"/>
        <v>521.99999999999989</v>
      </c>
      <c r="V64" s="1127">
        <v>198000</v>
      </c>
      <c r="W64" s="730">
        <f t="shared" si="42"/>
        <v>2.6363636363636359E-3</v>
      </c>
      <c r="X64" s="76">
        <f t="shared" si="43"/>
        <v>755.99999999999989</v>
      </c>
      <c r="Y64" s="26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76"/>
      <c r="AL64" s="176"/>
      <c r="AM64" s="1114"/>
      <c r="AN64" s="176"/>
      <c r="AO64" s="176"/>
      <c r="AP64" s="1114"/>
      <c r="AQ64" s="1114"/>
      <c r="AR64" s="176"/>
      <c r="AS64" s="176"/>
      <c r="AT64" s="176"/>
      <c r="AU64" s="176"/>
      <c r="AV64" s="176"/>
      <c r="AW64" s="176"/>
      <c r="AX64" s="176"/>
      <c r="AY64" s="176"/>
      <c r="AZ64" s="1114"/>
      <c r="BA64" s="195"/>
      <c r="BB64" s="176"/>
      <c r="BC64" s="176"/>
      <c r="BD64" s="1114"/>
      <c r="BE64" s="176"/>
      <c r="BF64" s="176"/>
      <c r="BG64" s="176"/>
      <c r="BH64" s="1115"/>
      <c r="BI64" s="226"/>
      <c r="BJ64" s="195"/>
      <c r="BK64" s="195"/>
      <c r="BL64" s="176"/>
      <c r="BM64" s="195"/>
      <c r="BN64" s="226"/>
      <c r="BO64" s="176"/>
      <c r="BP64" s="195"/>
      <c r="BQ64" s="273"/>
      <c r="BR64" s="195"/>
      <c r="BS64" s="176"/>
      <c r="BT64" s="176"/>
      <c r="BU64" s="1156"/>
      <c r="BV64" s="176"/>
      <c r="BW64" s="176"/>
      <c r="BX64" s="195"/>
      <c r="BY64" s="176"/>
      <c r="BZ64" s="1114"/>
      <c r="CA64" s="1114"/>
      <c r="CB64" s="226"/>
      <c r="CC64" s="1116"/>
      <c r="CD64" s="1116"/>
      <c r="CE64" s="700"/>
    </row>
    <row r="65" spans="1:97" ht="15" customHeight="1" x14ac:dyDescent="0.45">
      <c r="A65" s="1647" t="s">
        <v>389</v>
      </c>
      <c r="B65" s="1661" t="s">
        <v>161</v>
      </c>
      <c r="C65" s="22" t="s">
        <v>57</v>
      </c>
      <c r="D65" s="513" t="s">
        <v>174</v>
      </c>
      <c r="E65" s="22" t="s">
        <v>73</v>
      </c>
      <c r="F65" s="22" t="s">
        <v>67</v>
      </c>
      <c r="G65" s="108">
        <f t="shared" si="37"/>
        <v>2643.3553908000004</v>
      </c>
      <c r="H65" s="707">
        <v>2978</v>
      </c>
      <c r="I65" s="431">
        <f>H65/G65</f>
        <v>1.1265984174374377</v>
      </c>
      <c r="J65" s="512">
        <v>546.5</v>
      </c>
      <c r="K65" s="382">
        <v>722.5</v>
      </c>
      <c r="L65" s="159">
        <v>504</v>
      </c>
      <c r="M65" s="687">
        <v>727.5</v>
      </c>
      <c r="N65" s="718">
        <v>600.15</v>
      </c>
      <c r="O65" s="75">
        <v>199.13</v>
      </c>
      <c r="P65" s="75">
        <v>139.29</v>
      </c>
      <c r="Q65" s="75">
        <v>12.68</v>
      </c>
      <c r="R65" s="75">
        <v>8.14</v>
      </c>
      <c r="S65" s="202">
        <f>MIN(Q65,R65)</f>
        <v>8.14</v>
      </c>
      <c r="T65" s="162">
        <f t="shared" si="38"/>
        <v>4946.8822</v>
      </c>
      <c r="U65" s="198">
        <f t="shared" si="41"/>
        <v>534.34775358103332</v>
      </c>
      <c r="V65" s="516">
        <v>214000</v>
      </c>
      <c r="W65" s="517">
        <f>U65/V65</f>
        <v>2.4969521195375389E-3</v>
      </c>
      <c r="X65" s="64">
        <f t="shared" si="43"/>
        <v>723.92967604929015</v>
      </c>
      <c r="Y65" s="726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76"/>
      <c r="AL65" s="176"/>
      <c r="AM65" s="1114"/>
      <c r="AN65" s="176"/>
      <c r="AO65" s="176"/>
      <c r="AP65" s="1114"/>
      <c r="AQ65" s="1114"/>
      <c r="AR65" s="176"/>
      <c r="AS65" s="176"/>
      <c r="AT65" s="176"/>
      <c r="AU65" s="176"/>
      <c r="AV65" s="176"/>
      <c r="AW65" s="176"/>
      <c r="AX65" s="176"/>
      <c r="AY65" s="176"/>
      <c r="AZ65" s="1114"/>
      <c r="BA65" s="195"/>
      <c r="BB65" s="176"/>
      <c r="BC65" s="176"/>
      <c r="BD65" s="1114"/>
      <c r="BE65" s="176"/>
      <c r="BF65" s="176"/>
      <c r="BG65" s="176"/>
      <c r="BH65" s="1115"/>
      <c r="BI65" s="226"/>
      <c r="BJ65" s="195"/>
      <c r="BK65" s="195"/>
      <c r="BL65" s="176"/>
      <c r="BM65" s="195"/>
      <c r="BN65" s="226"/>
      <c r="BO65" s="176"/>
      <c r="BP65" s="195"/>
      <c r="BQ65" s="273"/>
      <c r="BR65" s="195"/>
      <c r="BS65" s="176"/>
      <c r="BT65" s="176"/>
      <c r="BU65" s="1156"/>
      <c r="BV65" s="176"/>
      <c r="BW65" s="176"/>
      <c r="BX65" s="195"/>
      <c r="BY65" s="176"/>
      <c r="BZ65" s="1114"/>
      <c r="CA65" s="1114"/>
      <c r="CB65" s="226"/>
      <c r="CC65" s="1116"/>
      <c r="CD65" s="1116"/>
      <c r="CE65" s="700"/>
      <c r="CS65" s="440"/>
    </row>
    <row r="66" spans="1:97" ht="15" customHeight="1" x14ac:dyDescent="0.45">
      <c r="A66" s="1559"/>
      <c r="B66" s="1659"/>
      <c r="C66" s="658" t="s">
        <v>57</v>
      </c>
      <c r="D66" s="515" t="s">
        <v>173</v>
      </c>
      <c r="E66" s="658" t="s">
        <v>73</v>
      </c>
      <c r="F66" s="658" t="s">
        <v>67</v>
      </c>
      <c r="G66" s="89">
        <f t="shared" si="37"/>
        <v>2163.2861699999999</v>
      </c>
      <c r="H66" s="708">
        <v>2540</v>
      </c>
      <c r="I66" s="435">
        <f t="shared" ref="I66:I90" si="44">H66/G66</f>
        <v>1.1741396192626703</v>
      </c>
      <c r="J66" s="662">
        <v>501</v>
      </c>
      <c r="K66" s="655">
        <v>768.5</v>
      </c>
      <c r="L66" s="667">
        <v>504</v>
      </c>
      <c r="M66" s="687">
        <v>727.5</v>
      </c>
      <c r="N66" s="719">
        <v>600.28</v>
      </c>
      <c r="O66" s="64">
        <v>199.15</v>
      </c>
      <c r="P66" s="64">
        <v>139</v>
      </c>
      <c r="Q66" s="64">
        <v>10.35</v>
      </c>
      <c r="R66" s="64">
        <v>8.0250000000000004</v>
      </c>
      <c r="S66" s="656">
        <f>MIN(Q66,R66)</f>
        <v>8.0250000000000004</v>
      </c>
      <c r="T66" s="162">
        <f t="shared" si="38"/>
        <v>4309.3612499999999</v>
      </c>
      <c r="U66" s="198">
        <f t="shared" si="41"/>
        <v>501.99694212222283</v>
      </c>
      <c r="V66" s="516">
        <v>215000</v>
      </c>
      <c r="W66" s="517">
        <f t="shared" si="42"/>
        <v>2.3348694982428969E-3</v>
      </c>
      <c r="X66" s="64">
        <f t="shared" si="43"/>
        <v>754.8751243296208</v>
      </c>
      <c r="Y66" s="727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76"/>
      <c r="AL66" s="176"/>
      <c r="AM66" s="1114"/>
      <c r="AN66" s="176"/>
      <c r="AO66" s="176"/>
      <c r="AP66" s="1114"/>
      <c r="AQ66" s="1114"/>
      <c r="AR66" s="176"/>
      <c r="AS66" s="176"/>
      <c r="AT66" s="176"/>
      <c r="AU66" s="176"/>
      <c r="AV66" s="176"/>
      <c r="AW66" s="176"/>
      <c r="AX66" s="176"/>
      <c r="AY66" s="176"/>
      <c r="AZ66" s="1114"/>
      <c r="BA66" s="195"/>
      <c r="BB66" s="176"/>
      <c r="BC66" s="176"/>
      <c r="BD66" s="1114"/>
      <c r="BE66" s="176"/>
      <c r="BF66" s="176"/>
      <c r="BG66" s="176"/>
      <c r="BH66" s="1115"/>
      <c r="BI66" s="226"/>
      <c r="BJ66" s="195"/>
      <c r="BK66" s="195"/>
      <c r="BL66" s="176"/>
      <c r="BM66" s="195"/>
      <c r="BN66" s="226"/>
      <c r="BO66" s="176"/>
      <c r="BP66" s="195"/>
      <c r="BQ66" s="273"/>
      <c r="BR66" s="195"/>
      <c r="BS66" s="176"/>
      <c r="BT66" s="176"/>
      <c r="BU66" s="176"/>
      <c r="BV66" s="176"/>
      <c r="BW66" s="176"/>
      <c r="BX66" s="195"/>
      <c r="BY66" s="176"/>
      <c r="BZ66" s="1114"/>
      <c r="CA66" s="1114"/>
      <c r="CB66" s="226"/>
      <c r="CC66" s="1116"/>
      <c r="CD66" s="1116"/>
      <c r="CE66" s="700"/>
      <c r="CS66" s="440"/>
    </row>
    <row r="67" spans="1:97" ht="15" customHeight="1" x14ac:dyDescent="0.45">
      <c r="A67" s="1559"/>
      <c r="B67" s="1659"/>
      <c r="C67" s="658" t="s">
        <v>57</v>
      </c>
      <c r="D67" s="515" t="s">
        <v>172</v>
      </c>
      <c r="E67" s="658" t="s">
        <v>73</v>
      </c>
      <c r="F67" s="658" t="s">
        <v>67</v>
      </c>
      <c r="G67" s="89">
        <f t="shared" si="37"/>
        <v>1697.6137392000001</v>
      </c>
      <c r="H67" s="708">
        <v>1849</v>
      </c>
      <c r="I67" s="435">
        <f t="shared" si="44"/>
        <v>1.0891759163491106</v>
      </c>
      <c r="J67" s="662">
        <v>504</v>
      </c>
      <c r="K67" s="655">
        <v>727.5</v>
      </c>
      <c r="L67" s="667">
        <v>516</v>
      </c>
      <c r="M67" s="687">
        <v>727.5</v>
      </c>
      <c r="N67" s="719">
        <v>600.33000000000004</v>
      </c>
      <c r="O67" s="64">
        <v>201.06</v>
      </c>
      <c r="P67" s="64">
        <v>139.04</v>
      </c>
      <c r="Q67" s="64">
        <v>8.0399999999999991</v>
      </c>
      <c r="R67" s="64">
        <v>5.98</v>
      </c>
      <c r="S67" s="656">
        <f>MIN(Q67,R67)</f>
        <v>5.98</v>
      </c>
      <c r="T67" s="162">
        <f t="shared" si="38"/>
        <v>3341.9435999999996</v>
      </c>
      <c r="U67" s="198">
        <f t="shared" si="41"/>
        <v>507.97198947343099</v>
      </c>
      <c r="V67" s="516">
        <v>210000</v>
      </c>
      <c r="W67" s="517">
        <f t="shared" si="42"/>
        <v>2.4189142355877666E-3</v>
      </c>
      <c r="X67" s="64">
        <f t="shared" si="43"/>
        <v>727.5</v>
      </c>
      <c r="Y67" s="727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76"/>
      <c r="AL67" s="176"/>
      <c r="AM67" s="1114"/>
      <c r="AN67" s="176"/>
      <c r="AO67" s="176"/>
      <c r="AP67" s="1114"/>
      <c r="AQ67" s="1114"/>
      <c r="AR67" s="176"/>
      <c r="AS67" s="176"/>
      <c r="AT67" s="176"/>
      <c r="AU67" s="176"/>
      <c r="AV67" s="176"/>
      <c r="AW67" s="176"/>
      <c r="AX67" s="176"/>
      <c r="AY67" s="176"/>
      <c r="AZ67" s="1114"/>
      <c r="BA67" s="195"/>
      <c r="BB67" s="176"/>
      <c r="BC67" s="176"/>
      <c r="BD67" s="1114"/>
      <c r="BE67" s="176"/>
      <c r="BF67" s="176"/>
      <c r="BG67" s="176"/>
      <c r="BH67" s="1115"/>
      <c r="BI67" s="226"/>
      <c r="BJ67" s="195"/>
      <c r="BK67" s="195"/>
      <c r="BL67" s="176"/>
      <c r="BM67" s="195"/>
      <c r="BN67" s="226"/>
      <c r="BO67" s="176"/>
      <c r="BP67" s="195"/>
      <c r="BQ67" s="273"/>
      <c r="BR67" s="195"/>
      <c r="BS67" s="176"/>
      <c r="BT67" s="176"/>
      <c r="BU67" s="176"/>
      <c r="BV67" s="176"/>
      <c r="BW67" s="176"/>
      <c r="BX67" s="195"/>
      <c r="BY67" s="176"/>
      <c r="BZ67" s="1114"/>
      <c r="CA67" s="1114"/>
      <c r="CB67" s="226"/>
      <c r="CC67" s="1116"/>
      <c r="CD67" s="1116"/>
      <c r="CE67" s="700"/>
      <c r="CS67" s="440"/>
    </row>
    <row r="68" spans="1:97" ht="15" customHeight="1" x14ac:dyDescent="0.45">
      <c r="A68" s="1648"/>
      <c r="B68" s="1660"/>
      <c r="C68" s="679" t="s">
        <v>57</v>
      </c>
      <c r="D68" s="518" t="s">
        <v>171</v>
      </c>
      <c r="E68" s="679" t="s">
        <v>73</v>
      </c>
      <c r="F68" s="679" t="s">
        <v>67</v>
      </c>
      <c r="G68" s="90">
        <f t="shared" si="37"/>
        <v>1465.8381971999997</v>
      </c>
      <c r="H68" s="709">
        <v>1473</v>
      </c>
      <c r="I68" s="436">
        <f t="shared" si="44"/>
        <v>1.0048858071877786</v>
      </c>
      <c r="J68" s="674">
        <v>516</v>
      </c>
      <c r="K68" s="665">
        <v>727.5</v>
      </c>
      <c r="L68" s="665">
        <v>516</v>
      </c>
      <c r="M68" s="664">
        <v>727.5</v>
      </c>
      <c r="N68" s="720">
        <v>600.35</v>
      </c>
      <c r="O68" s="177">
        <v>202.05</v>
      </c>
      <c r="P68" s="76">
        <v>138.88999999999999</v>
      </c>
      <c r="Q68" s="177">
        <v>6.12</v>
      </c>
      <c r="R68" s="177">
        <v>6.01</v>
      </c>
      <c r="S68" s="177">
        <f>MIN(Q68,R68)</f>
        <v>6.01</v>
      </c>
      <c r="T68" s="183">
        <f t="shared" si="38"/>
        <v>2840.7716999999998</v>
      </c>
      <c r="U68" s="29">
        <f t="shared" si="41"/>
        <v>516</v>
      </c>
      <c r="V68" s="519">
        <v>195000</v>
      </c>
      <c r="W68" s="520">
        <f t="shared" si="42"/>
        <v>2.6461538461538463E-3</v>
      </c>
      <c r="X68" s="76">
        <f t="shared" si="43"/>
        <v>727.5</v>
      </c>
      <c r="Y68" s="330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76"/>
      <c r="AL68" s="176"/>
      <c r="AM68" s="1114"/>
      <c r="AN68" s="176"/>
      <c r="AO68" s="176"/>
      <c r="AP68" s="1114"/>
      <c r="AQ68" s="1114"/>
      <c r="AR68" s="176"/>
      <c r="AS68" s="176"/>
      <c r="AT68" s="176"/>
      <c r="AU68" s="176"/>
      <c r="AV68" s="176"/>
      <c r="AW68" s="176"/>
      <c r="AX68" s="176"/>
      <c r="AY68" s="176"/>
      <c r="AZ68" s="1114"/>
      <c r="BA68" s="195"/>
      <c r="BB68" s="176"/>
      <c r="BC68" s="176"/>
      <c r="BD68" s="1114"/>
      <c r="BE68" s="176"/>
      <c r="BF68" s="176"/>
      <c r="BG68" s="176"/>
      <c r="BH68" s="1115"/>
      <c r="BI68" s="226"/>
      <c r="BJ68" s="195"/>
      <c r="BK68" s="195"/>
      <c r="BL68" s="176"/>
      <c r="BM68" s="195"/>
      <c r="BN68" s="226"/>
      <c r="BO68" s="176"/>
      <c r="BP68" s="195"/>
      <c r="BQ68" s="273"/>
      <c r="BR68" s="195"/>
      <c r="BS68" s="176"/>
      <c r="BT68" s="176"/>
      <c r="BU68" s="176"/>
      <c r="BV68" s="176"/>
      <c r="BW68" s="176"/>
      <c r="BX68" s="195"/>
      <c r="BY68" s="176"/>
      <c r="BZ68" s="1114"/>
      <c r="CA68" s="1114"/>
      <c r="CB68" s="226"/>
      <c r="CC68" s="1116"/>
      <c r="CD68" s="1116"/>
      <c r="CE68" s="700"/>
      <c r="CS68" s="440"/>
    </row>
    <row r="69" spans="1:97" ht="15" customHeight="1" x14ac:dyDescent="0.45">
      <c r="A69" s="1664" t="s">
        <v>204</v>
      </c>
      <c r="B69" s="1659" t="s">
        <v>162</v>
      </c>
      <c r="C69" s="17" t="s">
        <v>57</v>
      </c>
      <c r="D69" s="521" t="s">
        <v>163</v>
      </c>
      <c r="E69" s="658" t="s">
        <v>39</v>
      </c>
      <c r="F69" s="658" t="s">
        <v>67</v>
      </c>
      <c r="G69" s="89">
        <f t="shared" si="37"/>
        <v>590.98500000000001</v>
      </c>
      <c r="H69" s="710">
        <v>680</v>
      </c>
      <c r="I69" s="435">
        <f>H69/G69</f>
        <v>1.1506214201714087</v>
      </c>
      <c r="J69" s="155">
        <v>345</v>
      </c>
      <c r="K69" s="655">
        <v>479</v>
      </c>
      <c r="L69" s="667">
        <v>345</v>
      </c>
      <c r="M69" s="687">
        <v>479</v>
      </c>
      <c r="N69" s="719">
        <v>399.5</v>
      </c>
      <c r="O69" s="64">
        <v>139.1</v>
      </c>
      <c r="P69" s="64">
        <v>79.2</v>
      </c>
      <c r="Q69" s="64">
        <v>6</v>
      </c>
      <c r="R69" s="64">
        <v>6</v>
      </c>
      <c r="S69" s="656">
        <f>4*2^0.5</f>
        <v>5.6568542494923806</v>
      </c>
      <c r="T69" s="162">
        <f>(O69-2*Q69)*R69+2*(P69*Q69)</f>
        <v>1713</v>
      </c>
      <c r="U69" s="198">
        <f t="shared" si="41"/>
        <v>345</v>
      </c>
      <c r="V69" s="522">
        <v>220000</v>
      </c>
      <c r="W69" s="523">
        <f>U69/V69</f>
        <v>1.5681818181818182E-3</v>
      </c>
      <c r="X69" s="64">
        <f t="shared" si="43"/>
        <v>479</v>
      </c>
      <c r="Y69" s="1128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76"/>
      <c r="AL69" s="176"/>
      <c r="AM69" s="1114"/>
      <c r="AN69" s="176"/>
      <c r="AO69" s="176"/>
      <c r="AP69" s="1114"/>
      <c r="AQ69" s="1114"/>
      <c r="AR69" s="176"/>
      <c r="AS69" s="176"/>
      <c r="AT69" s="176"/>
      <c r="AU69" s="176"/>
      <c r="AV69" s="176"/>
      <c r="AW69" s="176"/>
      <c r="AX69" s="176"/>
      <c r="AY69" s="176"/>
      <c r="AZ69" s="1114"/>
      <c r="BA69" s="195"/>
      <c r="BB69" s="176"/>
      <c r="BC69" s="176"/>
      <c r="BD69" s="1114"/>
      <c r="BE69" s="176"/>
      <c r="BF69" s="176"/>
      <c r="BG69" s="176"/>
      <c r="BH69" s="1115"/>
      <c r="BI69" s="226"/>
      <c r="BJ69" s="195"/>
      <c r="BK69" s="195"/>
      <c r="BL69" s="176"/>
      <c r="BM69" s="195"/>
      <c r="BN69" s="226"/>
      <c r="BO69" s="176"/>
      <c r="BP69" s="195"/>
      <c r="BQ69" s="273"/>
      <c r="BR69" s="195"/>
      <c r="BS69" s="176"/>
      <c r="BT69" s="176"/>
      <c r="BU69" s="176"/>
      <c r="BV69" s="176"/>
      <c r="BW69" s="176"/>
      <c r="BX69" s="195"/>
      <c r="BY69" s="176"/>
      <c r="BZ69" s="1114"/>
      <c r="CA69" s="1114"/>
      <c r="CB69" s="226"/>
      <c r="CC69" s="1116"/>
      <c r="CD69" s="1116"/>
      <c r="CE69" s="700"/>
    </row>
    <row r="70" spans="1:97" ht="15" customHeight="1" x14ac:dyDescent="0.45">
      <c r="A70" s="1664"/>
      <c r="B70" s="1659"/>
      <c r="C70" s="17" t="s">
        <v>57</v>
      </c>
      <c r="D70" s="521" t="s">
        <v>164</v>
      </c>
      <c r="E70" s="658" t="s">
        <v>39</v>
      </c>
      <c r="F70" s="658" t="s">
        <v>67</v>
      </c>
      <c r="G70" s="89">
        <f t="shared" si="37"/>
        <v>678.75300000000004</v>
      </c>
      <c r="H70" s="711">
        <v>788</v>
      </c>
      <c r="I70" s="435">
        <f t="shared" si="44"/>
        <v>1.16095251144378</v>
      </c>
      <c r="J70" s="155">
        <v>345</v>
      </c>
      <c r="K70" s="655">
        <v>479</v>
      </c>
      <c r="L70" s="667">
        <v>345</v>
      </c>
      <c r="M70" s="687">
        <v>479</v>
      </c>
      <c r="N70" s="719">
        <v>399.5</v>
      </c>
      <c r="O70" s="64">
        <v>140.80000000000001</v>
      </c>
      <c r="P70" s="64">
        <v>99.55</v>
      </c>
      <c r="Q70" s="64">
        <v>6</v>
      </c>
      <c r="R70" s="64">
        <v>6</v>
      </c>
      <c r="S70" s="656">
        <f t="shared" ref="S70:S75" si="45">4*2^0.5</f>
        <v>5.6568542494923806</v>
      </c>
      <c r="T70" s="162">
        <f t="shared" ref="T70:T90" si="46">(O70-2*Q70)*R70+2*(P70*Q70)</f>
        <v>1967.4</v>
      </c>
      <c r="U70" s="198">
        <f t="shared" si="41"/>
        <v>345</v>
      </c>
      <c r="V70" s="522">
        <v>220000</v>
      </c>
      <c r="W70" s="523">
        <f>U70/V70</f>
        <v>1.5681818181818182E-3</v>
      </c>
      <c r="X70" s="64">
        <f t="shared" si="43"/>
        <v>478.99999999999989</v>
      </c>
      <c r="Y70" s="1128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76"/>
      <c r="AL70" s="176"/>
      <c r="AM70" s="1114"/>
      <c r="AN70" s="176"/>
      <c r="AO70" s="176"/>
      <c r="AP70" s="1114"/>
      <c r="AQ70" s="1114"/>
      <c r="AR70" s="176"/>
      <c r="AS70" s="176"/>
      <c r="AT70" s="176"/>
      <c r="AU70" s="176"/>
      <c r="AV70" s="176"/>
      <c r="AW70" s="176"/>
      <c r="AX70" s="176"/>
      <c r="AY70" s="176"/>
      <c r="AZ70" s="1114"/>
      <c r="BA70" s="195"/>
      <c r="BB70" s="176"/>
      <c r="BC70" s="176"/>
      <c r="BD70" s="1114"/>
      <c r="BE70" s="176"/>
      <c r="BF70" s="176"/>
      <c r="BG70" s="176"/>
      <c r="BH70" s="1115"/>
      <c r="BI70" s="226"/>
      <c r="BJ70" s="195"/>
      <c r="BK70" s="195"/>
      <c r="BL70" s="176"/>
      <c r="BM70" s="195"/>
      <c r="BN70" s="226"/>
      <c r="BO70" s="176"/>
      <c r="BP70" s="195"/>
      <c r="BQ70" s="273"/>
      <c r="BR70" s="195"/>
      <c r="BS70" s="176"/>
      <c r="BT70" s="176"/>
      <c r="BU70" s="176"/>
      <c r="BV70" s="176"/>
      <c r="BW70" s="176"/>
      <c r="BX70" s="195"/>
      <c r="BY70" s="176"/>
      <c r="BZ70" s="1114"/>
      <c r="CA70" s="1114"/>
      <c r="CB70" s="226"/>
      <c r="CC70" s="1116"/>
      <c r="CD70" s="1116"/>
      <c r="CE70" s="700"/>
    </row>
    <row r="71" spans="1:97" ht="15" customHeight="1" x14ac:dyDescent="0.45">
      <c r="A71" s="1664"/>
      <c r="B71" s="1659"/>
      <c r="C71" s="17" t="s">
        <v>57</v>
      </c>
      <c r="D71" s="521" t="s">
        <v>165</v>
      </c>
      <c r="E71" s="658" t="s">
        <v>39</v>
      </c>
      <c r="F71" s="658" t="s">
        <v>67</v>
      </c>
      <c r="G71" s="89">
        <f t="shared" si="37"/>
        <v>757.827</v>
      </c>
      <c r="H71" s="711">
        <v>871</v>
      </c>
      <c r="I71" s="435">
        <f t="shared" si="44"/>
        <v>1.1493388332693346</v>
      </c>
      <c r="J71" s="155">
        <v>345</v>
      </c>
      <c r="K71" s="655">
        <v>479</v>
      </c>
      <c r="L71" s="667">
        <v>345</v>
      </c>
      <c r="M71" s="687">
        <v>479</v>
      </c>
      <c r="N71" s="719">
        <v>399</v>
      </c>
      <c r="O71" s="64">
        <v>138.9</v>
      </c>
      <c r="P71" s="64">
        <v>119.6</v>
      </c>
      <c r="Q71" s="64">
        <v>6</v>
      </c>
      <c r="R71" s="64">
        <v>6</v>
      </c>
      <c r="S71" s="656">
        <f t="shared" si="45"/>
        <v>5.6568542494923806</v>
      </c>
      <c r="T71" s="162">
        <f t="shared" si="46"/>
        <v>2196.6</v>
      </c>
      <c r="U71" s="198">
        <f t="shared" si="41"/>
        <v>345</v>
      </c>
      <c r="V71" s="522">
        <v>220000</v>
      </c>
      <c r="W71" s="523">
        <f t="shared" ref="W71:W90" si="47">U71/V71</f>
        <v>1.5681818181818182E-3</v>
      </c>
      <c r="X71" s="64">
        <f t="shared" si="43"/>
        <v>479</v>
      </c>
      <c r="Y71" s="1128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76"/>
      <c r="AL71" s="176"/>
      <c r="AM71" s="1114"/>
      <c r="AN71" s="176"/>
      <c r="AO71" s="176"/>
      <c r="AP71" s="1114"/>
      <c r="AQ71" s="1114"/>
      <c r="AR71" s="176"/>
      <c r="AS71" s="176"/>
      <c r="AT71" s="176"/>
      <c r="AU71" s="176"/>
      <c r="AV71" s="176"/>
      <c r="AW71" s="176"/>
      <c r="AX71" s="176"/>
      <c r="AY71" s="176"/>
      <c r="AZ71" s="1114"/>
      <c r="BA71" s="195"/>
      <c r="BB71" s="176"/>
      <c r="BC71" s="176"/>
      <c r="BD71" s="1114"/>
      <c r="BE71" s="176"/>
      <c r="BF71" s="176"/>
      <c r="BG71" s="176"/>
      <c r="BH71" s="1115"/>
      <c r="BI71" s="226"/>
      <c r="BJ71" s="195"/>
      <c r="BK71" s="195"/>
      <c r="BL71" s="176"/>
      <c r="BM71" s="195"/>
      <c r="BN71" s="226"/>
      <c r="BO71" s="176"/>
      <c r="BP71" s="195"/>
      <c r="BQ71" s="273"/>
      <c r="BR71" s="195"/>
      <c r="BS71" s="176"/>
      <c r="BT71" s="176"/>
      <c r="BU71" s="176"/>
      <c r="BV71" s="176"/>
      <c r="BW71" s="176"/>
      <c r="BX71" s="195"/>
      <c r="BY71" s="176"/>
      <c r="BZ71" s="1114"/>
      <c r="CA71" s="1114"/>
      <c r="CB71" s="226"/>
      <c r="CC71" s="1116"/>
      <c r="CD71" s="1116"/>
      <c r="CE71" s="700"/>
    </row>
    <row r="72" spans="1:97" ht="15" customHeight="1" x14ac:dyDescent="0.45">
      <c r="A72" s="1664"/>
      <c r="B72" s="1659"/>
      <c r="C72" s="17" t="s">
        <v>57</v>
      </c>
      <c r="D72" s="521" t="s">
        <v>166</v>
      </c>
      <c r="E72" s="658" t="s">
        <v>39</v>
      </c>
      <c r="F72" s="658" t="s">
        <v>67</v>
      </c>
      <c r="G72" s="89">
        <f t="shared" si="37"/>
        <v>717.46199999999999</v>
      </c>
      <c r="H72" s="711">
        <v>789</v>
      </c>
      <c r="I72" s="435">
        <f t="shared" si="44"/>
        <v>1.0997098104150465</v>
      </c>
      <c r="J72" s="155">
        <v>345</v>
      </c>
      <c r="K72" s="655">
        <v>479</v>
      </c>
      <c r="L72" s="667">
        <v>345</v>
      </c>
      <c r="M72" s="687">
        <v>479</v>
      </c>
      <c r="N72" s="719">
        <v>503</v>
      </c>
      <c r="O72" s="64">
        <v>160</v>
      </c>
      <c r="P72" s="162">
        <v>99.3</v>
      </c>
      <c r="Q72" s="64">
        <v>6</v>
      </c>
      <c r="R72" s="64">
        <v>6</v>
      </c>
      <c r="S72" s="656">
        <f t="shared" si="45"/>
        <v>5.6568542494923806</v>
      </c>
      <c r="T72" s="162">
        <f t="shared" si="46"/>
        <v>2079.6</v>
      </c>
      <c r="U72" s="198">
        <f t="shared" si="41"/>
        <v>345</v>
      </c>
      <c r="V72" s="522">
        <v>220000</v>
      </c>
      <c r="W72" s="523">
        <f t="shared" si="47"/>
        <v>1.5681818181818182E-3</v>
      </c>
      <c r="X72" s="64">
        <f t="shared" si="43"/>
        <v>479</v>
      </c>
      <c r="Y72" s="154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76"/>
      <c r="AL72" s="176"/>
      <c r="AM72" s="1114"/>
      <c r="AN72" s="176"/>
      <c r="AO72" s="176"/>
      <c r="AP72" s="1114"/>
      <c r="AQ72" s="1114"/>
      <c r="AR72" s="176"/>
      <c r="AS72" s="176"/>
      <c r="AT72" s="176"/>
      <c r="AU72" s="176"/>
      <c r="AV72" s="176"/>
      <c r="AW72" s="176"/>
      <c r="AX72" s="176"/>
      <c r="AY72" s="176"/>
      <c r="AZ72" s="1114"/>
      <c r="BA72" s="195"/>
      <c r="BB72" s="176"/>
      <c r="BC72" s="176"/>
      <c r="BD72" s="1114"/>
      <c r="BE72" s="176"/>
      <c r="BF72" s="176"/>
      <c r="BG72" s="176"/>
      <c r="BH72" s="1115"/>
      <c r="BI72" s="226"/>
      <c r="BJ72" s="195"/>
      <c r="BK72" s="195"/>
      <c r="BL72" s="176"/>
      <c r="BM72" s="195"/>
      <c r="BN72" s="226"/>
      <c r="BO72" s="176"/>
      <c r="BP72" s="195"/>
      <c r="BQ72" s="273"/>
      <c r="BR72" s="195"/>
      <c r="BS72" s="176"/>
      <c r="BT72" s="176"/>
      <c r="BU72" s="176"/>
      <c r="BV72" s="176"/>
      <c r="BW72" s="176"/>
      <c r="BX72" s="195"/>
      <c r="BY72" s="176"/>
      <c r="BZ72" s="1114"/>
      <c r="CA72" s="1114"/>
      <c r="CB72" s="226"/>
      <c r="CC72" s="1116"/>
      <c r="CD72" s="1116"/>
      <c r="CE72" s="700"/>
    </row>
    <row r="73" spans="1:97" ht="15" customHeight="1" x14ac:dyDescent="0.45">
      <c r="A73" s="1664"/>
      <c r="B73" s="1659"/>
      <c r="C73" s="17" t="s">
        <v>57</v>
      </c>
      <c r="D73" s="521" t="s">
        <v>167</v>
      </c>
      <c r="E73" s="658" t="s">
        <v>39</v>
      </c>
      <c r="F73" s="658" t="s">
        <v>67</v>
      </c>
      <c r="G73" s="89">
        <f t="shared" si="37"/>
        <v>840.42000000000007</v>
      </c>
      <c r="H73" s="711">
        <v>902</v>
      </c>
      <c r="I73" s="435">
        <f t="shared" si="44"/>
        <v>1.0732728873658408</v>
      </c>
      <c r="J73" s="155">
        <v>345</v>
      </c>
      <c r="K73" s="655">
        <v>479</v>
      </c>
      <c r="L73" s="667">
        <v>345</v>
      </c>
      <c r="M73" s="687">
        <v>479</v>
      </c>
      <c r="N73" s="719">
        <v>509</v>
      </c>
      <c r="O73" s="64">
        <v>139.5</v>
      </c>
      <c r="P73" s="64">
        <v>139.25</v>
      </c>
      <c r="Q73" s="64">
        <v>6</v>
      </c>
      <c r="R73" s="64">
        <v>6</v>
      </c>
      <c r="S73" s="656">
        <f t="shared" si="45"/>
        <v>5.6568542494923806</v>
      </c>
      <c r="T73" s="162">
        <f t="shared" si="46"/>
        <v>2436</v>
      </c>
      <c r="U73" s="198">
        <f t="shared" si="41"/>
        <v>345</v>
      </c>
      <c r="V73" s="522">
        <v>220000</v>
      </c>
      <c r="W73" s="523">
        <f t="shared" si="47"/>
        <v>1.5681818181818182E-3</v>
      </c>
      <c r="X73" s="64">
        <f t="shared" si="43"/>
        <v>479</v>
      </c>
      <c r="Y73" s="154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76"/>
      <c r="AL73" s="176"/>
      <c r="AM73" s="1114"/>
      <c r="AN73" s="176"/>
      <c r="AO73" s="176"/>
      <c r="AP73" s="1114"/>
      <c r="AQ73" s="1114"/>
      <c r="AR73" s="176"/>
      <c r="AS73" s="176"/>
      <c r="AT73" s="176"/>
      <c r="AU73" s="176"/>
      <c r="AV73" s="176"/>
      <c r="AW73" s="176"/>
      <c r="AX73" s="176"/>
      <c r="AY73" s="176"/>
      <c r="AZ73" s="1114"/>
      <c r="BA73" s="195"/>
      <c r="BB73" s="176"/>
      <c r="BC73" s="176"/>
      <c r="BD73" s="1114"/>
      <c r="BE73" s="176"/>
      <c r="BF73" s="176"/>
      <c r="BG73" s="176"/>
      <c r="BH73" s="1115"/>
      <c r="BI73" s="226"/>
      <c r="BJ73" s="195"/>
      <c r="BK73" s="195"/>
      <c r="BL73" s="176"/>
      <c r="BM73" s="195"/>
      <c r="BN73" s="226"/>
      <c r="BO73" s="176"/>
      <c r="BP73" s="195"/>
      <c r="BQ73" s="273"/>
      <c r="BR73" s="195"/>
      <c r="BS73" s="176"/>
      <c r="BT73" s="176"/>
      <c r="BU73" s="176"/>
      <c r="BV73" s="176"/>
      <c r="BW73" s="176"/>
      <c r="BX73" s="195"/>
      <c r="BY73" s="176"/>
      <c r="BZ73" s="1114"/>
      <c r="CA73" s="1114"/>
      <c r="CB73" s="226"/>
      <c r="CC73" s="1116"/>
      <c r="CD73" s="1116"/>
      <c r="CE73" s="700"/>
    </row>
    <row r="74" spans="1:97" ht="15" customHeight="1" x14ac:dyDescent="0.45">
      <c r="A74" s="1664"/>
      <c r="B74" s="1659"/>
      <c r="C74" s="17" t="s">
        <v>57</v>
      </c>
      <c r="D74" s="521" t="s">
        <v>168</v>
      </c>
      <c r="E74" s="658" t="s">
        <v>39</v>
      </c>
      <c r="F74" s="658" t="s">
        <v>67</v>
      </c>
      <c r="G74" s="89">
        <f t="shared" si="37"/>
        <v>758.86199999999997</v>
      </c>
      <c r="H74" s="711">
        <v>811</v>
      </c>
      <c r="I74" s="435">
        <f t="shared" si="44"/>
        <v>1.068705509038534</v>
      </c>
      <c r="J74" s="155">
        <v>345</v>
      </c>
      <c r="K74" s="655">
        <v>479</v>
      </c>
      <c r="L74" s="667">
        <v>345</v>
      </c>
      <c r="M74" s="687">
        <v>479</v>
      </c>
      <c r="N74" s="719">
        <v>504</v>
      </c>
      <c r="O74" s="64">
        <v>178.2</v>
      </c>
      <c r="P74" s="162">
        <v>100.2</v>
      </c>
      <c r="Q74" s="64">
        <v>6</v>
      </c>
      <c r="R74" s="64">
        <v>6</v>
      </c>
      <c r="S74" s="656">
        <f t="shared" si="45"/>
        <v>5.6568542494923806</v>
      </c>
      <c r="T74" s="162">
        <f t="shared" si="46"/>
        <v>2199.6</v>
      </c>
      <c r="U74" s="198">
        <f t="shared" si="41"/>
        <v>345</v>
      </c>
      <c r="V74" s="522">
        <v>220000</v>
      </c>
      <c r="W74" s="523">
        <f t="shared" si="47"/>
        <v>1.5681818181818182E-3</v>
      </c>
      <c r="X74" s="64">
        <f t="shared" si="43"/>
        <v>479.00000000000006</v>
      </c>
      <c r="Y74" s="154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76"/>
      <c r="AL74" s="176"/>
      <c r="AM74" s="1114"/>
      <c r="AN74" s="176"/>
      <c r="AO74" s="176"/>
      <c r="AP74" s="1114"/>
      <c r="AQ74" s="1114"/>
      <c r="AR74" s="176"/>
      <c r="AS74" s="176"/>
      <c r="AT74" s="176"/>
      <c r="AU74" s="176"/>
      <c r="AV74" s="176"/>
      <c r="AW74" s="176"/>
      <c r="AX74" s="176"/>
      <c r="AY74" s="176"/>
      <c r="AZ74" s="1114"/>
      <c r="BA74" s="195"/>
      <c r="BB74" s="176"/>
      <c r="BC74" s="176"/>
      <c r="BD74" s="1114"/>
      <c r="BE74" s="176"/>
      <c r="BF74" s="176"/>
      <c r="BG74" s="176"/>
      <c r="BH74" s="1115"/>
      <c r="BI74" s="226"/>
      <c r="BJ74" s="195"/>
      <c r="BK74" s="195"/>
      <c r="BL74" s="176"/>
      <c r="BM74" s="195"/>
      <c r="BN74" s="226"/>
      <c r="BO74" s="176"/>
      <c r="BP74" s="195"/>
      <c r="BQ74" s="273"/>
      <c r="BR74" s="195"/>
      <c r="BS74" s="176"/>
      <c r="BT74" s="176"/>
      <c r="BU74" s="176"/>
      <c r="BV74" s="176"/>
      <c r="BW74" s="176"/>
      <c r="BX74" s="195"/>
      <c r="BY74" s="176"/>
      <c r="BZ74" s="1114"/>
      <c r="CA74" s="1114"/>
      <c r="CB74" s="226"/>
      <c r="CC74" s="1116"/>
      <c r="CD74" s="1116"/>
      <c r="CE74" s="700"/>
    </row>
    <row r="75" spans="1:97" ht="15.75" customHeight="1" x14ac:dyDescent="0.45">
      <c r="A75" s="1665"/>
      <c r="B75" s="1660"/>
      <c r="C75" s="18" t="s">
        <v>57</v>
      </c>
      <c r="D75" s="549" t="s">
        <v>169</v>
      </c>
      <c r="E75" s="679" t="s">
        <v>39</v>
      </c>
      <c r="F75" s="679" t="s">
        <v>67</v>
      </c>
      <c r="G75" s="90">
        <f t="shared" si="37"/>
        <v>798.60600000000011</v>
      </c>
      <c r="H75" s="712">
        <v>827</v>
      </c>
      <c r="I75" s="436">
        <f t="shared" si="44"/>
        <v>1.0355544536354597</v>
      </c>
      <c r="J75" s="155">
        <v>345</v>
      </c>
      <c r="K75" s="655">
        <v>479</v>
      </c>
      <c r="L75" s="667">
        <v>345</v>
      </c>
      <c r="M75" s="687">
        <v>479</v>
      </c>
      <c r="N75" s="720">
        <v>504</v>
      </c>
      <c r="O75" s="76">
        <v>199.5</v>
      </c>
      <c r="P75" s="76">
        <v>99.15</v>
      </c>
      <c r="Q75" s="76">
        <v>6</v>
      </c>
      <c r="R75" s="76">
        <v>6</v>
      </c>
      <c r="S75" s="688">
        <f t="shared" si="45"/>
        <v>5.6568542494923806</v>
      </c>
      <c r="T75" s="177">
        <f t="shared" si="46"/>
        <v>2314.8000000000002</v>
      </c>
      <c r="U75" s="29">
        <f t="shared" si="41"/>
        <v>345</v>
      </c>
      <c r="V75" s="701">
        <v>220000</v>
      </c>
      <c r="W75" s="702">
        <f t="shared" si="47"/>
        <v>1.5681818181818182E-3</v>
      </c>
      <c r="X75" s="76">
        <f t="shared" si="43"/>
        <v>479.00000000000006</v>
      </c>
      <c r="Y75" s="231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76"/>
      <c r="AL75" s="176"/>
      <c r="AM75" s="1114"/>
      <c r="AN75" s="176"/>
      <c r="AO75" s="176"/>
      <c r="AP75" s="1114"/>
      <c r="AQ75" s="1114"/>
      <c r="AR75" s="176"/>
      <c r="AS75" s="176"/>
      <c r="AT75" s="176"/>
      <c r="AU75" s="176"/>
      <c r="AV75" s="176"/>
      <c r="AW75" s="176"/>
      <c r="AX75" s="176"/>
      <c r="AY75" s="176"/>
      <c r="AZ75" s="1114"/>
      <c r="BA75" s="195"/>
      <c r="BB75" s="176"/>
      <c r="BC75" s="176"/>
      <c r="BD75" s="1114"/>
      <c r="BE75" s="176"/>
      <c r="BF75" s="176"/>
      <c r="BG75" s="176"/>
      <c r="BH75" s="1115"/>
      <c r="BI75" s="226"/>
      <c r="BJ75" s="195"/>
      <c r="BK75" s="195"/>
      <c r="BL75" s="176"/>
      <c r="BM75" s="195"/>
      <c r="BN75" s="226"/>
      <c r="BO75" s="176"/>
      <c r="BP75" s="195"/>
      <c r="BQ75" s="273"/>
      <c r="BR75" s="195"/>
      <c r="BS75" s="176"/>
      <c r="BT75" s="176"/>
      <c r="BU75" s="176"/>
      <c r="BV75" s="176"/>
      <c r="BW75" s="176"/>
      <c r="BX75" s="195"/>
      <c r="BY75" s="176"/>
      <c r="BZ75" s="1114"/>
      <c r="CA75" s="1114"/>
      <c r="CB75" s="226"/>
      <c r="CC75" s="1116"/>
      <c r="CD75" s="1116"/>
      <c r="CE75" s="700"/>
    </row>
    <row r="76" spans="1:97" ht="15.75" customHeight="1" x14ac:dyDescent="0.45">
      <c r="A76" s="1583" t="s">
        <v>332</v>
      </c>
      <c r="B76" s="1659" t="s">
        <v>309</v>
      </c>
      <c r="C76" s="121" t="s">
        <v>57</v>
      </c>
      <c r="D76" s="521" t="s">
        <v>317</v>
      </c>
      <c r="E76" s="658" t="s">
        <v>73</v>
      </c>
      <c r="F76" s="658" t="s">
        <v>67</v>
      </c>
      <c r="G76" s="108">
        <f t="shared" ref="G76:G90" si="48">U76*T76*0.001</f>
        <v>1225.1989800000001</v>
      </c>
      <c r="H76" s="732">
        <v>1568.3</v>
      </c>
      <c r="I76" s="431">
        <f t="shared" si="44"/>
        <v>1.2800369781568051</v>
      </c>
      <c r="J76" s="263">
        <v>328.5</v>
      </c>
      <c r="K76" s="382">
        <v>659.8</v>
      </c>
      <c r="L76" s="159">
        <v>312.60000000000002</v>
      </c>
      <c r="M76" s="205">
        <v>695.7</v>
      </c>
      <c r="N76" s="719">
        <v>449.6</v>
      </c>
      <c r="O76" s="64">
        <v>149.55000000000001</v>
      </c>
      <c r="P76" s="64">
        <v>149.5</v>
      </c>
      <c r="Q76" s="64">
        <v>10</v>
      </c>
      <c r="R76" s="64">
        <v>6</v>
      </c>
      <c r="S76" s="656">
        <v>5</v>
      </c>
      <c r="T76" s="162">
        <f t="shared" si="46"/>
        <v>3767.3</v>
      </c>
      <c r="U76" s="198">
        <f>((P76*Q76*J76*2)+((O76-2*Q76)*R76*L76))/T76</f>
        <v>325.21938258168979</v>
      </c>
      <c r="V76" s="522">
        <v>188700</v>
      </c>
      <c r="W76" s="523">
        <f t="shared" si="47"/>
        <v>1.7234731456369358E-3</v>
      </c>
      <c r="X76" s="64">
        <f t="shared" si="43"/>
        <v>667.2071802086374</v>
      </c>
      <c r="Y76" s="154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76"/>
      <c r="AL76" s="176"/>
      <c r="AM76" s="1114"/>
      <c r="AN76" s="176"/>
      <c r="AO76" s="176"/>
      <c r="AP76" s="1114"/>
      <c r="AQ76" s="1114"/>
      <c r="AR76" s="176"/>
      <c r="AS76" s="176"/>
      <c r="AT76" s="176"/>
      <c r="AU76" s="176"/>
      <c r="AV76" s="176"/>
      <c r="AW76" s="176"/>
      <c r="AX76" s="176"/>
      <c r="AY76" s="176"/>
      <c r="AZ76" s="1114"/>
      <c r="BA76" s="195"/>
      <c r="BB76" s="176"/>
      <c r="BC76" s="176"/>
      <c r="BD76" s="1114"/>
      <c r="BE76" s="176"/>
      <c r="BF76" s="176"/>
      <c r="BG76" s="176"/>
      <c r="BH76" s="1115"/>
      <c r="BI76" s="226"/>
      <c r="BJ76" s="195"/>
      <c r="BK76" s="195"/>
      <c r="BL76" s="176"/>
      <c r="BM76" s="195"/>
      <c r="BN76" s="226"/>
      <c r="BO76" s="176"/>
      <c r="BP76" s="195"/>
      <c r="BQ76" s="273"/>
      <c r="BR76" s="195"/>
      <c r="BS76" s="176"/>
      <c r="BT76" s="176"/>
      <c r="BU76" s="176"/>
      <c r="BV76" s="176"/>
      <c r="BW76" s="176"/>
      <c r="BX76" s="195"/>
      <c r="BY76" s="176"/>
      <c r="BZ76" s="1114"/>
      <c r="CA76" s="1114"/>
      <c r="CB76" s="226"/>
      <c r="CC76" s="1116"/>
      <c r="CD76" s="1116"/>
      <c r="CE76" s="700"/>
    </row>
    <row r="77" spans="1:97" ht="15.75" customHeight="1" x14ac:dyDescent="0.45">
      <c r="A77" s="1584"/>
      <c r="B77" s="1659"/>
      <c r="C77" s="295" t="s">
        <v>57</v>
      </c>
      <c r="D77" s="521" t="s">
        <v>318</v>
      </c>
      <c r="E77" s="658" t="s">
        <v>73</v>
      </c>
      <c r="F77" s="658" t="s">
        <v>67</v>
      </c>
      <c r="G77" s="89">
        <f t="shared" si="48"/>
        <v>1035.98766</v>
      </c>
      <c r="H77" s="710">
        <v>949.4</v>
      </c>
      <c r="I77" s="435">
        <f t="shared" si="44"/>
        <v>0.91642018207050846</v>
      </c>
      <c r="J77" s="155">
        <v>312.60000000000002</v>
      </c>
      <c r="K77" s="655">
        <v>695.7</v>
      </c>
      <c r="L77" s="667">
        <v>312.60000000000002</v>
      </c>
      <c r="M77" s="687">
        <v>695.7</v>
      </c>
      <c r="N77" s="719">
        <v>598</v>
      </c>
      <c r="O77" s="64">
        <v>193.85</v>
      </c>
      <c r="P77" s="64">
        <v>185.25</v>
      </c>
      <c r="Q77" s="64">
        <v>6</v>
      </c>
      <c r="R77" s="64">
        <v>6</v>
      </c>
      <c r="S77" s="656">
        <v>5</v>
      </c>
      <c r="T77" s="162">
        <f t="shared" si="46"/>
        <v>3314.1</v>
      </c>
      <c r="U77" s="198">
        <f t="shared" si="41"/>
        <v>312.60000000000002</v>
      </c>
      <c r="V77" s="522">
        <v>188700</v>
      </c>
      <c r="W77" s="523">
        <f t="shared" si="47"/>
        <v>1.6565977742448333E-3</v>
      </c>
      <c r="X77" s="64">
        <f t="shared" si="43"/>
        <v>695.7</v>
      </c>
      <c r="Y77" s="154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76"/>
      <c r="AL77" s="176"/>
      <c r="AM77" s="1114"/>
      <c r="AN77" s="176"/>
      <c r="AO77" s="176"/>
      <c r="AP77" s="1114"/>
      <c r="AQ77" s="1114"/>
      <c r="AR77" s="176"/>
      <c r="AS77" s="176"/>
      <c r="AT77" s="176"/>
      <c r="AU77" s="176"/>
      <c r="AV77" s="176"/>
      <c r="AW77" s="176"/>
      <c r="AX77" s="176"/>
      <c r="AY77" s="176"/>
      <c r="AZ77" s="1114"/>
      <c r="BA77" s="195"/>
      <c r="BB77" s="176"/>
      <c r="BC77" s="176"/>
      <c r="BD77" s="1114"/>
      <c r="BE77" s="176"/>
      <c r="BF77" s="176"/>
      <c r="BG77" s="176"/>
      <c r="BH77" s="1115"/>
      <c r="BI77" s="226"/>
      <c r="BJ77" s="195"/>
      <c r="BK77" s="195"/>
      <c r="BL77" s="176"/>
      <c r="BM77" s="195"/>
      <c r="BN77" s="226"/>
      <c r="BO77" s="176"/>
      <c r="BP77" s="195"/>
      <c r="BQ77" s="273"/>
      <c r="BR77" s="195"/>
      <c r="BS77" s="176"/>
      <c r="BT77" s="176"/>
      <c r="BU77" s="176"/>
      <c r="BV77" s="176"/>
      <c r="BW77" s="176"/>
      <c r="BX77" s="195"/>
      <c r="BY77" s="176"/>
      <c r="BZ77" s="1114"/>
      <c r="CA77" s="1114"/>
      <c r="CB77" s="226"/>
      <c r="CC77" s="1116"/>
      <c r="CD77" s="1116"/>
      <c r="CE77" s="700"/>
    </row>
    <row r="78" spans="1:97" ht="15.75" customHeight="1" x14ac:dyDescent="0.45">
      <c r="A78" s="1584"/>
      <c r="B78" s="1659"/>
      <c r="C78" s="295" t="s">
        <v>57</v>
      </c>
      <c r="D78" s="521" t="s">
        <v>319</v>
      </c>
      <c r="E78" s="658" t="s">
        <v>73</v>
      </c>
      <c r="F78" s="658" t="s">
        <v>67</v>
      </c>
      <c r="G78" s="89">
        <f t="shared" si="48"/>
        <v>815.32331999999997</v>
      </c>
      <c r="H78" s="710">
        <v>859.8</v>
      </c>
      <c r="I78" s="435">
        <f t="shared" si="44"/>
        <v>1.0545509724902753</v>
      </c>
      <c r="J78" s="155">
        <v>312.60000000000002</v>
      </c>
      <c r="K78" s="655">
        <v>695.7</v>
      </c>
      <c r="L78" s="667">
        <v>312.60000000000002</v>
      </c>
      <c r="M78" s="687">
        <v>695.7</v>
      </c>
      <c r="N78" s="719">
        <v>601.1</v>
      </c>
      <c r="O78" s="64">
        <v>194.2</v>
      </c>
      <c r="P78" s="64">
        <v>126.25</v>
      </c>
      <c r="Q78" s="64">
        <v>6</v>
      </c>
      <c r="R78" s="64">
        <v>6</v>
      </c>
      <c r="S78" s="656">
        <v>5</v>
      </c>
      <c r="T78" s="162">
        <f t="shared" si="46"/>
        <v>2608.1999999999998</v>
      </c>
      <c r="U78" s="198">
        <f t="shared" si="41"/>
        <v>312.60000000000002</v>
      </c>
      <c r="V78" s="522">
        <v>188700</v>
      </c>
      <c r="W78" s="523">
        <f t="shared" si="47"/>
        <v>1.6565977742448333E-3</v>
      </c>
      <c r="X78" s="64">
        <f t="shared" si="43"/>
        <v>695.69999999999993</v>
      </c>
      <c r="Y78" s="154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76"/>
      <c r="AL78" s="176"/>
      <c r="AM78" s="1114"/>
      <c r="AN78" s="176"/>
      <c r="AO78" s="176"/>
      <c r="AP78" s="1114"/>
      <c r="AQ78" s="1114"/>
      <c r="AR78" s="176"/>
      <c r="AS78" s="176"/>
      <c r="AT78" s="176"/>
      <c r="AU78" s="176"/>
      <c r="AV78" s="176"/>
      <c r="AW78" s="176"/>
      <c r="AX78" s="176"/>
      <c r="AY78" s="176"/>
      <c r="AZ78" s="1114"/>
      <c r="BA78" s="195"/>
      <c r="BB78" s="176"/>
      <c r="BC78" s="176"/>
      <c r="BD78" s="1114"/>
      <c r="BE78" s="176"/>
      <c r="BF78" s="176"/>
      <c r="BG78" s="176"/>
      <c r="BH78" s="1115"/>
      <c r="BI78" s="226"/>
      <c r="BJ78" s="195"/>
      <c r="BK78" s="195"/>
      <c r="BL78" s="176"/>
      <c r="BM78" s="195"/>
      <c r="BN78" s="226"/>
      <c r="BO78" s="176"/>
      <c r="BP78" s="195"/>
      <c r="BQ78" s="273"/>
      <c r="BR78" s="195"/>
      <c r="BS78" s="176"/>
      <c r="BT78" s="176"/>
      <c r="BU78" s="176"/>
      <c r="BV78" s="176"/>
      <c r="BW78" s="176"/>
      <c r="BX78" s="195"/>
      <c r="BY78" s="176"/>
      <c r="BZ78" s="1114"/>
      <c r="CA78" s="1114"/>
      <c r="CB78" s="226"/>
      <c r="CC78" s="1116"/>
      <c r="CD78" s="1116"/>
      <c r="CE78" s="700"/>
    </row>
    <row r="79" spans="1:97" ht="15.75" customHeight="1" x14ac:dyDescent="0.45">
      <c r="A79" s="1584"/>
      <c r="B79" s="1659"/>
      <c r="C79" s="295" t="s">
        <v>57</v>
      </c>
      <c r="D79" s="521" t="s">
        <v>320</v>
      </c>
      <c r="E79" s="658" t="s">
        <v>73</v>
      </c>
      <c r="F79" s="658" t="s">
        <v>67</v>
      </c>
      <c r="G79" s="89">
        <f t="shared" si="48"/>
        <v>1374.1583400000002</v>
      </c>
      <c r="H79" s="710">
        <v>968.8</v>
      </c>
      <c r="I79" s="435">
        <f t="shared" si="44"/>
        <v>0.70501336840119877</v>
      </c>
      <c r="J79" s="155">
        <v>312.60000000000002</v>
      </c>
      <c r="K79" s="655">
        <v>695.7</v>
      </c>
      <c r="L79" s="667">
        <v>312.60000000000002</v>
      </c>
      <c r="M79" s="687">
        <v>695.7</v>
      </c>
      <c r="N79" s="719">
        <v>779.9</v>
      </c>
      <c r="O79" s="64">
        <v>253.25</v>
      </c>
      <c r="P79" s="64">
        <v>245.7</v>
      </c>
      <c r="Q79" s="64">
        <v>6</v>
      </c>
      <c r="R79" s="64">
        <v>6</v>
      </c>
      <c r="S79" s="656">
        <v>5</v>
      </c>
      <c r="T79" s="162">
        <f t="shared" si="46"/>
        <v>4395.8999999999996</v>
      </c>
      <c r="U79" s="198">
        <f t="shared" si="41"/>
        <v>312.60000000000002</v>
      </c>
      <c r="V79" s="522">
        <v>188700</v>
      </c>
      <c r="W79" s="523">
        <f t="shared" si="47"/>
        <v>1.6565977742448333E-3</v>
      </c>
      <c r="X79" s="64">
        <f t="shared" si="43"/>
        <v>695.7</v>
      </c>
      <c r="Y79" s="154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76"/>
      <c r="AL79" s="176"/>
      <c r="AM79" s="1114"/>
      <c r="AN79" s="176"/>
      <c r="AO79" s="176"/>
      <c r="AP79" s="1114"/>
      <c r="AQ79" s="1114"/>
      <c r="AR79" s="176"/>
      <c r="AS79" s="176"/>
      <c r="AT79" s="176"/>
      <c r="AU79" s="176"/>
      <c r="AV79" s="176"/>
      <c r="AW79" s="176"/>
      <c r="AX79" s="176"/>
      <c r="AY79" s="176"/>
      <c r="AZ79" s="1114"/>
      <c r="BA79" s="195"/>
      <c r="BB79" s="176"/>
      <c r="BC79" s="176"/>
      <c r="BD79" s="1114"/>
      <c r="BE79" s="176"/>
      <c r="BF79" s="176"/>
      <c r="BG79" s="176"/>
      <c r="BH79" s="1115"/>
      <c r="BI79" s="226"/>
      <c r="BJ79" s="195"/>
      <c r="BK79" s="195"/>
      <c r="BL79" s="176"/>
      <c r="BM79" s="195"/>
      <c r="BN79" s="226"/>
      <c r="BO79" s="176"/>
      <c r="BP79" s="195"/>
      <c r="BQ79" s="273"/>
      <c r="BR79" s="195"/>
      <c r="BS79" s="176"/>
      <c r="BT79" s="176"/>
      <c r="BU79" s="176"/>
      <c r="BV79" s="176"/>
      <c r="BW79" s="176"/>
      <c r="BX79" s="195"/>
      <c r="BY79" s="176"/>
      <c r="BZ79" s="1114"/>
      <c r="CA79" s="1114"/>
      <c r="CB79" s="226"/>
      <c r="CC79" s="1116"/>
      <c r="CD79" s="1116"/>
      <c r="CE79" s="700"/>
    </row>
    <row r="80" spans="1:97" ht="15.75" customHeight="1" x14ac:dyDescent="0.45">
      <c r="A80" s="1584"/>
      <c r="B80" s="1659"/>
      <c r="C80" s="295" t="s">
        <v>57</v>
      </c>
      <c r="D80" s="521" t="s">
        <v>321</v>
      </c>
      <c r="E80" s="658" t="s">
        <v>73</v>
      </c>
      <c r="F80" s="658" t="s">
        <v>67</v>
      </c>
      <c r="G80" s="89">
        <f t="shared" si="48"/>
        <v>1536.8236200000001</v>
      </c>
      <c r="H80" s="710">
        <v>1622.8</v>
      </c>
      <c r="I80" s="435">
        <f t="shared" si="44"/>
        <v>1.0559442078330368</v>
      </c>
      <c r="J80" s="155">
        <v>328.5</v>
      </c>
      <c r="K80" s="655">
        <v>659.8</v>
      </c>
      <c r="L80" s="667">
        <v>312.60000000000002</v>
      </c>
      <c r="M80" s="687">
        <v>695.7</v>
      </c>
      <c r="N80" s="719">
        <v>779.9</v>
      </c>
      <c r="O80" s="64">
        <v>258.95</v>
      </c>
      <c r="P80" s="64">
        <v>165.7</v>
      </c>
      <c r="Q80" s="64">
        <v>10</v>
      </c>
      <c r="R80" s="64">
        <v>6</v>
      </c>
      <c r="S80" s="656">
        <v>5</v>
      </c>
      <c r="T80" s="162">
        <f t="shared" si="46"/>
        <v>4747.7</v>
      </c>
      <c r="U80" s="198">
        <f t="shared" si="41"/>
        <v>323.69855298354997</v>
      </c>
      <c r="V80" s="522">
        <v>188700</v>
      </c>
      <c r="W80" s="523">
        <f t="shared" si="47"/>
        <v>1.7154136353129304E-3</v>
      </c>
      <c r="X80" s="64">
        <f t="shared" si="43"/>
        <v>670.64100301198471</v>
      </c>
      <c r="Y80" s="154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76"/>
      <c r="AL80" s="176"/>
      <c r="AM80" s="1114"/>
      <c r="AN80" s="176"/>
      <c r="AO80" s="176"/>
      <c r="AP80" s="1114"/>
      <c r="AQ80" s="1114"/>
      <c r="AR80" s="176"/>
      <c r="AS80" s="176"/>
      <c r="AT80" s="176"/>
      <c r="AU80" s="176"/>
      <c r="AV80" s="176"/>
      <c r="AW80" s="176"/>
      <c r="AX80" s="176"/>
      <c r="AY80" s="176"/>
      <c r="AZ80" s="1114"/>
      <c r="BA80" s="195"/>
      <c r="BB80" s="176"/>
      <c r="BC80" s="176"/>
      <c r="BD80" s="1114"/>
      <c r="BE80" s="176"/>
      <c r="BF80" s="176"/>
      <c r="BG80" s="176"/>
      <c r="BH80" s="1115"/>
      <c r="BI80" s="226"/>
      <c r="BJ80" s="195"/>
      <c r="BK80" s="195"/>
      <c r="BL80" s="176"/>
      <c r="BM80" s="195"/>
      <c r="BN80" s="226"/>
      <c r="BO80" s="176"/>
      <c r="BP80" s="195"/>
      <c r="BQ80" s="273"/>
      <c r="BR80" s="195"/>
      <c r="BS80" s="176"/>
      <c r="BT80" s="176"/>
      <c r="BU80" s="176"/>
      <c r="BV80" s="176"/>
      <c r="BW80" s="176"/>
      <c r="BX80" s="195"/>
      <c r="BY80" s="176"/>
      <c r="BZ80" s="1114"/>
      <c r="CA80" s="1114"/>
      <c r="CB80" s="226"/>
      <c r="CC80" s="1116"/>
      <c r="CD80" s="1116"/>
      <c r="CE80" s="700"/>
    </row>
    <row r="81" spans="1:107" ht="15.75" customHeight="1" x14ac:dyDescent="0.45">
      <c r="A81" s="1584"/>
      <c r="B81" s="1659"/>
      <c r="C81" s="295" t="s">
        <v>57</v>
      </c>
      <c r="D81" s="521" t="s">
        <v>322</v>
      </c>
      <c r="E81" s="658" t="s">
        <v>73</v>
      </c>
      <c r="F81" s="658" t="s">
        <v>67</v>
      </c>
      <c r="G81" s="89">
        <f t="shared" si="48"/>
        <v>1204.32276</v>
      </c>
      <c r="H81" s="710">
        <v>905.5</v>
      </c>
      <c r="I81" s="435">
        <f t="shared" si="44"/>
        <v>0.75187485454480651</v>
      </c>
      <c r="J81" s="155">
        <v>312.60000000000002</v>
      </c>
      <c r="K81" s="655">
        <v>695.7</v>
      </c>
      <c r="L81" s="667">
        <v>312.60000000000002</v>
      </c>
      <c r="M81" s="687">
        <v>695.7</v>
      </c>
      <c r="N81" s="719">
        <v>850.4</v>
      </c>
      <c r="O81" s="64">
        <v>282.89999999999998</v>
      </c>
      <c r="P81" s="64">
        <v>185.6</v>
      </c>
      <c r="Q81" s="64">
        <v>6</v>
      </c>
      <c r="R81" s="64">
        <v>6</v>
      </c>
      <c r="S81" s="656">
        <v>5</v>
      </c>
      <c r="T81" s="162">
        <f t="shared" si="46"/>
        <v>3852.5999999999995</v>
      </c>
      <c r="U81" s="198">
        <f t="shared" si="41"/>
        <v>312.60000000000002</v>
      </c>
      <c r="V81" s="522">
        <v>188700</v>
      </c>
      <c r="W81" s="523">
        <f t="shared" si="47"/>
        <v>1.6565977742448333E-3</v>
      </c>
      <c r="X81" s="64">
        <f t="shared" si="43"/>
        <v>695.70000000000016</v>
      </c>
      <c r="Y81" s="154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76"/>
      <c r="AL81" s="176"/>
      <c r="AM81" s="1114"/>
      <c r="AN81" s="176"/>
      <c r="AO81" s="176"/>
      <c r="AP81" s="1114"/>
      <c r="AQ81" s="1114"/>
      <c r="AR81" s="176"/>
      <c r="AS81" s="176"/>
      <c r="AT81" s="176"/>
      <c r="AU81" s="176"/>
      <c r="AV81" s="176"/>
      <c r="AW81" s="176"/>
      <c r="AX81" s="176"/>
      <c r="AY81" s="176"/>
      <c r="AZ81" s="1114"/>
      <c r="BA81" s="195"/>
      <c r="BB81" s="176"/>
      <c r="BC81" s="176"/>
      <c r="BD81" s="1114"/>
      <c r="BE81" s="176"/>
      <c r="BF81" s="176"/>
      <c r="BG81" s="176"/>
      <c r="BH81" s="1115"/>
      <c r="BI81" s="226"/>
      <c r="BJ81" s="195"/>
      <c r="BK81" s="195"/>
      <c r="BL81" s="176"/>
      <c r="BM81" s="195"/>
      <c r="BN81" s="226"/>
      <c r="BO81" s="176"/>
      <c r="BP81" s="195"/>
      <c r="BQ81" s="273"/>
      <c r="BR81" s="195"/>
      <c r="BS81" s="176"/>
      <c r="BT81" s="176"/>
      <c r="BU81" s="176"/>
      <c r="BV81" s="176"/>
      <c r="BW81" s="176"/>
      <c r="BX81" s="195"/>
      <c r="BY81" s="176"/>
      <c r="BZ81" s="1114"/>
      <c r="CA81" s="1114"/>
      <c r="CB81" s="226"/>
      <c r="CC81" s="1116"/>
      <c r="CD81" s="1116"/>
      <c r="CE81" s="700"/>
    </row>
    <row r="82" spans="1:107" ht="15.75" customHeight="1" x14ac:dyDescent="0.45">
      <c r="A82" s="1584"/>
      <c r="B82" s="1659"/>
      <c r="C82" s="295" t="s">
        <v>57</v>
      </c>
      <c r="D82" s="521" t="s">
        <v>323</v>
      </c>
      <c r="E82" s="658" t="s">
        <v>73</v>
      </c>
      <c r="F82" s="658" t="s">
        <v>67</v>
      </c>
      <c r="G82" s="89">
        <f t="shared" si="48"/>
        <v>1711.8601200000001</v>
      </c>
      <c r="H82" s="710">
        <v>1088.7</v>
      </c>
      <c r="I82" s="435">
        <f t="shared" si="44"/>
        <v>0.63597485990853042</v>
      </c>
      <c r="J82" s="155">
        <v>312.60000000000002</v>
      </c>
      <c r="K82" s="655">
        <v>695.7</v>
      </c>
      <c r="L82" s="667">
        <v>312.60000000000002</v>
      </c>
      <c r="M82" s="687">
        <v>695.7</v>
      </c>
      <c r="N82" s="719">
        <v>951.6</v>
      </c>
      <c r="O82" s="64">
        <v>313.7</v>
      </c>
      <c r="P82" s="64">
        <v>305.5</v>
      </c>
      <c r="Q82" s="64">
        <v>6</v>
      </c>
      <c r="R82" s="64">
        <v>6</v>
      </c>
      <c r="S82" s="656">
        <v>5</v>
      </c>
      <c r="T82" s="162">
        <f t="shared" si="46"/>
        <v>5476.2</v>
      </c>
      <c r="U82" s="198">
        <f t="shared" si="41"/>
        <v>312.60000000000002</v>
      </c>
      <c r="V82" s="522">
        <v>188700</v>
      </c>
      <c r="W82" s="523">
        <f t="shared" si="47"/>
        <v>1.6565977742448333E-3</v>
      </c>
      <c r="X82" s="64">
        <f t="shared" si="43"/>
        <v>695.7</v>
      </c>
      <c r="Y82" s="154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76"/>
      <c r="AL82" s="176"/>
      <c r="AM82" s="1114"/>
      <c r="AN82" s="176"/>
      <c r="AO82" s="176"/>
      <c r="AP82" s="1114"/>
      <c r="AQ82" s="1114"/>
      <c r="AR82" s="176"/>
      <c r="AS82" s="176"/>
      <c r="AT82" s="176"/>
      <c r="AU82" s="176"/>
      <c r="AV82" s="176"/>
      <c r="AW82" s="176"/>
      <c r="AX82" s="176"/>
      <c r="AY82" s="176"/>
      <c r="AZ82" s="1114"/>
      <c r="BA82" s="195"/>
      <c r="BB82" s="176"/>
      <c r="BC82" s="176"/>
      <c r="BD82" s="1114"/>
      <c r="BE82" s="176"/>
      <c r="BF82" s="176"/>
      <c r="BG82" s="176"/>
      <c r="BH82" s="1115"/>
      <c r="BI82" s="226"/>
      <c r="BJ82" s="195"/>
      <c r="BK82" s="195"/>
      <c r="BL82" s="176"/>
      <c r="BM82" s="195"/>
      <c r="BN82" s="226"/>
      <c r="BO82" s="176"/>
      <c r="BP82" s="195"/>
      <c r="BQ82" s="273"/>
      <c r="BR82" s="195"/>
      <c r="BS82" s="176"/>
      <c r="BT82" s="176"/>
      <c r="BU82" s="176"/>
      <c r="BV82" s="176"/>
      <c r="BW82" s="176"/>
      <c r="BX82" s="195"/>
      <c r="BY82" s="176"/>
      <c r="BZ82" s="1114"/>
      <c r="CA82" s="1114"/>
      <c r="CB82" s="226"/>
      <c r="CC82" s="1116"/>
      <c r="CD82" s="1116"/>
      <c r="CE82" s="700"/>
    </row>
    <row r="83" spans="1:107" ht="15.75" customHeight="1" x14ac:dyDescent="0.45">
      <c r="A83" s="1584"/>
      <c r="B83" s="1659"/>
      <c r="C83" s="295" t="s">
        <v>57</v>
      </c>
      <c r="D83" s="521" t="s">
        <v>324</v>
      </c>
      <c r="E83" s="658" t="s">
        <v>73</v>
      </c>
      <c r="F83" s="658" t="s">
        <v>67</v>
      </c>
      <c r="G83" s="89">
        <f t="shared" si="48"/>
        <v>1912.7217600000004</v>
      </c>
      <c r="H83" s="710">
        <v>1804.4</v>
      </c>
      <c r="I83" s="435">
        <f t="shared" si="44"/>
        <v>0.94336773791918371</v>
      </c>
      <c r="J83" s="155">
        <v>328.5</v>
      </c>
      <c r="K83" s="655">
        <v>659.8</v>
      </c>
      <c r="L83" s="667">
        <v>312.60000000000002</v>
      </c>
      <c r="M83" s="687">
        <v>695.7</v>
      </c>
      <c r="N83" s="719">
        <v>961.6</v>
      </c>
      <c r="O83" s="64">
        <v>319.60000000000002</v>
      </c>
      <c r="P83" s="64">
        <v>205.6</v>
      </c>
      <c r="Q83" s="64">
        <v>10</v>
      </c>
      <c r="R83" s="64">
        <v>6</v>
      </c>
      <c r="S83" s="656">
        <v>5</v>
      </c>
      <c r="T83" s="162">
        <f t="shared" si="46"/>
        <v>5909.6</v>
      </c>
      <c r="U83" s="198">
        <f t="shared" si="41"/>
        <v>323.66348991471506</v>
      </c>
      <c r="V83" s="522">
        <v>188700</v>
      </c>
      <c r="W83" s="523">
        <f t="shared" si="47"/>
        <v>1.7152278214876261E-3</v>
      </c>
      <c r="X83" s="64">
        <f t="shared" si="43"/>
        <v>670.72017056992013</v>
      </c>
      <c r="Y83" s="154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76"/>
      <c r="AL83" s="176"/>
      <c r="AM83" s="1114"/>
      <c r="AN83" s="176"/>
      <c r="AO83" s="176"/>
      <c r="AP83" s="1114"/>
      <c r="AQ83" s="1114"/>
      <c r="AR83" s="176"/>
      <c r="AS83" s="176"/>
      <c r="AT83" s="176"/>
      <c r="AU83" s="176"/>
      <c r="AV83" s="176"/>
      <c r="AW83" s="176"/>
      <c r="AX83" s="176"/>
      <c r="AY83" s="176"/>
      <c r="AZ83" s="1114"/>
      <c r="BA83" s="195"/>
      <c r="BB83" s="176"/>
      <c r="BC83" s="176"/>
      <c r="BD83" s="1114"/>
      <c r="BE83" s="176"/>
      <c r="BF83" s="176"/>
      <c r="BG83" s="176"/>
      <c r="BH83" s="1115"/>
      <c r="BI83" s="226"/>
      <c r="BJ83" s="195"/>
      <c r="BK83" s="195"/>
      <c r="BL83" s="176"/>
      <c r="BM83" s="195"/>
      <c r="BN83" s="226"/>
      <c r="BO83" s="176"/>
      <c r="BP83" s="195"/>
      <c r="BQ83" s="273"/>
      <c r="BR83" s="195"/>
      <c r="BS83" s="176"/>
      <c r="BT83" s="176"/>
      <c r="BU83" s="176"/>
      <c r="BV83" s="176"/>
      <c r="BW83" s="176"/>
      <c r="BX83" s="195"/>
      <c r="BY83" s="176"/>
      <c r="BZ83" s="1114"/>
      <c r="CA83" s="1114"/>
      <c r="CB83" s="226"/>
      <c r="CC83" s="1116"/>
      <c r="CD83" s="1116"/>
      <c r="CE83" s="700"/>
    </row>
    <row r="84" spans="1:107" ht="15.75" customHeight="1" x14ac:dyDescent="0.45">
      <c r="A84" s="1584"/>
      <c r="B84" s="1659"/>
      <c r="C84" s="295" t="s">
        <v>57</v>
      </c>
      <c r="D84" s="521" t="s">
        <v>325</v>
      </c>
      <c r="E84" s="658" t="s">
        <v>73</v>
      </c>
      <c r="F84" s="658" t="s">
        <v>67</v>
      </c>
      <c r="G84" s="89">
        <f t="shared" si="48"/>
        <v>1600.6370400000003</v>
      </c>
      <c r="H84" s="710">
        <v>978.5</v>
      </c>
      <c r="I84" s="435">
        <f t="shared" si="44"/>
        <v>0.61131910329902139</v>
      </c>
      <c r="J84" s="155">
        <v>312.60000000000002</v>
      </c>
      <c r="K84" s="655">
        <v>695.7</v>
      </c>
      <c r="L84" s="667">
        <v>312.60000000000002</v>
      </c>
      <c r="M84" s="687">
        <v>695.7</v>
      </c>
      <c r="N84" s="719">
        <v>1117.8</v>
      </c>
      <c r="O84" s="64">
        <v>373.3</v>
      </c>
      <c r="P84" s="64">
        <v>246.05</v>
      </c>
      <c r="Q84" s="64">
        <v>6</v>
      </c>
      <c r="R84" s="64">
        <v>6</v>
      </c>
      <c r="S84" s="656">
        <v>5</v>
      </c>
      <c r="T84" s="162">
        <f t="shared" si="46"/>
        <v>5120.4000000000005</v>
      </c>
      <c r="U84" s="198">
        <f t="shared" si="41"/>
        <v>312.60000000000002</v>
      </c>
      <c r="V84" s="522">
        <v>188700</v>
      </c>
      <c r="W84" s="523">
        <f t="shared" si="47"/>
        <v>1.6565977742448333E-3</v>
      </c>
      <c r="X84" s="64">
        <f t="shared" si="43"/>
        <v>695.69999999999993</v>
      </c>
      <c r="Y84" s="154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76"/>
      <c r="AL84" s="176"/>
      <c r="AM84" s="1114"/>
      <c r="AN84" s="176"/>
      <c r="AO84" s="176"/>
      <c r="AP84" s="1114"/>
      <c r="AQ84" s="1114"/>
      <c r="AR84" s="176"/>
      <c r="AS84" s="176"/>
      <c r="AT84" s="176"/>
      <c r="AU84" s="176"/>
      <c r="AV84" s="176"/>
      <c r="AW84" s="176"/>
      <c r="AX84" s="176"/>
      <c r="AY84" s="176"/>
      <c r="AZ84" s="1114"/>
      <c r="BA84" s="195"/>
      <c r="BB84" s="176"/>
      <c r="BC84" s="176"/>
      <c r="BD84" s="1114"/>
      <c r="BE84" s="176"/>
      <c r="BF84" s="176"/>
      <c r="BG84" s="176"/>
      <c r="BH84" s="1115"/>
      <c r="BI84" s="226"/>
      <c r="BJ84" s="195"/>
      <c r="BK84" s="195"/>
      <c r="BL84" s="176"/>
      <c r="BM84" s="195"/>
      <c r="BN84" s="226"/>
      <c r="BO84" s="176"/>
      <c r="BP84" s="195"/>
      <c r="BQ84" s="273"/>
      <c r="BR84" s="195"/>
      <c r="BS84" s="176"/>
      <c r="BT84" s="176"/>
      <c r="BU84" s="176"/>
      <c r="BV84" s="176"/>
      <c r="BW84" s="176"/>
      <c r="BX84" s="195"/>
      <c r="BY84" s="176"/>
      <c r="BZ84" s="1114"/>
      <c r="CA84" s="1114"/>
      <c r="CB84" s="226"/>
      <c r="CC84" s="1116"/>
      <c r="CD84" s="1116"/>
      <c r="CE84" s="700"/>
    </row>
    <row r="85" spans="1:107" ht="15.75" customHeight="1" x14ac:dyDescent="0.45">
      <c r="A85" s="1584"/>
      <c r="B85" s="1660"/>
      <c r="C85" s="295" t="s">
        <v>57</v>
      </c>
      <c r="D85" s="521" t="s">
        <v>326</v>
      </c>
      <c r="E85" s="658" t="s">
        <v>73</v>
      </c>
      <c r="F85" s="658" t="s">
        <v>67</v>
      </c>
      <c r="G85" s="89">
        <f t="shared" si="48"/>
        <v>1542.7747800000002</v>
      </c>
      <c r="H85" s="710">
        <v>893.8</v>
      </c>
      <c r="I85" s="435">
        <f t="shared" si="44"/>
        <v>0.579345742221687</v>
      </c>
      <c r="J85" s="155">
        <v>312.60000000000002</v>
      </c>
      <c r="K85" s="655">
        <v>695.7</v>
      </c>
      <c r="L85" s="667">
        <v>312.60000000000002</v>
      </c>
      <c r="M85" s="687">
        <v>695.7</v>
      </c>
      <c r="N85" s="719">
        <v>1400.7</v>
      </c>
      <c r="O85" s="64">
        <v>462.55</v>
      </c>
      <c r="P85" s="64">
        <v>186</v>
      </c>
      <c r="Q85" s="64">
        <v>6</v>
      </c>
      <c r="R85" s="64">
        <v>6</v>
      </c>
      <c r="S85" s="656">
        <v>5</v>
      </c>
      <c r="T85" s="162">
        <f t="shared" si="46"/>
        <v>4935.3</v>
      </c>
      <c r="U85" s="198">
        <f t="shared" si="41"/>
        <v>312.60000000000002</v>
      </c>
      <c r="V85" s="522">
        <v>188700</v>
      </c>
      <c r="W85" s="523">
        <f t="shared" si="47"/>
        <v>1.6565977742448333E-3</v>
      </c>
      <c r="X85" s="64">
        <f t="shared" si="43"/>
        <v>695.7</v>
      </c>
      <c r="Y85" s="154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76"/>
      <c r="AL85" s="176"/>
      <c r="AM85" s="1114"/>
      <c r="AN85" s="176"/>
      <c r="AO85" s="176"/>
      <c r="AP85" s="1114"/>
      <c r="AQ85" s="1114"/>
      <c r="AR85" s="176"/>
      <c r="AS85" s="176"/>
      <c r="AT85" s="176"/>
      <c r="AU85" s="176"/>
      <c r="AV85" s="176"/>
      <c r="AW85" s="176"/>
      <c r="AX85" s="176"/>
      <c r="AY85" s="176"/>
      <c r="AZ85" s="1114"/>
      <c r="BA85" s="195"/>
      <c r="BB85" s="176"/>
      <c r="BC85" s="176"/>
      <c r="BD85" s="1114"/>
      <c r="BE85" s="176"/>
      <c r="BF85" s="176"/>
      <c r="BG85" s="176"/>
      <c r="BH85" s="1115"/>
      <c r="BI85" s="226"/>
      <c r="BJ85" s="195"/>
      <c r="BK85" s="195"/>
      <c r="BL85" s="176"/>
      <c r="BM85" s="195"/>
      <c r="BN85" s="226"/>
      <c r="BO85" s="176"/>
      <c r="BP85" s="195"/>
      <c r="BQ85" s="273"/>
      <c r="BR85" s="195"/>
      <c r="BS85" s="176"/>
      <c r="BT85" s="176"/>
      <c r="BU85" s="176"/>
      <c r="BV85" s="176"/>
      <c r="BW85" s="176"/>
      <c r="BX85" s="195"/>
      <c r="BY85" s="176"/>
      <c r="BZ85" s="1114"/>
      <c r="CA85" s="1114"/>
      <c r="CB85" s="226"/>
      <c r="CC85" s="1116"/>
      <c r="CD85" s="1116"/>
      <c r="CE85" s="700"/>
    </row>
    <row r="86" spans="1:107" ht="15.75" customHeight="1" x14ac:dyDescent="0.45">
      <c r="A86" s="1584"/>
      <c r="B86" s="1661" t="s">
        <v>310</v>
      </c>
      <c r="C86" s="295" t="s">
        <v>57</v>
      </c>
      <c r="D86" s="521" t="s">
        <v>327</v>
      </c>
      <c r="E86" s="658" t="s">
        <v>73</v>
      </c>
      <c r="F86" s="658" t="s">
        <v>67</v>
      </c>
      <c r="G86" s="89">
        <f t="shared" si="48"/>
        <v>2232.1644000000001</v>
      </c>
      <c r="H86" s="710">
        <v>2549.9</v>
      </c>
      <c r="I86" s="435">
        <f t="shared" si="44"/>
        <v>1.1423441750078982</v>
      </c>
      <c r="J86" s="155">
        <v>574.79999999999995</v>
      </c>
      <c r="K86" s="655">
        <v>775</v>
      </c>
      <c r="L86" s="667">
        <v>605.6</v>
      </c>
      <c r="M86" s="687">
        <v>797.9</v>
      </c>
      <c r="N86" s="719">
        <v>499.4</v>
      </c>
      <c r="O86" s="64">
        <v>150.65</v>
      </c>
      <c r="P86" s="64">
        <v>150</v>
      </c>
      <c r="Q86" s="64">
        <v>10.199999999999999</v>
      </c>
      <c r="R86" s="64">
        <v>6</v>
      </c>
      <c r="S86" s="656">
        <v>5</v>
      </c>
      <c r="T86" s="162">
        <f t="shared" si="46"/>
        <v>3841.5</v>
      </c>
      <c r="U86" s="198">
        <f t="shared" si="41"/>
        <v>581.065833658727</v>
      </c>
      <c r="V86" s="522">
        <v>192200</v>
      </c>
      <c r="W86" s="523">
        <f t="shared" si="47"/>
        <v>3.0232353468195995E-3</v>
      </c>
      <c r="X86" s="64">
        <f t="shared" si="43"/>
        <v>779.65868801249519</v>
      </c>
      <c r="Y86" s="154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76"/>
      <c r="AL86" s="176"/>
      <c r="AM86" s="1114"/>
      <c r="AN86" s="176"/>
      <c r="AO86" s="176"/>
      <c r="AP86" s="1114"/>
      <c r="AQ86" s="1114"/>
      <c r="AR86" s="176"/>
      <c r="AS86" s="176"/>
      <c r="AT86" s="176"/>
      <c r="AU86" s="176"/>
      <c r="AV86" s="176"/>
      <c r="AW86" s="176"/>
      <c r="AX86" s="176"/>
      <c r="AY86" s="176"/>
      <c r="AZ86" s="1114"/>
      <c r="BA86" s="195"/>
      <c r="BB86" s="176"/>
      <c r="BC86" s="176"/>
      <c r="BD86" s="1114"/>
      <c r="BE86" s="176"/>
      <c r="BF86" s="176"/>
      <c r="BG86" s="176"/>
      <c r="BH86" s="1115"/>
      <c r="BI86" s="226"/>
      <c r="BJ86" s="195"/>
      <c r="BK86" s="195"/>
      <c r="BL86" s="176"/>
      <c r="BM86" s="195"/>
      <c r="BN86" s="226"/>
      <c r="BO86" s="176"/>
      <c r="BP86" s="195"/>
      <c r="BQ86" s="273"/>
      <c r="BR86" s="195"/>
      <c r="BS86" s="176"/>
      <c r="BT86" s="176"/>
      <c r="BU86" s="176"/>
      <c r="BV86" s="176"/>
      <c r="BW86" s="176"/>
      <c r="BX86" s="195"/>
      <c r="BY86" s="176"/>
      <c r="BZ86" s="1114"/>
      <c r="CA86" s="1114"/>
      <c r="CB86" s="226"/>
      <c r="CC86" s="1116"/>
      <c r="CD86" s="1116"/>
      <c r="CE86" s="700"/>
    </row>
    <row r="87" spans="1:107" ht="15.75" customHeight="1" x14ac:dyDescent="0.45">
      <c r="A87" s="1584"/>
      <c r="B87" s="1659"/>
      <c r="C87" s="295" t="s">
        <v>57</v>
      </c>
      <c r="D87" s="521" t="s">
        <v>328</v>
      </c>
      <c r="E87" s="658" t="s">
        <v>73</v>
      </c>
      <c r="F87" s="658" t="s">
        <v>67</v>
      </c>
      <c r="G87" s="89">
        <f t="shared" si="48"/>
        <v>1572.25872</v>
      </c>
      <c r="H87" s="710">
        <v>1447.7</v>
      </c>
      <c r="I87" s="435">
        <f t="shared" si="44"/>
        <v>0.92077721152661185</v>
      </c>
      <c r="J87" s="662">
        <v>605.6</v>
      </c>
      <c r="K87" s="667">
        <v>797.9</v>
      </c>
      <c r="L87" s="667">
        <v>605.6</v>
      </c>
      <c r="M87" s="687">
        <v>797.9</v>
      </c>
      <c r="N87" s="719">
        <v>600</v>
      </c>
      <c r="O87" s="64">
        <v>193.1</v>
      </c>
      <c r="P87" s="64">
        <v>125.8</v>
      </c>
      <c r="Q87" s="64">
        <v>6</v>
      </c>
      <c r="R87" s="64">
        <v>6</v>
      </c>
      <c r="S87" s="656">
        <v>5</v>
      </c>
      <c r="T87" s="162">
        <f t="shared" si="46"/>
        <v>2596.1999999999998</v>
      </c>
      <c r="U87" s="198">
        <f t="shared" si="41"/>
        <v>605.6</v>
      </c>
      <c r="V87" s="522">
        <v>192200</v>
      </c>
      <c r="W87" s="523">
        <f t="shared" si="47"/>
        <v>3.1508844953173779E-3</v>
      </c>
      <c r="X87" s="64">
        <f t="shared" si="43"/>
        <v>797.9</v>
      </c>
      <c r="Y87" s="154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76"/>
      <c r="AL87" s="176"/>
      <c r="AM87" s="1114"/>
      <c r="AN87" s="176"/>
      <c r="AO87" s="176"/>
      <c r="AP87" s="1114"/>
      <c r="AQ87" s="1114"/>
      <c r="AR87" s="176"/>
      <c r="AS87" s="176"/>
      <c r="AT87" s="176"/>
      <c r="AU87" s="176"/>
      <c r="AV87" s="176"/>
      <c r="AW87" s="176"/>
      <c r="AX87" s="176"/>
      <c r="AY87" s="176"/>
      <c r="AZ87" s="1114"/>
      <c r="BA87" s="195"/>
      <c r="BB87" s="176"/>
      <c r="BC87" s="176"/>
      <c r="BD87" s="1114"/>
      <c r="BE87" s="176"/>
      <c r="BF87" s="176"/>
      <c r="BG87" s="176"/>
      <c r="BH87" s="1115"/>
      <c r="BI87" s="226"/>
      <c r="BJ87" s="195"/>
      <c r="BK87" s="195"/>
      <c r="BL87" s="176"/>
      <c r="BM87" s="195"/>
      <c r="BN87" s="226"/>
      <c r="BO87" s="176"/>
      <c r="BP87" s="195"/>
      <c r="BQ87" s="273"/>
      <c r="BR87" s="195"/>
      <c r="BS87" s="176"/>
      <c r="BT87" s="176"/>
      <c r="BU87" s="176"/>
      <c r="BV87" s="176"/>
      <c r="BW87" s="176"/>
      <c r="BX87" s="195"/>
      <c r="BY87" s="176"/>
      <c r="BZ87" s="1114"/>
      <c r="CA87" s="1114"/>
      <c r="CB87" s="226"/>
      <c r="CC87" s="1116"/>
      <c r="CD87" s="1116"/>
      <c r="CE87" s="700"/>
    </row>
    <row r="88" spans="1:107" ht="15.75" customHeight="1" x14ac:dyDescent="0.45">
      <c r="A88" s="1584"/>
      <c r="B88" s="1659"/>
      <c r="C88" s="295" t="s">
        <v>57</v>
      </c>
      <c r="D88" s="521" t="s">
        <v>329</v>
      </c>
      <c r="E88" s="658" t="s">
        <v>73</v>
      </c>
      <c r="F88" s="658" t="s">
        <v>67</v>
      </c>
      <c r="G88" s="89">
        <f t="shared" si="48"/>
        <v>2119.1604480000001</v>
      </c>
      <c r="H88" s="710">
        <v>2298.6</v>
      </c>
      <c r="I88" s="435">
        <f t="shared" si="44"/>
        <v>1.0846748306242453</v>
      </c>
      <c r="J88" s="155">
        <v>574.79999999999995</v>
      </c>
      <c r="K88" s="655">
        <v>775</v>
      </c>
      <c r="L88" s="667">
        <v>605.6</v>
      </c>
      <c r="M88" s="687">
        <v>797.9</v>
      </c>
      <c r="N88" s="719">
        <v>601.4</v>
      </c>
      <c r="O88" s="64">
        <v>200.55</v>
      </c>
      <c r="P88" s="64">
        <v>124.9</v>
      </c>
      <c r="Q88" s="64">
        <v>10.199999999999999</v>
      </c>
      <c r="R88" s="64">
        <v>6</v>
      </c>
      <c r="S88" s="656">
        <v>5</v>
      </c>
      <c r="T88" s="162">
        <f>(O88-2*Q88)*R88+2*(P88*Q88)</f>
        <v>3628.86</v>
      </c>
      <c r="U88" s="198">
        <f t="shared" si="41"/>
        <v>583.97415386650346</v>
      </c>
      <c r="V88" s="522">
        <v>192200</v>
      </c>
      <c r="W88" s="523">
        <f t="shared" si="47"/>
        <v>3.0383670856737955E-3</v>
      </c>
      <c r="X88" s="64">
        <f t="shared" si="43"/>
        <v>781.82104297217313</v>
      </c>
      <c r="Y88" s="154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76"/>
      <c r="AL88" s="176"/>
      <c r="AM88" s="1114"/>
      <c r="AN88" s="176"/>
      <c r="AO88" s="176"/>
      <c r="AP88" s="1114"/>
      <c r="AQ88" s="1114"/>
      <c r="AR88" s="176"/>
      <c r="AS88" s="176"/>
      <c r="AT88" s="176"/>
      <c r="AU88" s="176"/>
      <c r="AV88" s="176"/>
      <c r="AW88" s="176"/>
      <c r="AX88" s="176"/>
      <c r="AY88" s="176"/>
      <c r="AZ88" s="1114"/>
      <c r="BA88" s="195"/>
      <c r="BB88" s="176"/>
      <c r="BC88" s="176"/>
      <c r="BD88" s="1114"/>
      <c r="BE88" s="176"/>
      <c r="BF88" s="176"/>
      <c r="BG88" s="176"/>
      <c r="BH88" s="1115"/>
      <c r="BI88" s="226"/>
      <c r="BJ88" s="195"/>
      <c r="BK88" s="195"/>
      <c r="BL88" s="176"/>
      <c r="BM88" s="195"/>
      <c r="BN88" s="226"/>
      <c r="BO88" s="176"/>
      <c r="BP88" s="195"/>
      <c r="BQ88" s="273"/>
      <c r="BR88" s="195"/>
      <c r="BS88" s="176"/>
      <c r="BT88" s="176"/>
      <c r="BU88" s="176"/>
      <c r="BV88" s="176"/>
      <c r="BW88" s="176"/>
      <c r="BX88" s="195"/>
      <c r="BY88" s="176"/>
      <c r="BZ88" s="1114"/>
      <c r="CA88" s="1114"/>
      <c r="CB88" s="226"/>
      <c r="CC88" s="1116"/>
      <c r="CD88" s="1116"/>
      <c r="CE88" s="700"/>
    </row>
    <row r="89" spans="1:107" ht="15.75" customHeight="1" x14ac:dyDescent="0.45">
      <c r="A89" s="1584"/>
      <c r="B89" s="1659"/>
      <c r="C89" s="295" t="s">
        <v>57</v>
      </c>
      <c r="D89" s="521" t="s">
        <v>330</v>
      </c>
      <c r="E89" s="658" t="s">
        <v>73</v>
      </c>
      <c r="F89" s="658" t="s">
        <v>67</v>
      </c>
      <c r="G89" s="89">
        <f t="shared" si="48"/>
        <v>2657.43336</v>
      </c>
      <c r="H89" s="710">
        <v>1653.2</v>
      </c>
      <c r="I89" s="435">
        <f t="shared" si="44"/>
        <v>0.62210402897930051</v>
      </c>
      <c r="J89" s="662">
        <v>605.6</v>
      </c>
      <c r="K89" s="667">
        <v>797.9</v>
      </c>
      <c r="L89" s="667">
        <v>605.6</v>
      </c>
      <c r="M89" s="687">
        <v>797.9</v>
      </c>
      <c r="N89" s="719">
        <v>780</v>
      </c>
      <c r="O89" s="64">
        <v>252.85</v>
      </c>
      <c r="P89" s="64">
        <v>245.25</v>
      </c>
      <c r="Q89" s="64">
        <v>6</v>
      </c>
      <c r="R89" s="64">
        <v>6</v>
      </c>
      <c r="S89" s="656">
        <v>5</v>
      </c>
      <c r="T89" s="162">
        <f t="shared" si="46"/>
        <v>4388.1000000000004</v>
      </c>
      <c r="U89" s="198">
        <f t="shared" si="41"/>
        <v>605.59999999999991</v>
      </c>
      <c r="V89" s="522">
        <v>192200</v>
      </c>
      <c r="W89" s="523">
        <f t="shared" si="47"/>
        <v>3.1508844953173775E-3</v>
      </c>
      <c r="X89" s="64">
        <f t="shared" si="43"/>
        <v>797.89999999999975</v>
      </c>
      <c r="Y89" s="154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76"/>
      <c r="AL89" s="176"/>
      <c r="AM89" s="1114"/>
      <c r="AN89" s="176"/>
      <c r="AO89" s="176"/>
      <c r="AP89" s="1114"/>
      <c r="AQ89" s="1114"/>
      <c r="AR89" s="176"/>
      <c r="AS89" s="176"/>
      <c r="AT89" s="176"/>
      <c r="AU89" s="176"/>
      <c r="AV89" s="176"/>
      <c r="AW89" s="176"/>
      <c r="AX89" s="176"/>
      <c r="AY89" s="176"/>
      <c r="AZ89" s="1114"/>
      <c r="BA89" s="195"/>
      <c r="BB89" s="176"/>
      <c r="BC89" s="176"/>
      <c r="BD89" s="1114"/>
      <c r="BE89" s="176"/>
      <c r="BF89" s="176"/>
      <c r="BG89" s="176"/>
      <c r="BH89" s="1115"/>
      <c r="BI89" s="226"/>
      <c r="BJ89" s="195"/>
      <c r="BK89" s="195"/>
      <c r="BL89" s="176"/>
      <c r="BM89" s="195"/>
      <c r="BN89" s="226"/>
      <c r="BO89" s="176"/>
      <c r="BP89" s="195"/>
      <c r="BQ89" s="273"/>
      <c r="BR89" s="195"/>
      <c r="BS89" s="176"/>
      <c r="BT89" s="176"/>
      <c r="BU89" s="176"/>
      <c r="BV89" s="176"/>
      <c r="BW89" s="176"/>
      <c r="BX89" s="195"/>
      <c r="BY89" s="176"/>
      <c r="BZ89" s="1114"/>
      <c r="CA89" s="1114"/>
      <c r="CB89" s="226"/>
      <c r="CC89" s="1116"/>
      <c r="CD89" s="1116"/>
      <c r="CE89" s="700"/>
    </row>
    <row r="90" spans="1:107" ht="15.75" customHeight="1" thickBot="1" x14ac:dyDescent="0.5">
      <c r="A90" s="1663"/>
      <c r="B90" s="1662"/>
      <c r="C90" s="123" t="s">
        <v>57</v>
      </c>
      <c r="D90" s="735" t="s">
        <v>331</v>
      </c>
      <c r="E90" s="233" t="s">
        <v>73</v>
      </c>
      <c r="F90" s="233" t="s">
        <v>67</v>
      </c>
      <c r="G90" s="109">
        <f t="shared" si="48"/>
        <v>3091.6485600000005</v>
      </c>
      <c r="H90" s="736">
        <v>1686.3</v>
      </c>
      <c r="I90" s="483">
        <f t="shared" si="44"/>
        <v>0.54543715667346082</v>
      </c>
      <c r="J90" s="691">
        <v>605.6</v>
      </c>
      <c r="K90" s="189">
        <v>797.9</v>
      </c>
      <c r="L90" s="189">
        <v>605.6</v>
      </c>
      <c r="M90" s="318">
        <v>797.9</v>
      </c>
      <c r="N90" s="731">
        <v>1117</v>
      </c>
      <c r="O90" s="237">
        <v>372.85</v>
      </c>
      <c r="P90" s="237">
        <v>245</v>
      </c>
      <c r="Q90" s="237">
        <v>6</v>
      </c>
      <c r="R90" s="237">
        <v>6</v>
      </c>
      <c r="S90" s="23">
        <v>5</v>
      </c>
      <c r="T90" s="186">
        <f t="shared" si="46"/>
        <v>5105.1000000000004</v>
      </c>
      <c r="U90" s="481">
        <f t="shared" si="41"/>
        <v>605.6</v>
      </c>
      <c r="V90" s="525">
        <v>192200</v>
      </c>
      <c r="W90" s="526">
        <f t="shared" si="47"/>
        <v>3.1508844953173779E-3</v>
      </c>
      <c r="X90" s="237">
        <f t="shared" si="43"/>
        <v>797.9</v>
      </c>
      <c r="Y90" s="242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76"/>
      <c r="AL90" s="176"/>
      <c r="AM90" s="1114"/>
      <c r="AN90" s="176"/>
      <c r="AO90" s="176"/>
      <c r="AP90" s="1114"/>
      <c r="AQ90" s="1114"/>
      <c r="AR90" s="176"/>
      <c r="AS90" s="176"/>
      <c r="AT90" s="176"/>
      <c r="AU90" s="176"/>
      <c r="AV90" s="176"/>
      <c r="AW90" s="176"/>
      <c r="AX90" s="176"/>
      <c r="AY90" s="176"/>
      <c r="AZ90" s="1114"/>
      <c r="BA90" s="195"/>
      <c r="BB90" s="176"/>
      <c r="BC90" s="176"/>
      <c r="BD90" s="1114"/>
      <c r="BE90" s="176"/>
      <c r="BF90" s="176"/>
      <c r="BG90" s="176"/>
      <c r="BH90" s="1115"/>
      <c r="BI90" s="226"/>
      <c r="BJ90" s="195"/>
      <c r="BK90" s="195"/>
      <c r="BL90" s="176"/>
      <c r="BM90" s="195"/>
      <c r="BN90" s="226"/>
      <c r="BO90" s="176"/>
      <c r="BP90" s="195"/>
      <c r="BQ90" s="273"/>
      <c r="BR90" s="195"/>
      <c r="BS90" s="176"/>
      <c r="BT90" s="176"/>
      <c r="BU90" s="176"/>
      <c r="BV90" s="176"/>
      <c r="BW90" s="176"/>
      <c r="BX90" s="195"/>
      <c r="BY90" s="176"/>
      <c r="BZ90" s="1114"/>
      <c r="CA90" s="1114"/>
      <c r="CB90" s="226"/>
      <c r="CC90" s="1116"/>
      <c r="CD90" s="1116"/>
      <c r="CE90" s="700"/>
    </row>
    <row r="91" spans="1:107" ht="15.75" customHeight="1" x14ac:dyDescent="0.45">
      <c r="A91" s="698"/>
      <c r="B91" s="667"/>
      <c r="C91" s="658"/>
      <c r="D91" s="521"/>
      <c r="E91" s="658"/>
      <c r="F91" s="658"/>
      <c r="G91" s="213"/>
      <c r="H91" s="699"/>
      <c r="I91" s="195"/>
      <c r="J91" s="655"/>
      <c r="K91" s="655"/>
      <c r="L91" s="143"/>
      <c r="M91" s="119"/>
      <c r="N91" s="119"/>
      <c r="O91" s="64"/>
      <c r="P91" s="64"/>
      <c r="Q91" s="64"/>
      <c r="R91" s="656"/>
      <c r="S91" s="246"/>
      <c r="T91" s="522"/>
      <c r="U91" s="522"/>
      <c r="V91" s="523"/>
      <c r="W91" s="64"/>
      <c r="X91" s="65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76"/>
      <c r="AK91" s="176"/>
      <c r="AL91" s="655"/>
      <c r="AM91" s="176"/>
      <c r="AN91" s="176"/>
      <c r="AO91" s="655"/>
      <c r="AP91" s="655"/>
      <c r="AQ91" s="176"/>
      <c r="AR91" s="667"/>
      <c r="AS91" s="173"/>
      <c r="AT91" s="173"/>
      <c r="AU91" s="173"/>
      <c r="AV91" s="667"/>
      <c r="AW91" s="162"/>
      <c r="AX91" s="162"/>
      <c r="AY91" s="667"/>
      <c r="AZ91" s="173"/>
      <c r="BA91" s="162"/>
      <c r="BB91" s="162"/>
      <c r="BC91" s="667"/>
      <c r="BD91" s="162"/>
      <c r="BE91" s="162"/>
      <c r="BF91" s="162"/>
      <c r="BG91" s="656"/>
      <c r="BH91" s="226"/>
      <c r="BI91" s="195"/>
      <c r="BJ91" s="195"/>
      <c r="BK91" s="195"/>
      <c r="BL91" s="176"/>
      <c r="BM91" s="176"/>
      <c r="BN91" s="176"/>
      <c r="BO91" s="195"/>
      <c r="BP91" s="195"/>
      <c r="BQ91" s="195"/>
      <c r="BR91" s="176"/>
      <c r="BS91" s="195"/>
      <c r="BT91" s="273"/>
      <c r="BU91" s="195"/>
      <c r="BV91" s="176"/>
      <c r="BW91" s="176"/>
      <c r="BX91" s="176"/>
      <c r="BY91" s="176"/>
      <c r="BZ91" s="176"/>
      <c r="CA91" s="173"/>
      <c r="CB91" s="176"/>
      <c r="CC91" s="655"/>
      <c r="CD91" s="655"/>
      <c r="CE91" s="226"/>
      <c r="CF91" s="143"/>
      <c r="CG91" s="657"/>
      <c r="CH91" s="700"/>
    </row>
    <row r="92" spans="1:107" ht="15.75" customHeight="1" x14ac:dyDescent="0.45">
      <c r="A92" s="698"/>
      <c r="B92" s="667"/>
      <c r="C92" s="658"/>
      <c r="D92" s="521"/>
      <c r="E92" s="658"/>
      <c r="F92" s="658"/>
      <c r="G92" s="213"/>
      <c r="H92" s="699"/>
      <c r="I92" s="195"/>
      <c r="J92" s="655"/>
      <c r="K92" s="655"/>
      <c r="L92" s="143"/>
      <c r="M92" s="119"/>
      <c r="N92" s="119"/>
      <c r="O92" s="64"/>
      <c r="P92" s="64"/>
      <c r="Q92" s="64"/>
      <c r="R92" s="656"/>
      <c r="S92" s="246"/>
      <c r="T92" s="522"/>
      <c r="U92" s="522"/>
      <c r="V92" s="523"/>
      <c r="W92" s="64"/>
      <c r="X92" s="65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76"/>
      <c r="AK92" s="176"/>
      <c r="AL92" s="655"/>
      <c r="AM92" s="176"/>
      <c r="AN92" s="176"/>
      <c r="AO92" s="655"/>
      <c r="AP92" s="655"/>
      <c r="AQ92" s="176"/>
      <c r="AR92" s="667"/>
      <c r="AS92" s="173"/>
      <c r="AT92" s="173"/>
      <c r="AU92" s="173"/>
      <c r="AV92" s="667"/>
      <c r="AW92" s="162"/>
      <c r="AX92" s="162"/>
      <c r="AY92" s="667"/>
      <c r="AZ92" s="173"/>
      <c r="BA92" s="162"/>
      <c r="BB92" s="162"/>
      <c r="BC92" s="667"/>
      <c r="BD92" s="162"/>
      <c r="BE92" s="162"/>
      <c r="BF92" s="162"/>
      <c r="BG92" s="656"/>
      <c r="BH92" s="226"/>
      <c r="BI92" s="195"/>
      <c r="BJ92" s="195"/>
      <c r="BK92" s="195"/>
      <c r="BL92" s="176"/>
      <c r="BM92" s="176"/>
      <c r="BN92" s="176"/>
      <c r="BO92" s="195"/>
      <c r="BP92" s="195"/>
      <c r="BQ92" s="195"/>
      <c r="BR92" s="176"/>
      <c r="BS92" s="195"/>
      <c r="BT92" s="273"/>
      <c r="BU92" s="195"/>
      <c r="BV92" s="176"/>
      <c r="BW92" s="176"/>
      <c r="BX92" s="176"/>
      <c r="BY92" s="176"/>
      <c r="BZ92" s="176"/>
      <c r="CA92" s="173"/>
      <c r="CB92" s="176"/>
      <c r="CC92" s="655"/>
      <c r="CD92" s="655"/>
      <c r="CE92" s="226"/>
      <c r="CF92" s="143"/>
      <c r="CG92" s="657"/>
      <c r="CH92" s="700"/>
    </row>
    <row r="93" spans="1:107" x14ac:dyDescent="0.45">
      <c r="B93" s="528"/>
      <c r="C93" s="528"/>
      <c r="D93" s="528"/>
      <c r="E93" s="528"/>
      <c r="F93" s="528"/>
      <c r="G93" s="528"/>
      <c r="H93" s="528"/>
      <c r="I93" s="528"/>
      <c r="J93" s="528"/>
      <c r="K93" s="528"/>
      <c r="L93" s="528"/>
      <c r="M93" s="528"/>
      <c r="N93" s="528"/>
      <c r="BV93" s="379"/>
      <c r="BW93" s="497"/>
      <c r="BX93" s="491"/>
      <c r="BY93" s="497"/>
      <c r="BZ93" s="497"/>
    </row>
    <row r="94" spans="1:107" x14ac:dyDescent="0.45">
      <c r="K94" s="528"/>
      <c r="L94" s="528"/>
      <c r="M94" s="528"/>
      <c r="N94" s="528"/>
      <c r="O94" s="528"/>
      <c r="P94" s="528"/>
      <c r="Q94" s="528"/>
      <c r="BV94" s="195"/>
    </row>
    <row r="95" spans="1:107" ht="13.15" thickBot="1" x14ac:dyDescent="0.5">
      <c r="CC95" s="443"/>
    </row>
    <row r="96" spans="1:107" ht="15.75" customHeight="1" thickBot="1" x14ac:dyDescent="0.5">
      <c r="A96" s="524"/>
      <c r="B96" s="524"/>
      <c r="C96" s="524"/>
      <c r="D96" s="524"/>
      <c r="E96" s="524"/>
      <c r="F96" s="524"/>
      <c r="G96" s="524"/>
      <c r="H96" s="524"/>
      <c r="I96" s="484"/>
      <c r="J96" s="1556" t="s">
        <v>175</v>
      </c>
      <c r="K96" s="1557"/>
      <c r="L96" s="1557"/>
      <c r="M96" s="1557"/>
      <c r="N96" s="1557"/>
      <c r="O96" s="1557"/>
      <c r="P96" s="1557"/>
      <c r="Q96" s="1557"/>
      <c r="R96" s="1557"/>
      <c r="S96" s="1557"/>
      <c r="T96" s="1557"/>
      <c r="U96" s="1557"/>
      <c r="V96" s="1557"/>
      <c r="W96" s="1557"/>
      <c r="X96" s="1557"/>
      <c r="Y96" s="1557"/>
      <c r="Z96" s="1557"/>
      <c r="AA96" s="1557"/>
      <c r="AB96" s="1558"/>
      <c r="AC96" s="1557" t="s">
        <v>0</v>
      </c>
      <c r="AD96" s="1557"/>
      <c r="AE96" s="1557"/>
      <c r="AF96" s="1557"/>
      <c r="AG96" s="1557"/>
      <c r="AH96" s="1557"/>
      <c r="AI96" s="1557"/>
      <c r="AJ96" s="1594" t="s">
        <v>148</v>
      </c>
      <c r="AK96" s="1595"/>
      <c r="AL96" s="1595"/>
      <c r="AM96" s="1595"/>
      <c r="AN96" s="1596"/>
      <c r="AO96" s="286"/>
      <c r="AP96" s="286"/>
      <c r="AQ96" s="286"/>
      <c r="AR96" s="286"/>
      <c r="AS96" s="286"/>
      <c r="AT96" s="286"/>
      <c r="AU96" s="286"/>
      <c r="AV96" s="286"/>
      <c r="AW96" s="286"/>
      <c r="AX96" s="286"/>
      <c r="AY96" s="286"/>
      <c r="AZ96" s="286"/>
      <c r="BA96" s="286"/>
      <c r="BB96" s="286"/>
      <c r="BC96" s="286"/>
      <c r="BD96" s="286"/>
      <c r="BE96" s="286"/>
      <c r="BF96" s="286"/>
      <c r="BG96" s="286"/>
      <c r="BH96" s="286"/>
      <c r="BI96" s="286"/>
      <c r="BJ96" s="286"/>
      <c r="BK96" s="286"/>
      <c r="BL96" s="286"/>
      <c r="BM96" s="286"/>
      <c r="BN96" s="286"/>
      <c r="BO96" s="286"/>
      <c r="BP96" s="286"/>
      <c r="BQ96" s="286"/>
      <c r="BR96" s="286"/>
      <c r="BS96" s="286"/>
      <c r="BT96" s="286"/>
      <c r="BU96" s="286"/>
      <c r="BV96" s="286"/>
      <c r="BW96" s="286"/>
      <c r="BX96" s="286"/>
      <c r="BY96" s="286"/>
      <c r="BZ96" s="286"/>
      <c r="CA96" s="286"/>
      <c r="CB96" s="286"/>
      <c r="CC96" s="286"/>
      <c r="CD96" s="286"/>
      <c r="CE96" s="286"/>
      <c r="CF96" s="286"/>
      <c r="CG96" s="286"/>
      <c r="CH96" s="286"/>
      <c r="CI96" s="286"/>
      <c r="CJ96" s="286"/>
      <c r="CK96" s="286"/>
      <c r="CL96" s="286"/>
      <c r="CM96" s="286"/>
      <c r="CN96" s="286"/>
      <c r="CO96" s="286"/>
      <c r="CP96" s="286"/>
      <c r="CQ96" s="286"/>
      <c r="CR96" s="286"/>
      <c r="CS96" s="286"/>
      <c r="CT96" s="286"/>
      <c r="CU96" s="286"/>
      <c r="CV96" s="1116"/>
      <c r="CW96" s="1114"/>
      <c r="CX96" s="1116"/>
      <c r="CY96" s="1116"/>
      <c r="CZ96" s="1116"/>
      <c r="DA96" s="639"/>
      <c r="DB96" s="639"/>
      <c r="DC96" s="639"/>
    </row>
    <row r="97" spans="1:107" ht="16.5" customHeight="1" x14ac:dyDescent="0.45">
      <c r="A97" s="1572" t="s">
        <v>2</v>
      </c>
      <c r="B97" s="1645" t="s">
        <v>3</v>
      </c>
      <c r="C97" s="1605" t="s">
        <v>4</v>
      </c>
      <c r="D97" s="48" t="s">
        <v>5</v>
      </c>
      <c r="E97" s="1605" t="s">
        <v>184</v>
      </c>
      <c r="F97" s="1550" t="s">
        <v>16</v>
      </c>
      <c r="G97" s="1550" t="s">
        <v>143</v>
      </c>
      <c r="H97" s="1603" t="s">
        <v>7</v>
      </c>
      <c r="I97" s="1585" t="s">
        <v>144</v>
      </c>
      <c r="J97" s="1587" t="s">
        <v>17</v>
      </c>
      <c r="K97" s="1588"/>
      <c r="L97" s="1614" t="s">
        <v>18</v>
      </c>
      <c r="M97" s="1636"/>
      <c r="N97" s="1636"/>
      <c r="O97" s="1636"/>
      <c r="P97" s="1636"/>
      <c r="Q97" s="1636"/>
      <c r="R97" s="1637"/>
      <c r="S97" s="1592" t="s">
        <v>19</v>
      </c>
      <c r="T97" s="1593"/>
      <c r="U97" s="1593"/>
      <c r="V97" s="1593"/>
      <c r="W97" s="1637"/>
      <c r="X97" s="1592" t="s">
        <v>50</v>
      </c>
      <c r="Y97" s="1593"/>
      <c r="Z97" s="1593"/>
      <c r="AA97" s="295" t="s">
        <v>196</v>
      </c>
      <c r="AB97" s="1639"/>
      <c r="AC97" s="49" t="s">
        <v>8</v>
      </c>
      <c r="AD97" s="50" t="s">
        <v>70</v>
      </c>
      <c r="AE97" s="48" t="s">
        <v>10</v>
      </c>
      <c r="AF97" s="50" t="s">
        <v>71</v>
      </c>
      <c r="AG97" s="694" t="s">
        <v>346</v>
      </c>
      <c r="AH97" s="351" t="s">
        <v>14</v>
      </c>
      <c r="AI97" s="351" t="s">
        <v>15</v>
      </c>
      <c r="AJ97" s="61" t="s">
        <v>178</v>
      </c>
      <c r="AK97" s="48" t="s">
        <v>194</v>
      </c>
      <c r="AL97" s="1126" t="s">
        <v>199</v>
      </c>
      <c r="AM97" s="1149" t="s">
        <v>196</v>
      </c>
      <c r="AN97" s="1117"/>
      <c r="AO97" s="1116"/>
      <c r="AP97" s="1116"/>
      <c r="AQ97" s="1116"/>
      <c r="AR97" s="1116"/>
      <c r="AS97" s="1116"/>
      <c r="AT97" s="1116"/>
      <c r="AU97" s="1116"/>
      <c r="AV97" s="1116"/>
      <c r="AW97" s="1116"/>
      <c r="AX97" s="1116"/>
      <c r="AY97" s="1114"/>
      <c r="AZ97" s="1116"/>
      <c r="BA97" s="1116"/>
      <c r="BB97" s="1116"/>
      <c r="BC97" s="1116"/>
      <c r="BD97" s="1116"/>
      <c r="BE97" s="1116"/>
      <c r="BF97" s="1116"/>
      <c r="BG97" s="1116"/>
      <c r="BH97" s="1116"/>
      <c r="BI97" s="1116"/>
      <c r="BJ97" s="1116"/>
      <c r="BK97" s="1116"/>
      <c r="BL97" s="1116"/>
      <c r="BM97" s="1116"/>
      <c r="BN97" s="1116"/>
      <c r="BO97" s="1116"/>
      <c r="BP97" s="1116"/>
      <c r="BQ97" s="1116"/>
      <c r="BR97" s="1116"/>
      <c r="BS97" s="1116"/>
      <c r="BT97" s="1116"/>
      <c r="BU97" s="1116"/>
      <c r="BV97" s="1116"/>
      <c r="BW97" s="1120"/>
      <c r="BX97" s="1120"/>
      <c r="BY97" s="287"/>
      <c r="BZ97" s="287"/>
      <c r="CA97" s="1120"/>
      <c r="CB97" s="1120"/>
      <c r="CC97" s="1120"/>
      <c r="CD97" s="1120"/>
      <c r="CE97" s="1116"/>
      <c r="CF97" s="1115"/>
      <c r="CG97" s="1144"/>
      <c r="CH97" s="1114"/>
      <c r="CI97" s="1145"/>
      <c r="CJ97" s="1115"/>
      <c r="CK97" s="1144"/>
      <c r="CL97" s="1114"/>
      <c r="CM97" s="1145"/>
      <c r="CN97" s="1114"/>
      <c r="CO97" s="1114"/>
      <c r="CP97" s="1114"/>
      <c r="CQ97" s="1114"/>
      <c r="CR97" s="1114"/>
      <c r="CS97" s="1114"/>
      <c r="CT97" s="1114"/>
      <c r="CU97" s="1114"/>
      <c r="CV97" s="1114"/>
      <c r="CW97" s="1114"/>
      <c r="CX97" s="1114"/>
      <c r="CY97" s="1114"/>
      <c r="CZ97" s="1114"/>
      <c r="DA97" s="638"/>
      <c r="DB97" s="638"/>
      <c r="DC97" s="638"/>
    </row>
    <row r="98" spans="1:107" ht="15" x14ac:dyDescent="0.45">
      <c r="A98" s="1573"/>
      <c r="B98" s="1646"/>
      <c r="C98" s="1606"/>
      <c r="D98" s="197"/>
      <c r="E98" s="1606"/>
      <c r="F98" s="1551"/>
      <c r="G98" s="1551"/>
      <c r="H98" s="1604"/>
      <c r="I98" s="1586"/>
      <c r="J98" s="77" t="s">
        <v>315</v>
      </c>
      <c r="K98" s="80" t="s">
        <v>185</v>
      </c>
      <c r="L98" s="73" t="s">
        <v>311</v>
      </c>
      <c r="M98" s="79" t="s">
        <v>186</v>
      </c>
      <c r="N98" s="79" t="s">
        <v>312</v>
      </c>
      <c r="O98" s="79" t="s">
        <v>187</v>
      </c>
      <c r="P98" s="79" t="s">
        <v>213</v>
      </c>
      <c r="Q98" s="79" t="s">
        <v>30</v>
      </c>
      <c r="R98" s="96" t="s">
        <v>190</v>
      </c>
      <c r="S98" s="73" t="s">
        <v>316</v>
      </c>
      <c r="T98" s="79" t="s">
        <v>313</v>
      </c>
      <c r="U98" s="79" t="s">
        <v>33</v>
      </c>
      <c r="V98" s="79" t="s">
        <v>34</v>
      </c>
      <c r="W98" s="96" t="s">
        <v>31</v>
      </c>
      <c r="X98" s="668" t="s">
        <v>35</v>
      </c>
      <c r="Y98" s="671" t="s">
        <v>142</v>
      </c>
      <c r="Z98" s="73" t="s">
        <v>180</v>
      </c>
      <c r="AA98" s="684" t="s">
        <v>23</v>
      </c>
      <c r="AB98" s="1547"/>
      <c r="AC98" s="36" t="s">
        <v>21</v>
      </c>
      <c r="AD98" s="65" t="s">
        <v>21</v>
      </c>
      <c r="AE98" s="44" t="s">
        <v>21</v>
      </c>
      <c r="AF98" s="65" t="s">
        <v>21</v>
      </c>
      <c r="AG98" s="371" t="s">
        <v>21</v>
      </c>
      <c r="AH98" s="362" t="s">
        <v>22</v>
      </c>
      <c r="AI98" s="362" t="s">
        <v>22</v>
      </c>
      <c r="AJ98" s="63" t="s">
        <v>181</v>
      </c>
      <c r="AK98" s="44" t="s">
        <v>23</v>
      </c>
      <c r="AL98" s="1127" t="s">
        <v>24</v>
      </c>
      <c r="AM98" s="127" t="s">
        <v>23</v>
      </c>
      <c r="AN98" s="1118"/>
      <c r="AO98" s="1116"/>
      <c r="AP98" s="1114"/>
      <c r="AQ98" s="1114"/>
      <c r="AR98" s="1114"/>
      <c r="AS98" s="1114"/>
      <c r="AT98" s="1114"/>
      <c r="AU98" s="1114"/>
      <c r="AV98" s="1114"/>
      <c r="AW98" s="1114"/>
      <c r="AX98" s="1114"/>
      <c r="AY98" s="1116"/>
      <c r="AZ98" s="1114"/>
      <c r="BA98" s="1114"/>
      <c r="BB98" s="1114"/>
      <c r="BC98" s="1114"/>
      <c r="BD98" s="1114"/>
      <c r="BE98" s="1114"/>
      <c r="BF98" s="1116"/>
      <c r="BG98" s="1120"/>
      <c r="BH98" s="1120"/>
      <c r="BI98" s="1114"/>
      <c r="BJ98" s="1114"/>
      <c r="BK98" s="1114"/>
      <c r="BL98" s="1114"/>
      <c r="BM98" s="1114"/>
      <c r="BN98" s="1120"/>
      <c r="BO98" s="1120"/>
      <c r="BP98" s="1114"/>
      <c r="BQ98" s="1114"/>
      <c r="BR98" s="1114"/>
      <c r="BS98" s="1114"/>
      <c r="BT98" s="1114"/>
      <c r="BU98" s="1116"/>
      <c r="BV98" s="1116"/>
      <c r="BW98" s="1120"/>
      <c r="BX98" s="1120"/>
      <c r="BY98" s="287"/>
      <c r="BZ98" s="287"/>
      <c r="CA98" s="1120"/>
      <c r="CB98" s="1116"/>
      <c r="CC98" s="1116"/>
      <c r="CD98" s="1116"/>
      <c r="CE98" s="1116"/>
      <c r="CF98" s="287"/>
      <c r="CG98" s="287"/>
      <c r="CH98" s="287"/>
      <c r="CI98" s="287"/>
      <c r="CJ98" s="287"/>
      <c r="CK98" s="287"/>
      <c r="CL98" s="287"/>
      <c r="CM98" s="287"/>
      <c r="CN98" s="1116"/>
      <c r="CO98" s="1116"/>
      <c r="CP98" s="1116"/>
      <c r="CQ98" s="1116"/>
      <c r="CR98" s="1116"/>
      <c r="CS98" s="1114"/>
      <c r="CT98" s="1154"/>
      <c r="CU98" s="1154"/>
      <c r="CV98" s="1114"/>
      <c r="CW98" s="1114"/>
      <c r="CX98" s="1114"/>
      <c r="CY98" s="1114"/>
      <c r="CZ98" s="1114"/>
      <c r="DA98" s="638"/>
      <c r="DB98" s="638"/>
      <c r="DC98" s="638"/>
    </row>
    <row r="99" spans="1:107" ht="13.15" x14ac:dyDescent="0.35">
      <c r="A99" s="1579" t="s">
        <v>205</v>
      </c>
      <c r="B99" s="1654">
        <v>1.4300999999999999</v>
      </c>
      <c r="C99" s="295" t="s">
        <v>127</v>
      </c>
      <c r="D99" s="245" t="s">
        <v>72</v>
      </c>
      <c r="E99" s="686" t="s">
        <v>73</v>
      </c>
      <c r="F99" s="43" t="s">
        <v>67</v>
      </c>
      <c r="G99" s="92">
        <f>X99*AH99*0.001</f>
        <v>513.78602239999998</v>
      </c>
      <c r="H99" s="82">
        <v>727</v>
      </c>
      <c r="I99" s="175">
        <f>H99/G99</f>
        <v>1.4149859441563508</v>
      </c>
      <c r="J99" s="662">
        <v>291</v>
      </c>
      <c r="K99" s="673">
        <v>628</v>
      </c>
      <c r="L99" s="667">
        <v>457</v>
      </c>
      <c r="M99" s="667">
        <v>706</v>
      </c>
      <c r="N99" s="501">
        <f>L99</f>
        <v>457</v>
      </c>
      <c r="O99" s="501">
        <f>M99</f>
        <v>706</v>
      </c>
      <c r="P99" s="162">
        <f>AH99-AI99</f>
        <v>932.36480000000006</v>
      </c>
      <c r="Q99" s="173" t="s">
        <v>41</v>
      </c>
      <c r="R99" s="125"/>
      <c r="S99" s="672">
        <v>594</v>
      </c>
      <c r="T99" s="162" t="s">
        <v>41</v>
      </c>
      <c r="U99" s="173">
        <f>AI99</f>
        <v>147.63519999999994</v>
      </c>
      <c r="V99" s="667" t="s">
        <v>41</v>
      </c>
      <c r="W99" s="125"/>
      <c r="X99" s="500">
        <f>((L99*P99)+(S99*U99))/(P99+U99)</f>
        <v>475.72779851851851</v>
      </c>
      <c r="Y99" s="686">
        <f>AK99</f>
        <v>186600</v>
      </c>
      <c r="Z99" s="174">
        <f>X99/Y99</f>
        <v>2.5494522964550829E-3</v>
      </c>
      <c r="AA99" s="501">
        <f>M99</f>
        <v>706</v>
      </c>
      <c r="AB99" s="670"/>
      <c r="AC99" s="35">
        <v>400.2</v>
      </c>
      <c r="AD99" s="51">
        <v>79.900000000000006</v>
      </c>
      <c r="AE99" s="43">
        <v>3.68</v>
      </c>
      <c r="AF99" s="51">
        <v>4.5999999999999996</v>
      </c>
      <c r="AG99" s="246">
        <v>8.2799999999999994</v>
      </c>
      <c r="AH99" s="51">
        <v>1080</v>
      </c>
      <c r="AI99" s="162">
        <f>AH99-2*(AD99-2*(AE99+AF99))*AE99-2*(AD99-2*(AE99+AF99))*AE99</f>
        <v>147.63519999999994</v>
      </c>
      <c r="AJ99" s="62">
        <f>L99</f>
        <v>457</v>
      </c>
      <c r="AK99" s="42">
        <v>186600</v>
      </c>
      <c r="AL99" s="173">
        <f>AJ99/AK99</f>
        <v>2.4490889603429795E-3</v>
      </c>
      <c r="AM99" s="102">
        <f>AA99</f>
        <v>706</v>
      </c>
      <c r="AN99" s="99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114"/>
      <c r="BA99" s="176"/>
      <c r="BB99" s="1114"/>
      <c r="BC99" s="1114"/>
      <c r="BD99" s="176"/>
      <c r="BE99" s="1114"/>
      <c r="BF99" s="1114"/>
      <c r="BG99" s="1114"/>
      <c r="BH99" s="1114"/>
      <c r="BI99" s="195"/>
      <c r="BJ99" s="176"/>
      <c r="BK99" s="176"/>
      <c r="BL99" s="1114"/>
      <c r="BM99" s="195"/>
      <c r="BN99" s="1114"/>
      <c r="BO99" s="1114"/>
      <c r="BP99" s="195"/>
      <c r="BQ99" s="176"/>
      <c r="BR99" s="195"/>
      <c r="BS99" s="1114"/>
      <c r="BT99" s="195"/>
      <c r="BU99" s="195"/>
      <c r="BV99" s="176"/>
      <c r="BW99" s="1115"/>
      <c r="BX99" s="226"/>
      <c r="BY99" s="862"/>
      <c r="BZ99" s="195"/>
      <c r="CA99" s="1114"/>
      <c r="CB99" s="1114"/>
      <c r="CC99" s="195"/>
      <c r="CD99" s="195"/>
      <c r="CE99" s="195"/>
      <c r="CF99" s="195"/>
      <c r="CG99" s="195"/>
      <c r="CH99" s="176"/>
      <c r="CI99" s="273"/>
      <c r="CJ99" s="195"/>
      <c r="CK99" s="195"/>
      <c r="CL99" s="176"/>
      <c r="CM99" s="195"/>
      <c r="CN99" s="176"/>
      <c r="CO99" s="176"/>
      <c r="CP99" s="195"/>
      <c r="CQ99" s="176"/>
      <c r="CR99" s="176"/>
      <c r="CS99" s="176"/>
      <c r="CT99" s="176"/>
      <c r="CU99" s="176"/>
      <c r="CV99" s="195"/>
      <c r="CW99" s="195"/>
      <c r="CX99" s="1114"/>
      <c r="CY99" s="195"/>
      <c r="CZ99" s="195"/>
      <c r="DA99" s="176"/>
      <c r="DB99" s="639"/>
      <c r="DC99" s="639"/>
    </row>
    <row r="100" spans="1:107" ht="16.5" customHeight="1" x14ac:dyDescent="0.35">
      <c r="A100" s="1579"/>
      <c r="B100" s="1655"/>
      <c r="C100" s="295" t="s">
        <v>127</v>
      </c>
      <c r="D100" s="245" t="s">
        <v>74</v>
      </c>
      <c r="E100" s="686" t="s">
        <v>73</v>
      </c>
      <c r="F100" s="43" t="s">
        <v>67</v>
      </c>
      <c r="G100" s="92">
        <f>X100*AH100*0.001</f>
        <v>534.39270240000008</v>
      </c>
      <c r="H100" s="82">
        <v>714</v>
      </c>
      <c r="I100" s="175">
        <f t="shared" ref="I100:I127" si="49">H100/G100</f>
        <v>1.336096089623547</v>
      </c>
      <c r="J100" s="662">
        <v>291</v>
      </c>
      <c r="K100" s="673">
        <v>628</v>
      </c>
      <c r="L100" s="667">
        <v>457</v>
      </c>
      <c r="M100" s="667">
        <v>706</v>
      </c>
      <c r="N100" s="501">
        <f t="shared" ref="N100:N113" si="50">L100</f>
        <v>457</v>
      </c>
      <c r="O100" s="501">
        <f t="shared" ref="O100:O113" si="51">M100</f>
        <v>706</v>
      </c>
      <c r="P100" s="162">
        <f t="shared" ref="P100:P141" si="52">AH100-AI100</f>
        <v>972.72479999999996</v>
      </c>
      <c r="Q100" s="173" t="s">
        <v>41</v>
      </c>
      <c r="R100" s="125"/>
      <c r="S100" s="672">
        <v>594</v>
      </c>
      <c r="T100" s="162" t="s">
        <v>41</v>
      </c>
      <c r="U100" s="173">
        <f t="shared" ref="U100:U152" si="53">AI100</f>
        <v>151.27520000000004</v>
      </c>
      <c r="V100" s="667" t="s">
        <v>41</v>
      </c>
      <c r="W100" s="125"/>
      <c r="X100" s="500">
        <f>((L100*P100)+(S100*U100))/(P100+U100)</f>
        <v>475.43834733096094</v>
      </c>
      <c r="Y100" s="686">
        <f t="shared" ref="Y100:Y113" si="54">AK100</f>
        <v>186600</v>
      </c>
      <c r="Z100" s="174">
        <f>X100/Y100</f>
        <v>2.5479011110983974E-3</v>
      </c>
      <c r="AA100" s="501">
        <f t="shared" ref="AA100:AA116" si="55">M100</f>
        <v>706</v>
      </c>
      <c r="AB100" s="670"/>
      <c r="AC100" s="35">
        <v>399.9</v>
      </c>
      <c r="AD100" s="51">
        <v>80.099999999999994</v>
      </c>
      <c r="AE100" s="43">
        <v>3.82</v>
      </c>
      <c r="AF100" s="51">
        <v>4.4000000000000004</v>
      </c>
      <c r="AG100" s="246">
        <v>8.2200000000000006</v>
      </c>
      <c r="AH100" s="51">
        <v>1124</v>
      </c>
      <c r="AI100" s="162">
        <f t="shared" ref="AI100:AI152" si="56">AH100-2*(AD100-2*(AE100+AF100))*AE100-2*(AD100-2*(AE100+AF100))*AE100</f>
        <v>151.27520000000004</v>
      </c>
      <c r="AJ100" s="62">
        <f t="shared" ref="AJ100:AJ116" si="57">L100</f>
        <v>457</v>
      </c>
      <c r="AK100" s="43">
        <v>186600</v>
      </c>
      <c r="AL100" s="173">
        <f t="shared" ref="AL100:AL134" si="58">AJ100/AK100</f>
        <v>2.4490889603429795E-3</v>
      </c>
      <c r="AM100" s="102">
        <f t="shared" ref="AM100:AM152" si="59">AA100</f>
        <v>706</v>
      </c>
      <c r="AN100" s="99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AZ100" s="1114"/>
      <c r="BA100" s="176"/>
      <c r="BB100" s="1114"/>
      <c r="BC100" s="1114"/>
      <c r="BD100" s="176"/>
      <c r="BE100" s="1114"/>
      <c r="BF100" s="1114"/>
      <c r="BG100" s="1114"/>
      <c r="BH100" s="1114"/>
      <c r="BI100" s="195"/>
      <c r="BJ100" s="176"/>
      <c r="BK100" s="176"/>
      <c r="BL100" s="1114"/>
      <c r="BM100" s="195"/>
      <c r="BN100" s="1114"/>
      <c r="BO100" s="1114"/>
      <c r="BP100" s="195"/>
      <c r="BQ100" s="176"/>
      <c r="BR100" s="195"/>
      <c r="BS100" s="1114"/>
      <c r="BT100" s="195"/>
      <c r="BU100" s="195"/>
      <c r="BV100" s="176"/>
      <c r="BW100" s="1115"/>
      <c r="BX100" s="226"/>
      <c r="BY100" s="862"/>
      <c r="BZ100" s="195"/>
      <c r="CA100" s="1114"/>
      <c r="CB100" s="1114"/>
      <c r="CC100" s="195"/>
      <c r="CD100" s="195"/>
      <c r="CE100" s="195"/>
      <c r="CF100" s="195"/>
      <c r="CG100" s="195"/>
      <c r="CH100" s="176"/>
      <c r="CI100" s="273"/>
      <c r="CJ100" s="195"/>
      <c r="CK100" s="195"/>
      <c r="CL100" s="176"/>
      <c r="CM100" s="195"/>
      <c r="CN100" s="176"/>
      <c r="CO100" s="176"/>
      <c r="CP100" s="195"/>
      <c r="CQ100" s="176"/>
      <c r="CR100" s="176"/>
      <c r="CS100" s="176"/>
      <c r="CT100" s="176"/>
      <c r="CU100" s="176"/>
      <c r="CV100" s="195"/>
      <c r="CW100" s="195"/>
      <c r="CX100" s="1114"/>
      <c r="CY100" s="195"/>
      <c r="CZ100" s="195"/>
      <c r="DA100" s="176"/>
      <c r="DB100" s="639"/>
      <c r="DC100" s="639"/>
    </row>
    <row r="101" spans="1:107" ht="15.75" customHeight="1" x14ac:dyDescent="0.35">
      <c r="A101" s="1579"/>
      <c r="B101" s="1655"/>
      <c r="C101" s="295" t="s">
        <v>127</v>
      </c>
      <c r="D101" s="245" t="s">
        <v>75</v>
      </c>
      <c r="E101" s="686" t="s">
        <v>73</v>
      </c>
      <c r="F101" s="43" t="s">
        <v>67</v>
      </c>
      <c r="G101" s="92">
        <f t="shared" ref="G101:G127" si="60">X101*AH101*0.001</f>
        <v>534.67982239999992</v>
      </c>
      <c r="H101" s="82">
        <v>711</v>
      </c>
      <c r="I101" s="175">
        <f t="shared" si="49"/>
        <v>1.3297677791702658</v>
      </c>
      <c r="J101" s="662">
        <v>291</v>
      </c>
      <c r="K101" s="673">
        <v>628</v>
      </c>
      <c r="L101" s="667">
        <v>457</v>
      </c>
      <c r="M101" s="667">
        <v>706</v>
      </c>
      <c r="N101" s="501">
        <f t="shared" si="50"/>
        <v>457</v>
      </c>
      <c r="O101" s="501">
        <f t="shared" si="51"/>
        <v>706</v>
      </c>
      <c r="P101" s="162">
        <f t="shared" si="52"/>
        <v>974.96479999999997</v>
      </c>
      <c r="Q101" s="173" t="s">
        <v>41</v>
      </c>
      <c r="R101" s="125"/>
      <c r="S101" s="672">
        <v>594</v>
      </c>
      <c r="T101" s="162" t="s">
        <v>41</v>
      </c>
      <c r="U101" s="173">
        <f t="shared" si="53"/>
        <v>150.03520000000003</v>
      </c>
      <c r="V101" s="667" t="s">
        <v>41</v>
      </c>
      <c r="W101" s="125"/>
      <c r="X101" s="500">
        <f>((L101*P101)+(S101*U101))/(P101+U101)</f>
        <v>475.2709532444444</v>
      </c>
      <c r="Y101" s="686">
        <f t="shared" si="54"/>
        <v>186600</v>
      </c>
      <c r="Z101" s="174">
        <f t="shared" ref="Z101:Z113" si="61">X101/Y101</f>
        <v>2.5470040366797663E-3</v>
      </c>
      <c r="AA101" s="501">
        <f t="shared" si="55"/>
        <v>706</v>
      </c>
      <c r="AB101" s="670"/>
      <c r="AC101" s="35">
        <v>399.4</v>
      </c>
      <c r="AD101" s="51">
        <v>80.099999999999994</v>
      </c>
      <c r="AE101" s="43">
        <v>3.83</v>
      </c>
      <c r="AF101" s="51">
        <v>4.4000000000000004</v>
      </c>
      <c r="AG101" s="246">
        <v>8.23</v>
      </c>
      <c r="AH101" s="51">
        <v>1125</v>
      </c>
      <c r="AI101" s="162">
        <f t="shared" si="56"/>
        <v>150.03520000000003</v>
      </c>
      <c r="AJ101" s="62">
        <f t="shared" si="57"/>
        <v>457</v>
      </c>
      <c r="AK101" s="43">
        <v>186600</v>
      </c>
      <c r="AL101" s="173">
        <f t="shared" si="58"/>
        <v>2.4490889603429795E-3</v>
      </c>
      <c r="AM101" s="102">
        <f t="shared" si="59"/>
        <v>706</v>
      </c>
      <c r="AN101" s="99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AZ101" s="1114"/>
      <c r="BA101" s="176"/>
      <c r="BB101" s="1114"/>
      <c r="BC101" s="1114"/>
      <c r="BD101" s="176"/>
      <c r="BE101" s="1114"/>
      <c r="BF101" s="1114"/>
      <c r="BG101" s="1114"/>
      <c r="BH101" s="1114"/>
      <c r="BI101" s="195"/>
      <c r="BJ101" s="176"/>
      <c r="BK101" s="176"/>
      <c r="BL101" s="1114"/>
      <c r="BM101" s="195"/>
      <c r="BN101" s="1114"/>
      <c r="BO101" s="1114"/>
      <c r="BP101" s="195"/>
      <c r="BQ101" s="176"/>
      <c r="BR101" s="195"/>
      <c r="BS101" s="1114"/>
      <c r="BT101" s="195"/>
      <c r="BU101" s="195"/>
      <c r="BV101" s="176"/>
      <c r="BW101" s="1115"/>
      <c r="BX101" s="226"/>
      <c r="BY101" s="862"/>
      <c r="BZ101" s="195"/>
      <c r="CA101" s="1114"/>
      <c r="CB101" s="1114"/>
      <c r="CC101" s="195"/>
      <c r="CD101" s="195"/>
      <c r="CE101" s="195"/>
      <c r="CF101" s="195"/>
      <c r="CG101" s="195"/>
      <c r="CH101" s="176"/>
      <c r="CI101" s="273"/>
      <c r="CJ101" s="195"/>
      <c r="CK101" s="195"/>
      <c r="CL101" s="176"/>
      <c r="CM101" s="195"/>
      <c r="CN101" s="176"/>
      <c r="CO101" s="176"/>
      <c r="CP101" s="195"/>
      <c r="CQ101" s="176"/>
      <c r="CR101" s="176"/>
      <c r="CS101" s="176"/>
      <c r="CT101" s="176"/>
      <c r="CU101" s="176"/>
      <c r="CV101" s="195"/>
      <c r="CW101" s="195"/>
      <c r="CX101" s="1114"/>
      <c r="CY101" s="195"/>
      <c r="CZ101" s="195"/>
      <c r="DA101" s="176"/>
      <c r="DB101" s="639"/>
      <c r="DC101" s="639"/>
    </row>
    <row r="102" spans="1:107" ht="18" customHeight="1" x14ac:dyDescent="0.35">
      <c r="A102" s="1579"/>
      <c r="B102" s="1655"/>
      <c r="C102" s="295" t="s">
        <v>127</v>
      </c>
      <c r="D102" s="245" t="s">
        <v>76</v>
      </c>
      <c r="E102" s="686" t="s">
        <v>73</v>
      </c>
      <c r="F102" s="43" t="s">
        <v>67</v>
      </c>
      <c r="G102" s="92">
        <f t="shared" si="60"/>
        <v>289.262764</v>
      </c>
      <c r="H102" s="82">
        <v>197</v>
      </c>
      <c r="I102" s="175">
        <f t="shared" si="49"/>
        <v>0.68104168430057588</v>
      </c>
      <c r="J102" s="662">
        <v>275</v>
      </c>
      <c r="K102" s="673">
        <v>623</v>
      </c>
      <c r="L102" s="667">
        <v>382</v>
      </c>
      <c r="M102" s="667">
        <v>675</v>
      </c>
      <c r="N102" s="501">
        <f t="shared" si="50"/>
        <v>382</v>
      </c>
      <c r="O102" s="501">
        <f t="shared" si="51"/>
        <v>675</v>
      </c>
      <c r="P102" s="162">
        <f t="shared" si="52"/>
        <v>716.47919999999999</v>
      </c>
      <c r="Q102" s="173" t="s">
        <v>41</v>
      </c>
      <c r="R102" s="125"/>
      <c r="S102" s="672">
        <v>587</v>
      </c>
      <c r="T102" s="162" t="s">
        <v>41</v>
      </c>
      <c r="U102" s="173">
        <f t="shared" si="53"/>
        <v>26.520800000000008</v>
      </c>
      <c r="V102" s="667" t="s">
        <v>41</v>
      </c>
      <c r="W102" s="125"/>
      <c r="X102" s="500">
        <f>((L102*P102)+(S102*U102))/(P102+U102)</f>
        <v>389.31731359353972</v>
      </c>
      <c r="Y102" s="686">
        <f t="shared" si="54"/>
        <v>201300</v>
      </c>
      <c r="Z102" s="174">
        <f t="shared" si="61"/>
        <v>1.9340154674294075E-3</v>
      </c>
      <c r="AA102" s="501">
        <f t="shared" si="55"/>
        <v>675</v>
      </c>
      <c r="AB102" s="670"/>
      <c r="AC102" s="35">
        <v>400.5</v>
      </c>
      <c r="AD102" s="51">
        <v>100.2</v>
      </c>
      <c r="AE102" s="43">
        <v>1.91</v>
      </c>
      <c r="AF102" s="51">
        <v>1.3</v>
      </c>
      <c r="AG102" s="246">
        <v>3.21</v>
      </c>
      <c r="AH102" s="51">
        <v>743</v>
      </c>
      <c r="AI102" s="162">
        <f t="shared" si="56"/>
        <v>26.520800000000008</v>
      </c>
      <c r="AJ102" s="62">
        <f t="shared" si="57"/>
        <v>382</v>
      </c>
      <c r="AK102" s="43">
        <v>201300</v>
      </c>
      <c r="AL102" s="173">
        <f t="shared" si="58"/>
        <v>1.8976651763537009E-3</v>
      </c>
      <c r="AM102" s="102">
        <f t="shared" si="59"/>
        <v>675</v>
      </c>
      <c r="AN102" s="99"/>
      <c r="AO102" s="195"/>
      <c r="AP102" s="195"/>
      <c r="AQ102" s="195"/>
      <c r="AR102" s="195"/>
      <c r="AS102" s="195"/>
      <c r="AT102" s="195"/>
      <c r="AU102" s="195"/>
      <c r="AV102" s="195"/>
      <c r="AW102" s="195"/>
      <c r="AX102" s="195"/>
      <c r="AY102" s="195"/>
      <c r="AZ102" s="1114"/>
      <c r="BA102" s="176"/>
      <c r="BB102" s="1114"/>
      <c r="BC102" s="1114"/>
      <c r="BD102" s="176"/>
      <c r="BE102" s="1114"/>
      <c r="BF102" s="1114"/>
      <c r="BG102" s="1114"/>
      <c r="BH102" s="1114"/>
      <c r="BI102" s="195"/>
      <c r="BJ102" s="176"/>
      <c r="BK102" s="176"/>
      <c r="BL102" s="1114"/>
      <c r="BM102" s="195"/>
      <c r="BN102" s="1114"/>
      <c r="BO102" s="1114"/>
      <c r="BP102" s="195"/>
      <c r="BQ102" s="176"/>
      <c r="BR102" s="195"/>
      <c r="BS102" s="1114"/>
      <c r="BT102" s="195"/>
      <c r="BU102" s="195"/>
      <c r="BV102" s="176"/>
      <c r="BW102" s="1115"/>
      <c r="BX102" s="226"/>
      <c r="BY102" s="862"/>
      <c r="BZ102" s="195"/>
      <c r="CA102" s="1114"/>
      <c r="CB102" s="1114"/>
      <c r="CC102" s="195"/>
      <c r="CD102" s="195"/>
      <c r="CE102" s="195"/>
      <c r="CF102" s="195"/>
      <c r="CG102" s="195"/>
      <c r="CH102" s="176"/>
      <c r="CI102" s="273"/>
      <c r="CJ102" s="195"/>
      <c r="CK102" s="195"/>
      <c r="CL102" s="176"/>
      <c r="CM102" s="195"/>
      <c r="CN102" s="176"/>
      <c r="CO102" s="176"/>
      <c r="CP102" s="195"/>
      <c r="CQ102" s="176"/>
      <c r="CR102" s="176"/>
      <c r="CS102" s="176"/>
      <c r="CT102" s="176"/>
      <c r="CU102" s="176"/>
      <c r="CV102" s="195"/>
      <c r="CW102" s="195"/>
      <c r="CX102" s="1114"/>
      <c r="CY102" s="195"/>
      <c r="CZ102" s="195"/>
      <c r="DA102" s="176"/>
      <c r="DB102" s="639"/>
      <c r="DC102" s="639"/>
    </row>
    <row r="103" spans="1:107" ht="16.5" customHeight="1" x14ac:dyDescent="0.35">
      <c r="A103" s="1579"/>
      <c r="B103" s="1655"/>
      <c r="C103" s="295" t="s">
        <v>127</v>
      </c>
      <c r="D103" s="245" t="s">
        <v>77</v>
      </c>
      <c r="E103" s="686" t="s">
        <v>73</v>
      </c>
      <c r="F103" s="43" t="s">
        <v>67</v>
      </c>
      <c r="G103" s="92">
        <f t="shared" si="60"/>
        <v>287.38462400000003</v>
      </c>
      <c r="H103" s="82">
        <v>187</v>
      </c>
      <c r="I103" s="175">
        <f t="shared" si="49"/>
        <v>0.65069591197057219</v>
      </c>
      <c r="J103" s="662">
        <v>275</v>
      </c>
      <c r="K103" s="673">
        <v>623</v>
      </c>
      <c r="L103" s="667">
        <v>382</v>
      </c>
      <c r="M103" s="667">
        <v>675</v>
      </c>
      <c r="N103" s="501">
        <f t="shared" si="50"/>
        <v>382</v>
      </c>
      <c r="O103" s="501">
        <f t="shared" si="51"/>
        <v>675</v>
      </c>
      <c r="P103" s="162">
        <f t="shared" si="52"/>
        <v>714.18719999999996</v>
      </c>
      <c r="Q103" s="173" t="s">
        <v>41</v>
      </c>
      <c r="R103" s="125"/>
      <c r="S103" s="672">
        <v>587</v>
      </c>
      <c r="T103" s="162" t="s">
        <v>41</v>
      </c>
      <c r="U103" s="173">
        <f t="shared" si="53"/>
        <v>24.812800000000038</v>
      </c>
      <c r="V103" s="667" t="s">
        <v>41</v>
      </c>
      <c r="W103" s="125"/>
      <c r="X103" s="500">
        <f>((L103*P103)+(S103*U103))/(P103+U103)</f>
        <v>388.88311772665764</v>
      </c>
      <c r="Y103" s="686">
        <f t="shared" si="54"/>
        <v>201300</v>
      </c>
      <c r="Z103" s="174">
        <f t="shared" si="61"/>
        <v>1.9318585083291488E-3</v>
      </c>
      <c r="AA103" s="501">
        <f t="shared" si="55"/>
        <v>675</v>
      </c>
      <c r="AB103" s="670"/>
      <c r="AC103" s="35">
        <v>400.2</v>
      </c>
      <c r="AD103" s="51">
        <v>99.9</v>
      </c>
      <c r="AE103" s="43">
        <v>1.91</v>
      </c>
      <c r="AF103" s="51">
        <v>1.3</v>
      </c>
      <c r="AG103" s="246">
        <v>3.21</v>
      </c>
      <c r="AH103" s="51">
        <v>739</v>
      </c>
      <c r="AI103" s="162">
        <f t="shared" si="56"/>
        <v>24.812800000000038</v>
      </c>
      <c r="AJ103" s="62">
        <f t="shared" si="57"/>
        <v>382</v>
      </c>
      <c r="AK103" s="43">
        <v>201300</v>
      </c>
      <c r="AL103" s="173">
        <f t="shared" si="58"/>
        <v>1.8976651763537009E-3</v>
      </c>
      <c r="AM103" s="102">
        <f t="shared" si="59"/>
        <v>675</v>
      </c>
      <c r="AN103" s="99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AZ103" s="1114"/>
      <c r="BA103" s="176"/>
      <c r="BB103" s="1114"/>
      <c r="BC103" s="1114"/>
      <c r="BD103" s="176"/>
      <c r="BE103" s="1114"/>
      <c r="BF103" s="1114"/>
      <c r="BG103" s="1114"/>
      <c r="BH103" s="1114"/>
      <c r="BI103" s="195"/>
      <c r="BJ103" s="176"/>
      <c r="BK103" s="176"/>
      <c r="BL103" s="1114"/>
      <c r="BM103" s="195"/>
      <c r="BN103" s="1114"/>
      <c r="BO103" s="1114"/>
      <c r="BP103" s="195"/>
      <c r="BQ103" s="176"/>
      <c r="BR103" s="195"/>
      <c r="BS103" s="1114"/>
      <c r="BT103" s="195"/>
      <c r="BU103" s="195"/>
      <c r="BV103" s="176"/>
      <c r="BW103" s="1115"/>
      <c r="BX103" s="226"/>
      <c r="BY103" s="862"/>
      <c r="BZ103" s="195"/>
      <c r="CA103" s="1114"/>
      <c r="CB103" s="1114"/>
      <c r="CC103" s="195"/>
      <c r="CD103" s="195"/>
      <c r="CE103" s="195"/>
      <c r="CF103" s="195"/>
      <c r="CG103" s="195"/>
      <c r="CH103" s="176"/>
      <c r="CI103" s="273"/>
      <c r="CJ103" s="195"/>
      <c r="CK103" s="195"/>
      <c r="CL103" s="176"/>
      <c r="CM103" s="195"/>
      <c r="CN103" s="176"/>
      <c r="CO103" s="176"/>
      <c r="CP103" s="195"/>
      <c r="CQ103" s="176"/>
      <c r="CR103" s="176"/>
      <c r="CS103" s="176"/>
      <c r="CT103" s="176"/>
      <c r="CU103" s="176"/>
      <c r="CV103" s="195"/>
      <c r="CW103" s="195"/>
      <c r="CX103" s="1114"/>
      <c r="CY103" s="195"/>
      <c r="CZ103" s="195"/>
      <c r="DA103" s="176"/>
      <c r="DB103" s="639"/>
      <c r="DC103" s="639"/>
    </row>
    <row r="104" spans="1:107" ht="15.75" customHeight="1" x14ac:dyDescent="0.35">
      <c r="A104" s="1579"/>
      <c r="B104" s="1655"/>
      <c r="C104" s="295" t="s">
        <v>127</v>
      </c>
      <c r="D104" s="245" t="s">
        <v>78</v>
      </c>
      <c r="E104" s="686" t="s">
        <v>73</v>
      </c>
      <c r="F104" s="43" t="s">
        <v>67</v>
      </c>
      <c r="G104" s="92">
        <f t="shared" si="60"/>
        <v>461.32136412800003</v>
      </c>
      <c r="H104" s="82">
        <v>489</v>
      </c>
      <c r="I104" s="175">
        <f t="shared" si="49"/>
        <v>1.0599985997273695</v>
      </c>
      <c r="J104" s="662">
        <v>286</v>
      </c>
      <c r="K104" s="673">
        <v>634</v>
      </c>
      <c r="L104" s="667">
        <v>388</v>
      </c>
      <c r="M104" s="667">
        <v>691</v>
      </c>
      <c r="N104" s="501">
        <f t="shared" si="50"/>
        <v>388</v>
      </c>
      <c r="O104" s="501">
        <f t="shared" si="51"/>
        <v>691</v>
      </c>
      <c r="P104" s="162">
        <f t="shared" si="52"/>
        <v>1048.8127999999999</v>
      </c>
      <c r="Q104" s="173">
        <f>AH104-AI104-8*(2*AE104*AE104)</f>
        <v>917.02239999999995</v>
      </c>
      <c r="R104" s="125"/>
      <c r="S104" s="672" t="s">
        <v>41</v>
      </c>
      <c r="T104" s="162">
        <f>0.83*M104</f>
        <v>573.53</v>
      </c>
      <c r="U104" s="173">
        <f>AI104</f>
        <v>52.187200000000075</v>
      </c>
      <c r="V104" s="667">
        <f t="shared" ref="V104:V111" si="62">AI104+8*(2*AE104*AE104)</f>
        <v>183.97760000000008</v>
      </c>
      <c r="W104" s="125"/>
      <c r="X104" s="174">
        <f t="shared" ref="X104:X111" si="63">((L104*Q104)+(V104*T104))/(Q104+V104)</f>
        <v>419.00214725522255</v>
      </c>
      <c r="Y104" s="686">
        <f t="shared" si="54"/>
        <v>195800</v>
      </c>
      <c r="Z104" s="174">
        <f t="shared" si="61"/>
        <v>2.1399496795465912E-3</v>
      </c>
      <c r="AA104" s="501">
        <f t="shared" si="55"/>
        <v>691</v>
      </c>
      <c r="AB104" s="670"/>
      <c r="AC104" s="35">
        <v>400</v>
      </c>
      <c r="AD104" s="51">
        <v>100.1</v>
      </c>
      <c r="AE104" s="43">
        <v>2.87</v>
      </c>
      <c r="AF104" s="51">
        <v>1.5</v>
      </c>
      <c r="AG104" s="246">
        <v>4.37</v>
      </c>
      <c r="AH104" s="51">
        <v>1101</v>
      </c>
      <c r="AI104" s="162">
        <f t="shared" si="56"/>
        <v>52.187200000000075</v>
      </c>
      <c r="AJ104" s="62">
        <f t="shared" si="57"/>
        <v>388</v>
      </c>
      <c r="AK104" s="43">
        <v>195800</v>
      </c>
      <c r="AL104" s="173">
        <f t="shared" si="58"/>
        <v>1.9816138917262511E-3</v>
      </c>
      <c r="AM104" s="102">
        <f t="shared" si="59"/>
        <v>691</v>
      </c>
      <c r="AN104" s="99"/>
      <c r="AO104" s="195"/>
      <c r="AP104" s="195"/>
      <c r="AQ104" s="195"/>
      <c r="AR104" s="195"/>
      <c r="AS104" s="195"/>
      <c r="AT104" s="195"/>
      <c r="AU104" s="195"/>
      <c r="AV104" s="195"/>
      <c r="AW104" s="195"/>
      <c r="AX104" s="195"/>
      <c r="AY104" s="195"/>
      <c r="AZ104" s="1114"/>
      <c r="BA104" s="176"/>
      <c r="BB104" s="1114"/>
      <c r="BC104" s="1114"/>
      <c r="BD104" s="176"/>
      <c r="BE104" s="1114"/>
      <c r="BF104" s="1114"/>
      <c r="BG104" s="1114"/>
      <c r="BH104" s="1114"/>
      <c r="BI104" s="195"/>
      <c r="BJ104" s="176"/>
      <c r="BK104" s="176"/>
      <c r="BL104" s="1114"/>
      <c r="BM104" s="195"/>
      <c r="BN104" s="1114"/>
      <c r="BO104" s="1114"/>
      <c r="BP104" s="195"/>
      <c r="BQ104" s="176"/>
      <c r="BR104" s="195"/>
      <c r="BS104" s="1114"/>
      <c r="BT104" s="195"/>
      <c r="BU104" s="195"/>
      <c r="BV104" s="176"/>
      <c r="BW104" s="1115"/>
      <c r="BX104" s="226"/>
      <c r="BY104" s="862"/>
      <c r="BZ104" s="195"/>
      <c r="CA104" s="1114"/>
      <c r="CB104" s="1114"/>
      <c r="CC104" s="195"/>
      <c r="CD104" s="195"/>
      <c r="CE104" s="195"/>
      <c r="CF104" s="195"/>
      <c r="CG104" s="195"/>
      <c r="CH104" s="176"/>
      <c r="CI104" s="273"/>
      <c r="CJ104" s="195"/>
      <c r="CK104" s="195"/>
      <c r="CL104" s="176"/>
      <c r="CM104" s="195"/>
      <c r="CN104" s="176"/>
      <c r="CO104" s="176"/>
      <c r="CP104" s="195"/>
      <c r="CQ104" s="176"/>
      <c r="CR104" s="176"/>
      <c r="CS104" s="176"/>
      <c r="CT104" s="176"/>
      <c r="CU104" s="176"/>
      <c r="CV104" s="195"/>
      <c r="CW104" s="195"/>
      <c r="CX104" s="1114"/>
      <c r="CY104" s="195"/>
      <c r="CZ104" s="195"/>
      <c r="DA104" s="176"/>
      <c r="DB104" s="639"/>
      <c r="DC104" s="639"/>
    </row>
    <row r="105" spans="1:107" ht="17.25" customHeight="1" x14ac:dyDescent="0.35">
      <c r="A105" s="1579"/>
      <c r="B105" s="1655"/>
      <c r="C105" s="295" t="s">
        <v>127</v>
      </c>
      <c r="D105" s="245" t="s">
        <v>79</v>
      </c>
      <c r="E105" s="686" t="s">
        <v>73</v>
      </c>
      <c r="F105" s="43" t="s">
        <v>67</v>
      </c>
      <c r="G105" s="92">
        <f t="shared" si="60"/>
        <v>455.83804875200002</v>
      </c>
      <c r="H105" s="82">
        <v>496</v>
      </c>
      <c r="I105" s="175">
        <f t="shared" si="49"/>
        <v>1.0881057457971224</v>
      </c>
      <c r="J105" s="662">
        <v>286</v>
      </c>
      <c r="K105" s="673">
        <v>634</v>
      </c>
      <c r="L105" s="667">
        <v>388</v>
      </c>
      <c r="M105" s="667">
        <v>691</v>
      </c>
      <c r="N105" s="501">
        <f t="shared" si="50"/>
        <v>388</v>
      </c>
      <c r="O105" s="501">
        <f t="shared" si="51"/>
        <v>691</v>
      </c>
      <c r="P105" s="162">
        <f t="shared" si="52"/>
        <v>1038.5311999999999</v>
      </c>
      <c r="Q105" s="173">
        <f t="shared" ref="Q105:Q111" si="64">AH105-AI105-8*(2*AE105*AE105)</f>
        <v>909.48159999999984</v>
      </c>
      <c r="R105" s="125"/>
      <c r="S105" s="672" t="s">
        <v>41</v>
      </c>
      <c r="T105" s="162">
        <f>0.83*M105</f>
        <v>573.53</v>
      </c>
      <c r="U105" s="173">
        <f t="shared" si="53"/>
        <v>50.468800000000101</v>
      </c>
      <c r="V105" s="667">
        <f t="shared" si="62"/>
        <v>179.5184000000001</v>
      </c>
      <c r="W105" s="125"/>
      <c r="X105" s="174">
        <f t="shared" si="63"/>
        <v>418.58406680624427</v>
      </c>
      <c r="Y105" s="686">
        <f t="shared" si="54"/>
        <v>195800</v>
      </c>
      <c r="Z105" s="174">
        <f t="shared" si="61"/>
        <v>2.137814437212688E-3</v>
      </c>
      <c r="AA105" s="501">
        <f t="shared" si="55"/>
        <v>691</v>
      </c>
      <c r="AB105" s="670"/>
      <c r="AC105" s="35">
        <v>399.8</v>
      </c>
      <c r="AD105" s="51">
        <v>100.1</v>
      </c>
      <c r="AE105" s="43">
        <v>2.84</v>
      </c>
      <c r="AF105" s="24">
        <v>1.5</v>
      </c>
      <c r="AG105" s="246">
        <v>4.34</v>
      </c>
      <c r="AH105" s="51">
        <v>1089</v>
      </c>
      <c r="AI105" s="162">
        <f t="shared" si="56"/>
        <v>50.468800000000101</v>
      </c>
      <c r="AJ105" s="62">
        <f t="shared" si="57"/>
        <v>388</v>
      </c>
      <c r="AK105" s="43">
        <v>195800</v>
      </c>
      <c r="AL105" s="173">
        <f t="shared" si="58"/>
        <v>1.9816138917262511E-3</v>
      </c>
      <c r="AM105" s="102">
        <f t="shared" si="59"/>
        <v>691</v>
      </c>
      <c r="AN105" s="99"/>
      <c r="AO105" s="195"/>
      <c r="AP105" s="195"/>
      <c r="AQ105" s="195"/>
      <c r="AR105" s="195"/>
      <c r="AS105" s="195"/>
      <c r="AT105" s="195"/>
      <c r="AU105" s="195"/>
      <c r="AV105" s="195"/>
      <c r="AW105" s="195"/>
      <c r="AX105" s="195"/>
      <c r="AY105" s="195"/>
      <c r="AZ105" s="1114"/>
      <c r="BA105" s="176"/>
      <c r="BB105" s="1114"/>
      <c r="BC105" s="1114"/>
      <c r="BD105" s="176"/>
      <c r="BE105" s="1114"/>
      <c r="BF105" s="1114"/>
      <c r="BG105" s="1114"/>
      <c r="BH105" s="1114"/>
      <c r="BI105" s="195"/>
      <c r="BJ105" s="176"/>
      <c r="BK105" s="176"/>
      <c r="BL105" s="1114"/>
      <c r="BM105" s="195"/>
      <c r="BN105" s="1114"/>
      <c r="BO105" s="1114"/>
      <c r="BP105" s="195"/>
      <c r="BQ105" s="176"/>
      <c r="BR105" s="195"/>
      <c r="BS105" s="1114"/>
      <c r="BT105" s="195"/>
      <c r="BU105" s="195"/>
      <c r="BV105" s="176"/>
      <c r="BW105" s="1115"/>
      <c r="BX105" s="226"/>
      <c r="BY105" s="862"/>
      <c r="BZ105" s="195"/>
      <c r="CA105" s="1114"/>
      <c r="CB105" s="1114"/>
      <c r="CC105" s="195"/>
      <c r="CD105" s="195"/>
      <c r="CE105" s="195"/>
      <c r="CF105" s="195"/>
      <c r="CG105" s="195"/>
      <c r="CH105" s="176"/>
      <c r="CI105" s="273"/>
      <c r="CJ105" s="195"/>
      <c r="CK105" s="195"/>
      <c r="CL105" s="176"/>
      <c r="CM105" s="195"/>
      <c r="CN105" s="176"/>
      <c r="CO105" s="176"/>
      <c r="CP105" s="195"/>
      <c r="CQ105" s="176"/>
      <c r="CR105" s="176"/>
      <c r="CS105" s="176"/>
      <c r="CT105" s="176"/>
      <c r="CU105" s="176"/>
      <c r="CV105" s="195"/>
      <c r="CW105" s="195"/>
      <c r="CX105" s="1114"/>
      <c r="CY105" s="195"/>
      <c r="CZ105" s="195"/>
      <c r="DA105" s="176"/>
      <c r="DB105" s="639"/>
      <c r="DC105" s="639"/>
    </row>
    <row r="106" spans="1:107" ht="15.75" customHeight="1" x14ac:dyDescent="0.35">
      <c r="A106" s="1579"/>
      <c r="B106" s="1655"/>
      <c r="C106" s="295" t="s">
        <v>127</v>
      </c>
      <c r="D106" s="245" t="s">
        <v>80</v>
      </c>
      <c r="E106" s="686" t="s">
        <v>73</v>
      </c>
      <c r="F106" s="43" t="s">
        <v>67</v>
      </c>
      <c r="G106" s="92">
        <f t="shared" si="60"/>
        <v>714.88926945600008</v>
      </c>
      <c r="H106" s="82">
        <v>779</v>
      </c>
      <c r="I106" s="175">
        <f t="shared" si="49"/>
        <v>1.0896792458401081</v>
      </c>
      <c r="J106" s="662">
        <v>299</v>
      </c>
      <c r="K106" s="673">
        <v>620</v>
      </c>
      <c r="L106" s="667">
        <v>465</v>
      </c>
      <c r="M106" s="667">
        <v>713</v>
      </c>
      <c r="N106" s="501">
        <f t="shared" si="50"/>
        <v>465</v>
      </c>
      <c r="O106" s="501">
        <f t="shared" si="51"/>
        <v>713</v>
      </c>
      <c r="P106" s="162">
        <f t="shared" si="52"/>
        <v>1276.7232000000001</v>
      </c>
      <c r="Q106" s="173">
        <f t="shared" si="64"/>
        <v>1040.7936000000002</v>
      </c>
      <c r="R106" s="125"/>
      <c r="S106" s="672" t="s">
        <v>41</v>
      </c>
      <c r="T106" s="162">
        <f t="shared" ref="T106:T111" si="65">0.83*M106</f>
        <v>591.79</v>
      </c>
      <c r="U106" s="173">
        <f t="shared" si="53"/>
        <v>154.27679999999987</v>
      </c>
      <c r="V106" s="667">
        <f t="shared" si="62"/>
        <v>390.20639999999986</v>
      </c>
      <c r="W106" s="125"/>
      <c r="X106" s="174">
        <f t="shared" si="63"/>
        <v>499.57321415513633</v>
      </c>
      <c r="Y106" s="686">
        <f t="shared" si="54"/>
        <v>191300</v>
      </c>
      <c r="Z106" s="174">
        <f t="shared" si="61"/>
        <v>2.6114647891016013E-3</v>
      </c>
      <c r="AA106" s="501">
        <f t="shared" si="55"/>
        <v>713</v>
      </c>
      <c r="AB106" s="670"/>
      <c r="AC106" s="35">
        <v>399.8</v>
      </c>
      <c r="AD106" s="51">
        <v>99.8</v>
      </c>
      <c r="AE106" s="43">
        <v>3.84</v>
      </c>
      <c r="AF106" s="51">
        <v>4.5</v>
      </c>
      <c r="AG106" s="246">
        <v>8.34</v>
      </c>
      <c r="AH106" s="51">
        <v>1431</v>
      </c>
      <c r="AI106" s="162">
        <f t="shared" si="56"/>
        <v>154.27679999999987</v>
      </c>
      <c r="AJ106" s="62">
        <f t="shared" si="57"/>
        <v>465</v>
      </c>
      <c r="AK106" s="43">
        <v>191300</v>
      </c>
      <c r="AL106" s="173">
        <f t="shared" si="58"/>
        <v>2.4307370622059592E-3</v>
      </c>
      <c r="AM106" s="102">
        <f t="shared" si="59"/>
        <v>713</v>
      </c>
      <c r="AN106" s="99"/>
      <c r="AO106" s="195"/>
      <c r="AP106" s="195"/>
      <c r="AQ106" s="195"/>
      <c r="AR106" s="195"/>
      <c r="AS106" s="195"/>
      <c r="AT106" s="195"/>
      <c r="AU106" s="195"/>
      <c r="AV106" s="195"/>
      <c r="AW106" s="195"/>
      <c r="AX106" s="195"/>
      <c r="AY106" s="195"/>
      <c r="AZ106" s="1114"/>
      <c r="BA106" s="176"/>
      <c r="BB106" s="1114"/>
      <c r="BC106" s="1114"/>
      <c r="BD106" s="176"/>
      <c r="BE106" s="1114"/>
      <c r="BF106" s="1114"/>
      <c r="BG106" s="1114"/>
      <c r="BH106" s="1114"/>
      <c r="BI106" s="195"/>
      <c r="BJ106" s="176"/>
      <c r="BK106" s="176"/>
      <c r="BL106" s="1114"/>
      <c r="BM106" s="195"/>
      <c r="BN106" s="1114"/>
      <c r="BO106" s="1114"/>
      <c r="BP106" s="195"/>
      <c r="BQ106" s="176"/>
      <c r="BR106" s="195"/>
      <c r="BS106" s="1114"/>
      <c r="BT106" s="195"/>
      <c r="BU106" s="195"/>
      <c r="BV106" s="176"/>
      <c r="BW106" s="1115"/>
      <c r="BX106" s="226"/>
      <c r="BY106" s="862"/>
      <c r="BZ106" s="195"/>
      <c r="CA106" s="1114"/>
      <c r="CB106" s="1114"/>
      <c r="CC106" s="195"/>
      <c r="CD106" s="195"/>
      <c r="CE106" s="195"/>
      <c r="CF106" s="195"/>
      <c r="CG106" s="195"/>
      <c r="CH106" s="176"/>
      <c r="CI106" s="273"/>
      <c r="CJ106" s="195"/>
      <c r="CK106" s="195"/>
      <c r="CL106" s="176"/>
      <c r="CM106" s="195"/>
      <c r="CN106" s="176"/>
      <c r="CO106" s="176"/>
      <c r="CP106" s="195"/>
      <c r="CQ106" s="176"/>
      <c r="CR106" s="176"/>
      <c r="CS106" s="176"/>
      <c r="CT106" s="176"/>
      <c r="CU106" s="176"/>
      <c r="CV106" s="195"/>
      <c r="CW106" s="195"/>
      <c r="CX106" s="1114"/>
      <c r="CY106" s="195"/>
      <c r="CZ106" s="195"/>
      <c r="DA106" s="176"/>
      <c r="DB106" s="639"/>
      <c r="DC106" s="639"/>
    </row>
    <row r="107" spans="1:107" ht="16.5" customHeight="1" x14ac:dyDescent="0.35">
      <c r="A107" s="1579"/>
      <c r="B107" s="1655"/>
      <c r="C107" s="295" t="s">
        <v>127</v>
      </c>
      <c r="D107" s="245" t="s">
        <v>81</v>
      </c>
      <c r="E107" s="686" t="s">
        <v>73</v>
      </c>
      <c r="F107" s="43" t="s">
        <v>67</v>
      </c>
      <c r="G107" s="92">
        <f t="shared" si="60"/>
        <v>712.35166798400007</v>
      </c>
      <c r="H107" s="82">
        <v>774</v>
      </c>
      <c r="I107" s="175">
        <f t="shared" si="49"/>
        <v>1.0865419915285222</v>
      </c>
      <c r="J107" s="662">
        <v>299</v>
      </c>
      <c r="K107" s="673">
        <v>620</v>
      </c>
      <c r="L107" s="667">
        <v>465</v>
      </c>
      <c r="M107" s="667">
        <v>713</v>
      </c>
      <c r="N107" s="501">
        <f t="shared" si="50"/>
        <v>465</v>
      </c>
      <c r="O107" s="501">
        <f t="shared" si="51"/>
        <v>713</v>
      </c>
      <c r="P107" s="162">
        <f t="shared" si="52"/>
        <v>1272.1728000000001</v>
      </c>
      <c r="Q107" s="173">
        <f t="shared" si="64"/>
        <v>1037.4704000000002</v>
      </c>
      <c r="R107" s="125"/>
      <c r="S107" s="672" t="s">
        <v>41</v>
      </c>
      <c r="T107" s="162">
        <f t="shared" si="65"/>
        <v>591.79</v>
      </c>
      <c r="U107" s="173">
        <f t="shared" si="53"/>
        <v>153.82719999999995</v>
      </c>
      <c r="V107" s="667">
        <f t="shared" si="62"/>
        <v>388.52959999999996</v>
      </c>
      <c r="W107" s="125"/>
      <c r="X107" s="174">
        <f t="shared" si="63"/>
        <v>499.54534921739133</v>
      </c>
      <c r="Y107" s="686">
        <f t="shared" si="54"/>
        <v>191300</v>
      </c>
      <c r="Z107" s="174">
        <f t="shared" si="61"/>
        <v>2.611319128162004E-3</v>
      </c>
      <c r="AA107" s="501">
        <f t="shared" si="55"/>
        <v>713</v>
      </c>
      <c r="AB107" s="670"/>
      <c r="AC107" s="35">
        <v>400.4</v>
      </c>
      <c r="AD107" s="51">
        <v>99.7</v>
      </c>
      <c r="AE107" s="43">
        <v>3.83</v>
      </c>
      <c r="AF107" s="51">
        <v>4.5</v>
      </c>
      <c r="AG107" s="246">
        <v>8.33</v>
      </c>
      <c r="AH107" s="51">
        <v>1426</v>
      </c>
      <c r="AI107" s="162">
        <f t="shared" si="56"/>
        <v>153.82719999999995</v>
      </c>
      <c r="AJ107" s="62">
        <f t="shared" si="57"/>
        <v>465</v>
      </c>
      <c r="AK107" s="43">
        <v>191300</v>
      </c>
      <c r="AL107" s="173">
        <f t="shared" si="58"/>
        <v>2.4307370622059592E-3</v>
      </c>
      <c r="AM107" s="102">
        <f t="shared" si="59"/>
        <v>713</v>
      </c>
      <c r="AN107" s="99"/>
      <c r="AO107" s="195"/>
      <c r="AP107" s="195"/>
      <c r="AQ107" s="195"/>
      <c r="AR107" s="195"/>
      <c r="AS107" s="195"/>
      <c r="AT107" s="195"/>
      <c r="AU107" s="195"/>
      <c r="AV107" s="195"/>
      <c r="AW107" s="195"/>
      <c r="AX107" s="195"/>
      <c r="AY107" s="195"/>
      <c r="AZ107" s="1114"/>
      <c r="BA107" s="176"/>
      <c r="BB107" s="1114"/>
      <c r="BC107" s="1114"/>
      <c r="BD107" s="176"/>
      <c r="BE107" s="1114"/>
      <c r="BF107" s="1114"/>
      <c r="BG107" s="1114"/>
      <c r="BH107" s="1114"/>
      <c r="BI107" s="195"/>
      <c r="BJ107" s="176"/>
      <c r="BK107" s="176"/>
      <c r="BL107" s="1114"/>
      <c r="BM107" s="195"/>
      <c r="BN107" s="1114"/>
      <c r="BO107" s="1114"/>
      <c r="BP107" s="195"/>
      <c r="BQ107" s="176"/>
      <c r="BR107" s="195"/>
      <c r="BS107" s="1114"/>
      <c r="BT107" s="195"/>
      <c r="BU107" s="195"/>
      <c r="BV107" s="176"/>
      <c r="BW107" s="1115"/>
      <c r="BX107" s="226"/>
      <c r="BY107" s="862"/>
      <c r="BZ107" s="195"/>
      <c r="CA107" s="1114"/>
      <c r="CB107" s="1114"/>
      <c r="CC107" s="195"/>
      <c r="CD107" s="195"/>
      <c r="CE107" s="195"/>
      <c r="CF107" s="195"/>
      <c r="CG107" s="195"/>
      <c r="CH107" s="176"/>
      <c r="CI107" s="273"/>
      <c r="CJ107" s="195"/>
      <c r="CK107" s="195"/>
      <c r="CL107" s="176"/>
      <c r="CM107" s="195"/>
      <c r="CN107" s="176"/>
      <c r="CO107" s="176"/>
      <c r="CP107" s="195"/>
      <c r="CQ107" s="176"/>
      <c r="CR107" s="176"/>
      <c r="CS107" s="176"/>
      <c r="CT107" s="176"/>
      <c r="CU107" s="176"/>
      <c r="CV107" s="195"/>
      <c r="CW107" s="195"/>
      <c r="CX107" s="1114"/>
      <c r="CY107" s="195"/>
      <c r="CZ107" s="195"/>
      <c r="DA107" s="176"/>
      <c r="DB107" s="639"/>
      <c r="DC107" s="639"/>
    </row>
    <row r="108" spans="1:107" ht="15.75" customHeight="1" x14ac:dyDescent="0.35">
      <c r="A108" s="1579"/>
      <c r="B108" s="1655"/>
      <c r="C108" s="295" t="s">
        <v>127</v>
      </c>
      <c r="D108" s="245" t="s">
        <v>82</v>
      </c>
      <c r="E108" s="686" t="s">
        <v>73</v>
      </c>
      <c r="F108" s="43" t="s">
        <v>67</v>
      </c>
      <c r="G108" s="92">
        <f t="shared" si="60"/>
        <v>1158.0242396800002</v>
      </c>
      <c r="H108" s="82">
        <v>1513</v>
      </c>
      <c r="I108" s="175">
        <f t="shared" si="49"/>
        <v>1.3065356908401946</v>
      </c>
      <c r="J108" s="662">
        <v>279</v>
      </c>
      <c r="K108" s="673">
        <v>605</v>
      </c>
      <c r="L108" s="667">
        <v>501</v>
      </c>
      <c r="M108" s="667">
        <v>715</v>
      </c>
      <c r="N108" s="501">
        <f t="shared" si="50"/>
        <v>501</v>
      </c>
      <c r="O108" s="501">
        <f t="shared" si="51"/>
        <v>715</v>
      </c>
      <c r="P108" s="162">
        <f t="shared" si="52"/>
        <v>1820.4911999999999</v>
      </c>
      <c r="Q108" s="173">
        <f t="shared" si="64"/>
        <v>1255.9535999999998</v>
      </c>
      <c r="R108" s="125"/>
      <c r="S108" s="672" t="s">
        <v>41</v>
      </c>
      <c r="T108" s="162">
        <f t="shared" si="65"/>
        <v>593.44999999999993</v>
      </c>
      <c r="U108" s="173">
        <f t="shared" si="53"/>
        <v>326.50880000000006</v>
      </c>
      <c r="V108" s="667">
        <f t="shared" si="62"/>
        <v>891.04640000000018</v>
      </c>
      <c r="W108" s="125"/>
      <c r="X108" s="174">
        <f t="shared" si="63"/>
        <v>539.36853268747097</v>
      </c>
      <c r="Y108" s="686">
        <f t="shared" si="54"/>
        <v>198400</v>
      </c>
      <c r="Z108" s="174">
        <f t="shared" si="61"/>
        <v>2.7185913945941076E-3</v>
      </c>
      <c r="AA108" s="501">
        <f t="shared" si="55"/>
        <v>715</v>
      </c>
      <c r="AB108" s="670"/>
      <c r="AC108" s="35">
        <v>399.8</v>
      </c>
      <c r="AD108" s="51">
        <v>100.1</v>
      </c>
      <c r="AE108" s="43">
        <v>5.94</v>
      </c>
      <c r="AF108" s="51">
        <v>5.8</v>
      </c>
      <c r="AG108" s="246">
        <v>11.74</v>
      </c>
      <c r="AH108" s="51">
        <v>2147</v>
      </c>
      <c r="AI108" s="162">
        <f t="shared" si="56"/>
        <v>326.50880000000006</v>
      </c>
      <c r="AJ108" s="62">
        <f t="shared" si="57"/>
        <v>501</v>
      </c>
      <c r="AK108" s="43">
        <v>198400</v>
      </c>
      <c r="AL108" s="173">
        <f t="shared" si="58"/>
        <v>2.5252016129032259E-3</v>
      </c>
      <c r="AM108" s="102">
        <f t="shared" si="59"/>
        <v>715</v>
      </c>
      <c r="AN108" s="99"/>
      <c r="AO108" s="195"/>
      <c r="AP108" s="195"/>
      <c r="AQ108" s="195"/>
      <c r="AR108" s="195"/>
      <c r="AS108" s="195"/>
      <c r="AT108" s="195"/>
      <c r="AU108" s="195"/>
      <c r="AV108" s="195"/>
      <c r="AW108" s="195"/>
      <c r="AX108" s="195"/>
      <c r="AY108" s="1116"/>
      <c r="AZ108" s="1114"/>
      <c r="BA108" s="176"/>
      <c r="BB108" s="1114"/>
      <c r="BC108" s="1114"/>
      <c r="BD108" s="176"/>
      <c r="BE108" s="1114"/>
      <c r="BF108" s="1114"/>
      <c r="BG108" s="1114"/>
      <c r="BH108" s="1114"/>
      <c r="BI108" s="195"/>
      <c r="BJ108" s="176"/>
      <c r="BK108" s="176"/>
      <c r="BL108" s="1114"/>
      <c r="BM108" s="195"/>
      <c r="BN108" s="1114"/>
      <c r="BO108" s="1114"/>
      <c r="BP108" s="195"/>
      <c r="BQ108" s="176"/>
      <c r="BR108" s="195"/>
      <c r="BS108" s="1114"/>
      <c r="BT108" s="195"/>
      <c r="BU108" s="195"/>
      <c r="BV108" s="176"/>
      <c r="BW108" s="1115"/>
      <c r="BX108" s="226"/>
      <c r="BY108" s="862"/>
      <c r="BZ108" s="195"/>
      <c r="CA108" s="1114"/>
      <c r="CB108" s="1114"/>
      <c r="CC108" s="195"/>
      <c r="CD108" s="195"/>
      <c r="CE108" s="195"/>
      <c r="CF108" s="195"/>
      <c r="CG108" s="195"/>
      <c r="CH108" s="176"/>
      <c r="CI108" s="273"/>
      <c r="CJ108" s="195"/>
      <c r="CK108" s="195"/>
      <c r="CL108" s="176"/>
      <c r="CM108" s="195"/>
      <c r="CN108" s="176"/>
      <c r="CO108" s="176"/>
      <c r="CP108" s="195"/>
      <c r="CQ108" s="176"/>
      <c r="CR108" s="176"/>
      <c r="CS108" s="176"/>
      <c r="CT108" s="176"/>
      <c r="CU108" s="176"/>
      <c r="CV108" s="195"/>
      <c r="CW108" s="195"/>
      <c r="CX108" s="1114"/>
      <c r="CY108" s="195"/>
      <c r="CZ108" s="195"/>
      <c r="DA108" s="176"/>
      <c r="DB108" s="639"/>
      <c r="DC108" s="639"/>
    </row>
    <row r="109" spans="1:107" ht="16.5" customHeight="1" x14ac:dyDescent="0.35">
      <c r="A109" s="1579"/>
      <c r="B109" s="1655"/>
      <c r="C109" s="295" t="s">
        <v>127</v>
      </c>
      <c r="D109" s="245" t="s">
        <v>83</v>
      </c>
      <c r="E109" s="686" t="s">
        <v>73</v>
      </c>
      <c r="F109" s="43" t="s">
        <v>67</v>
      </c>
      <c r="G109" s="92">
        <f t="shared" si="60"/>
        <v>1161.4942647199998</v>
      </c>
      <c r="H109" s="82">
        <v>1507</v>
      </c>
      <c r="I109" s="175">
        <f t="shared" si="49"/>
        <v>1.2974665874594662</v>
      </c>
      <c r="J109" s="662">
        <v>279</v>
      </c>
      <c r="K109" s="673">
        <v>605</v>
      </c>
      <c r="L109" s="667">
        <v>501</v>
      </c>
      <c r="M109" s="667">
        <v>715</v>
      </c>
      <c r="N109" s="501">
        <f t="shared" si="50"/>
        <v>501</v>
      </c>
      <c r="O109" s="501">
        <f t="shared" si="51"/>
        <v>715</v>
      </c>
      <c r="P109" s="162">
        <f t="shared" si="52"/>
        <v>1817.6768000000002</v>
      </c>
      <c r="Q109" s="173">
        <f t="shared" si="64"/>
        <v>1256.9344000000001</v>
      </c>
      <c r="R109" s="17"/>
      <c r="S109" s="672" t="s">
        <v>41</v>
      </c>
      <c r="T109" s="162">
        <f t="shared" si="65"/>
        <v>593.44999999999993</v>
      </c>
      <c r="U109" s="173">
        <f t="shared" si="53"/>
        <v>335.32319999999982</v>
      </c>
      <c r="V109" s="667">
        <f t="shared" si="62"/>
        <v>896.06559999999979</v>
      </c>
      <c r="W109" s="17"/>
      <c r="X109" s="174">
        <f t="shared" si="63"/>
        <v>539.47713177891308</v>
      </c>
      <c r="Y109" s="686">
        <f t="shared" si="54"/>
        <v>198400</v>
      </c>
      <c r="Z109" s="174">
        <f t="shared" si="61"/>
        <v>2.719138769046941E-3</v>
      </c>
      <c r="AA109" s="501">
        <f t="shared" si="55"/>
        <v>715</v>
      </c>
      <c r="AB109" s="670"/>
      <c r="AC109" s="656">
        <v>399.6</v>
      </c>
      <c r="AD109" s="24">
        <v>100.2</v>
      </c>
      <c r="AE109" s="326">
        <v>5.92</v>
      </c>
      <c r="AF109" s="51">
        <v>5.8</v>
      </c>
      <c r="AG109" s="246">
        <v>11.719999999999999</v>
      </c>
      <c r="AH109" s="51">
        <v>2153</v>
      </c>
      <c r="AI109" s="162">
        <f t="shared" si="56"/>
        <v>335.32319999999982</v>
      </c>
      <c r="AJ109" s="62">
        <f t="shared" si="57"/>
        <v>501</v>
      </c>
      <c r="AK109" s="1120">
        <v>198400</v>
      </c>
      <c r="AL109" s="173">
        <f t="shared" si="58"/>
        <v>2.5252016129032259E-3</v>
      </c>
      <c r="AM109" s="102">
        <f t="shared" si="59"/>
        <v>715</v>
      </c>
      <c r="AN109" s="99"/>
      <c r="AO109" s="195"/>
      <c r="AP109" s="195"/>
      <c r="AQ109" s="195"/>
      <c r="AR109" s="195"/>
      <c r="AS109" s="195"/>
      <c r="AT109" s="195"/>
      <c r="AU109" s="195"/>
      <c r="AV109" s="195"/>
      <c r="AW109" s="195"/>
      <c r="AX109" s="195"/>
      <c r="AY109" s="1116"/>
      <c r="AZ109" s="1114"/>
      <c r="BA109" s="176"/>
      <c r="BB109" s="1114"/>
      <c r="BC109" s="1114"/>
      <c r="BD109" s="176"/>
      <c r="BE109" s="1114"/>
      <c r="BF109" s="1114"/>
      <c r="BG109" s="1114"/>
      <c r="BH109" s="1114"/>
      <c r="BI109" s="195"/>
      <c r="BJ109" s="176"/>
      <c r="BK109" s="176"/>
      <c r="BL109" s="1114"/>
      <c r="BM109" s="195"/>
      <c r="BN109" s="1114"/>
      <c r="BO109" s="1114"/>
      <c r="BP109" s="195"/>
      <c r="BQ109" s="176"/>
      <c r="BR109" s="195"/>
      <c r="BS109" s="1114"/>
      <c r="BT109" s="195"/>
      <c r="BU109" s="195"/>
      <c r="BV109" s="176"/>
      <c r="BW109" s="1115"/>
      <c r="BX109" s="226"/>
      <c r="BY109" s="862"/>
      <c r="BZ109" s="195"/>
      <c r="CA109" s="1114"/>
      <c r="CB109" s="1114"/>
      <c r="CC109" s="195"/>
      <c r="CD109" s="195"/>
      <c r="CE109" s="195"/>
      <c r="CF109" s="195"/>
      <c r="CG109" s="195"/>
      <c r="CH109" s="176"/>
      <c r="CI109" s="273"/>
      <c r="CJ109" s="195"/>
      <c r="CK109" s="195"/>
      <c r="CL109" s="176"/>
      <c r="CM109" s="195"/>
      <c r="CN109" s="176"/>
      <c r="CO109" s="176"/>
      <c r="CP109" s="195"/>
      <c r="CQ109" s="176"/>
      <c r="CR109" s="176"/>
      <c r="CS109" s="176"/>
      <c r="CT109" s="176"/>
      <c r="CU109" s="176"/>
      <c r="CV109" s="195"/>
      <c r="CW109" s="195"/>
      <c r="CX109" s="1114"/>
      <c r="CY109" s="195"/>
      <c r="CZ109" s="195"/>
      <c r="DA109" s="176"/>
      <c r="DB109" s="639"/>
      <c r="DC109" s="639"/>
    </row>
    <row r="110" spans="1:107" s="491" customFormat="1" ht="15.75" customHeight="1" x14ac:dyDescent="0.35">
      <c r="A110" s="1579"/>
      <c r="B110" s="1655"/>
      <c r="C110" s="295" t="s">
        <v>127</v>
      </c>
      <c r="D110" s="201" t="s">
        <v>84</v>
      </c>
      <c r="E110" s="295" t="s">
        <v>73</v>
      </c>
      <c r="F110" s="658" t="s">
        <v>67</v>
      </c>
      <c r="G110" s="89">
        <f t="shared" si="60"/>
        <v>1260.5755462239999</v>
      </c>
      <c r="H110" s="82">
        <v>1630</v>
      </c>
      <c r="I110" s="435">
        <f t="shared" si="49"/>
        <v>1.2930601461234079</v>
      </c>
      <c r="J110" s="155">
        <v>295</v>
      </c>
      <c r="K110" s="156">
        <v>620</v>
      </c>
      <c r="L110" s="655">
        <v>328</v>
      </c>
      <c r="M110" s="655">
        <v>653</v>
      </c>
      <c r="N110" s="538">
        <f t="shared" si="50"/>
        <v>328</v>
      </c>
      <c r="O110" s="538">
        <f t="shared" si="51"/>
        <v>653</v>
      </c>
      <c r="P110" s="176">
        <f t="shared" si="52"/>
        <v>2179.3168000000001</v>
      </c>
      <c r="Q110" s="195">
        <f t="shared" si="64"/>
        <v>1162.9824000000001</v>
      </c>
      <c r="R110" s="17"/>
      <c r="S110" s="157" t="s">
        <v>41</v>
      </c>
      <c r="T110" s="176">
        <f t="shared" si="65"/>
        <v>541.99</v>
      </c>
      <c r="U110" s="195">
        <f>AI110</f>
        <v>605.68319999999994</v>
      </c>
      <c r="V110" s="655">
        <f t="shared" si="62"/>
        <v>1622.0175999999999</v>
      </c>
      <c r="W110" s="17"/>
      <c r="X110" s="224">
        <f t="shared" si="63"/>
        <v>452.63035771059242</v>
      </c>
      <c r="Y110" s="295">
        <f t="shared" si="54"/>
        <v>202400</v>
      </c>
      <c r="Z110" s="224">
        <f t="shared" si="61"/>
        <v>2.2363159965938361E-3</v>
      </c>
      <c r="AA110" s="538">
        <f t="shared" si="55"/>
        <v>653</v>
      </c>
      <c r="AB110" s="385"/>
      <c r="AC110" s="656">
        <v>399.1</v>
      </c>
      <c r="AD110" s="24">
        <v>100.3</v>
      </c>
      <c r="AE110" s="651">
        <v>7.97</v>
      </c>
      <c r="AF110" s="24">
        <v>8</v>
      </c>
      <c r="AG110" s="273">
        <v>15.969999999999999</v>
      </c>
      <c r="AH110" s="24">
        <v>2785</v>
      </c>
      <c r="AI110" s="176">
        <f t="shared" si="56"/>
        <v>605.68319999999994</v>
      </c>
      <c r="AJ110" s="198">
        <f t="shared" si="57"/>
        <v>328</v>
      </c>
      <c r="AK110" s="1120">
        <v>202400</v>
      </c>
      <c r="AL110" s="195">
        <f t="shared" si="58"/>
        <v>1.6205533596837945E-3</v>
      </c>
      <c r="AM110" s="102">
        <f t="shared" si="59"/>
        <v>653</v>
      </c>
      <c r="AN110" s="99"/>
      <c r="AO110" s="195"/>
      <c r="AP110" s="195"/>
      <c r="AQ110" s="195"/>
      <c r="AR110" s="195"/>
      <c r="AS110" s="195"/>
      <c r="AT110" s="195"/>
      <c r="AU110" s="195"/>
      <c r="AV110" s="195"/>
      <c r="AW110" s="195"/>
      <c r="AX110" s="195"/>
      <c r="AY110" s="1116"/>
      <c r="AZ110" s="1114"/>
      <c r="BA110" s="176"/>
      <c r="BB110" s="1114"/>
      <c r="BC110" s="1114"/>
      <c r="BD110" s="176"/>
      <c r="BE110" s="1114"/>
      <c r="BF110" s="1114"/>
      <c r="BG110" s="1114"/>
      <c r="BH110" s="1114"/>
      <c r="BI110" s="195"/>
      <c r="BJ110" s="176"/>
      <c r="BK110" s="176"/>
      <c r="BL110" s="1114"/>
      <c r="BM110" s="195"/>
      <c r="BN110" s="1114"/>
      <c r="BO110" s="1114"/>
      <c r="BP110" s="195"/>
      <c r="BQ110" s="176"/>
      <c r="BR110" s="195"/>
      <c r="BS110" s="1114"/>
      <c r="BT110" s="195"/>
      <c r="BU110" s="195"/>
      <c r="BV110" s="176"/>
      <c r="BW110" s="1115"/>
      <c r="BX110" s="226"/>
      <c r="BY110" s="862"/>
      <c r="BZ110" s="195"/>
      <c r="CA110" s="1114"/>
      <c r="CB110" s="1114"/>
      <c r="CC110" s="195"/>
      <c r="CD110" s="195"/>
      <c r="CE110" s="195"/>
      <c r="CF110" s="195"/>
      <c r="CG110" s="195"/>
      <c r="CH110" s="176"/>
      <c r="CI110" s="273"/>
      <c r="CJ110" s="195"/>
      <c r="CK110" s="195"/>
      <c r="CL110" s="176"/>
      <c r="CM110" s="195"/>
      <c r="CN110" s="176"/>
      <c r="CO110" s="176"/>
      <c r="CP110" s="195"/>
      <c r="CQ110" s="176"/>
      <c r="CR110" s="176"/>
      <c r="CS110" s="176"/>
      <c r="CT110" s="176"/>
      <c r="CU110" s="176"/>
      <c r="CV110" s="195"/>
      <c r="CW110" s="195"/>
      <c r="CX110" s="1114"/>
      <c r="CY110" s="195"/>
      <c r="CZ110" s="195"/>
      <c r="DA110" s="176"/>
      <c r="DB110" s="652"/>
      <c r="DC110" s="652"/>
    </row>
    <row r="111" spans="1:107" s="491" customFormat="1" ht="13.5" customHeight="1" x14ac:dyDescent="0.35">
      <c r="A111" s="1579"/>
      <c r="B111" s="1655"/>
      <c r="C111" s="295" t="s">
        <v>127</v>
      </c>
      <c r="D111" s="201" t="s">
        <v>85</v>
      </c>
      <c r="E111" s="295" t="s">
        <v>73</v>
      </c>
      <c r="F111" s="658" t="s">
        <v>67</v>
      </c>
      <c r="G111" s="89">
        <f t="shared" si="60"/>
        <v>1259.7719864640001</v>
      </c>
      <c r="H111" s="82">
        <v>1797</v>
      </c>
      <c r="I111" s="435">
        <f t="shared" si="49"/>
        <v>1.426448610787038</v>
      </c>
      <c r="J111" s="155">
        <v>295</v>
      </c>
      <c r="K111" s="156">
        <v>620</v>
      </c>
      <c r="L111" s="655">
        <v>328</v>
      </c>
      <c r="M111" s="655">
        <v>653</v>
      </c>
      <c r="N111" s="538">
        <f t="shared" si="50"/>
        <v>328</v>
      </c>
      <c r="O111" s="538">
        <f t="shared" si="51"/>
        <v>653</v>
      </c>
      <c r="P111" s="176">
        <f t="shared" si="52"/>
        <v>2172.9407999999999</v>
      </c>
      <c r="Q111" s="195">
        <f t="shared" si="64"/>
        <v>1156.6063999999999</v>
      </c>
      <c r="R111" s="17"/>
      <c r="S111" s="157" t="s">
        <v>41</v>
      </c>
      <c r="T111" s="176">
        <f t="shared" si="65"/>
        <v>541.99</v>
      </c>
      <c r="U111" s="195">
        <f t="shared" si="53"/>
        <v>608.05920000000015</v>
      </c>
      <c r="V111" s="655">
        <f t="shared" si="62"/>
        <v>1624.3936000000001</v>
      </c>
      <c r="W111" s="17"/>
      <c r="X111" s="224">
        <f t="shared" si="63"/>
        <v>452.99244389212515</v>
      </c>
      <c r="Y111" s="295">
        <f t="shared" si="54"/>
        <v>202400</v>
      </c>
      <c r="Z111" s="224">
        <f t="shared" si="61"/>
        <v>2.2381049599413299E-3</v>
      </c>
      <c r="AA111" s="538">
        <f t="shared" si="55"/>
        <v>653</v>
      </c>
      <c r="AB111" s="385"/>
      <c r="AC111" s="656">
        <v>400</v>
      </c>
      <c r="AD111" s="24">
        <v>100.1</v>
      </c>
      <c r="AE111" s="651">
        <v>7.97</v>
      </c>
      <c r="AF111" s="24">
        <v>8</v>
      </c>
      <c r="AG111" s="273">
        <v>15.969999999999999</v>
      </c>
      <c r="AH111" s="24">
        <v>2781</v>
      </c>
      <c r="AI111" s="176">
        <f t="shared" si="56"/>
        <v>608.05920000000015</v>
      </c>
      <c r="AJ111" s="198">
        <f t="shared" si="57"/>
        <v>328</v>
      </c>
      <c r="AK111" s="1120">
        <v>202400</v>
      </c>
      <c r="AL111" s="195">
        <f t="shared" si="58"/>
        <v>1.6205533596837945E-3</v>
      </c>
      <c r="AM111" s="102">
        <f t="shared" si="59"/>
        <v>653</v>
      </c>
      <c r="AN111" s="99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  <c r="AY111" s="1116"/>
      <c r="AZ111" s="1114"/>
      <c r="BA111" s="176"/>
      <c r="BB111" s="1114"/>
      <c r="BC111" s="1114"/>
      <c r="BD111" s="176"/>
      <c r="BE111" s="1114"/>
      <c r="BF111" s="1114"/>
      <c r="BG111" s="1114"/>
      <c r="BH111" s="1114"/>
      <c r="BI111" s="195"/>
      <c r="BJ111" s="176"/>
      <c r="BK111" s="176"/>
      <c r="BL111" s="1114"/>
      <c r="BM111" s="195"/>
      <c r="BN111" s="1114"/>
      <c r="BO111" s="1114"/>
      <c r="BP111" s="195"/>
      <c r="BQ111" s="176"/>
      <c r="BR111" s="195"/>
      <c r="BS111" s="1114"/>
      <c r="BT111" s="195"/>
      <c r="BU111" s="195"/>
      <c r="BV111" s="176"/>
      <c r="BW111" s="1115"/>
      <c r="BX111" s="226"/>
      <c r="BY111" s="862"/>
      <c r="BZ111" s="195"/>
      <c r="CA111" s="1114"/>
      <c r="CB111" s="1114"/>
      <c r="CC111" s="195"/>
      <c r="CD111" s="195"/>
      <c r="CE111" s="195"/>
      <c r="CF111" s="195"/>
      <c r="CG111" s="195"/>
      <c r="CH111" s="176"/>
      <c r="CI111" s="273"/>
      <c r="CJ111" s="195"/>
      <c r="CK111" s="195"/>
      <c r="CL111" s="176"/>
      <c r="CM111" s="195"/>
      <c r="CN111" s="176"/>
      <c r="CO111" s="176"/>
      <c r="CP111" s="195"/>
      <c r="CQ111" s="176"/>
      <c r="CR111" s="176"/>
      <c r="CS111" s="176"/>
      <c r="CT111" s="176"/>
      <c r="CU111" s="176"/>
      <c r="CV111" s="195"/>
      <c r="CW111" s="195"/>
      <c r="CX111" s="1114"/>
      <c r="CY111" s="195"/>
      <c r="CZ111" s="195"/>
      <c r="DA111" s="176"/>
      <c r="DB111" s="652"/>
      <c r="DC111" s="652"/>
    </row>
    <row r="112" spans="1:107" ht="15" customHeight="1" x14ac:dyDescent="0.35">
      <c r="A112" s="1579"/>
      <c r="B112" s="1655"/>
      <c r="C112" s="295" t="s">
        <v>127</v>
      </c>
      <c r="D112" s="245" t="s">
        <v>86</v>
      </c>
      <c r="E112" s="686" t="s">
        <v>73</v>
      </c>
      <c r="F112" s="43" t="s">
        <v>67</v>
      </c>
      <c r="G112" s="92">
        <f t="shared" si="60"/>
        <v>724.68649519999997</v>
      </c>
      <c r="H112" s="82">
        <v>726</v>
      </c>
      <c r="I112" s="175">
        <f t="shared" si="49"/>
        <v>1.0018125145269026</v>
      </c>
      <c r="J112" s="662">
        <v>304</v>
      </c>
      <c r="K112" s="673">
        <v>613</v>
      </c>
      <c r="L112" s="667">
        <v>314</v>
      </c>
      <c r="M112" s="667">
        <v>659</v>
      </c>
      <c r="N112" s="501">
        <f t="shared" si="50"/>
        <v>314</v>
      </c>
      <c r="O112" s="501">
        <f t="shared" si="51"/>
        <v>659</v>
      </c>
      <c r="P112" s="162">
        <f t="shared" si="52"/>
        <v>1989.2952</v>
      </c>
      <c r="Q112" s="173" t="s">
        <v>41</v>
      </c>
      <c r="R112" s="17"/>
      <c r="S112" s="672">
        <v>563</v>
      </c>
      <c r="T112" s="162" t="s">
        <v>41</v>
      </c>
      <c r="U112" s="173">
        <f t="shared" si="53"/>
        <v>177.70479999999998</v>
      </c>
      <c r="V112" s="667" t="s">
        <v>41</v>
      </c>
      <c r="W112" s="17"/>
      <c r="X112" s="174">
        <f>((L112*P112)+(S112*U112))/(P112+U112)</f>
        <v>334.41924097831105</v>
      </c>
      <c r="Y112" s="686">
        <f t="shared" si="54"/>
        <v>206000</v>
      </c>
      <c r="Z112" s="174">
        <f t="shared" si="61"/>
        <v>1.6233943736811216E-3</v>
      </c>
      <c r="AA112" s="501">
        <f t="shared" si="55"/>
        <v>659</v>
      </c>
      <c r="AB112" s="670"/>
      <c r="AC112" s="656">
        <v>449.9</v>
      </c>
      <c r="AD112" s="24">
        <v>150.4</v>
      </c>
      <c r="AE112" s="326">
        <v>3.79</v>
      </c>
      <c r="AF112" s="24">
        <v>5.8</v>
      </c>
      <c r="AG112" s="246">
        <v>9.59</v>
      </c>
      <c r="AH112" s="51">
        <v>2167</v>
      </c>
      <c r="AI112" s="162">
        <f t="shared" si="56"/>
        <v>177.70479999999998</v>
      </c>
      <c r="AJ112" s="62">
        <f t="shared" si="57"/>
        <v>314</v>
      </c>
      <c r="AK112" s="1120">
        <v>206000</v>
      </c>
      <c r="AL112" s="173">
        <f t="shared" si="58"/>
        <v>1.5242718446601942E-3</v>
      </c>
      <c r="AM112" s="102">
        <f t="shared" si="59"/>
        <v>659</v>
      </c>
      <c r="AN112" s="99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  <c r="AY112" s="1116"/>
      <c r="AZ112" s="1114"/>
      <c r="BA112" s="176"/>
      <c r="BB112" s="1114"/>
      <c r="BC112" s="1114"/>
      <c r="BD112" s="176"/>
      <c r="BE112" s="1114"/>
      <c r="BF112" s="1114"/>
      <c r="BG112" s="1114"/>
      <c r="BH112" s="1114"/>
      <c r="BI112" s="195"/>
      <c r="BJ112" s="176"/>
      <c r="BK112" s="176"/>
      <c r="BL112" s="1114"/>
      <c r="BM112" s="195"/>
      <c r="BN112" s="1114"/>
      <c r="BO112" s="1114"/>
      <c r="BP112" s="195"/>
      <c r="BQ112" s="176"/>
      <c r="BR112" s="195"/>
      <c r="BS112" s="1114"/>
      <c r="BT112" s="195"/>
      <c r="BU112" s="195"/>
      <c r="BV112" s="176"/>
      <c r="BW112" s="1115"/>
      <c r="BX112" s="226"/>
      <c r="BY112" s="862"/>
      <c r="BZ112" s="195"/>
      <c r="CA112" s="1114"/>
      <c r="CB112" s="1114"/>
      <c r="CC112" s="195"/>
      <c r="CD112" s="195"/>
      <c r="CE112" s="195"/>
      <c r="CF112" s="195"/>
      <c r="CG112" s="195"/>
      <c r="CH112" s="176"/>
      <c r="CI112" s="273"/>
      <c r="CJ112" s="195"/>
      <c r="CK112" s="195"/>
      <c r="CL112" s="176"/>
      <c r="CM112" s="195"/>
      <c r="CN112" s="176"/>
      <c r="CO112" s="176"/>
      <c r="CP112" s="195"/>
      <c r="CQ112" s="176"/>
      <c r="CR112" s="176"/>
      <c r="CS112" s="176"/>
      <c r="CT112" s="176"/>
      <c r="CU112" s="176"/>
      <c r="CV112" s="195"/>
      <c r="CW112" s="195"/>
      <c r="CX112" s="1114"/>
      <c r="CY112" s="195"/>
      <c r="CZ112" s="195"/>
      <c r="DA112" s="176"/>
      <c r="DB112" s="639"/>
      <c r="DC112" s="639"/>
    </row>
    <row r="113" spans="1:107" ht="14.25" customHeight="1" x14ac:dyDescent="0.35">
      <c r="A113" s="1575"/>
      <c r="B113" s="1646"/>
      <c r="C113" s="295" t="s">
        <v>127</v>
      </c>
      <c r="D113" s="247" t="s">
        <v>87</v>
      </c>
      <c r="E113" s="677" t="s">
        <v>73</v>
      </c>
      <c r="F113" s="44" t="s">
        <v>67</v>
      </c>
      <c r="G113" s="92">
        <f>X113*AH113*0.001</f>
        <v>717.31977119999999</v>
      </c>
      <c r="H113" s="83">
        <v>713</v>
      </c>
      <c r="I113" s="175">
        <f t="shared" si="49"/>
        <v>0.99397790027065125</v>
      </c>
      <c r="J113" s="674">
        <v>304</v>
      </c>
      <c r="K113" s="675">
        <v>613</v>
      </c>
      <c r="L113" s="665">
        <v>314</v>
      </c>
      <c r="M113" s="665">
        <v>659</v>
      </c>
      <c r="N113" s="501">
        <f t="shared" si="50"/>
        <v>314</v>
      </c>
      <c r="O113" s="501">
        <f t="shared" si="51"/>
        <v>659</v>
      </c>
      <c r="P113" s="162">
        <f t="shared" si="52"/>
        <v>1955.5712000000003</v>
      </c>
      <c r="Q113" s="179" t="s">
        <v>41</v>
      </c>
      <c r="R113" s="128"/>
      <c r="S113" s="666">
        <v>563</v>
      </c>
      <c r="T113" s="177" t="s">
        <v>41</v>
      </c>
      <c r="U113" s="179">
        <f t="shared" si="53"/>
        <v>183.4287999999998</v>
      </c>
      <c r="V113" s="665" t="s">
        <v>41</v>
      </c>
      <c r="W113" s="128"/>
      <c r="X113" s="174">
        <f>((L113*P113)+(S113*U113))/(P113+U113)</f>
        <v>335.35286171107992</v>
      </c>
      <c r="Y113" s="686">
        <f t="shared" si="54"/>
        <v>206000</v>
      </c>
      <c r="Z113" s="180">
        <f t="shared" si="61"/>
        <v>1.6279265131605822E-3</v>
      </c>
      <c r="AA113" s="501">
        <f t="shared" si="55"/>
        <v>659</v>
      </c>
      <c r="AB113" s="669"/>
      <c r="AC113" s="210">
        <v>450.7</v>
      </c>
      <c r="AD113" s="53">
        <v>150.19999999999999</v>
      </c>
      <c r="AE113" s="58">
        <v>3.74</v>
      </c>
      <c r="AF113" s="27">
        <v>6</v>
      </c>
      <c r="AG113" s="248">
        <v>9.74</v>
      </c>
      <c r="AH113" s="65">
        <v>2139</v>
      </c>
      <c r="AI113" s="177">
        <f t="shared" si="56"/>
        <v>183.4287999999998</v>
      </c>
      <c r="AJ113" s="62">
        <f t="shared" si="57"/>
        <v>314</v>
      </c>
      <c r="AK113" s="58">
        <v>206000</v>
      </c>
      <c r="AL113" s="173">
        <f t="shared" si="58"/>
        <v>1.5242718446601942E-3</v>
      </c>
      <c r="AM113" s="102">
        <f t="shared" si="59"/>
        <v>659</v>
      </c>
      <c r="AN113" s="100"/>
      <c r="AO113" s="195"/>
      <c r="AP113" s="195"/>
      <c r="AQ113" s="195"/>
      <c r="AR113" s="195"/>
      <c r="AS113" s="195"/>
      <c r="AT113" s="195"/>
      <c r="AU113" s="195"/>
      <c r="AV113" s="195"/>
      <c r="AW113" s="195"/>
      <c r="AX113" s="195"/>
      <c r="AY113" s="1116"/>
      <c r="AZ113" s="1114"/>
      <c r="BA113" s="176"/>
      <c r="BB113" s="1114"/>
      <c r="BC113" s="1114"/>
      <c r="BD113" s="176"/>
      <c r="BE113" s="1114"/>
      <c r="BF113" s="1114"/>
      <c r="BG113" s="1114"/>
      <c r="BH113" s="1114"/>
      <c r="BI113" s="195"/>
      <c r="BJ113" s="176"/>
      <c r="BK113" s="176"/>
      <c r="BL113" s="1114"/>
      <c r="BM113" s="195"/>
      <c r="BN113" s="1114"/>
      <c r="BO113" s="1114"/>
      <c r="BP113" s="195"/>
      <c r="BQ113" s="176"/>
      <c r="BR113" s="195"/>
      <c r="BS113" s="1114"/>
      <c r="BT113" s="195"/>
      <c r="BU113" s="195"/>
      <c r="BV113" s="176"/>
      <c r="BW113" s="1115"/>
      <c r="BX113" s="226"/>
      <c r="BY113" s="862"/>
      <c r="BZ113" s="195"/>
      <c r="CA113" s="1114"/>
      <c r="CB113" s="1114"/>
      <c r="CC113" s="195"/>
      <c r="CD113" s="195"/>
      <c r="CE113" s="195"/>
      <c r="CF113" s="195"/>
      <c r="CG113" s="195"/>
      <c r="CH113" s="176"/>
      <c r="CI113" s="273"/>
      <c r="CJ113" s="195"/>
      <c r="CK113" s="195"/>
      <c r="CL113" s="176"/>
      <c r="CM113" s="195"/>
      <c r="CN113" s="176"/>
      <c r="CO113" s="176"/>
      <c r="CP113" s="195"/>
      <c r="CQ113" s="176"/>
      <c r="CR113" s="176"/>
      <c r="CS113" s="176"/>
      <c r="CT113" s="176"/>
      <c r="CU113" s="176"/>
      <c r="CV113" s="195"/>
      <c r="CW113" s="195"/>
      <c r="CX113" s="1114"/>
      <c r="CY113" s="195"/>
      <c r="CZ113" s="195"/>
      <c r="DA113" s="176"/>
      <c r="DB113" s="639"/>
      <c r="DC113" s="639"/>
    </row>
    <row r="114" spans="1:107" ht="15" customHeight="1" x14ac:dyDescent="0.35">
      <c r="A114" s="634" t="s">
        <v>206</v>
      </c>
      <c r="B114" s="249">
        <v>1.4300999999999999</v>
      </c>
      <c r="C114" s="249" t="s">
        <v>88</v>
      </c>
      <c r="D114" s="250" t="s">
        <v>89</v>
      </c>
      <c r="E114" s="97" t="s">
        <v>39</v>
      </c>
      <c r="F114" s="158" t="s">
        <v>67</v>
      </c>
      <c r="G114" s="94">
        <f>X114*AH114*0.001</f>
        <v>597.26226686400003</v>
      </c>
      <c r="H114" s="84">
        <v>801</v>
      </c>
      <c r="I114" s="529">
        <f t="shared" si="49"/>
        <v>1.3411193782686965</v>
      </c>
      <c r="J114" s="530">
        <v>284</v>
      </c>
      <c r="K114" s="531">
        <v>604</v>
      </c>
      <c r="L114" s="377">
        <v>566</v>
      </c>
      <c r="M114" s="377">
        <v>753</v>
      </c>
      <c r="N114" s="532">
        <f>L114</f>
        <v>566</v>
      </c>
      <c r="O114" s="532">
        <f>M114</f>
        <v>753</v>
      </c>
      <c r="P114" s="254">
        <f>AH114-AI114</f>
        <v>823.49279999999999</v>
      </c>
      <c r="Q114" s="252">
        <f>AH114-AI114-8*(2*AE114*AE114)</f>
        <v>459.44640000000004</v>
      </c>
      <c r="R114" s="98">
        <v>185000</v>
      </c>
      <c r="S114" s="696" t="s">
        <v>41</v>
      </c>
      <c r="T114" s="254">
        <f>0.83*M114</f>
        <v>624.99</v>
      </c>
      <c r="U114" s="256">
        <f t="shared" si="53"/>
        <v>175.50720000000001</v>
      </c>
      <c r="V114" s="160">
        <f>AI114+8*(2*AE114*AE114)</f>
        <v>539.55359999999996</v>
      </c>
      <c r="W114" s="98">
        <v>185000</v>
      </c>
      <c r="X114" s="253">
        <f>((L114*Q114)+(T114*V114))/(Q114+V114)</f>
        <v>597.86012699099103</v>
      </c>
      <c r="Y114" s="97">
        <v>185000</v>
      </c>
      <c r="Z114" s="533">
        <f>X114/Y114</f>
        <v>3.2316763621134652E-3</v>
      </c>
      <c r="AA114" s="534">
        <f>M114</f>
        <v>753</v>
      </c>
      <c r="AB114" s="255"/>
      <c r="AC114" s="766">
        <v>399</v>
      </c>
      <c r="AD114" s="68">
        <v>59.7</v>
      </c>
      <c r="AE114" s="69">
        <v>4.7699999999999996</v>
      </c>
      <c r="AF114" s="68">
        <v>3.5</v>
      </c>
      <c r="AG114" s="251">
        <v>8.27</v>
      </c>
      <c r="AH114" s="68">
        <v>999</v>
      </c>
      <c r="AI114" s="254">
        <f t="shared" si="56"/>
        <v>175.50720000000001</v>
      </c>
      <c r="AJ114" s="103">
        <f>L114</f>
        <v>566</v>
      </c>
      <c r="AK114" s="1">
        <f>R114</f>
        <v>185000</v>
      </c>
      <c r="AL114" s="252">
        <f>AJ114/AK114</f>
        <v>3.0594594594594592E-3</v>
      </c>
      <c r="AM114" s="300">
        <f t="shared" si="59"/>
        <v>753</v>
      </c>
      <c r="AN114" s="101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116"/>
      <c r="AZ114" s="1114"/>
      <c r="BA114" s="176"/>
      <c r="BB114" s="1114"/>
      <c r="BC114" s="1114"/>
      <c r="BD114" s="176"/>
      <c r="BE114" s="1114"/>
      <c r="BF114" s="1114"/>
      <c r="BG114" s="1114"/>
      <c r="BH114" s="1114"/>
      <c r="BI114" s="195"/>
      <c r="BJ114" s="176"/>
      <c r="BK114" s="176"/>
      <c r="BL114" s="1114"/>
      <c r="BM114" s="195"/>
      <c r="BN114" s="1114"/>
      <c r="BO114" s="1114"/>
      <c r="BP114" s="195"/>
      <c r="BQ114" s="176"/>
      <c r="BR114" s="195"/>
      <c r="BS114" s="1114"/>
      <c r="BT114" s="195"/>
      <c r="BU114" s="195"/>
      <c r="BV114" s="176"/>
      <c r="BW114" s="1115"/>
      <c r="BX114" s="226"/>
      <c r="BY114" s="862"/>
      <c r="BZ114" s="195"/>
      <c r="CA114" s="1114"/>
      <c r="CB114" s="1114"/>
      <c r="CC114" s="195"/>
      <c r="CD114" s="195"/>
      <c r="CE114" s="195"/>
      <c r="CF114" s="195"/>
      <c r="CG114" s="195"/>
      <c r="CH114" s="176"/>
      <c r="CI114" s="273"/>
      <c r="CJ114" s="195"/>
      <c r="CK114" s="195"/>
      <c r="CL114" s="176"/>
      <c r="CM114" s="195"/>
      <c r="CN114" s="176"/>
      <c r="CO114" s="176"/>
      <c r="CP114" s="195"/>
      <c r="CQ114" s="176"/>
      <c r="CR114" s="176"/>
      <c r="CS114" s="176"/>
      <c r="CT114" s="176"/>
      <c r="CU114" s="176"/>
      <c r="CV114" s="195"/>
      <c r="CW114" s="195"/>
      <c r="CX114" s="1114"/>
      <c r="CY114" s="195"/>
      <c r="CZ114" s="195"/>
      <c r="DA114" s="176"/>
      <c r="DB114" s="639"/>
      <c r="DC114" s="639"/>
    </row>
    <row r="115" spans="1:107" ht="15" customHeight="1" x14ac:dyDescent="0.35">
      <c r="A115" s="1574" t="s">
        <v>207</v>
      </c>
      <c r="B115" s="1667">
        <v>1.4300999999999999</v>
      </c>
      <c r="C115" s="295" t="s">
        <v>88</v>
      </c>
      <c r="D115" s="257" t="s">
        <v>90</v>
      </c>
      <c r="E115" s="685" t="s">
        <v>39</v>
      </c>
      <c r="F115" s="16" t="s">
        <v>67</v>
      </c>
      <c r="G115" s="91">
        <f>X115*AH115*0.001</f>
        <v>395.40199999999999</v>
      </c>
      <c r="H115" s="81">
        <v>485</v>
      </c>
      <c r="I115" s="175">
        <f>H115/G115</f>
        <v>1.2265997642905195</v>
      </c>
      <c r="J115" s="662" t="s">
        <v>41</v>
      </c>
      <c r="K115" s="673" t="s">
        <v>41</v>
      </c>
      <c r="L115" s="667">
        <v>407.5</v>
      </c>
      <c r="M115" s="655">
        <v>695</v>
      </c>
      <c r="N115" s="667" t="s">
        <v>41</v>
      </c>
      <c r="O115" s="655" t="s">
        <v>41</v>
      </c>
      <c r="P115" s="176">
        <f t="shared" si="52"/>
        <v>760.80000000000018</v>
      </c>
      <c r="Q115" s="173" t="s">
        <v>41</v>
      </c>
      <c r="R115" s="535">
        <v>194000</v>
      </c>
      <c r="S115" s="672">
        <v>580</v>
      </c>
      <c r="T115" s="176" t="s">
        <v>41</v>
      </c>
      <c r="U115" s="226">
        <f t="shared" si="53"/>
        <v>147.19999999999987</v>
      </c>
      <c r="V115" s="667" t="s">
        <v>41</v>
      </c>
      <c r="W115" s="535">
        <v>194000</v>
      </c>
      <c r="X115" s="174">
        <f>((L115*P115)+(S115*U115))/(P115+U115)</f>
        <v>435.4647577092511</v>
      </c>
      <c r="Y115" s="463">
        <v>194000</v>
      </c>
      <c r="Z115" s="219">
        <f>X115/Y115</f>
        <v>2.2446636995322221E-3</v>
      </c>
      <c r="AA115" s="452">
        <f t="shared" si="55"/>
        <v>695</v>
      </c>
      <c r="AB115" s="161"/>
      <c r="AC115" s="14">
        <v>300</v>
      </c>
      <c r="AD115" s="54">
        <v>80.400000000000006</v>
      </c>
      <c r="AE115" s="59">
        <v>3</v>
      </c>
      <c r="AF115" s="54">
        <v>5.5</v>
      </c>
      <c r="AG115" s="258">
        <v>8.5</v>
      </c>
      <c r="AH115" s="54">
        <v>908</v>
      </c>
      <c r="AI115" s="162">
        <f t="shared" si="56"/>
        <v>147.19999999999987</v>
      </c>
      <c r="AJ115" s="62">
        <f t="shared" si="57"/>
        <v>407.5</v>
      </c>
      <c r="AK115" s="43">
        <f>R115</f>
        <v>194000</v>
      </c>
      <c r="AL115" s="173">
        <f t="shared" si="58"/>
        <v>2.1005154639175258E-3</v>
      </c>
      <c r="AM115" s="102">
        <f t="shared" si="59"/>
        <v>695</v>
      </c>
      <c r="AN115" s="259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116"/>
      <c r="AZ115" s="1114"/>
      <c r="BA115" s="176"/>
      <c r="BB115" s="1114"/>
      <c r="BC115" s="1114"/>
      <c r="BD115" s="176"/>
      <c r="BE115" s="1114"/>
      <c r="BF115" s="1114"/>
      <c r="BG115" s="1114"/>
      <c r="BH115" s="1114"/>
      <c r="BI115" s="195"/>
      <c r="BJ115" s="176"/>
      <c r="BK115" s="176"/>
      <c r="BL115" s="1114"/>
      <c r="BM115" s="195"/>
      <c r="BN115" s="1114"/>
      <c r="BO115" s="1114"/>
      <c r="BP115" s="195"/>
      <c r="BQ115" s="176"/>
      <c r="BR115" s="195"/>
      <c r="BS115" s="1114"/>
      <c r="BT115" s="195"/>
      <c r="BU115" s="195"/>
      <c r="BV115" s="176"/>
      <c r="BW115" s="119"/>
      <c r="BX115" s="226"/>
      <c r="BY115" s="862"/>
      <c r="BZ115" s="195"/>
      <c r="CA115" s="1114"/>
      <c r="CB115" s="1114"/>
      <c r="CC115" s="195"/>
      <c r="CD115" s="195"/>
      <c r="CE115" s="195"/>
      <c r="CF115" s="195"/>
      <c r="CG115" s="195"/>
      <c r="CH115" s="176"/>
      <c r="CI115" s="273"/>
      <c r="CJ115" s="195"/>
      <c r="CK115" s="195"/>
      <c r="CL115" s="176"/>
      <c r="CM115" s="195"/>
      <c r="CN115" s="176"/>
      <c r="CO115" s="176"/>
      <c r="CP115" s="195"/>
      <c r="CQ115" s="176"/>
      <c r="CR115" s="176"/>
      <c r="CS115" s="176"/>
      <c r="CT115" s="176"/>
      <c r="CU115" s="176"/>
      <c r="CV115" s="195"/>
      <c r="CW115" s="195"/>
      <c r="CX115" s="1114"/>
      <c r="CY115" s="195"/>
      <c r="CZ115" s="195"/>
      <c r="DA115" s="176"/>
      <c r="DB115" s="639"/>
      <c r="DC115" s="639"/>
    </row>
    <row r="116" spans="1:107" ht="15.75" customHeight="1" x14ac:dyDescent="0.35">
      <c r="A116" s="1575"/>
      <c r="B116" s="1668"/>
      <c r="C116" s="295" t="s">
        <v>88</v>
      </c>
      <c r="D116" s="247" t="s">
        <v>91</v>
      </c>
      <c r="E116" s="677" t="s">
        <v>39</v>
      </c>
      <c r="F116" s="658" t="s">
        <v>67</v>
      </c>
      <c r="G116" s="93">
        <f>X116*AH116*0.001</f>
        <v>392.21100000000001</v>
      </c>
      <c r="H116" s="83">
        <v>471</v>
      </c>
      <c r="I116" s="467">
        <f t="shared" si="49"/>
        <v>1.2008842179337142</v>
      </c>
      <c r="J116" s="674" t="s">
        <v>41</v>
      </c>
      <c r="K116" s="675" t="s">
        <v>41</v>
      </c>
      <c r="L116" s="667">
        <v>407.5</v>
      </c>
      <c r="M116" s="665">
        <v>695</v>
      </c>
      <c r="N116" s="665" t="s">
        <v>41</v>
      </c>
      <c r="O116" s="665" t="s">
        <v>41</v>
      </c>
      <c r="P116" s="176">
        <f t="shared" si="52"/>
        <v>752.40000000000009</v>
      </c>
      <c r="Q116" s="173" t="s">
        <v>41</v>
      </c>
      <c r="R116" s="536">
        <v>194000</v>
      </c>
      <c r="S116" s="666">
        <v>580</v>
      </c>
      <c r="T116" s="176" t="s">
        <v>41</v>
      </c>
      <c r="U116" s="226">
        <f t="shared" si="53"/>
        <v>147.59999999999991</v>
      </c>
      <c r="V116" s="667" t="s">
        <v>41</v>
      </c>
      <c r="W116" s="536">
        <v>194000</v>
      </c>
      <c r="X116" s="174">
        <f>((L116*P116)+(S116*U116))/(P116+U116)</f>
        <v>435.79</v>
      </c>
      <c r="Y116" s="463">
        <v>194000</v>
      </c>
      <c r="Z116" s="228">
        <f>X116/Y116</f>
        <v>2.2463402061855672E-3</v>
      </c>
      <c r="AA116" s="471">
        <f t="shared" si="55"/>
        <v>695</v>
      </c>
      <c r="AB116" s="669"/>
      <c r="AC116" s="210">
        <v>298</v>
      </c>
      <c r="AD116" s="53">
        <v>79.7</v>
      </c>
      <c r="AE116" s="58">
        <v>3</v>
      </c>
      <c r="AF116" s="53">
        <v>5.5</v>
      </c>
      <c r="AG116" s="248">
        <v>8.5</v>
      </c>
      <c r="AH116" s="53">
        <v>900</v>
      </c>
      <c r="AI116" s="177">
        <f t="shared" si="56"/>
        <v>147.59999999999991</v>
      </c>
      <c r="AJ116" s="63">
        <f t="shared" si="57"/>
        <v>407.5</v>
      </c>
      <c r="AK116" s="44">
        <f>R116</f>
        <v>194000</v>
      </c>
      <c r="AL116" s="179">
        <f t="shared" si="58"/>
        <v>2.1005154639175258E-3</v>
      </c>
      <c r="AM116" s="301">
        <f t="shared" si="59"/>
        <v>695</v>
      </c>
      <c r="AN116" s="261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116"/>
      <c r="AZ116" s="1114"/>
      <c r="BA116" s="176"/>
      <c r="BB116" s="1114"/>
      <c r="BC116" s="1114"/>
      <c r="BD116" s="176"/>
      <c r="BE116" s="1114"/>
      <c r="BF116" s="1114"/>
      <c r="BG116" s="1114"/>
      <c r="BH116" s="1114"/>
      <c r="BI116" s="195"/>
      <c r="BJ116" s="176"/>
      <c r="BK116" s="176"/>
      <c r="BL116" s="1114"/>
      <c r="BM116" s="195"/>
      <c r="BN116" s="1114"/>
      <c r="BO116" s="1114"/>
      <c r="BP116" s="195"/>
      <c r="BQ116" s="176"/>
      <c r="BR116" s="195"/>
      <c r="BS116" s="1114"/>
      <c r="BT116" s="195"/>
      <c r="BU116" s="195"/>
      <c r="BV116" s="176"/>
      <c r="BW116" s="119"/>
      <c r="BX116" s="226"/>
      <c r="BY116" s="862"/>
      <c r="BZ116" s="195"/>
      <c r="CA116" s="1114"/>
      <c r="CB116" s="1114"/>
      <c r="CC116" s="195"/>
      <c r="CD116" s="195"/>
      <c r="CE116" s="195"/>
      <c r="CF116" s="195"/>
      <c r="CG116" s="195"/>
      <c r="CH116" s="176"/>
      <c r="CI116" s="273"/>
      <c r="CJ116" s="195"/>
      <c r="CK116" s="195"/>
      <c r="CL116" s="176"/>
      <c r="CM116" s="195"/>
      <c r="CN116" s="176"/>
      <c r="CO116" s="176"/>
      <c r="CP116" s="195"/>
      <c r="CQ116" s="176"/>
      <c r="CR116" s="176"/>
      <c r="CS116" s="176"/>
      <c r="CT116" s="176"/>
      <c r="CU116" s="176"/>
      <c r="CV116" s="195"/>
      <c r="CW116" s="195"/>
      <c r="CX116" s="1114"/>
      <c r="CY116" s="195"/>
      <c r="CZ116" s="195"/>
      <c r="DA116" s="176"/>
      <c r="DB116" s="639"/>
      <c r="DC116" s="639"/>
    </row>
    <row r="117" spans="1:107" ht="15" customHeight="1" x14ac:dyDescent="0.35">
      <c r="A117" s="1576" t="s">
        <v>92</v>
      </c>
      <c r="B117" s="1651">
        <v>1.4300999999999999</v>
      </c>
      <c r="C117" s="121" t="s">
        <v>37</v>
      </c>
      <c r="D117" s="262" t="s">
        <v>93</v>
      </c>
      <c r="E117" s="121" t="s">
        <v>39</v>
      </c>
      <c r="F117" s="22" t="s">
        <v>94</v>
      </c>
      <c r="G117" s="92">
        <f>X117*AH117*0.001</f>
        <v>165.75323164363428</v>
      </c>
      <c r="H117" s="81">
        <v>241</v>
      </c>
      <c r="I117" s="175">
        <f t="shared" si="49"/>
        <v>1.4539686352429289</v>
      </c>
      <c r="J117" s="690">
        <v>279</v>
      </c>
      <c r="K117" s="170">
        <v>641</v>
      </c>
      <c r="L117" s="159" t="s">
        <v>41</v>
      </c>
      <c r="M117" s="159" t="s">
        <v>41</v>
      </c>
      <c r="N117" s="159">
        <v>279</v>
      </c>
      <c r="O117" s="159">
        <v>641</v>
      </c>
      <c r="P117" s="169">
        <f t="shared" si="52"/>
        <v>352.58400000000006</v>
      </c>
      <c r="Q117" s="165">
        <f>P117</f>
        <v>352.58400000000006</v>
      </c>
      <c r="R117" s="124"/>
      <c r="S117" s="676" t="s">
        <v>41</v>
      </c>
      <c r="T117" s="169">
        <f>(1.673*J117)/((AF117/AE117)^0.126)</f>
        <v>414.64497091574628</v>
      </c>
      <c r="U117" s="165">
        <f>AI117</f>
        <v>162.50599999999997</v>
      </c>
      <c r="V117" s="165">
        <f>U117</f>
        <v>162.50599999999997</v>
      </c>
      <c r="W117" s="119"/>
      <c r="X117" s="537">
        <f t="shared" ref="X117:X123" si="66">((N117*Q117)+(T117*V117))/(Q117+V117)</f>
        <v>321.79469926349617</v>
      </c>
      <c r="Y117" s="126">
        <f>AK117</f>
        <v>203000</v>
      </c>
      <c r="Z117" s="224">
        <f>X117/Y117</f>
        <v>1.5851955628743654E-3</v>
      </c>
      <c r="AA117" s="538">
        <f>O117</f>
        <v>641</v>
      </c>
      <c r="AB117" s="670"/>
      <c r="AC117" s="75">
        <v>150</v>
      </c>
      <c r="AD117" s="55">
        <v>50.88</v>
      </c>
      <c r="AE117" s="374">
        <v>2.95</v>
      </c>
      <c r="AF117" s="172">
        <v>7.55</v>
      </c>
      <c r="AG117" s="75">
        <v>10.5</v>
      </c>
      <c r="AH117" s="55">
        <v>515.09</v>
      </c>
      <c r="AI117" s="162">
        <f t="shared" si="56"/>
        <v>162.50599999999997</v>
      </c>
      <c r="AJ117" s="62">
        <f>J117</f>
        <v>279</v>
      </c>
      <c r="AK117" s="43">
        <v>203000</v>
      </c>
      <c r="AL117" s="173">
        <f>AJ117/AK117</f>
        <v>1.374384236453202E-3</v>
      </c>
      <c r="AM117" s="102">
        <f t="shared" si="59"/>
        <v>641</v>
      </c>
      <c r="AN117" s="259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  <c r="AY117" s="1116"/>
      <c r="AZ117" s="1114"/>
      <c r="BA117" s="176"/>
      <c r="BB117" s="1114"/>
      <c r="BC117" s="1114"/>
      <c r="BD117" s="176"/>
      <c r="BE117" s="1114"/>
      <c r="BF117" s="1114"/>
      <c r="BG117" s="1114"/>
      <c r="BH117" s="1114"/>
      <c r="BI117" s="195"/>
      <c r="BJ117" s="176"/>
      <c r="BK117" s="176"/>
      <c r="BL117" s="1114"/>
      <c r="BM117" s="195"/>
      <c r="BN117" s="1114"/>
      <c r="BO117" s="1114"/>
      <c r="BP117" s="195"/>
      <c r="BQ117" s="176"/>
      <c r="BR117" s="195"/>
      <c r="BS117" s="1114"/>
      <c r="BT117" s="195"/>
      <c r="BU117" s="195"/>
      <c r="BV117" s="176"/>
      <c r="BW117" s="119"/>
      <c r="BX117" s="226"/>
      <c r="BY117" s="862"/>
      <c r="BZ117" s="195"/>
      <c r="CA117" s="1114"/>
      <c r="CB117" s="1114"/>
      <c r="CC117" s="195"/>
      <c r="CD117" s="195"/>
      <c r="CE117" s="195"/>
      <c r="CF117" s="195"/>
      <c r="CG117" s="195"/>
      <c r="CH117" s="176"/>
      <c r="CI117" s="273"/>
      <c r="CJ117" s="195"/>
      <c r="CK117" s="195"/>
      <c r="CL117" s="176"/>
      <c r="CM117" s="195"/>
      <c r="CN117" s="176"/>
      <c r="CO117" s="176"/>
      <c r="CP117" s="195"/>
      <c r="CQ117" s="176"/>
      <c r="CR117" s="176"/>
      <c r="CS117" s="176"/>
      <c r="CT117" s="176"/>
      <c r="CU117" s="176"/>
      <c r="CV117" s="195"/>
      <c r="CW117" s="195"/>
      <c r="CX117" s="1114"/>
      <c r="CY117" s="195"/>
      <c r="CZ117" s="195"/>
      <c r="DA117" s="176"/>
      <c r="DB117" s="639"/>
      <c r="DC117" s="639"/>
    </row>
    <row r="118" spans="1:107" ht="15" customHeight="1" x14ac:dyDescent="0.35">
      <c r="A118" s="1577"/>
      <c r="B118" s="1652"/>
      <c r="C118" s="295" t="s">
        <v>37</v>
      </c>
      <c r="D118" s="264" t="s">
        <v>95</v>
      </c>
      <c r="E118" s="295" t="s">
        <v>39</v>
      </c>
      <c r="F118" s="658" t="s">
        <v>94</v>
      </c>
      <c r="G118" s="92">
        <f t="shared" si="60"/>
        <v>245.95628031717879</v>
      </c>
      <c r="H118" s="82">
        <v>282.38</v>
      </c>
      <c r="I118" s="175">
        <f t="shared" si="49"/>
        <v>1.148090220082407</v>
      </c>
      <c r="J118" s="662">
        <v>279</v>
      </c>
      <c r="K118" s="673">
        <v>641</v>
      </c>
      <c r="L118" s="667" t="s">
        <v>41</v>
      </c>
      <c r="M118" s="667" t="s">
        <v>41</v>
      </c>
      <c r="N118" s="667">
        <v>279</v>
      </c>
      <c r="O118" s="667">
        <v>641</v>
      </c>
      <c r="P118" s="162">
        <f t="shared" si="52"/>
        <v>690.6647999999999</v>
      </c>
      <c r="Q118" s="173">
        <f t="shared" ref="Q118:Q128" si="67">P118</f>
        <v>690.6647999999999</v>
      </c>
      <c r="R118" s="124"/>
      <c r="S118" s="672" t="s">
        <v>41</v>
      </c>
      <c r="T118" s="162">
        <f t="shared" ref="T118:T128" si="68">(1.673*J118)/((AF118/AE118)^0.126)</f>
        <v>432.75006757802316</v>
      </c>
      <c r="U118" s="173">
        <f t="shared" si="53"/>
        <v>123.07520000000011</v>
      </c>
      <c r="V118" s="173">
        <f t="shared" ref="V118:V128" si="69">U118</f>
        <v>123.07520000000011</v>
      </c>
      <c r="W118" s="119"/>
      <c r="X118" s="500">
        <f t="shared" si="66"/>
        <v>302.25413561724724</v>
      </c>
      <c r="Y118" s="124">
        <f>AK118</f>
        <v>203000</v>
      </c>
      <c r="Z118" s="224">
        <f t="shared" ref="Z118:Z134" si="70">X118/Y118</f>
        <v>1.4889366286563903E-3</v>
      </c>
      <c r="AA118" s="538">
        <f t="shared" ref="AA118:AA128" si="71">O118</f>
        <v>641</v>
      </c>
      <c r="AB118" s="670"/>
      <c r="AC118" s="64">
        <v>225</v>
      </c>
      <c r="AD118" s="52">
        <v>75.33</v>
      </c>
      <c r="AE118" s="119">
        <v>2.94</v>
      </c>
      <c r="AF118" s="176">
        <v>5.3600000000000012</v>
      </c>
      <c r="AG118" s="64">
        <v>8.3000000000000007</v>
      </c>
      <c r="AH118" s="52">
        <v>813.74</v>
      </c>
      <c r="AI118" s="162">
        <f t="shared" si="56"/>
        <v>123.07520000000011</v>
      </c>
      <c r="AJ118" s="62">
        <f t="shared" ref="AJ118:AJ128" si="72">J118</f>
        <v>279</v>
      </c>
      <c r="AK118" s="43">
        <v>203000</v>
      </c>
      <c r="AL118" s="173">
        <f t="shared" si="58"/>
        <v>1.374384236453202E-3</v>
      </c>
      <c r="AM118" s="102">
        <f t="shared" si="59"/>
        <v>641</v>
      </c>
      <c r="AN118" s="265"/>
      <c r="AO118" s="195"/>
      <c r="AP118" s="195"/>
      <c r="AQ118" s="195"/>
      <c r="AR118" s="195"/>
      <c r="AS118" s="195"/>
      <c r="AT118" s="195"/>
      <c r="AU118" s="195"/>
      <c r="AV118" s="195"/>
      <c r="AW118" s="195"/>
      <c r="AX118" s="195"/>
      <c r="AY118" s="1116"/>
      <c r="AZ118" s="1114"/>
      <c r="BA118" s="176"/>
      <c r="BB118" s="1114"/>
      <c r="BC118" s="1114"/>
      <c r="BD118" s="176"/>
      <c r="BE118" s="1114"/>
      <c r="BF118" s="1114"/>
      <c r="BG118" s="1114"/>
      <c r="BH118" s="1114"/>
      <c r="BI118" s="195"/>
      <c r="BJ118" s="176"/>
      <c r="BK118" s="176"/>
      <c r="BL118" s="1114"/>
      <c r="BM118" s="195"/>
      <c r="BN118" s="1114"/>
      <c r="BO118" s="1114"/>
      <c r="BP118" s="195"/>
      <c r="BQ118" s="176"/>
      <c r="BR118" s="195"/>
      <c r="BS118" s="1114"/>
      <c r="BT118" s="195"/>
      <c r="BU118" s="195"/>
      <c r="BV118" s="176"/>
      <c r="BW118" s="119"/>
      <c r="BX118" s="226"/>
      <c r="BY118" s="862"/>
      <c r="BZ118" s="195"/>
      <c r="CA118" s="1114"/>
      <c r="CB118" s="1114"/>
      <c r="CC118" s="195"/>
      <c r="CD118" s="195"/>
      <c r="CE118" s="195"/>
      <c r="CF118" s="195"/>
      <c r="CG118" s="195"/>
      <c r="CH118" s="176"/>
      <c r="CI118" s="273"/>
      <c r="CJ118" s="195"/>
      <c r="CK118" s="195"/>
      <c r="CL118" s="176"/>
      <c r="CM118" s="195"/>
      <c r="CN118" s="176"/>
      <c r="CO118" s="176"/>
      <c r="CP118" s="195"/>
      <c r="CQ118" s="176"/>
      <c r="CR118" s="176"/>
      <c r="CS118" s="176"/>
      <c r="CT118" s="176"/>
      <c r="CU118" s="176"/>
      <c r="CV118" s="195"/>
      <c r="CW118" s="195"/>
      <c r="CX118" s="1114"/>
      <c r="CY118" s="195"/>
      <c r="CZ118" s="195"/>
      <c r="DA118" s="176"/>
      <c r="DB118" s="639"/>
      <c r="DC118" s="639"/>
    </row>
    <row r="119" spans="1:107" ht="16.5" customHeight="1" x14ac:dyDescent="0.35">
      <c r="A119" s="1577"/>
      <c r="B119" s="1652"/>
      <c r="C119" s="295" t="s">
        <v>37</v>
      </c>
      <c r="D119" s="264" t="s">
        <v>96</v>
      </c>
      <c r="E119" s="295" t="s">
        <v>39</v>
      </c>
      <c r="F119" s="658" t="s">
        <v>94</v>
      </c>
      <c r="G119" s="92">
        <f t="shared" si="60"/>
        <v>326.90567352794261</v>
      </c>
      <c r="H119" s="82">
        <v>323.14999999999998</v>
      </c>
      <c r="I119" s="175">
        <f t="shared" si="49"/>
        <v>0.98851144586323125</v>
      </c>
      <c r="J119" s="662">
        <v>279</v>
      </c>
      <c r="K119" s="673">
        <v>641</v>
      </c>
      <c r="L119" s="667" t="s">
        <v>41</v>
      </c>
      <c r="M119" s="667" t="s">
        <v>41</v>
      </c>
      <c r="N119" s="667">
        <v>279</v>
      </c>
      <c r="O119" s="667">
        <v>641</v>
      </c>
      <c r="P119" s="162">
        <f t="shared" si="52"/>
        <v>980.54880000000003</v>
      </c>
      <c r="Q119" s="173">
        <f t="shared" si="67"/>
        <v>980.54880000000003</v>
      </c>
      <c r="R119" s="124"/>
      <c r="S119" s="672" t="s">
        <v>41</v>
      </c>
      <c r="T119" s="162">
        <f t="shared" si="68"/>
        <v>430.75713932134283</v>
      </c>
      <c r="U119" s="173">
        <f t="shared" si="53"/>
        <v>123.81119999999993</v>
      </c>
      <c r="V119" s="173">
        <f t="shared" si="69"/>
        <v>123.81119999999993</v>
      </c>
      <c r="W119" s="119"/>
      <c r="X119" s="500">
        <f t="shared" si="66"/>
        <v>296.01368532719641</v>
      </c>
      <c r="Y119" s="124">
        <f t="shared" ref="Y119:Y128" si="73">AK119</f>
        <v>203000</v>
      </c>
      <c r="Z119" s="224">
        <f t="shared" si="70"/>
        <v>1.4581954942226424E-3</v>
      </c>
      <c r="AA119" s="538">
        <f t="shared" si="71"/>
        <v>641</v>
      </c>
      <c r="AB119" s="670"/>
      <c r="AC119" s="64">
        <v>300</v>
      </c>
      <c r="AD119" s="52">
        <v>100.38</v>
      </c>
      <c r="AE119" s="119">
        <v>2.94</v>
      </c>
      <c r="AF119" s="176">
        <v>5.5600000000000005</v>
      </c>
      <c r="AG119" s="64">
        <v>8.5</v>
      </c>
      <c r="AH119" s="52">
        <v>1104.3599999999999</v>
      </c>
      <c r="AI119" s="162">
        <f t="shared" si="56"/>
        <v>123.81119999999993</v>
      </c>
      <c r="AJ119" s="62">
        <f t="shared" si="72"/>
        <v>279</v>
      </c>
      <c r="AK119" s="43">
        <v>203000</v>
      </c>
      <c r="AL119" s="173">
        <f t="shared" si="58"/>
        <v>1.374384236453202E-3</v>
      </c>
      <c r="AM119" s="102">
        <f t="shared" si="59"/>
        <v>641</v>
      </c>
      <c r="AN119" s="265"/>
      <c r="AO119" s="195"/>
      <c r="AP119" s="195"/>
      <c r="AQ119" s="195"/>
      <c r="AR119" s="195"/>
      <c r="AS119" s="195"/>
      <c r="AT119" s="195"/>
      <c r="AU119" s="195"/>
      <c r="AV119" s="195"/>
      <c r="AW119" s="195"/>
      <c r="AX119" s="195"/>
      <c r="AY119" s="1116"/>
      <c r="AZ119" s="1114"/>
      <c r="BA119" s="176"/>
      <c r="BB119" s="1114"/>
      <c r="BC119" s="1114"/>
      <c r="BD119" s="176"/>
      <c r="BE119" s="1114"/>
      <c r="BF119" s="1114"/>
      <c r="BG119" s="1114"/>
      <c r="BH119" s="1114"/>
      <c r="BI119" s="195"/>
      <c r="BJ119" s="176"/>
      <c r="BK119" s="176"/>
      <c r="BL119" s="1114"/>
      <c r="BM119" s="195"/>
      <c r="BN119" s="1114"/>
      <c r="BO119" s="1114"/>
      <c r="BP119" s="195"/>
      <c r="BQ119" s="176"/>
      <c r="BR119" s="195"/>
      <c r="BS119" s="1114"/>
      <c r="BT119" s="195"/>
      <c r="BU119" s="195"/>
      <c r="BV119" s="176"/>
      <c r="BW119" s="119"/>
      <c r="BX119" s="226"/>
      <c r="BY119" s="862"/>
      <c r="BZ119" s="510"/>
      <c r="CA119" s="1114"/>
      <c r="CB119" s="1114"/>
      <c r="CC119" s="195"/>
      <c r="CD119" s="195"/>
      <c r="CE119" s="195"/>
      <c r="CF119" s="195"/>
      <c r="CG119" s="195"/>
      <c r="CH119" s="176"/>
      <c r="CI119" s="273"/>
      <c r="CJ119" s="195"/>
      <c r="CK119" s="195"/>
      <c r="CL119" s="176"/>
      <c r="CM119" s="195"/>
      <c r="CN119" s="176"/>
      <c r="CO119" s="176"/>
      <c r="CP119" s="195"/>
      <c r="CQ119" s="176"/>
      <c r="CR119" s="176"/>
      <c r="CS119" s="176"/>
      <c r="CT119" s="176"/>
      <c r="CU119" s="176"/>
      <c r="CV119" s="195"/>
      <c r="CW119" s="195"/>
      <c r="CX119" s="1114"/>
      <c r="CY119" s="195"/>
      <c r="CZ119" s="195"/>
      <c r="DA119" s="176"/>
      <c r="DB119" s="639"/>
      <c r="DC119" s="639"/>
    </row>
    <row r="120" spans="1:107" ht="14.25" customHeight="1" x14ac:dyDescent="0.35">
      <c r="A120" s="1577"/>
      <c r="B120" s="1652"/>
      <c r="C120" s="295" t="s">
        <v>37</v>
      </c>
      <c r="D120" s="264" t="s">
        <v>97</v>
      </c>
      <c r="E120" s="295" t="s">
        <v>39</v>
      </c>
      <c r="F120" s="658" t="s">
        <v>94</v>
      </c>
      <c r="G120" s="92">
        <f t="shared" si="60"/>
        <v>409.40426959084277</v>
      </c>
      <c r="H120" s="82">
        <v>353.84</v>
      </c>
      <c r="I120" s="175">
        <f t="shared" si="49"/>
        <v>0.86428019022279978</v>
      </c>
      <c r="J120" s="662">
        <v>279</v>
      </c>
      <c r="K120" s="156">
        <v>641</v>
      </c>
      <c r="L120" s="655" t="s">
        <v>41</v>
      </c>
      <c r="M120" s="655" t="s">
        <v>41</v>
      </c>
      <c r="N120" s="667">
        <v>279</v>
      </c>
      <c r="O120" s="667">
        <v>641</v>
      </c>
      <c r="P120" s="162">
        <f t="shared" si="52"/>
        <v>1276.3904</v>
      </c>
      <c r="Q120" s="173">
        <f t="shared" si="67"/>
        <v>1276.3904</v>
      </c>
      <c r="R120" s="124"/>
      <c r="S120" s="672" t="s">
        <v>41</v>
      </c>
      <c r="T120" s="162">
        <f t="shared" si="68"/>
        <v>432.17517525677408</v>
      </c>
      <c r="U120" s="173">
        <f t="shared" si="53"/>
        <v>123.30960000000005</v>
      </c>
      <c r="V120" s="173">
        <f t="shared" si="69"/>
        <v>123.30960000000005</v>
      </c>
      <c r="W120" s="119"/>
      <c r="X120" s="500">
        <f t="shared" si="66"/>
        <v>292.49429848599181</v>
      </c>
      <c r="Y120" s="124">
        <f t="shared" si="73"/>
        <v>203000</v>
      </c>
      <c r="Z120" s="224">
        <f t="shared" si="70"/>
        <v>1.4408586132314868E-3</v>
      </c>
      <c r="AA120" s="538">
        <f t="shared" si="71"/>
        <v>641</v>
      </c>
      <c r="AB120" s="670"/>
      <c r="AC120" s="64">
        <v>375</v>
      </c>
      <c r="AD120" s="52">
        <v>125.88</v>
      </c>
      <c r="AE120" s="119">
        <v>2.92</v>
      </c>
      <c r="AF120" s="176">
        <v>5.3800000000000008</v>
      </c>
      <c r="AG120" s="64">
        <v>8.3000000000000007</v>
      </c>
      <c r="AH120" s="52">
        <v>1399.7</v>
      </c>
      <c r="AI120" s="162">
        <f t="shared" si="56"/>
        <v>123.30960000000005</v>
      </c>
      <c r="AJ120" s="62">
        <f t="shared" si="72"/>
        <v>279</v>
      </c>
      <c r="AK120" s="43">
        <v>203000</v>
      </c>
      <c r="AL120" s="173">
        <f t="shared" si="58"/>
        <v>1.374384236453202E-3</v>
      </c>
      <c r="AM120" s="102">
        <f t="shared" si="59"/>
        <v>641</v>
      </c>
      <c r="AN120" s="265"/>
      <c r="AO120" s="195"/>
      <c r="AP120" s="195"/>
      <c r="AQ120" s="195"/>
      <c r="AR120" s="195"/>
      <c r="AS120" s="195"/>
      <c r="AT120" s="195"/>
      <c r="AU120" s="195"/>
      <c r="AV120" s="195"/>
      <c r="AW120" s="195"/>
      <c r="AX120" s="195"/>
      <c r="AY120" s="1116"/>
      <c r="AZ120" s="1114"/>
      <c r="BA120" s="176"/>
      <c r="BB120" s="1114"/>
      <c r="BC120" s="1114"/>
      <c r="BD120" s="176"/>
      <c r="BE120" s="1114"/>
      <c r="BF120" s="1114"/>
      <c r="BG120" s="1114"/>
      <c r="BH120" s="1114"/>
      <c r="BI120" s="195"/>
      <c r="BJ120" s="176"/>
      <c r="BK120" s="176"/>
      <c r="BL120" s="1114"/>
      <c r="BM120" s="195"/>
      <c r="BN120" s="1114"/>
      <c r="BO120" s="1114"/>
      <c r="BP120" s="195"/>
      <c r="BQ120" s="176"/>
      <c r="BR120" s="195"/>
      <c r="BS120" s="1114"/>
      <c r="BT120" s="195"/>
      <c r="BU120" s="195"/>
      <c r="BV120" s="176"/>
      <c r="BW120" s="119"/>
      <c r="BX120" s="226"/>
      <c r="BY120" s="862"/>
      <c r="BZ120" s="195"/>
      <c r="CA120" s="1114"/>
      <c r="CB120" s="1114"/>
      <c r="CC120" s="195"/>
      <c r="CD120" s="195"/>
      <c r="CE120" s="195"/>
      <c r="CF120" s="195"/>
      <c r="CG120" s="195"/>
      <c r="CH120" s="176"/>
      <c r="CI120" s="273"/>
      <c r="CJ120" s="195"/>
      <c r="CK120" s="195"/>
      <c r="CL120" s="176"/>
      <c r="CM120" s="195"/>
      <c r="CN120" s="176"/>
      <c r="CO120" s="176"/>
      <c r="CP120" s="195"/>
      <c r="CQ120" s="176"/>
      <c r="CR120" s="176"/>
      <c r="CS120" s="176"/>
      <c r="CT120" s="176"/>
      <c r="CU120" s="176"/>
      <c r="CV120" s="195"/>
      <c r="CW120" s="195"/>
      <c r="CX120" s="1114"/>
      <c r="CY120" s="195"/>
      <c r="CZ120" s="195"/>
      <c r="DA120" s="176"/>
      <c r="DB120" s="639"/>
      <c r="DC120" s="639"/>
    </row>
    <row r="121" spans="1:107" ht="15.75" customHeight="1" x14ac:dyDescent="0.35">
      <c r="A121" s="1577"/>
      <c r="B121" s="1652"/>
      <c r="C121" s="295" t="s">
        <v>37</v>
      </c>
      <c r="D121" s="264" t="s">
        <v>98</v>
      </c>
      <c r="E121" s="295" t="s">
        <v>39</v>
      </c>
      <c r="F121" s="658" t="s">
        <v>94</v>
      </c>
      <c r="G121" s="92">
        <f t="shared" si="60"/>
        <v>489.8269938538254</v>
      </c>
      <c r="H121" s="82">
        <v>363.91</v>
      </c>
      <c r="I121" s="175">
        <f t="shared" si="49"/>
        <v>0.74293578052294595</v>
      </c>
      <c r="J121" s="662">
        <v>279</v>
      </c>
      <c r="K121" s="156">
        <v>641</v>
      </c>
      <c r="L121" s="655" t="s">
        <v>41</v>
      </c>
      <c r="M121" s="655" t="s">
        <v>41</v>
      </c>
      <c r="N121" s="667">
        <v>279</v>
      </c>
      <c r="O121" s="667">
        <v>641</v>
      </c>
      <c r="P121" s="162">
        <f t="shared" si="52"/>
        <v>1553.44</v>
      </c>
      <c r="Q121" s="173">
        <f t="shared" si="67"/>
        <v>1553.44</v>
      </c>
      <c r="R121" s="124"/>
      <c r="S121" s="672" t="s">
        <v>41</v>
      </c>
      <c r="T121" s="162">
        <f t="shared" si="68"/>
        <v>425.56561706136654</v>
      </c>
      <c r="U121" s="173">
        <f t="shared" si="53"/>
        <v>132.56999999999994</v>
      </c>
      <c r="V121" s="173">
        <f t="shared" si="69"/>
        <v>132.56999999999994</v>
      </c>
      <c r="W121" s="119"/>
      <c r="X121" s="500">
        <f t="shared" si="66"/>
        <v>290.52437046863622</v>
      </c>
      <c r="Y121" s="124">
        <f t="shared" si="73"/>
        <v>203000</v>
      </c>
      <c r="Z121" s="224">
        <f t="shared" si="70"/>
        <v>1.4311545343282572E-3</v>
      </c>
      <c r="AA121" s="538">
        <f t="shared" si="71"/>
        <v>641</v>
      </c>
      <c r="AB121" s="670"/>
      <c r="AC121" s="64">
        <v>450</v>
      </c>
      <c r="AD121" s="52">
        <v>151</v>
      </c>
      <c r="AE121" s="119">
        <v>2.92</v>
      </c>
      <c r="AF121" s="176">
        <v>6.08</v>
      </c>
      <c r="AG121" s="64">
        <v>9</v>
      </c>
      <c r="AH121" s="52">
        <v>1686.01</v>
      </c>
      <c r="AI121" s="162">
        <f t="shared" si="56"/>
        <v>132.56999999999994</v>
      </c>
      <c r="AJ121" s="62">
        <f t="shared" si="72"/>
        <v>279</v>
      </c>
      <c r="AK121" s="43">
        <v>203000</v>
      </c>
      <c r="AL121" s="173">
        <f t="shared" si="58"/>
        <v>1.374384236453202E-3</v>
      </c>
      <c r="AM121" s="102">
        <f t="shared" si="59"/>
        <v>641</v>
      </c>
      <c r="AN121" s="265"/>
      <c r="AO121" s="195"/>
      <c r="AP121" s="195"/>
      <c r="AQ121" s="195"/>
      <c r="AR121" s="195"/>
      <c r="AS121" s="195"/>
      <c r="AT121" s="195"/>
      <c r="AU121" s="195"/>
      <c r="AV121" s="195"/>
      <c r="AW121" s="195"/>
      <c r="AX121" s="195"/>
      <c r="AY121" s="1116"/>
      <c r="AZ121" s="1114"/>
      <c r="BA121" s="176"/>
      <c r="BB121" s="1114"/>
      <c r="BC121" s="1114"/>
      <c r="BD121" s="176"/>
      <c r="BE121" s="1114"/>
      <c r="BF121" s="1114"/>
      <c r="BG121" s="1114"/>
      <c r="BH121" s="1114"/>
      <c r="BI121" s="195"/>
      <c r="BJ121" s="176"/>
      <c r="BK121" s="176"/>
      <c r="BL121" s="1114"/>
      <c r="BM121" s="195"/>
      <c r="BN121" s="1114"/>
      <c r="BO121" s="1114"/>
      <c r="BP121" s="195"/>
      <c r="BQ121" s="176"/>
      <c r="BR121" s="195"/>
      <c r="BS121" s="1114"/>
      <c r="BT121" s="195"/>
      <c r="BU121" s="195"/>
      <c r="BV121" s="176"/>
      <c r="BW121" s="119"/>
      <c r="BX121" s="226"/>
      <c r="BY121" s="862"/>
      <c r="BZ121" s="195"/>
      <c r="CA121" s="1114"/>
      <c r="CB121" s="1114"/>
      <c r="CC121" s="195"/>
      <c r="CD121" s="195"/>
      <c r="CE121" s="195"/>
      <c r="CF121" s="195"/>
      <c r="CG121" s="195"/>
      <c r="CH121" s="176"/>
      <c r="CI121" s="273"/>
      <c r="CJ121" s="195"/>
      <c r="CK121" s="195"/>
      <c r="CL121" s="176"/>
      <c r="CM121" s="195"/>
      <c r="CN121" s="176"/>
      <c r="CO121" s="176"/>
      <c r="CP121" s="195"/>
      <c r="CQ121" s="176"/>
      <c r="CR121" s="176"/>
      <c r="CS121" s="176"/>
      <c r="CT121" s="176"/>
      <c r="CU121" s="176"/>
      <c r="CV121" s="195"/>
      <c r="CW121" s="195"/>
      <c r="CX121" s="1114"/>
      <c r="CY121" s="195"/>
      <c r="CZ121" s="195"/>
      <c r="DA121" s="176"/>
      <c r="DB121" s="639"/>
      <c r="DC121" s="639"/>
    </row>
    <row r="122" spans="1:107" ht="14.25" customHeight="1" x14ac:dyDescent="0.35">
      <c r="A122" s="1577"/>
      <c r="B122" s="1669"/>
      <c r="C122" s="295" t="s">
        <v>37</v>
      </c>
      <c r="D122" s="267" t="s">
        <v>99</v>
      </c>
      <c r="E122" s="295" t="s">
        <v>39</v>
      </c>
      <c r="F122" s="658" t="s">
        <v>94</v>
      </c>
      <c r="G122" s="92">
        <f t="shared" si="60"/>
        <v>651.26904493616246</v>
      </c>
      <c r="H122" s="85">
        <v>364.83</v>
      </c>
      <c r="I122" s="175">
        <f t="shared" si="49"/>
        <v>0.56018323431257311</v>
      </c>
      <c r="J122" s="662">
        <v>279</v>
      </c>
      <c r="K122" s="156">
        <v>641</v>
      </c>
      <c r="L122" s="655" t="s">
        <v>41</v>
      </c>
      <c r="M122" s="655" t="s">
        <v>41</v>
      </c>
      <c r="N122" s="667">
        <v>279</v>
      </c>
      <c r="O122" s="667">
        <v>641</v>
      </c>
      <c r="P122" s="162">
        <f t="shared" si="52"/>
        <v>2132.5344</v>
      </c>
      <c r="Q122" s="173">
        <f t="shared" si="67"/>
        <v>2132.5344</v>
      </c>
      <c r="R122" s="124"/>
      <c r="S122" s="672" t="s">
        <v>41</v>
      </c>
      <c r="T122" s="162">
        <f t="shared" si="68"/>
        <v>425.56561706136654</v>
      </c>
      <c r="U122" s="173">
        <f t="shared" si="53"/>
        <v>132.27559999999994</v>
      </c>
      <c r="V122" s="173">
        <f t="shared" si="69"/>
        <v>132.27559999999994</v>
      </c>
      <c r="W122" s="119"/>
      <c r="X122" s="500">
        <f t="shared" si="66"/>
        <v>287.56012422064651</v>
      </c>
      <c r="Y122" s="124">
        <f t="shared" si="73"/>
        <v>203000</v>
      </c>
      <c r="Z122" s="224">
        <f t="shared" si="70"/>
        <v>1.4165523360622982E-3</v>
      </c>
      <c r="AA122" s="538">
        <f t="shared" si="71"/>
        <v>641</v>
      </c>
      <c r="AB122" s="670"/>
      <c r="AC122" s="11">
        <v>600</v>
      </c>
      <c r="AD122" s="10">
        <v>200.58</v>
      </c>
      <c r="AE122" s="9">
        <v>2.92</v>
      </c>
      <c r="AF122" s="176">
        <v>6.08</v>
      </c>
      <c r="AG122" s="11">
        <v>9</v>
      </c>
      <c r="AH122" s="52">
        <v>2264.81</v>
      </c>
      <c r="AI122" s="162">
        <f t="shared" si="56"/>
        <v>132.27559999999994</v>
      </c>
      <c r="AJ122" s="62">
        <f t="shared" si="72"/>
        <v>279</v>
      </c>
      <c r="AK122" s="43">
        <v>203000</v>
      </c>
      <c r="AL122" s="173">
        <f t="shared" si="58"/>
        <v>1.374384236453202E-3</v>
      </c>
      <c r="AM122" s="102">
        <f t="shared" si="59"/>
        <v>641</v>
      </c>
      <c r="AN122" s="265"/>
      <c r="AO122" s="195"/>
      <c r="AP122" s="195"/>
      <c r="AQ122" s="195"/>
      <c r="AR122" s="195"/>
      <c r="AS122" s="195"/>
      <c r="AT122" s="195"/>
      <c r="AU122" s="195"/>
      <c r="AV122" s="195"/>
      <c r="AW122" s="195"/>
      <c r="AX122" s="195"/>
      <c r="AY122" s="1116"/>
      <c r="AZ122" s="1114"/>
      <c r="BA122" s="176"/>
      <c r="BB122" s="1114"/>
      <c r="BC122" s="1114"/>
      <c r="BD122" s="176"/>
      <c r="BE122" s="1114"/>
      <c r="BF122" s="1114"/>
      <c r="BG122" s="1114"/>
      <c r="BH122" s="1114"/>
      <c r="BI122" s="195"/>
      <c r="BJ122" s="176"/>
      <c r="BK122" s="176"/>
      <c r="BL122" s="1114"/>
      <c r="BM122" s="195"/>
      <c r="BN122" s="1114"/>
      <c r="BO122" s="1114"/>
      <c r="BP122" s="195"/>
      <c r="BQ122" s="176"/>
      <c r="BR122" s="195"/>
      <c r="BS122" s="1114"/>
      <c r="BT122" s="195"/>
      <c r="BU122" s="195"/>
      <c r="BV122" s="176"/>
      <c r="BW122" s="119"/>
      <c r="BX122" s="226"/>
      <c r="BY122" s="862"/>
      <c r="BZ122" s="195"/>
      <c r="CA122" s="1114"/>
      <c r="CB122" s="1114"/>
      <c r="CC122" s="195"/>
      <c r="CD122" s="195"/>
      <c r="CE122" s="195"/>
      <c r="CF122" s="195"/>
      <c r="CG122" s="195"/>
      <c r="CH122" s="176"/>
      <c r="CI122" s="273"/>
      <c r="CJ122" s="195"/>
      <c r="CK122" s="195"/>
      <c r="CL122" s="176"/>
      <c r="CM122" s="195"/>
      <c r="CN122" s="176"/>
      <c r="CO122" s="176"/>
      <c r="CP122" s="195"/>
      <c r="CQ122" s="176"/>
      <c r="CR122" s="176"/>
      <c r="CS122" s="176"/>
      <c r="CT122" s="176"/>
      <c r="CU122" s="176"/>
      <c r="CV122" s="195"/>
      <c r="CW122" s="195"/>
      <c r="CX122" s="1114"/>
      <c r="CY122" s="195"/>
      <c r="CZ122" s="195"/>
      <c r="DA122" s="176"/>
      <c r="DB122" s="639"/>
      <c r="DC122" s="639"/>
    </row>
    <row r="123" spans="1:107" ht="16.5" customHeight="1" x14ac:dyDescent="0.35">
      <c r="A123" s="1577"/>
      <c r="B123" s="1656">
        <v>1.4318</v>
      </c>
      <c r="C123" s="295" t="s">
        <v>37</v>
      </c>
      <c r="D123" s="264" t="s">
        <v>93</v>
      </c>
      <c r="E123" s="295" t="s">
        <v>39</v>
      </c>
      <c r="F123" s="658" t="s">
        <v>94</v>
      </c>
      <c r="G123" s="92">
        <f t="shared" si="60"/>
        <v>306.83550697249729</v>
      </c>
      <c r="H123" s="82">
        <v>377.45</v>
      </c>
      <c r="I123" s="175">
        <f t="shared" si="49"/>
        <v>1.2301379449994101</v>
      </c>
      <c r="J123" s="662">
        <v>508</v>
      </c>
      <c r="K123" s="156">
        <v>829</v>
      </c>
      <c r="L123" s="655" t="s">
        <v>41</v>
      </c>
      <c r="M123" s="655" t="s">
        <v>41</v>
      </c>
      <c r="N123" s="667">
        <v>508</v>
      </c>
      <c r="O123" s="667">
        <v>829</v>
      </c>
      <c r="P123" s="162">
        <f t="shared" si="52"/>
        <v>441.88639999999998</v>
      </c>
      <c r="Q123" s="173">
        <f t="shared" si="67"/>
        <v>441.88639999999998</v>
      </c>
      <c r="R123" s="124"/>
      <c r="S123" s="672" t="s">
        <v>41</v>
      </c>
      <c r="T123" s="162">
        <f t="shared" si="68"/>
        <v>820.83385598141865</v>
      </c>
      <c r="U123" s="173">
        <f t="shared" si="53"/>
        <v>100.33360000000005</v>
      </c>
      <c r="V123" s="173">
        <f t="shared" si="69"/>
        <v>100.33360000000005</v>
      </c>
      <c r="W123" s="119"/>
      <c r="X123" s="500">
        <f t="shared" si="66"/>
        <v>565.88747551270194</v>
      </c>
      <c r="Y123" s="124">
        <f t="shared" si="73"/>
        <v>206000</v>
      </c>
      <c r="Z123" s="224">
        <f t="shared" si="70"/>
        <v>2.7470265801587471E-3</v>
      </c>
      <c r="AA123" s="538">
        <f t="shared" si="71"/>
        <v>829</v>
      </c>
      <c r="AB123" s="670"/>
      <c r="AC123" s="64">
        <v>150</v>
      </c>
      <c r="AD123" s="52">
        <v>50.58</v>
      </c>
      <c r="AE123" s="119">
        <v>3.02</v>
      </c>
      <c r="AF123" s="176">
        <v>3.98</v>
      </c>
      <c r="AG123" s="64">
        <v>7</v>
      </c>
      <c r="AH123" s="52">
        <v>542.22</v>
      </c>
      <c r="AI123" s="162">
        <f t="shared" si="56"/>
        <v>100.33360000000005</v>
      </c>
      <c r="AJ123" s="62">
        <f t="shared" si="72"/>
        <v>508</v>
      </c>
      <c r="AK123" s="43">
        <v>206000</v>
      </c>
      <c r="AL123" s="173">
        <f t="shared" si="58"/>
        <v>2.4660194174757283E-3</v>
      </c>
      <c r="AM123" s="102">
        <f t="shared" si="59"/>
        <v>829</v>
      </c>
      <c r="AN123" s="265"/>
      <c r="AO123" s="195"/>
      <c r="AP123" s="195"/>
      <c r="AQ123" s="195"/>
      <c r="AR123" s="195"/>
      <c r="AS123" s="195"/>
      <c r="AT123" s="195"/>
      <c r="AU123" s="195"/>
      <c r="AV123" s="195"/>
      <c r="AW123" s="195"/>
      <c r="AX123" s="195"/>
      <c r="AY123" s="1116"/>
      <c r="AZ123" s="1114"/>
      <c r="BA123" s="176"/>
      <c r="BB123" s="1114"/>
      <c r="BC123" s="1114"/>
      <c r="BD123" s="176"/>
      <c r="BE123" s="1114"/>
      <c r="BF123" s="1114"/>
      <c r="BG123" s="1114"/>
      <c r="BH123" s="1114"/>
      <c r="BI123" s="195"/>
      <c r="BJ123" s="176"/>
      <c r="BK123" s="176"/>
      <c r="BL123" s="1114"/>
      <c r="BM123" s="195"/>
      <c r="BN123" s="1114"/>
      <c r="BO123" s="1114"/>
      <c r="BP123" s="195"/>
      <c r="BQ123" s="176"/>
      <c r="BR123" s="195"/>
      <c r="BS123" s="1114"/>
      <c r="BT123" s="195"/>
      <c r="BU123" s="195"/>
      <c r="BV123" s="176"/>
      <c r="BW123" s="119"/>
      <c r="BX123" s="226"/>
      <c r="BY123" s="862"/>
      <c r="BZ123" s="195"/>
      <c r="CA123" s="1114"/>
      <c r="CB123" s="1114"/>
      <c r="CC123" s="195"/>
      <c r="CD123" s="195"/>
      <c r="CE123" s="195"/>
      <c r="CF123" s="195"/>
      <c r="CG123" s="195"/>
      <c r="CH123" s="176"/>
      <c r="CI123" s="273"/>
      <c r="CJ123" s="195"/>
      <c r="CK123" s="195"/>
      <c r="CL123" s="176"/>
      <c r="CM123" s="195"/>
      <c r="CN123" s="176"/>
      <c r="CO123" s="176"/>
      <c r="CP123" s="195"/>
      <c r="CQ123" s="176"/>
      <c r="CR123" s="176"/>
      <c r="CS123" s="176"/>
      <c r="CT123" s="176"/>
      <c r="CU123" s="176"/>
      <c r="CV123" s="195"/>
      <c r="CW123" s="195"/>
      <c r="CX123" s="1114"/>
      <c r="CY123" s="195"/>
      <c r="CZ123" s="195"/>
      <c r="DA123" s="176"/>
      <c r="DB123" s="639"/>
      <c r="DC123" s="639"/>
    </row>
    <row r="124" spans="1:107" ht="15.75" customHeight="1" x14ac:dyDescent="0.35">
      <c r="A124" s="1577"/>
      <c r="B124" s="1657"/>
      <c r="C124" s="295" t="s">
        <v>37</v>
      </c>
      <c r="D124" s="264" t="s">
        <v>95</v>
      </c>
      <c r="E124" s="295" t="s">
        <v>39</v>
      </c>
      <c r="F124" s="658" t="s">
        <v>94</v>
      </c>
      <c r="G124" s="92">
        <f t="shared" si="60"/>
        <v>464.40764546005346</v>
      </c>
      <c r="H124" s="82">
        <v>459.41</v>
      </c>
      <c r="I124" s="175">
        <f t="shared" si="49"/>
        <v>0.98923866669959182</v>
      </c>
      <c r="J124" s="662">
        <v>508</v>
      </c>
      <c r="K124" s="156">
        <v>829</v>
      </c>
      <c r="L124" s="655" t="s">
        <v>41</v>
      </c>
      <c r="M124" s="655" t="s">
        <v>41</v>
      </c>
      <c r="N124" s="667">
        <v>508</v>
      </c>
      <c r="O124" s="667">
        <v>829</v>
      </c>
      <c r="P124" s="162">
        <f t="shared" si="52"/>
        <v>765.47199999999998</v>
      </c>
      <c r="Q124" s="173">
        <f t="shared" si="67"/>
        <v>765.47199999999998</v>
      </c>
      <c r="R124" s="124"/>
      <c r="S124" s="672" t="s">
        <v>41</v>
      </c>
      <c r="T124" s="162">
        <f t="shared" si="68"/>
        <v>842.43481634351178</v>
      </c>
      <c r="U124" s="173">
        <f t="shared" si="53"/>
        <v>89.677999999999997</v>
      </c>
      <c r="V124" s="173">
        <f t="shared" si="69"/>
        <v>89.677999999999997</v>
      </c>
      <c r="W124" s="119"/>
      <c r="X124" s="500">
        <f>((N124*Q124)+(T124*V124))/(Q124+V124)</f>
        <v>543.07156108291349</v>
      </c>
      <c r="Y124" s="124">
        <f t="shared" si="73"/>
        <v>206000</v>
      </c>
      <c r="Z124" s="224">
        <f t="shared" si="70"/>
        <v>2.6362697139947259E-3</v>
      </c>
      <c r="AA124" s="538">
        <f t="shared" si="71"/>
        <v>829</v>
      </c>
      <c r="AB124" s="670"/>
      <c r="AC124" s="64">
        <v>225</v>
      </c>
      <c r="AD124" s="52">
        <v>75.55</v>
      </c>
      <c r="AE124" s="119">
        <v>3.04</v>
      </c>
      <c r="AF124" s="176">
        <v>3.26</v>
      </c>
      <c r="AG124" s="64">
        <v>6.3</v>
      </c>
      <c r="AH124" s="52">
        <v>855.15</v>
      </c>
      <c r="AI124" s="162">
        <f t="shared" si="56"/>
        <v>89.677999999999997</v>
      </c>
      <c r="AJ124" s="62">
        <f t="shared" si="72"/>
        <v>508</v>
      </c>
      <c r="AK124" s="43">
        <v>206000</v>
      </c>
      <c r="AL124" s="173">
        <f t="shared" si="58"/>
        <v>2.4660194174757283E-3</v>
      </c>
      <c r="AM124" s="102">
        <f t="shared" si="59"/>
        <v>829</v>
      </c>
      <c r="AN124" s="265"/>
      <c r="AO124" s="195"/>
      <c r="AP124" s="195"/>
      <c r="AQ124" s="195"/>
      <c r="AR124" s="195"/>
      <c r="AS124" s="195"/>
      <c r="AT124" s="195"/>
      <c r="AU124" s="195"/>
      <c r="AV124" s="195"/>
      <c r="AW124" s="195"/>
      <c r="AX124" s="195"/>
      <c r="AY124" s="1116"/>
      <c r="AZ124" s="1114"/>
      <c r="BA124" s="176"/>
      <c r="BB124" s="1114"/>
      <c r="BC124" s="1114"/>
      <c r="BD124" s="176"/>
      <c r="BE124" s="1114"/>
      <c r="BF124" s="1114"/>
      <c r="BG124" s="1114"/>
      <c r="BH124" s="1114"/>
      <c r="BI124" s="195"/>
      <c r="BJ124" s="176"/>
      <c r="BK124" s="176"/>
      <c r="BL124" s="1114"/>
      <c r="BM124" s="195"/>
      <c r="BN124" s="1114"/>
      <c r="BO124" s="1114"/>
      <c r="BP124" s="195"/>
      <c r="BQ124" s="176"/>
      <c r="BR124" s="195"/>
      <c r="BS124" s="1114"/>
      <c r="BT124" s="195"/>
      <c r="BU124" s="195"/>
      <c r="BV124" s="176"/>
      <c r="BW124" s="119"/>
      <c r="BX124" s="226"/>
      <c r="BY124" s="862"/>
      <c r="BZ124" s="510"/>
      <c r="CA124" s="1114"/>
      <c r="CB124" s="1114"/>
      <c r="CC124" s="195"/>
      <c r="CD124" s="195"/>
      <c r="CE124" s="195"/>
      <c r="CF124" s="195"/>
      <c r="CG124" s="195"/>
      <c r="CH124" s="176"/>
      <c r="CI124" s="273"/>
      <c r="CJ124" s="195"/>
      <c r="CK124" s="195"/>
      <c r="CL124" s="176"/>
      <c r="CM124" s="195"/>
      <c r="CN124" s="176"/>
      <c r="CO124" s="176"/>
      <c r="CP124" s="195"/>
      <c r="CQ124" s="176"/>
      <c r="CR124" s="176"/>
      <c r="CS124" s="176"/>
      <c r="CT124" s="176"/>
      <c r="CU124" s="176"/>
      <c r="CV124" s="195"/>
      <c r="CW124" s="195"/>
      <c r="CX124" s="1114"/>
      <c r="CY124" s="195"/>
      <c r="CZ124" s="195"/>
      <c r="DA124" s="176"/>
      <c r="DB124" s="639"/>
      <c r="DC124" s="639"/>
    </row>
    <row r="125" spans="1:107" ht="15.75" customHeight="1" x14ac:dyDescent="0.35">
      <c r="A125" s="1577"/>
      <c r="B125" s="1657"/>
      <c r="C125" s="295" t="s">
        <v>37</v>
      </c>
      <c r="D125" s="264" t="s">
        <v>96</v>
      </c>
      <c r="E125" s="295" t="s">
        <v>39</v>
      </c>
      <c r="F125" s="658" t="s">
        <v>94</v>
      </c>
      <c r="G125" s="92">
        <f t="shared" si="60"/>
        <v>606.05959649338115</v>
      </c>
      <c r="H125" s="82">
        <v>468.73</v>
      </c>
      <c r="I125" s="175">
        <f t="shared" si="49"/>
        <v>0.77340578832847351</v>
      </c>
      <c r="J125" s="662">
        <v>508</v>
      </c>
      <c r="K125" s="156">
        <v>829</v>
      </c>
      <c r="L125" s="655" t="s">
        <v>41</v>
      </c>
      <c r="M125" s="655" t="s">
        <v>41</v>
      </c>
      <c r="N125" s="667">
        <v>508</v>
      </c>
      <c r="O125" s="667">
        <v>829</v>
      </c>
      <c r="P125" s="162">
        <f t="shared" si="52"/>
        <v>1033.8000000000002</v>
      </c>
      <c r="Q125" s="173">
        <f t="shared" si="67"/>
        <v>1033.8000000000002</v>
      </c>
      <c r="R125" s="124"/>
      <c r="S125" s="672" t="s">
        <v>41</v>
      </c>
      <c r="T125" s="162">
        <f t="shared" si="68"/>
        <v>819.62910622536242</v>
      </c>
      <c r="U125" s="173">
        <f t="shared" si="53"/>
        <v>98.689999999999827</v>
      </c>
      <c r="V125" s="173">
        <f t="shared" si="69"/>
        <v>98.689999999999827</v>
      </c>
      <c r="W125" s="119"/>
      <c r="X125" s="500">
        <f>((N125*Q125)+(T125*V125))/(Q125+V125)</f>
        <v>535.15668702891958</v>
      </c>
      <c r="Y125" s="124">
        <f t="shared" si="73"/>
        <v>206000</v>
      </c>
      <c r="Z125" s="224">
        <f t="shared" si="70"/>
        <v>2.5978479952860176E-3</v>
      </c>
      <c r="AA125" s="538">
        <f t="shared" si="71"/>
        <v>829</v>
      </c>
      <c r="AB125" s="670"/>
      <c r="AC125" s="64">
        <v>300</v>
      </c>
      <c r="AD125" s="52">
        <v>100.15</v>
      </c>
      <c r="AE125" s="119">
        <v>3</v>
      </c>
      <c r="AF125" s="176">
        <v>4</v>
      </c>
      <c r="AG125" s="64">
        <v>7</v>
      </c>
      <c r="AH125" s="52">
        <v>1132.49</v>
      </c>
      <c r="AI125" s="162">
        <f t="shared" si="56"/>
        <v>98.689999999999827</v>
      </c>
      <c r="AJ125" s="62">
        <f t="shared" si="72"/>
        <v>508</v>
      </c>
      <c r="AK125" s="43">
        <v>206000</v>
      </c>
      <c r="AL125" s="173">
        <f t="shared" si="58"/>
        <v>2.4660194174757283E-3</v>
      </c>
      <c r="AM125" s="102">
        <f t="shared" si="59"/>
        <v>829</v>
      </c>
      <c r="AN125" s="265"/>
      <c r="AO125" s="195"/>
      <c r="AP125" s="195"/>
      <c r="AQ125" s="195"/>
      <c r="AR125" s="195"/>
      <c r="AS125" s="195"/>
      <c r="AT125" s="195"/>
      <c r="AU125" s="195"/>
      <c r="AV125" s="195"/>
      <c r="AW125" s="195"/>
      <c r="AX125" s="195"/>
      <c r="AY125" s="1116"/>
      <c r="AZ125" s="1114"/>
      <c r="BA125" s="176"/>
      <c r="BB125" s="1114"/>
      <c r="BC125" s="1114"/>
      <c r="BD125" s="176"/>
      <c r="BE125" s="1114"/>
      <c r="BF125" s="1114"/>
      <c r="BG125" s="1114"/>
      <c r="BH125" s="1114"/>
      <c r="BI125" s="195"/>
      <c r="BJ125" s="176"/>
      <c r="BK125" s="176"/>
      <c r="BL125" s="1114"/>
      <c r="BM125" s="195"/>
      <c r="BN125" s="1114"/>
      <c r="BO125" s="1114"/>
      <c r="BP125" s="195"/>
      <c r="BQ125" s="176"/>
      <c r="BR125" s="195"/>
      <c r="BS125" s="1114"/>
      <c r="BT125" s="195"/>
      <c r="BU125" s="195"/>
      <c r="BV125" s="176"/>
      <c r="BW125" s="119"/>
      <c r="BX125" s="226"/>
      <c r="BY125" s="862"/>
      <c r="BZ125" s="195"/>
      <c r="CA125" s="1114"/>
      <c r="CB125" s="1114"/>
      <c r="CC125" s="195"/>
      <c r="CD125" s="195"/>
      <c r="CE125" s="195"/>
      <c r="CF125" s="195"/>
      <c r="CG125" s="195"/>
      <c r="CH125" s="176"/>
      <c r="CI125" s="273"/>
      <c r="CJ125" s="195"/>
      <c r="CK125" s="195"/>
      <c r="CL125" s="176"/>
      <c r="CM125" s="195"/>
      <c r="CN125" s="176"/>
      <c r="CO125" s="176"/>
      <c r="CP125" s="195"/>
      <c r="CQ125" s="176"/>
      <c r="CR125" s="176"/>
      <c r="CS125" s="176"/>
      <c r="CT125" s="176"/>
      <c r="CU125" s="176"/>
      <c r="CV125" s="195"/>
      <c r="CW125" s="195"/>
      <c r="CX125" s="1114"/>
      <c r="CY125" s="195"/>
      <c r="CZ125" s="195"/>
      <c r="DA125" s="176"/>
      <c r="DB125" s="639"/>
      <c r="DC125" s="639"/>
    </row>
    <row r="126" spans="1:107" ht="15.75" customHeight="1" x14ac:dyDescent="0.35">
      <c r="A126" s="1577"/>
      <c r="B126" s="1657"/>
      <c r="C126" s="295" t="s">
        <v>37</v>
      </c>
      <c r="D126" s="264" t="s">
        <v>97</v>
      </c>
      <c r="E126" s="295" t="s">
        <v>39</v>
      </c>
      <c r="F126" s="658" t="s">
        <v>94</v>
      </c>
      <c r="G126" s="92">
        <f t="shared" si="60"/>
        <v>765.63940052584144</v>
      </c>
      <c r="H126" s="82">
        <v>480.49</v>
      </c>
      <c r="I126" s="175">
        <f t="shared" si="49"/>
        <v>0.62756697169711917</v>
      </c>
      <c r="J126" s="662">
        <v>508</v>
      </c>
      <c r="K126" s="156">
        <v>829</v>
      </c>
      <c r="L126" s="655" t="s">
        <v>41</v>
      </c>
      <c r="M126" s="655" t="s">
        <v>41</v>
      </c>
      <c r="N126" s="667">
        <v>508</v>
      </c>
      <c r="O126" s="667">
        <v>829</v>
      </c>
      <c r="P126" s="162">
        <f>AH126-AI126</f>
        <v>1366.9012</v>
      </c>
      <c r="Q126" s="173">
        <f t="shared" si="67"/>
        <v>1366.9012</v>
      </c>
      <c r="R126" s="124"/>
      <c r="S126" s="672" t="s">
        <v>41</v>
      </c>
      <c r="T126" s="162">
        <f t="shared" si="68"/>
        <v>850.59820512937097</v>
      </c>
      <c r="U126" s="173">
        <f t="shared" si="53"/>
        <v>83.768800000000056</v>
      </c>
      <c r="V126" s="173">
        <f t="shared" si="69"/>
        <v>83.768800000000056</v>
      </c>
      <c r="W126" s="119"/>
      <c r="X126" s="500">
        <f>((N126*Q126)+(T126*V126))/(Q126+V126)</f>
        <v>527.78330049276633</v>
      </c>
      <c r="Y126" s="124">
        <f t="shared" si="73"/>
        <v>206000</v>
      </c>
      <c r="Z126" s="224">
        <f t="shared" si="70"/>
        <v>2.5620548567610018E-3</v>
      </c>
      <c r="AA126" s="538">
        <f t="shared" si="71"/>
        <v>829</v>
      </c>
      <c r="AB126" s="670"/>
      <c r="AC126" s="64">
        <v>375</v>
      </c>
      <c r="AD126" s="52">
        <v>125.53</v>
      </c>
      <c r="AE126" s="119">
        <v>3.01</v>
      </c>
      <c r="AF126" s="176">
        <v>2.99</v>
      </c>
      <c r="AG126" s="64">
        <v>6</v>
      </c>
      <c r="AH126" s="52">
        <v>1450.67</v>
      </c>
      <c r="AI126" s="162">
        <f t="shared" si="56"/>
        <v>83.768800000000056</v>
      </c>
      <c r="AJ126" s="62">
        <f t="shared" si="72"/>
        <v>508</v>
      </c>
      <c r="AK126" s="43">
        <v>206000</v>
      </c>
      <c r="AL126" s="173">
        <f t="shared" si="58"/>
        <v>2.4660194174757283E-3</v>
      </c>
      <c r="AM126" s="102">
        <f t="shared" si="59"/>
        <v>829</v>
      </c>
      <c r="AN126" s="265"/>
      <c r="AO126" s="195"/>
      <c r="AP126" s="195"/>
      <c r="AQ126" s="195"/>
      <c r="AR126" s="195"/>
      <c r="AS126" s="195"/>
      <c r="AT126" s="195"/>
      <c r="AU126" s="195"/>
      <c r="AV126" s="195"/>
      <c r="AW126" s="195"/>
      <c r="AX126" s="195"/>
      <c r="AY126" s="1116"/>
      <c r="AZ126" s="1114"/>
      <c r="BA126" s="176"/>
      <c r="BB126" s="1114"/>
      <c r="BC126" s="1114"/>
      <c r="BD126" s="176"/>
      <c r="BE126" s="1114"/>
      <c r="BF126" s="1114"/>
      <c r="BG126" s="1114"/>
      <c r="BH126" s="1114"/>
      <c r="BI126" s="195"/>
      <c r="BJ126" s="176"/>
      <c r="BK126" s="176"/>
      <c r="BL126" s="1114"/>
      <c r="BM126" s="195"/>
      <c r="BN126" s="1114"/>
      <c r="BO126" s="1114"/>
      <c r="BP126" s="195"/>
      <c r="BQ126" s="176"/>
      <c r="BR126" s="195"/>
      <c r="BS126" s="1114"/>
      <c r="BT126" s="195"/>
      <c r="BU126" s="195"/>
      <c r="BV126" s="176"/>
      <c r="BW126" s="119"/>
      <c r="BX126" s="226"/>
      <c r="BY126" s="862"/>
      <c r="BZ126" s="195"/>
      <c r="CA126" s="1114"/>
      <c r="CB126" s="1114"/>
      <c r="CC126" s="195"/>
      <c r="CD126" s="195"/>
      <c r="CE126" s="195"/>
      <c r="CF126" s="195"/>
      <c r="CG126" s="195"/>
      <c r="CH126" s="176"/>
      <c r="CI126" s="273"/>
      <c r="CJ126" s="195"/>
      <c r="CK126" s="195"/>
      <c r="CL126" s="176"/>
      <c r="CM126" s="195"/>
      <c r="CN126" s="176"/>
      <c r="CO126" s="176"/>
      <c r="CP126" s="195"/>
      <c r="CQ126" s="176"/>
      <c r="CR126" s="176"/>
      <c r="CS126" s="176"/>
      <c r="CT126" s="176"/>
      <c r="CU126" s="176"/>
      <c r="CV126" s="195"/>
      <c r="CW126" s="195"/>
      <c r="CX126" s="1114"/>
      <c r="CY126" s="195"/>
      <c r="CZ126" s="195"/>
      <c r="DA126" s="176"/>
      <c r="DB126" s="639"/>
      <c r="DC126" s="639"/>
    </row>
    <row r="127" spans="1:107" ht="16.5" customHeight="1" x14ac:dyDescent="0.35">
      <c r="A127" s="1577"/>
      <c r="B127" s="1657"/>
      <c r="C127" s="295" t="s">
        <v>37</v>
      </c>
      <c r="D127" s="264" t="s">
        <v>98</v>
      </c>
      <c r="E127" s="295" t="s">
        <v>39</v>
      </c>
      <c r="F127" s="658" t="s">
        <v>94</v>
      </c>
      <c r="G127" s="92">
        <f t="shared" si="60"/>
        <v>925.69619645926684</v>
      </c>
      <c r="H127" s="82">
        <v>482.95</v>
      </c>
      <c r="I127" s="175">
        <f t="shared" si="49"/>
        <v>0.5217154416829789</v>
      </c>
      <c r="J127" s="662">
        <v>508</v>
      </c>
      <c r="K127" s="156">
        <v>829</v>
      </c>
      <c r="L127" s="655" t="s">
        <v>41</v>
      </c>
      <c r="M127" s="655" t="s">
        <v>41</v>
      </c>
      <c r="N127" s="667">
        <v>508</v>
      </c>
      <c r="O127" s="667">
        <v>829</v>
      </c>
      <c r="P127" s="162">
        <f t="shared" si="52"/>
        <v>1661.3624</v>
      </c>
      <c r="Q127" s="173">
        <f t="shared" si="67"/>
        <v>1661.3624</v>
      </c>
      <c r="R127" s="124"/>
      <c r="S127" s="672" t="s">
        <v>41</v>
      </c>
      <c r="T127" s="162">
        <f>(1.673*J127)/((AF127/AE127)^0.126)</f>
        <v>826.18358370266697</v>
      </c>
      <c r="U127" s="173">
        <f t="shared" si="53"/>
        <v>98.917599999999993</v>
      </c>
      <c r="V127" s="173">
        <f t="shared" si="69"/>
        <v>98.917599999999993</v>
      </c>
      <c r="W127" s="119"/>
      <c r="X127" s="500">
        <f>((N127*Q127)+(T127*V127))/(Q127+V127)</f>
        <v>525.88008524738495</v>
      </c>
      <c r="Y127" s="124">
        <f t="shared" si="73"/>
        <v>206000</v>
      </c>
      <c r="Z127" s="224">
        <f>X127/Y127</f>
        <v>2.5528159478028396E-3</v>
      </c>
      <c r="AA127" s="538">
        <f t="shared" si="71"/>
        <v>829</v>
      </c>
      <c r="AB127" s="670"/>
      <c r="AC127" s="64">
        <v>451</v>
      </c>
      <c r="AD127" s="52">
        <v>151.13</v>
      </c>
      <c r="AE127" s="119">
        <v>3.02</v>
      </c>
      <c r="AF127" s="176">
        <v>3.78</v>
      </c>
      <c r="AG127" s="64">
        <v>6.8</v>
      </c>
      <c r="AH127" s="52">
        <v>1760.28</v>
      </c>
      <c r="AI127" s="162">
        <f t="shared" si="56"/>
        <v>98.917599999999993</v>
      </c>
      <c r="AJ127" s="62">
        <f t="shared" si="72"/>
        <v>508</v>
      </c>
      <c r="AK127" s="43">
        <v>206000</v>
      </c>
      <c r="AL127" s="173">
        <f t="shared" si="58"/>
        <v>2.4660194174757283E-3</v>
      </c>
      <c r="AM127" s="102">
        <f t="shared" si="59"/>
        <v>829</v>
      </c>
      <c r="AN127" s="265"/>
      <c r="AO127" s="195"/>
      <c r="AP127" s="195"/>
      <c r="AQ127" s="195"/>
      <c r="AR127" s="195"/>
      <c r="AS127" s="195"/>
      <c r="AT127" s="195"/>
      <c r="AU127" s="195"/>
      <c r="AV127" s="195"/>
      <c r="AW127" s="195"/>
      <c r="AX127" s="195"/>
      <c r="AY127" s="1116"/>
      <c r="AZ127" s="1114"/>
      <c r="BA127" s="176"/>
      <c r="BB127" s="1114"/>
      <c r="BC127" s="1114"/>
      <c r="BD127" s="176"/>
      <c r="BE127" s="1114"/>
      <c r="BF127" s="1114"/>
      <c r="BG127" s="1114"/>
      <c r="BH127" s="1114"/>
      <c r="BI127" s="195"/>
      <c r="BJ127" s="176"/>
      <c r="BK127" s="176"/>
      <c r="BL127" s="1114"/>
      <c r="BM127" s="195"/>
      <c r="BN127" s="1114"/>
      <c r="BO127" s="1114"/>
      <c r="BP127" s="195"/>
      <c r="BQ127" s="176"/>
      <c r="BR127" s="195"/>
      <c r="BS127" s="1114"/>
      <c r="BT127" s="195"/>
      <c r="BU127" s="195"/>
      <c r="BV127" s="176"/>
      <c r="BW127" s="119"/>
      <c r="BX127" s="226"/>
      <c r="BY127" s="862"/>
      <c r="BZ127" s="195"/>
      <c r="CA127" s="1114"/>
      <c r="CB127" s="1114"/>
      <c r="CC127" s="195"/>
      <c r="CD127" s="195"/>
      <c r="CE127" s="195"/>
      <c r="CF127" s="195"/>
      <c r="CG127" s="195"/>
      <c r="CH127" s="176"/>
      <c r="CI127" s="273"/>
      <c r="CJ127" s="195"/>
      <c r="CK127" s="195"/>
      <c r="CL127" s="176"/>
      <c r="CM127" s="195"/>
      <c r="CN127" s="176"/>
      <c r="CO127" s="176"/>
      <c r="CP127" s="195"/>
      <c r="CQ127" s="176"/>
      <c r="CR127" s="176"/>
      <c r="CS127" s="176"/>
      <c r="CT127" s="176"/>
      <c r="CU127" s="176"/>
      <c r="CV127" s="195"/>
      <c r="CW127" s="195"/>
      <c r="CX127" s="1114"/>
      <c r="CY127" s="195"/>
      <c r="CZ127" s="195"/>
      <c r="DA127" s="176"/>
      <c r="DB127" s="639"/>
      <c r="DC127" s="639"/>
    </row>
    <row r="128" spans="1:107" ht="16.5" customHeight="1" x14ac:dyDescent="0.35">
      <c r="A128" s="1578"/>
      <c r="B128" s="1658"/>
      <c r="C128" s="661" t="s">
        <v>37</v>
      </c>
      <c r="D128" s="268" t="s">
        <v>99</v>
      </c>
      <c r="E128" s="661" t="s">
        <v>39</v>
      </c>
      <c r="F128" s="679" t="s">
        <v>94</v>
      </c>
      <c r="G128" s="93">
        <f>X128*AH128*0.001</f>
        <v>1224.9170443993851</v>
      </c>
      <c r="H128" s="83">
        <v>511.87</v>
      </c>
      <c r="I128" s="467">
        <f>H128/G128</f>
        <v>0.41788135967279794</v>
      </c>
      <c r="J128" s="674">
        <v>508</v>
      </c>
      <c r="K128" s="229">
        <v>829</v>
      </c>
      <c r="L128" s="665" t="s">
        <v>41</v>
      </c>
      <c r="M128" s="665" t="s">
        <v>41</v>
      </c>
      <c r="N128" s="665">
        <v>508</v>
      </c>
      <c r="O128" s="665">
        <v>829</v>
      </c>
      <c r="P128" s="162">
        <f t="shared" si="52"/>
        <v>2240.0419999999999</v>
      </c>
      <c r="Q128" s="173">
        <f t="shared" si="67"/>
        <v>2240.0419999999999</v>
      </c>
      <c r="R128" s="127"/>
      <c r="S128" s="666" t="s">
        <v>41</v>
      </c>
      <c r="T128" s="162">
        <f t="shared" si="68"/>
        <v>820.23150568084202</v>
      </c>
      <c r="U128" s="173">
        <f t="shared" si="53"/>
        <v>106.03800000000001</v>
      </c>
      <c r="V128" s="173">
        <f t="shared" si="69"/>
        <v>106.03800000000001</v>
      </c>
      <c r="W128" s="70"/>
      <c r="X128" s="539">
        <f>((N128*Q128)+(T128*V128))/(Q128+V128)</f>
        <v>522.11222311233428</v>
      </c>
      <c r="Y128" s="124">
        <f t="shared" si="73"/>
        <v>206000</v>
      </c>
      <c r="Z128" s="228">
        <f t="shared" si="70"/>
        <v>2.534525354914244E-3</v>
      </c>
      <c r="AA128" s="538">
        <f t="shared" si="71"/>
        <v>829</v>
      </c>
      <c r="AB128" s="669"/>
      <c r="AC128" s="76">
        <v>600</v>
      </c>
      <c r="AD128" s="56">
        <v>200.05</v>
      </c>
      <c r="AE128" s="70">
        <v>3.01</v>
      </c>
      <c r="AF128" s="184">
        <v>3.99</v>
      </c>
      <c r="AG128" s="76">
        <v>7</v>
      </c>
      <c r="AH128" s="52">
        <v>2346.08</v>
      </c>
      <c r="AI128" s="177">
        <f t="shared" si="56"/>
        <v>106.03800000000001</v>
      </c>
      <c r="AJ128" s="63">
        <f t="shared" si="72"/>
        <v>508</v>
      </c>
      <c r="AK128" s="43">
        <v>206000</v>
      </c>
      <c r="AL128" s="179">
        <f t="shared" si="58"/>
        <v>2.4660194174757283E-3</v>
      </c>
      <c r="AM128" s="301">
        <f t="shared" si="59"/>
        <v>829</v>
      </c>
      <c r="AN128" s="261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  <c r="AY128" s="1116"/>
      <c r="AZ128" s="1114"/>
      <c r="BA128" s="176"/>
      <c r="BB128" s="1114"/>
      <c r="BC128" s="1114"/>
      <c r="BD128" s="176"/>
      <c r="BE128" s="1114"/>
      <c r="BF128" s="1114"/>
      <c r="BG128" s="1114"/>
      <c r="BH128" s="1114"/>
      <c r="BI128" s="195"/>
      <c r="BJ128" s="176"/>
      <c r="BK128" s="176"/>
      <c r="BL128" s="1114"/>
      <c r="BM128" s="195"/>
      <c r="BN128" s="1114"/>
      <c r="BO128" s="1114"/>
      <c r="BP128" s="195"/>
      <c r="BQ128" s="176"/>
      <c r="BR128" s="195"/>
      <c r="BS128" s="1114"/>
      <c r="BT128" s="195"/>
      <c r="BU128" s="195"/>
      <c r="BV128" s="176"/>
      <c r="BW128" s="119"/>
      <c r="BX128" s="226"/>
      <c r="BY128" s="862"/>
      <c r="BZ128" s="195"/>
      <c r="CA128" s="1114"/>
      <c r="CB128" s="1114"/>
      <c r="CC128" s="195"/>
      <c r="CD128" s="195"/>
      <c r="CE128" s="195"/>
      <c r="CF128" s="195"/>
      <c r="CG128" s="195"/>
      <c r="CH128" s="176"/>
      <c r="CI128" s="273"/>
      <c r="CJ128" s="195"/>
      <c r="CK128" s="195"/>
      <c r="CL128" s="176"/>
      <c r="CM128" s="195"/>
      <c r="CN128" s="176"/>
      <c r="CO128" s="176"/>
      <c r="CP128" s="195"/>
      <c r="CQ128" s="176"/>
      <c r="CR128" s="176"/>
      <c r="CS128" s="176"/>
      <c r="CT128" s="176"/>
      <c r="CU128" s="176"/>
      <c r="CV128" s="195"/>
      <c r="CW128" s="195"/>
      <c r="CX128" s="1114"/>
      <c r="CY128" s="195"/>
      <c r="CZ128" s="195"/>
      <c r="DA128" s="176"/>
      <c r="DB128" s="639"/>
      <c r="DC128" s="639"/>
    </row>
    <row r="129" spans="1:116" ht="16.5" customHeight="1" x14ac:dyDescent="0.35">
      <c r="A129" s="1576" t="s">
        <v>100</v>
      </c>
      <c r="B129" s="1651" t="s">
        <v>101</v>
      </c>
      <c r="C129" s="121" t="s">
        <v>127</v>
      </c>
      <c r="D129" s="264" t="s">
        <v>102</v>
      </c>
      <c r="E129" s="295" t="s">
        <v>39</v>
      </c>
      <c r="F129" s="119" t="s">
        <v>103</v>
      </c>
      <c r="G129" s="92" t="s">
        <v>41</v>
      </c>
      <c r="H129" s="82">
        <v>245.3</v>
      </c>
      <c r="I129" s="448" t="s">
        <v>41</v>
      </c>
      <c r="J129" s="690" t="s">
        <v>41</v>
      </c>
      <c r="K129" s="170" t="s">
        <v>41</v>
      </c>
      <c r="L129" s="6">
        <v>707</v>
      </c>
      <c r="M129" s="382">
        <v>827</v>
      </c>
      <c r="N129" s="159" t="s">
        <v>41</v>
      </c>
      <c r="O129" s="159" t="s">
        <v>41</v>
      </c>
      <c r="P129" s="169">
        <f>AH129-AI129</f>
        <v>252.71999999999997</v>
      </c>
      <c r="Q129" s="165">
        <f>AH129-AI129-8*(2*AE129*AE129)</f>
        <v>191.87999999999997</v>
      </c>
      <c r="R129" s="119">
        <v>216000</v>
      </c>
      <c r="S129" s="676" t="s">
        <v>41</v>
      </c>
      <c r="T129" s="169">
        <f t="shared" ref="T129:T134" si="74">IF(0.83*M129&lt;L129,L129,0.83*M129)</f>
        <v>707</v>
      </c>
      <c r="U129" s="165">
        <f>AI129</f>
        <v>35.28000000000003</v>
      </c>
      <c r="V129" s="165">
        <f>AI129+8*(2*AE129*AE129)</f>
        <v>96.120000000000033</v>
      </c>
      <c r="W129" s="126">
        <v>216000</v>
      </c>
      <c r="X129" s="537">
        <f>IF(T129&gt;L129,((L129*Q129)+(T129*V129))/(Q129+V129),L129)</f>
        <v>707</v>
      </c>
      <c r="Y129" s="682">
        <v>216000</v>
      </c>
      <c r="Z129" s="537">
        <f>X129/Y129</f>
        <v>3.2731481481481483E-3</v>
      </c>
      <c r="AA129" s="452">
        <f>M129</f>
        <v>827</v>
      </c>
      <c r="AB129" s="205"/>
      <c r="AC129" s="75">
        <v>300</v>
      </c>
      <c r="AD129" s="55">
        <v>39.9</v>
      </c>
      <c r="AE129" s="374">
        <v>1.95</v>
      </c>
      <c r="AF129" s="55">
        <v>1.8</v>
      </c>
      <c r="AG129" s="75">
        <v>3.8</v>
      </c>
      <c r="AH129" s="55">
        <v>288</v>
      </c>
      <c r="AI129" s="172">
        <f t="shared" si="56"/>
        <v>35.28000000000003</v>
      </c>
      <c r="AJ129" s="269">
        <f t="shared" ref="AJ129:AJ152" si="75">L129</f>
        <v>707</v>
      </c>
      <c r="AK129" s="1148">
        <f t="shared" ref="AK129:AK134" si="76">R129</f>
        <v>216000</v>
      </c>
      <c r="AL129" s="218">
        <f t="shared" si="58"/>
        <v>3.2731481481481483E-3</v>
      </c>
      <c r="AM129" s="102">
        <f t="shared" si="59"/>
        <v>827</v>
      </c>
      <c r="AN129" s="204"/>
      <c r="AO129" s="195"/>
      <c r="AP129" s="195"/>
      <c r="AQ129" s="195"/>
      <c r="AR129" s="195"/>
      <c r="AS129" s="195"/>
      <c r="AT129" s="195"/>
      <c r="AU129" s="195"/>
      <c r="AV129" s="195"/>
      <c r="AW129" s="195"/>
      <c r="AX129" s="195"/>
      <c r="AY129" s="1116"/>
      <c r="AZ129" s="1114"/>
      <c r="BA129" s="176"/>
      <c r="BB129" s="1114"/>
      <c r="BC129" s="1114"/>
      <c r="BD129" s="176"/>
      <c r="BE129" s="1114"/>
      <c r="BF129" s="1114"/>
      <c r="BG129" s="1114"/>
      <c r="BH129" s="1114"/>
      <c r="BI129" s="195"/>
      <c r="BJ129" s="176"/>
      <c r="BK129" s="176"/>
      <c r="BL129" s="1114"/>
      <c r="BM129" s="195"/>
      <c r="BN129" s="1114"/>
      <c r="BO129" s="1114"/>
      <c r="BP129" s="195"/>
      <c r="BQ129" s="176"/>
      <c r="BR129" s="195"/>
      <c r="BS129" s="1114"/>
      <c r="BT129" s="195"/>
      <c r="BU129" s="195"/>
      <c r="BV129" s="176"/>
      <c r="BW129" s="119"/>
      <c r="BX129" s="226"/>
      <c r="BY129" s="862"/>
      <c r="BZ129" s="195"/>
      <c r="CA129" s="1114"/>
      <c r="CB129" s="1114"/>
      <c r="CC129" s="195"/>
      <c r="CD129" s="195"/>
      <c r="CE129" s="195"/>
      <c r="CF129" s="195"/>
      <c r="CG129" s="195"/>
      <c r="CH129" s="176"/>
      <c r="CI129" s="273"/>
      <c r="CJ129" s="195"/>
      <c r="CK129" s="195"/>
      <c r="CL129" s="176"/>
      <c r="CM129" s="195"/>
      <c r="CN129" s="176"/>
      <c r="CO129" s="176"/>
      <c r="CP129" s="195"/>
      <c r="CQ129" s="176"/>
      <c r="CR129" s="176"/>
      <c r="CS129" s="176"/>
      <c r="CT129" s="176"/>
      <c r="CU129" s="176"/>
      <c r="CV129" s="195"/>
      <c r="CW129" s="195"/>
      <c r="CX129" s="1114"/>
      <c r="CY129" s="195"/>
      <c r="CZ129" s="195"/>
      <c r="DA129" s="176"/>
      <c r="DB129" s="639"/>
      <c r="DC129" s="639"/>
    </row>
    <row r="130" spans="1:116" ht="15.75" customHeight="1" x14ac:dyDescent="0.35">
      <c r="A130" s="1577"/>
      <c r="B130" s="1652"/>
      <c r="C130" s="295" t="s">
        <v>127</v>
      </c>
      <c r="D130" s="264" t="s">
        <v>102</v>
      </c>
      <c r="E130" s="295" t="s">
        <v>39</v>
      </c>
      <c r="F130" s="119" t="s">
        <v>103</v>
      </c>
      <c r="G130" s="92" t="s">
        <v>41</v>
      </c>
      <c r="H130" s="82">
        <v>238</v>
      </c>
      <c r="I130" s="454" t="s">
        <v>41</v>
      </c>
      <c r="J130" s="662" t="s">
        <v>41</v>
      </c>
      <c r="K130" s="673" t="s">
        <v>41</v>
      </c>
      <c r="L130" s="7">
        <v>707</v>
      </c>
      <c r="M130" s="655">
        <v>827</v>
      </c>
      <c r="N130" s="667" t="s">
        <v>41</v>
      </c>
      <c r="O130" s="667" t="s">
        <v>41</v>
      </c>
      <c r="P130" s="162">
        <f t="shared" si="52"/>
        <v>253.5</v>
      </c>
      <c r="Q130" s="173">
        <f t="shared" ref="Q130:Q138" si="77">AH130-AI130-8*(2*AE130*AE130)</f>
        <v>192.66</v>
      </c>
      <c r="R130" s="119">
        <v>216000</v>
      </c>
      <c r="S130" s="672" t="s">
        <v>41</v>
      </c>
      <c r="T130" s="162">
        <f t="shared" si="74"/>
        <v>707</v>
      </c>
      <c r="U130" s="173">
        <f t="shared" si="53"/>
        <v>35.5</v>
      </c>
      <c r="V130" s="173">
        <f t="shared" ref="V130:V138" si="78">AI130+8*(2*AE130*AE130)</f>
        <v>96.34</v>
      </c>
      <c r="W130" s="124">
        <v>216000</v>
      </c>
      <c r="X130" s="500">
        <f>IF(T130&gt;L130,((L130*Q130)+(T130*V130))/(Q130+V130),L130)</f>
        <v>707</v>
      </c>
      <c r="Y130" s="683">
        <v>216000</v>
      </c>
      <c r="Z130" s="540">
        <f t="shared" si="70"/>
        <v>3.2731481481481483E-3</v>
      </c>
      <c r="AA130" s="463">
        <f t="shared" ref="AA130:AA152" si="79">M130</f>
        <v>827</v>
      </c>
      <c r="AB130" s="154"/>
      <c r="AC130" s="64">
        <v>300</v>
      </c>
      <c r="AD130" s="52">
        <v>40</v>
      </c>
      <c r="AE130" s="119">
        <v>1.95</v>
      </c>
      <c r="AF130" s="52">
        <v>1.8</v>
      </c>
      <c r="AG130" s="64">
        <v>3.8</v>
      </c>
      <c r="AH130" s="52">
        <v>289</v>
      </c>
      <c r="AI130" s="176">
        <f t="shared" si="56"/>
        <v>35.5</v>
      </c>
      <c r="AJ130" s="270">
        <f t="shared" si="75"/>
        <v>707</v>
      </c>
      <c r="AK130" s="119">
        <f t="shared" si="76"/>
        <v>216000</v>
      </c>
      <c r="AL130" s="195">
        <f t="shared" si="58"/>
        <v>3.2731481481481483E-3</v>
      </c>
      <c r="AM130" s="102">
        <f t="shared" si="59"/>
        <v>827</v>
      </c>
      <c r="AN130" s="208"/>
      <c r="AO130" s="195"/>
      <c r="AP130" s="195"/>
      <c r="AQ130" s="195"/>
      <c r="AR130" s="195"/>
      <c r="AS130" s="195"/>
      <c r="AT130" s="195"/>
      <c r="AU130" s="195"/>
      <c r="AV130" s="195"/>
      <c r="AW130" s="195"/>
      <c r="AX130" s="195"/>
      <c r="AY130" s="1116"/>
      <c r="AZ130" s="1114"/>
      <c r="BA130" s="176"/>
      <c r="BB130" s="1114"/>
      <c r="BC130" s="1114"/>
      <c r="BD130" s="176"/>
      <c r="BE130" s="1114"/>
      <c r="BF130" s="1114"/>
      <c r="BG130" s="1114"/>
      <c r="BH130" s="1114"/>
      <c r="BI130" s="195"/>
      <c r="BJ130" s="176"/>
      <c r="BK130" s="176"/>
      <c r="BL130" s="1114"/>
      <c r="BM130" s="195"/>
      <c r="BN130" s="1114"/>
      <c r="BO130" s="1114"/>
      <c r="BP130" s="195"/>
      <c r="BQ130" s="176"/>
      <c r="BR130" s="195"/>
      <c r="BS130" s="1114"/>
      <c r="BT130" s="195"/>
      <c r="BU130" s="195"/>
      <c r="BV130" s="176"/>
      <c r="BW130" s="119"/>
      <c r="BX130" s="226"/>
      <c r="BY130" s="862"/>
      <c r="BZ130" s="195"/>
      <c r="CA130" s="1114"/>
      <c r="CB130" s="1114"/>
      <c r="CC130" s="195"/>
      <c r="CD130" s="195"/>
      <c r="CE130" s="195"/>
      <c r="CF130" s="195"/>
      <c r="CG130" s="195"/>
      <c r="CH130" s="176"/>
      <c r="CI130" s="273"/>
      <c r="CJ130" s="195"/>
      <c r="CK130" s="195"/>
      <c r="CL130" s="176"/>
      <c r="CM130" s="195"/>
      <c r="CN130" s="176"/>
      <c r="CO130" s="176"/>
      <c r="CP130" s="195"/>
      <c r="CQ130" s="176"/>
      <c r="CR130" s="176"/>
      <c r="CS130" s="176"/>
      <c r="CT130" s="176"/>
      <c r="CU130" s="176"/>
      <c r="CV130" s="195"/>
      <c r="CW130" s="195"/>
      <c r="CX130" s="1114"/>
      <c r="CY130" s="195"/>
      <c r="CZ130" s="195"/>
      <c r="DA130" s="176"/>
      <c r="DB130" s="639"/>
      <c r="DC130" s="639"/>
    </row>
    <row r="131" spans="1:116" ht="16.5" customHeight="1" x14ac:dyDescent="0.35">
      <c r="A131" s="1577"/>
      <c r="B131" s="1652"/>
      <c r="C131" s="295" t="s">
        <v>127</v>
      </c>
      <c r="D131" s="264" t="s">
        <v>104</v>
      </c>
      <c r="E131" s="295" t="s">
        <v>39</v>
      </c>
      <c r="F131" s="119" t="s">
        <v>103</v>
      </c>
      <c r="G131" s="92" t="s">
        <v>41</v>
      </c>
      <c r="H131" s="82">
        <v>175.7</v>
      </c>
      <c r="I131" s="454" t="s">
        <v>41</v>
      </c>
      <c r="J131" s="662" t="s">
        <v>41</v>
      </c>
      <c r="K131" s="673" t="s">
        <v>41</v>
      </c>
      <c r="L131" s="7">
        <v>622</v>
      </c>
      <c r="M131" s="655">
        <v>770</v>
      </c>
      <c r="N131" s="667" t="s">
        <v>41</v>
      </c>
      <c r="O131" s="667" t="s">
        <v>41</v>
      </c>
      <c r="P131" s="162">
        <f t="shared" si="52"/>
        <v>277.70080000000002</v>
      </c>
      <c r="Q131" s="173">
        <f t="shared" si="77"/>
        <v>237.75839999999999</v>
      </c>
      <c r="R131" s="119">
        <v>200000</v>
      </c>
      <c r="S131" s="672" t="s">
        <v>41</v>
      </c>
      <c r="T131" s="162">
        <f t="shared" si="74"/>
        <v>639.1</v>
      </c>
      <c r="U131" s="173">
        <f t="shared" si="53"/>
        <v>17.299199999999985</v>
      </c>
      <c r="V131" s="173">
        <f t="shared" si="78"/>
        <v>57.241599999999991</v>
      </c>
      <c r="W131" s="124">
        <v>200000</v>
      </c>
      <c r="X131" s="500">
        <f>IF(T131&gt;L131,((L131*Q131)+(T131*V131))/(Q131+V131),L131)</f>
        <v>625.31807240677961</v>
      </c>
      <c r="Y131" s="683">
        <v>200000</v>
      </c>
      <c r="Z131" s="540">
        <f t="shared" si="70"/>
        <v>3.1265903620338979E-3</v>
      </c>
      <c r="AA131" s="463">
        <f t="shared" si="79"/>
        <v>770</v>
      </c>
      <c r="AB131" s="154"/>
      <c r="AC131" s="64">
        <v>300</v>
      </c>
      <c r="AD131" s="52">
        <v>50.1</v>
      </c>
      <c r="AE131" s="119">
        <v>1.58</v>
      </c>
      <c r="AF131" s="52">
        <v>1.5</v>
      </c>
      <c r="AG131" s="64">
        <v>2.8</v>
      </c>
      <c r="AH131" s="52">
        <v>295</v>
      </c>
      <c r="AI131" s="176">
        <f t="shared" si="56"/>
        <v>17.299199999999985</v>
      </c>
      <c r="AJ131" s="270">
        <f t="shared" si="75"/>
        <v>622</v>
      </c>
      <c r="AK131" s="119">
        <f t="shared" si="76"/>
        <v>200000</v>
      </c>
      <c r="AL131" s="195">
        <f t="shared" si="58"/>
        <v>3.1099999999999999E-3</v>
      </c>
      <c r="AM131" s="102">
        <f t="shared" si="59"/>
        <v>770</v>
      </c>
      <c r="AN131" s="208"/>
      <c r="AO131" s="195"/>
      <c r="AP131" s="195"/>
      <c r="AQ131" s="195"/>
      <c r="AR131" s="195"/>
      <c r="AS131" s="195"/>
      <c r="AT131" s="195"/>
      <c r="AU131" s="195"/>
      <c r="AV131" s="195"/>
      <c r="AW131" s="195"/>
      <c r="AX131" s="195"/>
      <c r="AY131" s="1116"/>
      <c r="AZ131" s="1114"/>
      <c r="BA131" s="176"/>
      <c r="BB131" s="1114"/>
      <c r="BC131" s="1114"/>
      <c r="BD131" s="176"/>
      <c r="BE131" s="1114"/>
      <c r="BF131" s="1114"/>
      <c r="BG131" s="1114"/>
      <c r="BH131" s="1114"/>
      <c r="BI131" s="195"/>
      <c r="BJ131" s="176"/>
      <c r="BK131" s="176"/>
      <c r="BL131" s="1114"/>
      <c r="BM131" s="195"/>
      <c r="BN131" s="1114"/>
      <c r="BO131" s="1114"/>
      <c r="BP131" s="195"/>
      <c r="BQ131" s="176"/>
      <c r="BR131" s="195"/>
      <c r="BS131" s="1114"/>
      <c r="BT131" s="195"/>
      <c r="BU131" s="195"/>
      <c r="BV131" s="176"/>
      <c r="BW131" s="119"/>
      <c r="BX131" s="226"/>
      <c r="BY131" s="862"/>
      <c r="BZ131" s="195"/>
      <c r="CA131" s="1114"/>
      <c r="CB131" s="1114"/>
      <c r="CC131" s="195"/>
      <c r="CD131" s="195"/>
      <c r="CE131" s="195"/>
      <c r="CF131" s="195"/>
      <c r="CG131" s="195"/>
      <c r="CH131" s="176"/>
      <c r="CI131" s="273"/>
      <c r="CJ131" s="195"/>
      <c r="CK131" s="195"/>
      <c r="CL131" s="176"/>
      <c r="CM131" s="195"/>
      <c r="CN131" s="176"/>
      <c r="CO131" s="176"/>
      <c r="CP131" s="195"/>
      <c r="CQ131" s="176"/>
      <c r="CR131" s="176"/>
      <c r="CS131" s="176"/>
      <c r="CT131" s="176"/>
      <c r="CU131" s="176"/>
      <c r="CV131" s="195"/>
      <c r="CW131" s="195"/>
      <c r="CX131" s="1114"/>
      <c r="CY131" s="195"/>
      <c r="CZ131" s="195"/>
      <c r="DA131" s="176"/>
      <c r="DB131" s="639"/>
      <c r="DC131" s="639"/>
    </row>
    <row r="132" spans="1:116" ht="15" customHeight="1" x14ac:dyDescent="0.35">
      <c r="A132" s="1577"/>
      <c r="B132" s="1653"/>
      <c r="C132" s="661" t="s">
        <v>127</v>
      </c>
      <c r="D132" s="268" t="s">
        <v>104</v>
      </c>
      <c r="E132" s="295" t="s">
        <v>39</v>
      </c>
      <c r="F132" s="70" t="s">
        <v>103</v>
      </c>
      <c r="G132" s="92" t="s">
        <v>41</v>
      </c>
      <c r="H132" s="83">
        <v>177.6</v>
      </c>
      <c r="I132" s="467" t="s">
        <v>41</v>
      </c>
      <c r="J132" s="674" t="s">
        <v>41</v>
      </c>
      <c r="K132" s="675" t="s">
        <v>41</v>
      </c>
      <c r="L132" s="8">
        <v>622</v>
      </c>
      <c r="M132" s="230">
        <v>770</v>
      </c>
      <c r="N132" s="665" t="s">
        <v>41</v>
      </c>
      <c r="O132" s="665" t="s">
        <v>41</v>
      </c>
      <c r="P132" s="162">
        <f t="shared" si="52"/>
        <v>272.18</v>
      </c>
      <c r="Q132" s="173">
        <f t="shared" si="77"/>
        <v>233.74</v>
      </c>
      <c r="R132" s="70">
        <v>200000</v>
      </c>
      <c r="S132" s="666" t="s">
        <v>41</v>
      </c>
      <c r="T132" s="162">
        <f t="shared" si="74"/>
        <v>639.1</v>
      </c>
      <c r="U132" s="173">
        <f t="shared" si="53"/>
        <v>16.819999999999993</v>
      </c>
      <c r="V132" s="173">
        <f t="shared" si="78"/>
        <v>55.26</v>
      </c>
      <c r="W132" s="127">
        <v>200000</v>
      </c>
      <c r="X132" s="500">
        <f t="shared" ref="X132:X138" si="80">IF(T132&gt;L132,((L132*Q132)+(T132*V132))/(Q132+V132),L132)</f>
        <v>625.26970934256053</v>
      </c>
      <c r="Y132" s="684">
        <v>200000</v>
      </c>
      <c r="Z132" s="539">
        <f t="shared" si="70"/>
        <v>3.1263485467128028E-3</v>
      </c>
      <c r="AA132" s="463">
        <f t="shared" si="79"/>
        <v>770</v>
      </c>
      <c r="AB132" s="664"/>
      <c r="AC132" s="76">
        <v>300</v>
      </c>
      <c r="AD132" s="56">
        <v>50</v>
      </c>
      <c r="AE132" s="70">
        <v>1.55</v>
      </c>
      <c r="AF132" s="56">
        <v>1.5</v>
      </c>
      <c r="AG132" s="76">
        <v>2.8</v>
      </c>
      <c r="AH132" s="52">
        <v>289</v>
      </c>
      <c r="AI132" s="184">
        <f t="shared" si="56"/>
        <v>16.819999999999993</v>
      </c>
      <c r="AJ132" s="270">
        <f t="shared" si="75"/>
        <v>622</v>
      </c>
      <c r="AK132" s="70">
        <f t="shared" si="76"/>
        <v>200000</v>
      </c>
      <c r="AL132" s="227">
        <f t="shared" si="58"/>
        <v>3.1099999999999999E-3</v>
      </c>
      <c r="AM132" s="301">
        <f t="shared" si="59"/>
        <v>770</v>
      </c>
      <c r="AN132" s="211"/>
      <c r="AO132" s="195"/>
      <c r="AP132" s="195"/>
      <c r="AQ132" s="195"/>
      <c r="AR132" s="195"/>
      <c r="AS132" s="195"/>
      <c r="AT132" s="195"/>
      <c r="AU132" s="195"/>
      <c r="AV132" s="195"/>
      <c r="AW132" s="195"/>
      <c r="AX132" s="195"/>
      <c r="AY132" s="1116"/>
      <c r="AZ132" s="1114"/>
      <c r="BA132" s="176"/>
      <c r="BB132" s="1114"/>
      <c r="BC132" s="1114"/>
      <c r="BD132" s="176"/>
      <c r="BE132" s="1114"/>
      <c r="BF132" s="1114"/>
      <c r="BG132" s="1114"/>
      <c r="BH132" s="1114"/>
      <c r="BI132" s="195"/>
      <c r="BJ132" s="176"/>
      <c r="BK132" s="176"/>
      <c r="BL132" s="1114"/>
      <c r="BM132" s="195"/>
      <c r="BN132" s="1114"/>
      <c r="BO132" s="1114"/>
      <c r="BP132" s="195"/>
      <c r="BQ132" s="176"/>
      <c r="BR132" s="195"/>
      <c r="BS132" s="1114"/>
      <c r="BT132" s="195"/>
      <c r="BU132" s="195"/>
      <c r="BV132" s="176"/>
      <c r="BW132" s="119"/>
      <c r="BX132" s="226"/>
      <c r="BY132" s="862"/>
      <c r="BZ132" s="195"/>
      <c r="CA132" s="1114"/>
      <c r="CB132" s="1114"/>
      <c r="CC132" s="195"/>
      <c r="CD132" s="195"/>
      <c r="CE132" s="195"/>
      <c r="CF132" s="195"/>
      <c r="CG132" s="195"/>
      <c r="CH132" s="176"/>
      <c r="CI132" s="273"/>
      <c r="CJ132" s="195"/>
      <c r="CK132" s="195"/>
      <c r="CL132" s="176"/>
      <c r="CM132" s="195"/>
      <c r="CN132" s="176"/>
      <c r="CO132" s="176"/>
      <c r="CP132" s="195"/>
      <c r="CQ132" s="176"/>
      <c r="CR132" s="176"/>
      <c r="CS132" s="176"/>
      <c r="CT132" s="176"/>
      <c r="CU132" s="176"/>
      <c r="CV132" s="195"/>
      <c r="CW132" s="195"/>
      <c r="CX132" s="1114"/>
      <c r="CY132" s="195"/>
      <c r="CZ132" s="195"/>
      <c r="DA132" s="176"/>
      <c r="DB132" s="639"/>
      <c r="DC132" s="639"/>
    </row>
    <row r="133" spans="1:116" ht="15.75" customHeight="1" x14ac:dyDescent="0.35">
      <c r="A133" s="1577"/>
      <c r="B133" s="1651">
        <v>1.4300999999999999</v>
      </c>
      <c r="C133" s="295" t="s">
        <v>127</v>
      </c>
      <c r="D133" s="264" t="s">
        <v>98</v>
      </c>
      <c r="E133" s="121" t="s">
        <v>39</v>
      </c>
      <c r="F133" s="119" t="s">
        <v>103</v>
      </c>
      <c r="G133" s="91" t="s">
        <v>41</v>
      </c>
      <c r="H133" s="82">
        <v>408.6</v>
      </c>
      <c r="I133" s="175" t="s">
        <v>41</v>
      </c>
      <c r="J133" s="690" t="s">
        <v>41</v>
      </c>
      <c r="K133" s="170" t="s">
        <v>41</v>
      </c>
      <c r="L133" s="6">
        <v>448</v>
      </c>
      <c r="M133" s="382">
        <v>699</v>
      </c>
      <c r="N133" s="159" t="s">
        <v>41</v>
      </c>
      <c r="O133" s="159" t="s">
        <v>41</v>
      </c>
      <c r="P133" s="169">
        <f t="shared" si="52"/>
        <v>1519.8399999999997</v>
      </c>
      <c r="Q133" s="165">
        <f t="shared" si="77"/>
        <v>1394.3999999999996</v>
      </c>
      <c r="R133" s="119">
        <v>189000</v>
      </c>
      <c r="S133" s="676" t="s">
        <v>41</v>
      </c>
      <c r="T133" s="169">
        <f t="shared" si="74"/>
        <v>580.16999999999996</v>
      </c>
      <c r="U133" s="165">
        <f t="shared" si="53"/>
        <v>87.160000000000309</v>
      </c>
      <c r="V133" s="165">
        <f t="shared" si="78"/>
        <v>212.60000000000031</v>
      </c>
      <c r="W133" s="124">
        <v>189000</v>
      </c>
      <c r="X133" s="537">
        <f t="shared" si="80"/>
        <v>465.48558929682633</v>
      </c>
      <c r="Y133" s="682">
        <v>189000</v>
      </c>
      <c r="Z133" s="537">
        <f t="shared" si="70"/>
        <v>2.4628867158562242E-3</v>
      </c>
      <c r="AA133" s="452">
        <f t="shared" si="79"/>
        <v>699</v>
      </c>
      <c r="AB133" s="205"/>
      <c r="AC133" s="75">
        <v>600</v>
      </c>
      <c r="AD133" s="55">
        <v>150.5</v>
      </c>
      <c r="AE133" s="374">
        <v>2.8</v>
      </c>
      <c r="AF133" s="55">
        <v>4.5999999999999996</v>
      </c>
      <c r="AG133" s="75">
        <v>7</v>
      </c>
      <c r="AH133" s="55">
        <v>1607</v>
      </c>
      <c r="AI133" s="172">
        <f t="shared" si="56"/>
        <v>87.160000000000309</v>
      </c>
      <c r="AJ133" s="269">
        <f t="shared" si="75"/>
        <v>448</v>
      </c>
      <c r="AK133" s="1148">
        <f t="shared" si="76"/>
        <v>189000</v>
      </c>
      <c r="AL133" s="218">
        <f t="shared" si="58"/>
        <v>2.3703703703703703E-3</v>
      </c>
      <c r="AM133" s="102">
        <f t="shared" si="59"/>
        <v>699</v>
      </c>
      <c r="AN133" s="204"/>
      <c r="AO133" s="195"/>
      <c r="AP133" s="195"/>
      <c r="AQ133" s="195"/>
      <c r="AR133" s="195"/>
      <c r="AS133" s="195"/>
      <c r="AT133" s="195"/>
      <c r="AU133" s="195"/>
      <c r="AV133" s="195"/>
      <c r="AW133" s="195"/>
      <c r="AX133" s="195"/>
      <c r="AY133" s="1116"/>
      <c r="AZ133" s="1114"/>
      <c r="BA133" s="176"/>
      <c r="BB133" s="1114"/>
      <c r="BC133" s="1114"/>
      <c r="BD133" s="176"/>
      <c r="BE133" s="1114"/>
      <c r="BF133" s="1114"/>
      <c r="BG133" s="1114"/>
      <c r="BH133" s="1114"/>
      <c r="BI133" s="195"/>
      <c r="BJ133" s="176"/>
      <c r="BK133" s="176"/>
      <c r="BL133" s="1114"/>
      <c r="BM133" s="195"/>
      <c r="BN133" s="1114"/>
      <c r="BO133" s="1114"/>
      <c r="BP133" s="195"/>
      <c r="BQ133" s="176"/>
      <c r="BR133" s="195"/>
      <c r="BS133" s="1114"/>
      <c r="BT133" s="195"/>
      <c r="BU133" s="195"/>
      <c r="BV133" s="176"/>
      <c r="BW133" s="119"/>
      <c r="BX133" s="226"/>
      <c r="BY133" s="862"/>
      <c r="BZ133" s="195"/>
      <c r="CA133" s="1114"/>
      <c r="CB133" s="1114"/>
      <c r="CC133" s="195"/>
      <c r="CD133" s="195"/>
      <c r="CE133" s="195"/>
      <c r="CF133" s="195"/>
      <c r="CG133" s="195"/>
      <c r="CH133" s="176"/>
      <c r="CI133" s="273"/>
      <c r="CJ133" s="195"/>
      <c r="CK133" s="195"/>
      <c r="CL133" s="176"/>
      <c r="CM133" s="195"/>
      <c r="CN133" s="176"/>
      <c r="CO133" s="176"/>
      <c r="CP133" s="195"/>
      <c r="CQ133" s="176"/>
      <c r="CR133" s="176"/>
      <c r="CS133" s="176"/>
      <c r="CT133" s="176"/>
      <c r="CU133" s="176"/>
      <c r="CV133" s="195"/>
      <c r="CW133" s="195"/>
      <c r="CX133" s="1114"/>
      <c r="CY133" s="195"/>
      <c r="CZ133" s="195"/>
      <c r="DA133" s="176"/>
      <c r="DB133" s="639"/>
      <c r="DC133" s="639"/>
    </row>
    <row r="134" spans="1:116" ht="15" customHeight="1" x14ac:dyDescent="0.35">
      <c r="A134" s="1578"/>
      <c r="B134" s="1653"/>
      <c r="C134" s="295" t="s">
        <v>127</v>
      </c>
      <c r="D134" s="264" t="s">
        <v>105</v>
      </c>
      <c r="E134" s="295" t="s">
        <v>39</v>
      </c>
      <c r="F134" s="119" t="s">
        <v>103</v>
      </c>
      <c r="G134" s="92" t="s">
        <v>41</v>
      </c>
      <c r="H134" s="82">
        <v>1927.4</v>
      </c>
      <c r="I134" s="454" t="s">
        <v>41</v>
      </c>
      <c r="J134" s="674" t="s">
        <v>41</v>
      </c>
      <c r="K134" s="675" t="s">
        <v>41</v>
      </c>
      <c r="L134" s="8">
        <v>497</v>
      </c>
      <c r="M134" s="230">
        <v>761</v>
      </c>
      <c r="N134" s="665" t="s">
        <v>41</v>
      </c>
      <c r="O134" s="665" t="s">
        <v>41</v>
      </c>
      <c r="P134" s="162">
        <f t="shared" si="52"/>
        <v>2997.5072</v>
      </c>
      <c r="Q134" s="173">
        <f t="shared" si="77"/>
        <v>2448.0735999999997</v>
      </c>
      <c r="R134" s="127">
        <v>194000</v>
      </c>
      <c r="S134" s="666" t="s">
        <v>41</v>
      </c>
      <c r="T134" s="162">
        <f t="shared" si="74"/>
        <v>631.63</v>
      </c>
      <c r="U134" s="173">
        <f t="shared" si="53"/>
        <v>384.49279999999999</v>
      </c>
      <c r="V134" s="173">
        <f t="shared" si="78"/>
        <v>933.92640000000006</v>
      </c>
      <c r="W134" s="127">
        <v>194000</v>
      </c>
      <c r="X134" s="539">
        <f t="shared" si="80"/>
        <v>534.17756097930214</v>
      </c>
      <c r="Y134" s="684">
        <v>194000</v>
      </c>
      <c r="Z134" s="539">
        <f t="shared" si="70"/>
        <v>2.7534925823675368E-3</v>
      </c>
      <c r="AA134" s="471">
        <f t="shared" si="79"/>
        <v>761</v>
      </c>
      <c r="AB134" s="664"/>
      <c r="AC134" s="76">
        <v>601</v>
      </c>
      <c r="AD134" s="56">
        <v>150.19999999999999</v>
      </c>
      <c r="AE134" s="70">
        <v>5.86</v>
      </c>
      <c r="AF134" s="56">
        <v>5.3</v>
      </c>
      <c r="AG134" s="76">
        <v>12.3</v>
      </c>
      <c r="AH134" s="52">
        <v>3382</v>
      </c>
      <c r="AI134" s="176">
        <f t="shared" si="56"/>
        <v>384.49279999999999</v>
      </c>
      <c r="AJ134" s="271">
        <f t="shared" si="75"/>
        <v>497</v>
      </c>
      <c r="AK134" s="70">
        <f t="shared" si="76"/>
        <v>194000</v>
      </c>
      <c r="AL134" s="227">
        <f t="shared" si="58"/>
        <v>2.5618556701030928E-3</v>
      </c>
      <c r="AM134" s="301">
        <f t="shared" si="59"/>
        <v>761</v>
      </c>
      <c r="AN134" s="211"/>
      <c r="AO134" s="195"/>
      <c r="AP134" s="195"/>
      <c r="AQ134" s="195"/>
      <c r="AR134" s="195"/>
      <c r="AS134" s="195"/>
      <c r="AT134" s="195"/>
      <c r="AU134" s="195"/>
      <c r="AV134" s="195"/>
      <c r="AW134" s="195"/>
      <c r="AX134" s="195"/>
      <c r="AY134" s="1116"/>
      <c r="AZ134" s="1114"/>
      <c r="BA134" s="176"/>
      <c r="BB134" s="1114"/>
      <c r="BC134" s="1114"/>
      <c r="BD134" s="176"/>
      <c r="BE134" s="1114"/>
      <c r="BF134" s="1114"/>
      <c r="BG134" s="1114"/>
      <c r="BH134" s="1114"/>
      <c r="BI134" s="195"/>
      <c r="BJ134" s="176"/>
      <c r="BK134" s="176"/>
      <c r="BL134" s="1114"/>
      <c r="BM134" s="195"/>
      <c r="BN134" s="1114"/>
      <c r="BO134" s="1114"/>
      <c r="BP134" s="195"/>
      <c r="BQ134" s="176"/>
      <c r="BR134" s="195"/>
      <c r="BS134" s="1114"/>
      <c r="BT134" s="195"/>
      <c r="BU134" s="195"/>
      <c r="BV134" s="176"/>
      <c r="BW134" s="119"/>
      <c r="BX134" s="226"/>
      <c r="BY134" s="862"/>
      <c r="BZ134" s="195"/>
      <c r="CA134" s="1114"/>
      <c r="CB134" s="1114"/>
      <c r="CC134" s="195"/>
      <c r="CD134" s="195"/>
      <c r="CE134" s="195"/>
      <c r="CF134" s="195"/>
      <c r="CG134" s="195"/>
      <c r="CH134" s="176"/>
      <c r="CI134" s="273"/>
      <c r="CJ134" s="195"/>
      <c r="CK134" s="195"/>
      <c r="CL134" s="176"/>
      <c r="CM134" s="195"/>
      <c r="CN134" s="176"/>
      <c r="CO134" s="176"/>
      <c r="CP134" s="195"/>
      <c r="CQ134" s="176"/>
      <c r="CR134" s="176"/>
      <c r="CS134" s="176"/>
      <c r="CT134" s="176"/>
      <c r="CU134" s="176"/>
      <c r="CV134" s="195"/>
      <c r="CW134" s="195"/>
      <c r="CX134" s="1114"/>
      <c r="CY134" s="195"/>
      <c r="CZ134" s="195"/>
      <c r="DA134" s="176"/>
      <c r="DB134" s="639"/>
      <c r="DC134" s="639"/>
    </row>
    <row r="135" spans="1:116" ht="15" customHeight="1" x14ac:dyDescent="0.35">
      <c r="A135" s="1576" t="s">
        <v>106</v>
      </c>
      <c r="B135" s="1651">
        <v>1.4300999999999999</v>
      </c>
      <c r="C135" s="121" t="s">
        <v>127</v>
      </c>
      <c r="D135" s="262" t="s">
        <v>107</v>
      </c>
      <c r="E135" s="121" t="s">
        <v>39</v>
      </c>
      <c r="F135" s="126" t="s">
        <v>103</v>
      </c>
      <c r="G135" s="91" t="s">
        <v>41</v>
      </c>
      <c r="H135" s="111">
        <v>194</v>
      </c>
      <c r="I135" s="448" t="s">
        <v>41</v>
      </c>
      <c r="J135" s="690" t="s">
        <v>41</v>
      </c>
      <c r="K135" s="170" t="s">
        <v>41</v>
      </c>
      <c r="L135" s="159">
        <v>337</v>
      </c>
      <c r="M135" s="159">
        <v>636</v>
      </c>
      <c r="N135" s="159" t="s">
        <v>41</v>
      </c>
      <c r="O135" s="159" t="s">
        <v>41</v>
      </c>
      <c r="P135" s="169">
        <f t="shared" si="52"/>
        <v>475.81920000000002</v>
      </c>
      <c r="Q135" s="165">
        <f t="shared" si="77"/>
        <v>417.44960000000003</v>
      </c>
      <c r="R135" s="170">
        <v>195000</v>
      </c>
      <c r="S135" s="676" t="s">
        <v>41</v>
      </c>
      <c r="T135" s="172">
        <f>0.83*M135</f>
        <v>527.88</v>
      </c>
      <c r="U135" s="165">
        <f t="shared" si="53"/>
        <v>36.180799999999977</v>
      </c>
      <c r="V135" s="165">
        <f t="shared" si="78"/>
        <v>94.550399999999968</v>
      </c>
      <c r="W135" s="170">
        <v>195000</v>
      </c>
      <c r="X135" s="174">
        <f t="shared" si="80"/>
        <v>372.249571</v>
      </c>
      <c r="Y135" s="682">
        <v>195000</v>
      </c>
      <c r="Z135" s="537">
        <f t="shared" ref="Z135:Z142" si="81">X135/Y135</f>
        <v>1.9089721589743589E-3</v>
      </c>
      <c r="AA135" s="463">
        <f t="shared" si="79"/>
        <v>636</v>
      </c>
      <c r="AB135" s="205"/>
      <c r="AC135" s="75">
        <v>360</v>
      </c>
      <c r="AD135" s="55">
        <v>69.900000000000006</v>
      </c>
      <c r="AE135" s="374">
        <v>1.91</v>
      </c>
      <c r="AF135" s="55">
        <v>1.9</v>
      </c>
      <c r="AG135" s="272">
        <f>AF135+AE135</f>
        <v>3.8099999999999996</v>
      </c>
      <c r="AH135" s="55">
        <v>512</v>
      </c>
      <c r="AI135" s="172">
        <f t="shared" si="56"/>
        <v>36.180799999999977</v>
      </c>
      <c r="AJ135" s="270">
        <f t="shared" si="75"/>
        <v>337</v>
      </c>
      <c r="AK135" s="1148">
        <v>195000</v>
      </c>
      <c r="AL135" s="218">
        <f>AJ135/AK135</f>
        <v>1.7282051282051282E-3</v>
      </c>
      <c r="AM135" s="102">
        <f t="shared" si="59"/>
        <v>636</v>
      </c>
      <c r="AN135" s="204"/>
      <c r="AO135" s="195"/>
      <c r="AP135" s="195"/>
      <c r="AQ135" s="195"/>
      <c r="AR135" s="195"/>
      <c r="AS135" s="195"/>
      <c r="AT135" s="195"/>
      <c r="AU135" s="195"/>
      <c r="AV135" s="195"/>
      <c r="AW135" s="195"/>
      <c r="AX135" s="195"/>
      <c r="AY135" s="1116"/>
      <c r="AZ135" s="1114"/>
      <c r="BA135" s="176"/>
      <c r="BB135" s="1114"/>
      <c r="BC135" s="1114"/>
      <c r="BD135" s="176"/>
      <c r="BE135" s="1114"/>
      <c r="BF135" s="1114"/>
      <c r="BG135" s="1114"/>
      <c r="BH135" s="1114"/>
      <c r="BI135" s="195"/>
      <c r="BJ135" s="176"/>
      <c r="BK135" s="176"/>
      <c r="BL135" s="1114"/>
      <c r="BM135" s="195"/>
      <c r="BN135" s="1114"/>
      <c r="BO135" s="1114"/>
      <c r="BP135" s="195"/>
      <c r="BQ135" s="176"/>
      <c r="BR135" s="195"/>
      <c r="BS135" s="1114"/>
      <c r="BT135" s="195"/>
      <c r="BU135" s="195"/>
      <c r="BV135" s="176"/>
      <c r="BW135" s="119"/>
      <c r="BX135" s="226"/>
      <c r="BY135" s="862"/>
      <c r="BZ135" s="195"/>
      <c r="CA135" s="1114"/>
      <c r="CB135" s="1114"/>
      <c r="CC135" s="195"/>
      <c r="CD135" s="195"/>
      <c r="CE135" s="195"/>
      <c r="CF135" s="195"/>
      <c r="CG135" s="195"/>
      <c r="CH135" s="176"/>
      <c r="CI135" s="273"/>
      <c r="CJ135" s="195"/>
      <c r="CK135" s="195"/>
      <c r="CL135" s="176"/>
      <c r="CM135" s="195"/>
      <c r="CN135" s="176"/>
      <c r="CO135" s="176"/>
      <c r="CP135" s="195"/>
      <c r="CQ135" s="176"/>
      <c r="CR135" s="176"/>
      <c r="CS135" s="176"/>
      <c r="CT135" s="176"/>
      <c r="CU135" s="176"/>
      <c r="CV135" s="195"/>
      <c r="CW135" s="195"/>
      <c r="CX135" s="1114"/>
      <c r="CY135" s="195"/>
      <c r="CZ135" s="195"/>
      <c r="DA135" s="176"/>
      <c r="DB135" s="639"/>
      <c r="DC135" s="639"/>
    </row>
    <row r="136" spans="1:116" ht="18" customHeight="1" x14ac:dyDescent="0.35">
      <c r="A136" s="1577"/>
      <c r="B136" s="1652"/>
      <c r="C136" s="295" t="s">
        <v>127</v>
      </c>
      <c r="D136" s="264" t="s">
        <v>107</v>
      </c>
      <c r="E136" s="295" t="s">
        <v>39</v>
      </c>
      <c r="F136" s="124" t="s">
        <v>103</v>
      </c>
      <c r="G136" s="92" t="s">
        <v>41</v>
      </c>
      <c r="H136" s="110">
        <v>193.1</v>
      </c>
      <c r="I136" s="454" t="s">
        <v>41</v>
      </c>
      <c r="J136" s="155" t="s">
        <v>41</v>
      </c>
      <c r="K136" s="156" t="s">
        <v>41</v>
      </c>
      <c r="L136" s="7">
        <v>337</v>
      </c>
      <c r="M136" s="655">
        <v>636</v>
      </c>
      <c r="N136" s="655" t="s">
        <v>41</v>
      </c>
      <c r="O136" s="655" t="s">
        <v>41</v>
      </c>
      <c r="P136" s="162">
        <f t="shared" si="52"/>
        <v>480.49279999999999</v>
      </c>
      <c r="Q136" s="173">
        <f t="shared" si="77"/>
        <v>420.89440000000002</v>
      </c>
      <c r="R136" s="673">
        <v>195000</v>
      </c>
      <c r="S136" s="672" t="s">
        <v>41</v>
      </c>
      <c r="T136" s="176">
        <f>0.83*M136</f>
        <v>527.88</v>
      </c>
      <c r="U136" s="173">
        <f t="shared" si="53"/>
        <v>35.507199999999983</v>
      </c>
      <c r="V136" s="173">
        <f t="shared" si="78"/>
        <v>95.105599999999981</v>
      </c>
      <c r="W136" s="673">
        <v>195000</v>
      </c>
      <c r="X136" s="174">
        <f t="shared" si="80"/>
        <v>372.18169947286827</v>
      </c>
      <c r="Y136" s="683">
        <v>195000</v>
      </c>
      <c r="Z136" s="540">
        <f t="shared" si="81"/>
        <v>1.9086240998608629E-3</v>
      </c>
      <c r="AA136" s="463">
        <f t="shared" si="79"/>
        <v>636</v>
      </c>
      <c r="AB136" s="154"/>
      <c r="AC136" s="64">
        <v>360</v>
      </c>
      <c r="AD136" s="52">
        <v>69.900000000000006</v>
      </c>
      <c r="AE136" s="119">
        <v>1.93</v>
      </c>
      <c r="AF136" s="52">
        <v>1.9</v>
      </c>
      <c r="AG136" s="273">
        <f>AF136+AE136</f>
        <v>3.83</v>
      </c>
      <c r="AH136" s="52">
        <v>516</v>
      </c>
      <c r="AI136" s="176">
        <f t="shared" si="56"/>
        <v>35.507199999999983</v>
      </c>
      <c r="AJ136" s="270">
        <f t="shared" si="75"/>
        <v>337</v>
      </c>
      <c r="AK136" s="119">
        <v>195000</v>
      </c>
      <c r="AL136" s="195">
        <f>AJ136/AK136</f>
        <v>1.7282051282051282E-3</v>
      </c>
      <c r="AM136" s="102">
        <f t="shared" si="59"/>
        <v>636</v>
      </c>
      <c r="AN136" s="208"/>
      <c r="AO136" s="195"/>
      <c r="AP136" s="195"/>
      <c r="AQ136" s="195"/>
      <c r="AR136" s="195"/>
      <c r="AS136" s="195"/>
      <c r="AT136" s="195"/>
      <c r="AU136" s="195"/>
      <c r="AV136" s="195"/>
      <c r="AW136" s="195"/>
      <c r="AX136" s="195"/>
      <c r="AY136" s="1116"/>
      <c r="AZ136" s="1114"/>
      <c r="BA136" s="176"/>
      <c r="BB136" s="1114"/>
      <c r="BC136" s="1114"/>
      <c r="BD136" s="176"/>
      <c r="BE136" s="1114"/>
      <c r="BF136" s="1114"/>
      <c r="BG136" s="1114"/>
      <c r="BH136" s="1114"/>
      <c r="BI136" s="195"/>
      <c r="BJ136" s="176"/>
      <c r="BK136" s="176"/>
      <c r="BL136" s="1114"/>
      <c r="BM136" s="195"/>
      <c r="BN136" s="1114"/>
      <c r="BO136" s="1114"/>
      <c r="BP136" s="195"/>
      <c r="BQ136" s="176"/>
      <c r="BR136" s="195"/>
      <c r="BS136" s="1114"/>
      <c r="BT136" s="195"/>
      <c r="BU136" s="195"/>
      <c r="BV136" s="176"/>
      <c r="BW136" s="119"/>
      <c r="BX136" s="226"/>
      <c r="BY136" s="862"/>
      <c r="BZ136" s="195"/>
      <c r="CA136" s="1114"/>
      <c r="CB136" s="1114"/>
      <c r="CC136" s="195"/>
      <c r="CD136" s="195"/>
      <c r="CE136" s="195"/>
      <c r="CF136" s="195"/>
      <c r="CG136" s="195"/>
      <c r="CH136" s="176"/>
      <c r="CI136" s="273"/>
      <c r="CJ136" s="195"/>
      <c r="CK136" s="195"/>
      <c r="CL136" s="176"/>
      <c r="CM136" s="195"/>
      <c r="CN136" s="176"/>
      <c r="CO136" s="176"/>
      <c r="CP136" s="195"/>
      <c r="CQ136" s="176"/>
      <c r="CR136" s="176"/>
      <c r="CS136" s="176"/>
      <c r="CT136" s="176"/>
      <c r="CU136" s="176"/>
      <c r="CV136" s="195"/>
      <c r="CW136" s="195"/>
      <c r="CX136" s="1114"/>
      <c r="CY136" s="195"/>
      <c r="CZ136" s="195"/>
      <c r="DA136" s="176"/>
      <c r="DB136" s="639"/>
      <c r="DC136" s="639"/>
    </row>
    <row r="137" spans="1:116" ht="17.25" customHeight="1" x14ac:dyDescent="0.35">
      <c r="A137" s="1577"/>
      <c r="B137" s="1652"/>
      <c r="C137" s="295" t="s">
        <v>127</v>
      </c>
      <c r="D137" s="264" t="s">
        <v>108</v>
      </c>
      <c r="E137" s="295" t="s">
        <v>39</v>
      </c>
      <c r="F137" s="124" t="s">
        <v>103</v>
      </c>
      <c r="G137" s="92" t="s">
        <v>41</v>
      </c>
      <c r="H137" s="110">
        <v>825.3</v>
      </c>
      <c r="I137" s="454" t="s">
        <v>41</v>
      </c>
      <c r="J137" s="155" t="s">
        <v>41</v>
      </c>
      <c r="K137" s="156" t="s">
        <v>41</v>
      </c>
      <c r="L137" s="7">
        <v>444</v>
      </c>
      <c r="M137" s="655">
        <v>688</v>
      </c>
      <c r="N137" s="655" t="s">
        <v>41</v>
      </c>
      <c r="O137" s="655" t="s">
        <v>41</v>
      </c>
      <c r="P137" s="162">
        <f t="shared" si="52"/>
        <v>1012.4351999999999</v>
      </c>
      <c r="Q137" s="173">
        <f t="shared" si="77"/>
        <v>634.52159999999981</v>
      </c>
      <c r="R137" s="673">
        <v>194000</v>
      </c>
      <c r="S137" s="672" t="s">
        <v>41</v>
      </c>
      <c r="T137" s="176">
        <f>0.83*M137</f>
        <v>571.04</v>
      </c>
      <c r="U137" s="173">
        <f t="shared" si="53"/>
        <v>200.56480000000005</v>
      </c>
      <c r="V137" s="173">
        <f t="shared" si="78"/>
        <v>578.47840000000008</v>
      </c>
      <c r="W137" s="673">
        <v>194000</v>
      </c>
      <c r="X137" s="174">
        <f t="shared" si="80"/>
        <v>504.58523984830993</v>
      </c>
      <c r="Y137" s="683">
        <v>194000</v>
      </c>
      <c r="Z137" s="540">
        <f t="shared" si="81"/>
        <v>2.6009548445789172E-3</v>
      </c>
      <c r="AA137" s="463">
        <f t="shared" si="79"/>
        <v>688</v>
      </c>
      <c r="AB137" s="154"/>
      <c r="AC137" s="64">
        <v>358.5</v>
      </c>
      <c r="AD137" s="52">
        <v>70</v>
      </c>
      <c r="AE137" s="119">
        <v>4.8600000000000003</v>
      </c>
      <c r="AF137" s="52">
        <v>4.0999999999999996</v>
      </c>
      <c r="AG137" s="273">
        <f>AF137+AE137</f>
        <v>8.9600000000000009</v>
      </c>
      <c r="AH137" s="52">
        <v>1213</v>
      </c>
      <c r="AI137" s="176">
        <f t="shared" si="56"/>
        <v>200.56480000000005</v>
      </c>
      <c r="AJ137" s="270">
        <f t="shared" si="75"/>
        <v>444</v>
      </c>
      <c r="AK137" s="119">
        <v>194000</v>
      </c>
      <c r="AL137" s="195">
        <f>AJ137/AK137</f>
        <v>2.2886597938144332E-3</v>
      </c>
      <c r="AM137" s="102">
        <f t="shared" si="59"/>
        <v>688</v>
      </c>
      <c r="AN137" s="208"/>
      <c r="AO137" s="195"/>
      <c r="AP137" s="195"/>
      <c r="AQ137" s="195"/>
      <c r="AR137" s="195"/>
      <c r="AS137" s="195"/>
      <c r="AT137" s="195"/>
      <c r="AU137" s="195"/>
      <c r="AV137" s="195"/>
      <c r="AW137" s="195"/>
      <c r="AX137" s="195"/>
      <c r="AY137" s="1116"/>
      <c r="AZ137" s="1114"/>
      <c r="BA137" s="176"/>
      <c r="BB137" s="1114"/>
      <c r="BC137" s="1114"/>
      <c r="BD137" s="176"/>
      <c r="BE137" s="1114"/>
      <c r="BF137" s="1114"/>
      <c r="BG137" s="1114"/>
      <c r="BH137" s="1114"/>
      <c r="BI137" s="195"/>
      <c r="BJ137" s="176"/>
      <c r="BK137" s="176"/>
      <c r="BL137" s="1114"/>
      <c r="BM137" s="195"/>
      <c r="BN137" s="1114"/>
      <c r="BO137" s="1114"/>
      <c r="BP137" s="195"/>
      <c r="BQ137" s="176"/>
      <c r="BR137" s="195"/>
      <c r="BS137" s="1114"/>
      <c r="BT137" s="195"/>
      <c r="BU137" s="195"/>
      <c r="BV137" s="176"/>
      <c r="BW137" s="119"/>
      <c r="BX137" s="226"/>
      <c r="BY137" s="862"/>
      <c r="BZ137" s="195"/>
      <c r="CA137" s="1114"/>
      <c r="CB137" s="1114"/>
      <c r="CC137" s="195"/>
      <c r="CD137" s="195"/>
      <c r="CE137" s="195"/>
      <c r="CF137" s="195"/>
      <c r="CG137" s="195"/>
      <c r="CH137" s="176"/>
      <c r="CI137" s="273"/>
      <c r="CJ137" s="195"/>
      <c r="CK137" s="195"/>
      <c r="CL137" s="176"/>
      <c r="CM137" s="195"/>
      <c r="CN137" s="176"/>
      <c r="CO137" s="176"/>
      <c r="CP137" s="195"/>
      <c r="CQ137" s="176"/>
      <c r="CR137" s="176"/>
      <c r="CS137" s="176"/>
      <c r="CT137" s="176"/>
      <c r="CU137" s="176"/>
      <c r="CV137" s="195"/>
      <c r="CW137" s="195"/>
      <c r="CX137" s="1114"/>
      <c r="CY137" s="195"/>
      <c r="CZ137" s="195"/>
      <c r="DA137" s="176"/>
      <c r="DB137" s="639"/>
      <c r="DC137" s="639"/>
    </row>
    <row r="138" spans="1:116" ht="15.75" customHeight="1" x14ac:dyDescent="0.35">
      <c r="A138" s="1578"/>
      <c r="B138" s="1653"/>
      <c r="C138" s="661" t="s">
        <v>127</v>
      </c>
      <c r="D138" s="268" t="s">
        <v>108</v>
      </c>
      <c r="E138" s="661" t="s">
        <v>39</v>
      </c>
      <c r="F138" s="127" t="s">
        <v>103</v>
      </c>
      <c r="G138" s="93" t="s">
        <v>41</v>
      </c>
      <c r="H138" s="112">
        <v>843.9</v>
      </c>
      <c r="I138" s="467" t="s">
        <v>41</v>
      </c>
      <c r="J138" s="674" t="s">
        <v>41</v>
      </c>
      <c r="K138" s="675" t="s">
        <v>41</v>
      </c>
      <c r="L138" s="665">
        <v>444</v>
      </c>
      <c r="M138" s="665">
        <v>688</v>
      </c>
      <c r="N138" s="665" t="s">
        <v>41</v>
      </c>
      <c r="O138" s="665" t="s">
        <v>41</v>
      </c>
      <c r="P138" s="162">
        <f t="shared" si="52"/>
        <v>1018.9232000000002</v>
      </c>
      <c r="Q138" s="179">
        <f t="shared" si="77"/>
        <v>633.19360000000017</v>
      </c>
      <c r="R138" s="675">
        <v>194000</v>
      </c>
      <c r="S138" s="666" t="s">
        <v>41</v>
      </c>
      <c r="T138" s="176">
        <f>0.83*M138</f>
        <v>571.04</v>
      </c>
      <c r="U138" s="173">
        <f t="shared" si="53"/>
        <v>204.07679999999982</v>
      </c>
      <c r="V138" s="179">
        <f t="shared" si="78"/>
        <v>589.80639999999983</v>
      </c>
      <c r="W138" s="675">
        <v>194000</v>
      </c>
      <c r="X138" s="174">
        <f t="shared" si="80"/>
        <v>505.26656177923138</v>
      </c>
      <c r="Y138" s="684">
        <v>194000</v>
      </c>
      <c r="Z138" s="539">
        <f t="shared" si="81"/>
        <v>2.604466813295007E-3</v>
      </c>
      <c r="AA138" s="463">
        <f t="shared" si="79"/>
        <v>688</v>
      </c>
      <c r="AB138" s="664"/>
      <c r="AC138" s="76">
        <v>358.5</v>
      </c>
      <c r="AD138" s="56">
        <v>69.900000000000006</v>
      </c>
      <c r="AE138" s="70">
        <v>4.91</v>
      </c>
      <c r="AF138" s="56">
        <v>4.0999999999999996</v>
      </c>
      <c r="AG138" s="274">
        <f>AF138+AE138</f>
        <v>9.01</v>
      </c>
      <c r="AH138" s="56">
        <v>1223</v>
      </c>
      <c r="AI138" s="184">
        <f t="shared" si="56"/>
        <v>204.07679999999982</v>
      </c>
      <c r="AJ138" s="270">
        <f t="shared" si="75"/>
        <v>444</v>
      </c>
      <c r="AK138" s="70">
        <v>194000</v>
      </c>
      <c r="AL138" s="227">
        <f>AJ138/AK138</f>
        <v>2.2886597938144332E-3</v>
      </c>
      <c r="AM138" s="301">
        <f t="shared" si="59"/>
        <v>688</v>
      </c>
      <c r="AN138" s="211"/>
      <c r="AO138" s="195"/>
      <c r="AP138" s="195"/>
      <c r="AQ138" s="195"/>
      <c r="AR138" s="195"/>
      <c r="AS138" s="195"/>
      <c r="AT138" s="195"/>
      <c r="AU138" s="195"/>
      <c r="AV138" s="195"/>
      <c r="AW138" s="195"/>
      <c r="AX138" s="195"/>
      <c r="AY138" s="1116"/>
      <c r="AZ138" s="1114"/>
      <c r="BA138" s="176"/>
      <c r="BB138" s="1114"/>
      <c r="BC138" s="1114"/>
      <c r="BD138" s="176"/>
      <c r="BE138" s="1114"/>
      <c r="BF138" s="1114"/>
      <c r="BG138" s="1114"/>
      <c r="BH138" s="1114"/>
      <c r="BI138" s="195"/>
      <c r="BJ138" s="176"/>
      <c r="BK138" s="176"/>
      <c r="BL138" s="1114"/>
      <c r="BM138" s="195"/>
      <c r="BN138" s="1114"/>
      <c r="BO138" s="1114"/>
      <c r="BP138" s="195"/>
      <c r="BQ138" s="176"/>
      <c r="BR138" s="195"/>
      <c r="BS138" s="1114"/>
      <c r="BT138" s="195"/>
      <c r="BU138" s="195"/>
      <c r="BV138" s="176"/>
      <c r="BW138" s="119"/>
      <c r="BX138" s="226"/>
      <c r="BY138" s="862"/>
      <c r="BZ138" s="195"/>
      <c r="CA138" s="1114"/>
      <c r="CB138" s="1114"/>
      <c r="CC138" s="195"/>
      <c r="CD138" s="195"/>
      <c r="CE138" s="195"/>
      <c r="CF138" s="195"/>
      <c r="CG138" s="195"/>
      <c r="CH138" s="176"/>
      <c r="CI138" s="273"/>
      <c r="CJ138" s="195"/>
      <c r="CK138" s="195"/>
      <c r="CL138" s="176"/>
      <c r="CM138" s="195"/>
      <c r="CN138" s="176"/>
      <c r="CO138" s="176"/>
      <c r="CP138" s="195"/>
      <c r="CQ138" s="176"/>
      <c r="CR138" s="176"/>
      <c r="CS138" s="176"/>
      <c r="CT138" s="176"/>
      <c r="CU138" s="176"/>
      <c r="CV138" s="195"/>
      <c r="CW138" s="195"/>
      <c r="CX138" s="1114"/>
      <c r="CY138" s="195"/>
      <c r="CZ138" s="195"/>
      <c r="DA138" s="176"/>
      <c r="DB138" s="639"/>
      <c r="DC138" s="639"/>
    </row>
    <row r="139" spans="1:116" s="491" customFormat="1" ht="15" customHeight="1" x14ac:dyDescent="0.35">
      <c r="A139" s="1577" t="s">
        <v>109</v>
      </c>
      <c r="B139" s="1652">
        <v>1.4318</v>
      </c>
      <c r="C139" s="121" t="s">
        <v>88</v>
      </c>
      <c r="D139" s="264" t="s">
        <v>110</v>
      </c>
      <c r="E139" s="295" t="s">
        <v>39</v>
      </c>
      <c r="F139" s="119" t="s">
        <v>103</v>
      </c>
      <c r="G139" s="541">
        <f>0.001*AH139*X139</f>
        <v>494.52805440000003</v>
      </c>
      <c r="H139" s="82">
        <v>598</v>
      </c>
      <c r="I139" s="435">
        <f t="shared" ref="I139:I144" si="82">H139/G139</f>
        <v>1.2092337222921361</v>
      </c>
      <c r="J139" s="263" t="s">
        <v>41</v>
      </c>
      <c r="K139" s="221" t="s">
        <v>41</v>
      </c>
      <c r="L139" s="382">
        <v>520</v>
      </c>
      <c r="M139" s="382">
        <v>835</v>
      </c>
      <c r="N139" s="382" t="s">
        <v>41</v>
      </c>
      <c r="O139" s="382" t="s">
        <v>41</v>
      </c>
      <c r="P139" s="172">
        <f t="shared" si="52"/>
        <v>811.21680000000015</v>
      </c>
      <c r="Q139" s="218" t="s">
        <v>41</v>
      </c>
      <c r="R139" s="221">
        <v>187500</v>
      </c>
      <c r="S139" s="434">
        <v>612</v>
      </c>
      <c r="T139" s="172" t="s">
        <v>41</v>
      </c>
      <c r="U139" s="218">
        <f t="shared" si="53"/>
        <v>118.78319999999991</v>
      </c>
      <c r="V139" s="382" t="s">
        <v>41</v>
      </c>
      <c r="W139" s="382">
        <v>187000</v>
      </c>
      <c r="X139" s="541">
        <f>((L139*P139)+(S139*U139))/(P139+U139)</f>
        <v>531.75059612903226</v>
      </c>
      <c r="Y139" s="221">
        <v>187500</v>
      </c>
      <c r="Z139" s="541">
        <f t="shared" si="81"/>
        <v>2.8360031793548388E-3</v>
      </c>
      <c r="AA139" s="542">
        <f t="shared" si="79"/>
        <v>835</v>
      </c>
      <c r="AB139" s="222"/>
      <c r="AC139" s="75">
        <v>400</v>
      </c>
      <c r="AD139" s="55">
        <v>80.2</v>
      </c>
      <c r="AE139" s="374">
        <v>3.07</v>
      </c>
      <c r="AF139" s="55">
        <v>4</v>
      </c>
      <c r="AG139" s="272">
        <f t="shared" ref="AG139:AG152" si="83">AE139+AF139</f>
        <v>7.07</v>
      </c>
      <c r="AH139" s="55">
        <v>930</v>
      </c>
      <c r="AI139" s="172">
        <f t="shared" si="56"/>
        <v>118.78319999999991</v>
      </c>
      <c r="AJ139" s="269">
        <f t="shared" si="75"/>
        <v>520</v>
      </c>
      <c r="AK139" s="1148">
        <v>187500</v>
      </c>
      <c r="AL139" s="218">
        <f>AJ139/AK139</f>
        <v>2.7733333333333334E-3</v>
      </c>
      <c r="AM139" s="102">
        <f t="shared" si="59"/>
        <v>835</v>
      </c>
      <c r="AN139" s="380"/>
      <c r="AO139" s="195"/>
      <c r="AP139" s="195"/>
      <c r="AQ139" s="195"/>
      <c r="AR139" s="195"/>
      <c r="AS139" s="195"/>
      <c r="AT139" s="195"/>
      <c r="AU139" s="195"/>
      <c r="AV139" s="195"/>
      <c r="AW139" s="195"/>
      <c r="AX139" s="195"/>
      <c r="AY139" s="1116"/>
      <c r="AZ139" s="1114"/>
      <c r="BA139" s="176"/>
      <c r="BB139" s="1114"/>
      <c r="BC139" s="1114"/>
      <c r="BD139" s="176"/>
      <c r="BE139" s="1114"/>
      <c r="BF139" s="1114"/>
      <c r="BG139" s="1114"/>
      <c r="BH139" s="1114"/>
      <c r="BI139" s="195"/>
      <c r="BJ139" s="176"/>
      <c r="BK139" s="176"/>
      <c r="BL139" s="1114"/>
      <c r="BM139" s="195"/>
      <c r="BN139" s="1114"/>
      <c r="BO139" s="1114"/>
      <c r="BP139" s="195"/>
      <c r="BQ139" s="176"/>
      <c r="BR139" s="195"/>
      <c r="BS139" s="1114"/>
      <c r="BT139" s="195"/>
      <c r="BU139" s="195"/>
      <c r="BV139" s="176"/>
      <c r="BW139" s="1114"/>
      <c r="BX139" s="226"/>
      <c r="BY139" s="862"/>
      <c r="BZ139" s="195"/>
      <c r="CA139" s="1114"/>
      <c r="CB139" s="1114"/>
      <c r="CC139" s="195"/>
      <c r="CD139" s="195"/>
      <c r="CE139" s="195"/>
      <c r="CF139" s="195"/>
      <c r="CG139" s="195"/>
      <c r="CH139" s="176"/>
      <c r="CI139" s="273"/>
      <c r="CJ139" s="195"/>
      <c r="CK139" s="195"/>
      <c r="CL139" s="176"/>
      <c r="CM139" s="195"/>
      <c r="CN139" s="176"/>
      <c r="CO139" s="176"/>
      <c r="CP139" s="195"/>
      <c r="CQ139" s="176"/>
      <c r="CR139" s="176"/>
      <c r="CS139" s="176"/>
      <c r="CT139" s="176"/>
      <c r="CU139" s="176"/>
      <c r="CV139" s="195"/>
      <c r="CW139" s="195"/>
      <c r="CX139" s="1114"/>
      <c r="CY139" s="195"/>
      <c r="CZ139" s="195"/>
      <c r="DA139" s="176"/>
      <c r="DB139" s="639"/>
      <c r="DC139" s="639"/>
    </row>
    <row r="140" spans="1:116" s="491" customFormat="1" ht="14.25" customHeight="1" x14ac:dyDescent="0.35">
      <c r="A140" s="1577"/>
      <c r="B140" s="1652"/>
      <c r="C140" s="295" t="s">
        <v>88</v>
      </c>
      <c r="D140" s="264" t="s">
        <v>110</v>
      </c>
      <c r="E140" s="295" t="s">
        <v>39</v>
      </c>
      <c r="F140" s="119" t="s">
        <v>103</v>
      </c>
      <c r="G140" s="540">
        <f>0.001*AH140*X140</f>
        <v>627.32010240000011</v>
      </c>
      <c r="H140" s="82">
        <v>755</v>
      </c>
      <c r="I140" s="435">
        <f t="shared" si="82"/>
        <v>1.2035322909492656</v>
      </c>
      <c r="J140" s="155" t="s">
        <v>41</v>
      </c>
      <c r="K140" s="156" t="s">
        <v>41</v>
      </c>
      <c r="L140" s="655">
        <v>652</v>
      </c>
      <c r="M140" s="655">
        <v>1025</v>
      </c>
      <c r="N140" s="655" t="s">
        <v>41</v>
      </c>
      <c r="O140" s="655" t="s">
        <v>41</v>
      </c>
      <c r="P140" s="176">
        <f t="shared" si="52"/>
        <v>834.52320000000009</v>
      </c>
      <c r="Q140" s="195" t="s">
        <v>41</v>
      </c>
      <c r="R140" s="156">
        <v>173000</v>
      </c>
      <c r="S140" s="157">
        <v>820</v>
      </c>
      <c r="T140" s="176" t="s">
        <v>41</v>
      </c>
      <c r="U140" s="195">
        <f t="shared" si="53"/>
        <v>101.47679999999997</v>
      </c>
      <c r="V140" s="655" t="s">
        <v>41</v>
      </c>
      <c r="W140" s="655">
        <v>173000</v>
      </c>
      <c r="X140" s="540">
        <f>((L140*P140)+(S140*U140))/(P140+U140)</f>
        <v>670.21378461538472</v>
      </c>
      <c r="Y140" s="156">
        <v>173000</v>
      </c>
      <c r="Z140" s="540">
        <f t="shared" si="81"/>
        <v>3.8740681191640736E-3</v>
      </c>
      <c r="AA140" s="543">
        <f t="shared" si="79"/>
        <v>1025</v>
      </c>
      <c r="AB140" s="154"/>
      <c r="AC140" s="64">
        <v>400</v>
      </c>
      <c r="AD140" s="52">
        <v>80.3</v>
      </c>
      <c r="AE140" s="119">
        <v>3.06</v>
      </c>
      <c r="AF140" s="52">
        <v>3</v>
      </c>
      <c r="AG140" s="273">
        <f t="shared" si="83"/>
        <v>6.0600000000000005</v>
      </c>
      <c r="AH140" s="52">
        <v>936</v>
      </c>
      <c r="AI140" s="176">
        <f t="shared" si="56"/>
        <v>101.47679999999997</v>
      </c>
      <c r="AJ140" s="270">
        <f t="shared" si="75"/>
        <v>652</v>
      </c>
      <c r="AK140" s="119">
        <v>173000</v>
      </c>
      <c r="AL140" s="195">
        <f t="shared" ref="AL140:AL159" si="84">AJ140/AK140</f>
        <v>3.7687861271676303E-3</v>
      </c>
      <c r="AM140" s="102">
        <f t="shared" si="59"/>
        <v>1025</v>
      </c>
      <c r="AN140" s="384"/>
      <c r="AO140" s="195"/>
      <c r="AP140" s="195"/>
      <c r="AQ140" s="195"/>
      <c r="AR140" s="195"/>
      <c r="AS140" s="195"/>
      <c r="AT140" s="195"/>
      <c r="AU140" s="195"/>
      <c r="AV140" s="195"/>
      <c r="AW140" s="195"/>
      <c r="AX140" s="195"/>
      <c r="AY140" s="1116"/>
      <c r="AZ140" s="1114"/>
      <c r="BA140" s="176"/>
      <c r="BB140" s="1114"/>
      <c r="BC140" s="1114"/>
      <c r="BD140" s="176"/>
      <c r="BE140" s="1114"/>
      <c r="BF140" s="1114"/>
      <c r="BG140" s="1114"/>
      <c r="BH140" s="1114"/>
      <c r="BI140" s="195"/>
      <c r="BJ140" s="176"/>
      <c r="BK140" s="176"/>
      <c r="BL140" s="1114"/>
      <c r="BM140" s="195"/>
      <c r="BN140" s="1114"/>
      <c r="BO140" s="1114"/>
      <c r="BP140" s="195"/>
      <c r="BQ140" s="176"/>
      <c r="BR140" s="195"/>
      <c r="BS140" s="1114"/>
      <c r="BT140" s="195"/>
      <c r="BU140" s="195"/>
      <c r="BV140" s="176"/>
      <c r="BW140" s="1114"/>
      <c r="BX140" s="226"/>
      <c r="BY140" s="862"/>
      <c r="BZ140" s="195"/>
      <c r="CA140" s="1114"/>
      <c r="CB140" s="1114"/>
      <c r="CC140" s="195"/>
      <c r="CD140" s="195"/>
      <c r="CE140" s="195"/>
      <c r="CF140" s="195"/>
      <c r="CG140" s="195"/>
      <c r="CH140" s="176"/>
      <c r="CI140" s="273"/>
      <c r="CJ140" s="195"/>
      <c r="CK140" s="195"/>
      <c r="CL140" s="176"/>
      <c r="CM140" s="195"/>
      <c r="CN140" s="176"/>
      <c r="CO140" s="176"/>
      <c r="CP140" s="195"/>
      <c r="CQ140" s="176"/>
      <c r="CR140" s="176"/>
      <c r="CS140" s="176"/>
      <c r="CT140" s="176"/>
      <c r="CU140" s="176"/>
      <c r="CV140" s="195"/>
      <c r="CW140" s="195"/>
      <c r="CX140" s="1114"/>
      <c r="CY140" s="195"/>
      <c r="CZ140" s="195"/>
      <c r="DA140" s="176"/>
      <c r="DB140" s="639"/>
      <c r="DC140" s="639"/>
    </row>
    <row r="141" spans="1:116" s="491" customFormat="1" ht="15.75" customHeight="1" x14ac:dyDescent="0.35">
      <c r="A141" s="1577"/>
      <c r="B141" s="1652"/>
      <c r="C141" s="295" t="s">
        <v>88</v>
      </c>
      <c r="D141" s="264" t="s">
        <v>111</v>
      </c>
      <c r="E141" s="295" t="s">
        <v>39</v>
      </c>
      <c r="F141" s="119" t="s">
        <v>103</v>
      </c>
      <c r="G141" s="540">
        <f>0.001*AH141*X141</f>
        <v>606.50024500000006</v>
      </c>
      <c r="H141" s="82">
        <v>609</v>
      </c>
      <c r="I141" s="435">
        <f t="shared" si="82"/>
        <v>1.004121605919549</v>
      </c>
      <c r="J141" s="155" t="s">
        <v>41</v>
      </c>
      <c r="K141" s="156" t="s">
        <v>41</v>
      </c>
      <c r="L141" s="655">
        <v>481</v>
      </c>
      <c r="M141" s="655">
        <v>806</v>
      </c>
      <c r="N141" s="655" t="s">
        <v>41</v>
      </c>
      <c r="O141" s="655" t="s">
        <v>41</v>
      </c>
      <c r="P141" s="176">
        <f t="shared" si="52"/>
        <v>1079.0899999999999</v>
      </c>
      <c r="Q141" s="195">
        <f>AH141-AI141-8*(2*AE141*AE141)</f>
        <v>930.25</v>
      </c>
      <c r="R141" s="156">
        <v>195000</v>
      </c>
      <c r="S141" s="157" t="s">
        <v>41</v>
      </c>
      <c r="T141" s="176">
        <f>0.83*M141</f>
        <v>668.98</v>
      </c>
      <c r="U141" s="195">
        <f t="shared" si="53"/>
        <v>88.910000000000082</v>
      </c>
      <c r="V141" s="195">
        <f>AI141+8*(2*AE141*AE141)</f>
        <v>237.75000000000006</v>
      </c>
      <c r="W141" s="156">
        <v>195000</v>
      </c>
      <c r="X141" s="224">
        <f>((L141*Q141)+(T141*V141))/(Q141+V141)</f>
        <v>519.26390839041107</v>
      </c>
      <c r="Y141" s="156">
        <v>195000</v>
      </c>
      <c r="Z141" s="540">
        <f t="shared" si="81"/>
        <v>2.6628918378995441E-3</v>
      </c>
      <c r="AA141" s="543">
        <f t="shared" si="79"/>
        <v>806</v>
      </c>
      <c r="AB141" s="154"/>
      <c r="AC141" s="64">
        <v>400</v>
      </c>
      <c r="AD141" s="52">
        <v>100.05</v>
      </c>
      <c r="AE141" s="119">
        <v>3.05</v>
      </c>
      <c r="AF141" s="52">
        <v>2.75</v>
      </c>
      <c r="AG141" s="273">
        <f t="shared" si="83"/>
        <v>5.8</v>
      </c>
      <c r="AH141" s="52">
        <v>1168</v>
      </c>
      <c r="AI141" s="176">
        <f t="shared" si="56"/>
        <v>88.910000000000082</v>
      </c>
      <c r="AJ141" s="270">
        <f t="shared" si="75"/>
        <v>481</v>
      </c>
      <c r="AK141" s="119">
        <v>195000</v>
      </c>
      <c r="AL141" s="195">
        <f t="shared" si="84"/>
        <v>2.4666666666666665E-3</v>
      </c>
      <c r="AM141" s="102">
        <f t="shared" si="59"/>
        <v>806</v>
      </c>
      <c r="AN141" s="384"/>
      <c r="AO141" s="195"/>
      <c r="AP141" s="195"/>
      <c r="AQ141" s="195"/>
      <c r="AR141" s="195"/>
      <c r="AS141" s="195"/>
      <c r="AT141" s="195"/>
      <c r="AU141" s="195"/>
      <c r="AV141" s="195"/>
      <c r="AW141" s="195"/>
      <c r="AX141" s="195"/>
      <c r="AY141" s="1116"/>
      <c r="AZ141" s="1114"/>
      <c r="BA141" s="176"/>
      <c r="BB141" s="1114"/>
      <c r="BC141" s="1114"/>
      <c r="BD141" s="176"/>
      <c r="BE141" s="1114"/>
      <c r="BF141" s="1114"/>
      <c r="BG141" s="1114"/>
      <c r="BH141" s="1114"/>
      <c r="BI141" s="195"/>
      <c r="BJ141" s="176"/>
      <c r="BK141" s="176"/>
      <c r="BL141" s="1114"/>
      <c r="BM141" s="195"/>
      <c r="BN141" s="1114"/>
      <c r="BO141" s="1114"/>
      <c r="BP141" s="195"/>
      <c r="BQ141" s="176"/>
      <c r="BR141" s="195"/>
      <c r="BS141" s="1114"/>
      <c r="BT141" s="195"/>
      <c r="BU141" s="195"/>
      <c r="BV141" s="176"/>
      <c r="BW141" s="1114"/>
      <c r="BX141" s="226"/>
      <c r="BY141" s="862"/>
      <c r="BZ141" s="195"/>
      <c r="CA141" s="1114"/>
      <c r="CB141" s="1114"/>
      <c r="CC141" s="195"/>
      <c r="CD141" s="195"/>
      <c r="CE141" s="195"/>
      <c r="CF141" s="195"/>
      <c r="CG141" s="195"/>
      <c r="CH141" s="176"/>
      <c r="CI141" s="273"/>
      <c r="CJ141" s="195"/>
      <c r="CK141" s="195"/>
      <c r="CL141" s="176"/>
      <c r="CM141" s="195"/>
      <c r="CN141" s="176"/>
      <c r="CO141" s="176"/>
      <c r="CP141" s="195"/>
      <c r="CQ141" s="176"/>
      <c r="CR141" s="176"/>
      <c r="CS141" s="176"/>
      <c r="CT141" s="176"/>
      <c r="CU141" s="176"/>
      <c r="CV141" s="195"/>
      <c r="CW141" s="195"/>
      <c r="CX141" s="1114"/>
      <c r="CY141" s="195"/>
      <c r="CZ141" s="195"/>
      <c r="DA141" s="176"/>
      <c r="DB141" s="639"/>
      <c r="DC141" s="639"/>
    </row>
    <row r="142" spans="1:116" s="491" customFormat="1" ht="15.75" customHeight="1" x14ac:dyDescent="0.35">
      <c r="A142" s="1577"/>
      <c r="B142" s="1652"/>
      <c r="C142" s="661" t="s">
        <v>88</v>
      </c>
      <c r="D142" s="264" t="s">
        <v>111</v>
      </c>
      <c r="E142" s="295" t="s">
        <v>39</v>
      </c>
      <c r="F142" s="119" t="s">
        <v>103</v>
      </c>
      <c r="G142" s="544">
        <f>0.001*AH142*X142</f>
        <v>750.96365470000001</v>
      </c>
      <c r="H142" s="82">
        <v>656</v>
      </c>
      <c r="I142" s="545">
        <f t="shared" si="82"/>
        <v>0.87354427327386874</v>
      </c>
      <c r="J142" s="155" t="s">
        <v>41</v>
      </c>
      <c r="K142" s="156" t="s">
        <v>41</v>
      </c>
      <c r="L142" s="655">
        <v>608</v>
      </c>
      <c r="M142" s="655">
        <v>943</v>
      </c>
      <c r="N142" s="655" t="s">
        <v>41</v>
      </c>
      <c r="O142" s="655" t="s">
        <v>41</v>
      </c>
      <c r="P142" s="176">
        <f>AH142-AI142</f>
        <v>1074.21</v>
      </c>
      <c r="Q142" s="195">
        <f>AH142-AI142-8*(2*AE142*AE142)</f>
        <v>925.37000000000012</v>
      </c>
      <c r="R142" s="156">
        <v>183500</v>
      </c>
      <c r="S142" s="157" t="s">
        <v>41</v>
      </c>
      <c r="T142" s="176">
        <f>0.83*M142</f>
        <v>782.68999999999994</v>
      </c>
      <c r="U142" s="195">
        <f t="shared" si="53"/>
        <v>91.789999999999964</v>
      </c>
      <c r="V142" s="195">
        <f>AI142+8*(2*AE142*AE142)</f>
        <v>240.62999999999994</v>
      </c>
      <c r="W142" s="156">
        <v>183500</v>
      </c>
      <c r="X142" s="540">
        <f>((L142*Q142)+(T142*V142))/(Q142+V142)</f>
        <v>644.05116183533448</v>
      </c>
      <c r="Y142" s="156">
        <v>183500</v>
      </c>
      <c r="Z142" s="540">
        <f t="shared" si="81"/>
        <v>3.5098155958328855E-3</v>
      </c>
      <c r="AA142" s="546">
        <f t="shared" si="79"/>
        <v>943</v>
      </c>
      <c r="AB142" s="154"/>
      <c r="AC142" s="64">
        <v>400</v>
      </c>
      <c r="AD142" s="52">
        <v>100.15</v>
      </c>
      <c r="AE142" s="119">
        <v>3.05</v>
      </c>
      <c r="AF142" s="52">
        <v>3</v>
      </c>
      <c r="AG142" s="273">
        <f t="shared" si="83"/>
        <v>6.05</v>
      </c>
      <c r="AH142" s="52">
        <v>1166</v>
      </c>
      <c r="AI142" s="176">
        <f t="shared" si="56"/>
        <v>91.789999999999964</v>
      </c>
      <c r="AJ142" s="271">
        <f t="shared" si="75"/>
        <v>608</v>
      </c>
      <c r="AK142" s="119">
        <v>183500</v>
      </c>
      <c r="AL142" s="195">
        <f t="shared" si="84"/>
        <v>3.3133514986376021E-3</v>
      </c>
      <c r="AM142" s="301">
        <f t="shared" si="59"/>
        <v>943</v>
      </c>
      <c r="AN142" s="384"/>
      <c r="AO142" s="195"/>
      <c r="AP142" s="195"/>
      <c r="AQ142" s="195"/>
      <c r="AR142" s="195"/>
      <c r="AS142" s="195"/>
      <c r="AT142" s="195"/>
      <c r="AU142" s="195"/>
      <c r="AV142" s="195"/>
      <c r="AW142" s="195"/>
      <c r="AX142" s="195"/>
      <c r="AY142" s="1116"/>
      <c r="AZ142" s="1114"/>
      <c r="BA142" s="176"/>
      <c r="BB142" s="1114"/>
      <c r="BC142" s="1114"/>
      <c r="BD142" s="176"/>
      <c r="BE142" s="1114"/>
      <c r="BF142" s="1114"/>
      <c r="BG142" s="1114"/>
      <c r="BH142" s="1114"/>
      <c r="BI142" s="195"/>
      <c r="BJ142" s="176"/>
      <c r="BK142" s="176"/>
      <c r="BL142" s="1114"/>
      <c r="BM142" s="195"/>
      <c r="BN142" s="1114"/>
      <c r="BO142" s="1114"/>
      <c r="BP142" s="195"/>
      <c r="BQ142" s="176"/>
      <c r="BR142" s="195"/>
      <c r="BS142" s="1114"/>
      <c r="BT142" s="195"/>
      <c r="BU142" s="195"/>
      <c r="BV142" s="176"/>
      <c r="BW142" s="1114"/>
      <c r="BX142" s="226"/>
      <c r="BY142" s="862"/>
      <c r="BZ142" s="195"/>
      <c r="CA142" s="1114"/>
      <c r="CB142" s="1114"/>
      <c r="CC142" s="195"/>
      <c r="CD142" s="195"/>
      <c r="CE142" s="195"/>
      <c r="CF142" s="195"/>
      <c r="CG142" s="195"/>
      <c r="CH142" s="176"/>
      <c r="CI142" s="273"/>
      <c r="CJ142" s="195"/>
      <c r="CK142" s="195"/>
      <c r="CL142" s="176"/>
      <c r="CM142" s="195"/>
      <c r="CN142" s="176"/>
      <c r="CO142" s="176"/>
      <c r="CP142" s="195"/>
      <c r="CQ142" s="176"/>
      <c r="CR142" s="176"/>
      <c r="CS142" s="176"/>
      <c r="CT142" s="176"/>
      <c r="CU142" s="176"/>
      <c r="CV142" s="195"/>
      <c r="CW142" s="195"/>
      <c r="CX142" s="1114"/>
      <c r="CY142" s="195"/>
      <c r="CZ142" s="195"/>
      <c r="DA142" s="176"/>
      <c r="DB142" s="639"/>
      <c r="DC142" s="639"/>
    </row>
    <row r="143" spans="1:116" ht="13.15" x14ac:dyDescent="0.35">
      <c r="A143" s="1583" t="s">
        <v>308</v>
      </c>
      <c r="B143" s="1613" t="s">
        <v>170</v>
      </c>
      <c r="C143" s="121" t="s">
        <v>127</v>
      </c>
      <c r="D143" s="547" t="s">
        <v>152</v>
      </c>
      <c r="E143" s="121" t="s">
        <v>73</v>
      </c>
      <c r="F143" s="689" t="s">
        <v>103</v>
      </c>
      <c r="G143" s="537">
        <f>0.001*AH143*X143</f>
        <v>908.28372000000002</v>
      </c>
      <c r="H143" s="111">
        <v>1022</v>
      </c>
      <c r="I143" s="448">
        <f t="shared" si="82"/>
        <v>1.1251990732587389</v>
      </c>
      <c r="J143" s="263" t="s">
        <v>41</v>
      </c>
      <c r="K143" s="221" t="s">
        <v>41</v>
      </c>
      <c r="L143" s="676">
        <v>586</v>
      </c>
      <c r="M143" s="382">
        <v>761</v>
      </c>
      <c r="N143" s="382" t="s">
        <v>41</v>
      </c>
      <c r="O143" s="382" t="s">
        <v>41</v>
      </c>
      <c r="P143" s="169">
        <f t="shared" ref="P143:P152" si="85">AH143-AI143</f>
        <v>1352.5488</v>
      </c>
      <c r="Q143" s="165" t="s">
        <v>41</v>
      </c>
      <c r="R143" s="159">
        <v>198800</v>
      </c>
      <c r="S143" s="676">
        <v>811</v>
      </c>
      <c r="T143" s="169" t="s">
        <v>41</v>
      </c>
      <c r="U143" s="165">
        <f t="shared" si="53"/>
        <v>142.65120000000002</v>
      </c>
      <c r="V143" s="514"/>
      <c r="W143" s="170">
        <v>206000</v>
      </c>
      <c r="X143" s="166">
        <f t="shared" ref="X143:X152" si="86">((L143*P143)+(S143*U143))/(P143+U143)</f>
        <v>607.46637239165329</v>
      </c>
      <c r="Y143" s="452">
        <f t="shared" ref="Y143:Y148" si="87">R143</f>
        <v>198800</v>
      </c>
      <c r="Z143" s="537">
        <f>X143/Y143</f>
        <v>3.0556658571008716E-3</v>
      </c>
      <c r="AA143" s="463">
        <f t="shared" si="79"/>
        <v>761</v>
      </c>
      <c r="AB143" s="168"/>
      <c r="AC143" s="258">
        <v>400</v>
      </c>
      <c r="AD143" s="258">
        <v>101.5</v>
      </c>
      <c r="AE143" s="159">
        <v>3.93</v>
      </c>
      <c r="AF143" s="159">
        <v>3.8</v>
      </c>
      <c r="AG143" s="159">
        <f t="shared" si="83"/>
        <v>7.73</v>
      </c>
      <c r="AH143" s="258">
        <v>1495.2</v>
      </c>
      <c r="AI143" s="172">
        <f t="shared" si="56"/>
        <v>142.65120000000002</v>
      </c>
      <c r="AJ143" s="270">
        <f t="shared" si="75"/>
        <v>586</v>
      </c>
      <c r="AK143" s="159">
        <v>198800</v>
      </c>
      <c r="AL143" s="218">
        <f t="shared" si="84"/>
        <v>2.9476861167002013E-3</v>
      </c>
      <c r="AM143" s="102">
        <f t="shared" si="59"/>
        <v>761</v>
      </c>
      <c r="AN143" s="161"/>
      <c r="AO143" s="195"/>
      <c r="AP143" s="195"/>
      <c r="AQ143" s="195"/>
      <c r="AR143" s="195"/>
      <c r="AS143" s="195"/>
      <c r="AT143" s="195"/>
      <c r="AU143" s="195"/>
      <c r="AV143" s="195"/>
      <c r="AW143" s="195"/>
      <c r="AX143" s="195"/>
      <c r="AY143" s="1116"/>
      <c r="AZ143" s="1114"/>
      <c r="BA143" s="176"/>
      <c r="BB143" s="1114"/>
      <c r="BC143" s="1114"/>
      <c r="BD143" s="176"/>
      <c r="BE143" s="1114"/>
      <c r="BF143" s="1114"/>
      <c r="BG143" s="1114"/>
      <c r="BH143" s="1114"/>
      <c r="BI143" s="195"/>
      <c r="BJ143" s="176"/>
      <c r="BK143" s="176"/>
      <c r="BL143" s="1114"/>
      <c r="BM143" s="195"/>
      <c r="BN143" s="1114"/>
      <c r="BO143" s="1114"/>
      <c r="BP143" s="195"/>
      <c r="BQ143" s="176"/>
      <c r="BR143" s="195"/>
      <c r="BS143" s="1114"/>
      <c r="BT143" s="195"/>
      <c r="BU143" s="195"/>
      <c r="BV143" s="176"/>
      <c r="BW143" s="1114"/>
      <c r="BX143" s="226"/>
      <c r="BY143" s="862"/>
      <c r="BZ143" s="195"/>
      <c r="CA143" s="1114"/>
      <c r="CB143" s="1114"/>
      <c r="CC143" s="195"/>
      <c r="CD143" s="195"/>
      <c r="CE143" s="195"/>
      <c r="CF143" s="195"/>
      <c r="CG143" s="195"/>
      <c r="CH143" s="176"/>
      <c r="CI143" s="273"/>
      <c r="CJ143" s="195"/>
      <c r="CK143" s="195"/>
      <c r="CL143" s="176"/>
      <c r="CM143" s="195"/>
      <c r="CN143" s="176"/>
      <c r="CO143" s="176"/>
      <c r="CP143" s="195"/>
      <c r="CQ143" s="176"/>
      <c r="CR143" s="176"/>
      <c r="CS143" s="176"/>
      <c r="CT143" s="176"/>
      <c r="CU143" s="176"/>
      <c r="CV143" s="195"/>
      <c r="CW143" s="195"/>
      <c r="CX143" s="1114"/>
      <c r="CY143" s="195"/>
      <c r="CZ143" s="195"/>
      <c r="DA143" s="176"/>
      <c r="DB143" s="639"/>
      <c r="DC143" s="639"/>
      <c r="DE143" s="548"/>
      <c r="DL143" s="195"/>
    </row>
    <row r="144" spans="1:116" ht="13.15" x14ac:dyDescent="0.35">
      <c r="A144" s="1584"/>
      <c r="B144" s="1614"/>
      <c r="C144" s="295" t="s">
        <v>127</v>
      </c>
      <c r="D144" s="521" t="s">
        <v>153</v>
      </c>
      <c r="E144" s="295" t="s">
        <v>73</v>
      </c>
      <c r="F144" s="119" t="s">
        <v>103</v>
      </c>
      <c r="G144" s="500">
        <f t="shared" ref="G144:G159" si="88">0.001*AH144*X144</f>
        <v>926.53822000000002</v>
      </c>
      <c r="H144" s="110">
        <v>1037</v>
      </c>
      <c r="I144" s="454">
        <f t="shared" si="82"/>
        <v>1.119219884960601</v>
      </c>
      <c r="J144" s="155" t="s">
        <v>41</v>
      </c>
      <c r="K144" s="156" t="s">
        <v>41</v>
      </c>
      <c r="L144" s="672">
        <v>586</v>
      </c>
      <c r="M144" s="655">
        <v>761</v>
      </c>
      <c r="N144" s="655" t="s">
        <v>41</v>
      </c>
      <c r="O144" s="655" t="s">
        <v>41</v>
      </c>
      <c r="P144" s="162">
        <f t="shared" si="85"/>
        <v>1377.7488000000001</v>
      </c>
      <c r="Q144" s="173" t="s">
        <v>41</v>
      </c>
      <c r="R144" s="667">
        <v>198800</v>
      </c>
      <c r="S144" s="672">
        <v>811</v>
      </c>
      <c r="T144" s="176" t="s">
        <v>41</v>
      </c>
      <c r="U144" s="173">
        <f t="shared" si="53"/>
        <v>146.95119999999997</v>
      </c>
      <c r="V144" s="143"/>
      <c r="W144" s="673">
        <v>206000</v>
      </c>
      <c r="X144" s="174">
        <f t="shared" si="86"/>
        <v>607.68559060798839</v>
      </c>
      <c r="Y144" s="463">
        <f t="shared" si="87"/>
        <v>198800</v>
      </c>
      <c r="Z144" s="500">
        <f t="shared" ref="Z144:Z159" si="89">X144/Y144</f>
        <v>3.0567685644265008E-3</v>
      </c>
      <c r="AA144" s="463">
        <f t="shared" si="79"/>
        <v>761</v>
      </c>
      <c r="AB144" s="175"/>
      <c r="AC144" s="246">
        <v>400</v>
      </c>
      <c r="AD144" s="246">
        <v>102.5</v>
      </c>
      <c r="AE144" s="360">
        <v>3.97</v>
      </c>
      <c r="AF144" s="360">
        <v>3.9</v>
      </c>
      <c r="AG144" s="273">
        <f t="shared" si="83"/>
        <v>7.87</v>
      </c>
      <c r="AH144" s="246">
        <v>1524.7</v>
      </c>
      <c r="AI144" s="176">
        <f t="shared" si="56"/>
        <v>146.95119999999997</v>
      </c>
      <c r="AJ144" s="270">
        <f t="shared" si="75"/>
        <v>586</v>
      </c>
      <c r="AK144" s="1124">
        <v>198800</v>
      </c>
      <c r="AL144" s="195">
        <f t="shared" si="84"/>
        <v>2.9476861167002013E-3</v>
      </c>
      <c r="AM144" s="102">
        <f t="shared" si="59"/>
        <v>761</v>
      </c>
      <c r="AN144" s="1123"/>
      <c r="AO144" s="195"/>
      <c r="AP144" s="195"/>
      <c r="AQ144" s="195"/>
      <c r="AR144" s="195"/>
      <c r="AS144" s="195"/>
      <c r="AT144" s="195"/>
      <c r="AU144" s="195"/>
      <c r="AV144" s="195"/>
      <c r="AW144" s="195"/>
      <c r="AX144" s="195"/>
      <c r="AY144" s="1116"/>
      <c r="AZ144" s="1114"/>
      <c r="BA144" s="176"/>
      <c r="BB144" s="1114"/>
      <c r="BC144" s="1114"/>
      <c r="BD144" s="176"/>
      <c r="BE144" s="1114"/>
      <c r="BF144" s="1114"/>
      <c r="BG144" s="1114"/>
      <c r="BH144" s="1114"/>
      <c r="BI144" s="195"/>
      <c r="BJ144" s="176"/>
      <c r="BK144" s="176"/>
      <c r="BL144" s="1114"/>
      <c r="BM144" s="195"/>
      <c r="BN144" s="1114"/>
      <c r="BO144" s="1114"/>
      <c r="BP144" s="195"/>
      <c r="BQ144" s="176"/>
      <c r="BR144" s="195"/>
      <c r="BS144" s="1114"/>
      <c r="BT144" s="195"/>
      <c r="BU144" s="195"/>
      <c r="BV144" s="176"/>
      <c r="BW144" s="1114"/>
      <c r="BX144" s="226"/>
      <c r="BY144" s="862"/>
      <c r="BZ144" s="195"/>
      <c r="CA144" s="1114"/>
      <c r="CB144" s="1114"/>
      <c r="CC144" s="195"/>
      <c r="CD144" s="195"/>
      <c r="CE144" s="195"/>
      <c r="CF144" s="195"/>
      <c r="CG144" s="195"/>
      <c r="CH144" s="176"/>
      <c r="CI144" s="273"/>
      <c r="CJ144" s="195"/>
      <c r="CK144" s="195"/>
      <c r="CL144" s="176"/>
      <c r="CM144" s="195"/>
      <c r="CN144" s="176"/>
      <c r="CO144" s="176"/>
      <c r="CP144" s="195"/>
      <c r="CQ144" s="176"/>
      <c r="CR144" s="176"/>
      <c r="CS144" s="176"/>
      <c r="CT144" s="176"/>
      <c r="CU144" s="176"/>
      <c r="CV144" s="195"/>
      <c r="CW144" s="195"/>
      <c r="CX144" s="1114"/>
      <c r="CY144" s="195"/>
      <c r="CZ144" s="195"/>
      <c r="DA144" s="176"/>
      <c r="DB144" s="639"/>
      <c r="DC144" s="639"/>
    </row>
    <row r="145" spans="1:110" ht="13.15" x14ac:dyDescent="0.35">
      <c r="A145" s="1584"/>
      <c r="B145" s="1614"/>
      <c r="C145" s="295" t="s">
        <v>127</v>
      </c>
      <c r="D145" s="521" t="s">
        <v>154</v>
      </c>
      <c r="E145" s="295" t="s">
        <v>73</v>
      </c>
      <c r="F145" s="119" t="s">
        <v>103</v>
      </c>
      <c r="G145" s="500">
        <f t="shared" si="88"/>
        <v>786.38057440000011</v>
      </c>
      <c r="H145" s="110">
        <v>923</v>
      </c>
      <c r="I145" s="454">
        <f>H145/G145</f>
        <v>1.1737319436002587</v>
      </c>
      <c r="J145" s="155" t="s">
        <v>41</v>
      </c>
      <c r="K145" s="156" t="s">
        <v>41</v>
      </c>
      <c r="L145" s="672">
        <v>679</v>
      </c>
      <c r="M145" s="655">
        <v>773</v>
      </c>
      <c r="N145" s="655" t="s">
        <v>41</v>
      </c>
      <c r="O145" s="655" t="s">
        <v>41</v>
      </c>
      <c r="P145" s="162">
        <f t="shared" si="85"/>
        <v>1007.0927999999999</v>
      </c>
      <c r="Q145" s="173" t="s">
        <v>41</v>
      </c>
      <c r="R145" s="667">
        <v>199900</v>
      </c>
      <c r="S145" s="672">
        <v>731</v>
      </c>
      <c r="T145" s="176" t="s">
        <v>41</v>
      </c>
      <c r="U145" s="173">
        <f t="shared" si="53"/>
        <v>140.30720000000014</v>
      </c>
      <c r="V145" s="143"/>
      <c r="W145" s="673">
        <v>210000</v>
      </c>
      <c r="X145" s="174">
        <f t="shared" si="86"/>
        <v>685.35870176050196</v>
      </c>
      <c r="Y145" s="463">
        <f t="shared" si="87"/>
        <v>199900</v>
      </c>
      <c r="Z145" s="500">
        <f t="shared" si="89"/>
        <v>3.4285077626838517E-3</v>
      </c>
      <c r="AA145" s="463">
        <f t="shared" si="79"/>
        <v>773</v>
      </c>
      <c r="AB145" s="175"/>
      <c r="AC145" s="246">
        <v>319.7</v>
      </c>
      <c r="AD145" s="246">
        <v>80.25</v>
      </c>
      <c r="AE145" s="360">
        <v>3.88</v>
      </c>
      <c r="AF145" s="360">
        <v>3.8</v>
      </c>
      <c r="AG145" s="273">
        <f t="shared" si="83"/>
        <v>7.68</v>
      </c>
      <c r="AH145" s="246">
        <v>1147.4000000000001</v>
      </c>
      <c r="AI145" s="176">
        <f t="shared" si="56"/>
        <v>140.30720000000014</v>
      </c>
      <c r="AJ145" s="270">
        <f t="shared" si="75"/>
        <v>679</v>
      </c>
      <c r="AK145" s="1124">
        <v>199900</v>
      </c>
      <c r="AL145" s="195">
        <f t="shared" si="84"/>
        <v>3.3966983491745873E-3</v>
      </c>
      <c r="AM145" s="102">
        <f t="shared" si="59"/>
        <v>773</v>
      </c>
      <c r="AN145" s="1123"/>
      <c r="AO145" s="195"/>
      <c r="AP145" s="195"/>
      <c r="AQ145" s="195"/>
      <c r="AR145" s="195"/>
      <c r="AS145" s="195"/>
      <c r="AT145" s="195"/>
      <c r="AU145" s="195"/>
      <c r="AV145" s="195"/>
      <c r="AW145" s="195"/>
      <c r="AX145" s="195"/>
      <c r="AY145" s="1116"/>
      <c r="AZ145" s="1114"/>
      <c r="BA145" s="176"/>
      <c r="BB145" s="1114"/>
      <c r="BC145" s="1114"/>
      <c r="BD145" s="176"/>
      <c r="BE145" s="1114"/>
      <c r="BF145" s="1114"/>
      <c r="BG145" s="1114"/>
      <c r="BH145" s="1114"/>
      <c r="BI145" s="195"/>
      <c r="BJ145" s="176"/>
      <c r="BK145" s="176"/>
      <c r="BL145" s="1114"/>
      <c r="BM145" s="195"/>
      <c r="BN145" s="1114"/>
      <c r="BO145" s="1114"/>
      <c r="BP145" s="195"/>
      <c r="BQ145" s="176"/>
      <c r="BR145" s="195"/>
      <c r="BS145" s="1114"/>
      <c r="BT145" s="195"/>
      <c r="BU145" s="195"/>
      <c r="BV145" s="176"/>
      <c r="BW145" s="1114"/>
      <c r="BX145" s="226"/>
      <c r="BY145" s="862"/>
      <c r="BZ145" s="195"/>
      <c r="CA145" s="1114"/>
      <c r="CB145" s="1114"/>
      <c r="CC145" s="195"/>
      <c r="CD145" s="195"/>
      <c r="CE145" s="195"/>
      <c r="CF145" s="195"/>
      <c r="CG145" s="195"/>
      <c r="CH145" s="176"/>
      <c r="CI145" s="273"/>
      <c r="CJ145" s="195"/>
      <c r="CK145" s="195"/>
      <c r="CL145" s="176"/>
      <c r="CM145" s="195"/>
      <c r="CN145" s="176"/>
      <c r="CO145" s="176"/>
      <c r="CP145" s="195"/>
      <c r="CQ145" s="176"/>
      <c r="CR145" s="176"/>
      <c r="CS145" s="176"/>
      <c r="CT145" s="176"/>
      <c r="CU145" s="176"/>
      <c r="CV145" s="195"/>
      <c r="CW145" s="195"/>
      <c r="CX145" s="1114"/>
      <c r="CY145" s="195"/>
      <c r="CZ145" s="195"/>
      <c r="DA145" s="176"/>
      <c r="DB145" s="639"/>
      <c r="DC145" s="639"/>
    </row>
    <row r="146" spans="1:110" ht="13.15" x14ac:dyDescent="0.35">
      <c r="A146" s="1584"/>
      <c r="B146" s="1614"/>
      <c r="C146" s="295" t="s">
        <v>127</v>
      </c>
      <c r="D146" s="521" t="s">
        <v>155</v>
      </c>
      <c r="E146" s="295" t="s">
        <v>73</v>
      </c>
      <c r="F146" s="119" t="s">
        <v>103</v>
      </c>
      <c r="G146" s="500">
        <f t="shared" si="88"/>
        <v>770.72115359999998</v>
      </c>
      <c r="H146" s="110">
        <v>915</v>
      </c>
      <c r="I146" s="454">
        <f>H146/G146</f>
        <v>1.1871998007659199</v>
      </c>
      <c r="J146" s="155" t="s">
        <v>41</v>
      </c>
      <c r="K146" s="156" t="s">
        <v>41</v>
      </c>
      <c r="L146" s="672">
        <v>679</v>
      </c>
      <c r="M146" s="655">
        <v>773</v>
      </c>
      <c r="N146" s="655" t="s">
        <v>41</v>
      </c>
      <c r="O146" s="655" t="s">
        <v>41</v>
      </c>
      <c r="P146" s="162">
        <f t="shared" si="85"/>
        <v>993.34320000000025</v>
      </c>
      <c r="Q146" s="173" t="s">
        <v>41</v>
      </c>
      <c r="R146" s="667">
        <v>199900</v>
      </c>
      <c r="S146" s="672">
        <v>731</v>
      </c>
      <c r="T146" s="176" t="s">
        <v>41</v>
      </c>
      <c r="U146" s="173">
        <f t="shared" si="53"/>
        <v>131.65679999999981</v>
      </c>
      <c r="V146" s="143"/>
      <c r="W146" s="673">
        <v>210000</v>
      </c>
      <c r="X146" s="174">
        <f t="shared" si="86"/>
        <v>685.0854698666667</v>
      </c>
      <c r="Y146" s="463">
        <f t="shared" si="87"/>
        <v>199900</v>
      </c>
      <c r="Z146" s="500">
        <f t="shared" si="89"/>
        <v>3.4271409197932303E-3</v>
      </c>
      <c r="AA146" s="463">
        <f>M146</f>
        <v>773</v>
      </c>
      <c r="AB146" s="175"/>
      <c r="AC146" s="246">
        <v>332.2</v>
      </c>
      <c r="AD146" s="246">
        <v>80</v>
      </c>
      <c r="AE146" s="360">
        <v>3.81</v>
      </c>
      <c r="AF146" s="360">
        <v>3.6</v>
      </c>
      <c r="AG146" s="273">
        <f t="shared" si="83"/>
        <v>7.41</v>
      </c>
      <c r="AH146" s="246">
        <v>1125</v>
      </c>
      <c r="AI146" s="176">
        <f t="shared" si="56"/>
        <v>131.65679999999981</v>
      </c>
      <c r="AJ146" s="270">
        <f t="shared" si="75"/>
        <v>679</v>
      </c>
      <c r="AK146" s="1124">
        <v>199900</v>
      </c>
      <c r="AL146" s="195">
        <f t="shared" si="84"/>
        <v>3.3966983491745873E-3</v>
      </c>
      <c r="AM146" s="102">
        <f t="shared" si="59"/>
        <v>773</v>
      </c>
      <c r="AN146" s="1123"/>
      <c r="AO146" s="195"/>
      <c r="AP146" s="195"/>
      <c r="AQ146" s="195"/>
      <c r="AR146" s="195"/>
      <c r="AS146" s="195"/>
      <c r="AT146" s="195"/>
      <c r="AU146" s="195"/>
      <c r="AV146" s="195"/>
      <c r="AW146" s="195"/>
      <c r="AX146" s="195"/>
      <c r="AY146" s="1116"/>
      <c r="AZ146" s="1114"/>
      <c r="BA146" s="176"/>
      <c r="BB146" s="1114"/>
      <c r="BC146" s="1114"/>
      <c r="BD146" s="176"/>
      <c r="BE146" s="1114"/>
      <c r="BF146" s="1114"/>
      <c r="BG146" s="1114"/>
      <c r="BH146" s="1114"/>
      <c r="BI146" s="195"/>
      <c r="BJ146" s="176"/>
      <c r="BK146" s="176"/>
      <c r="BL146" s="1114"/>
      <c r="BM146" s="195"/>
      <c r="BN146" s="1114"/>
      <c r="BO146" s="1114"/>
      <c r="BP146" s="195"/>
      <c r="BQ146" s="176"/>
      <c r="BR146" s="195"/>
      <c r="BS146" s="1114"/>
      <c r="BT146" s="195"/>
      <c r="BU146" s="195"/>
      <c r="BV146" s="176"/>
      <c r="BW146" s="1114"/>
      <c r="BX146" s="226"/>
      <c r="BY146" s="862"/>
      <c r="BZ146" s="195"/>
      <c r="CA146" s="1114"/>
      <c r="CB146" s="1114"/>
      <c r="CC146" s="195"/>
      <c r="CD146" s="195"/>
      <c r="CE146" s="195"/>
      <c r="CF146" s="195"/>
      <c r="CG146" s="195"/>
      <c r="CH146" s="176"/>
      <c r="CI146" s="273"/>
      <c r="CJ146" s="195"/>
      <c r="CK146" s="195"/>
      <c r="CL146" s="176"/>
      <c r="CM146" s="195"/>
      <c r="CN146" s="176"/>
      <c r="CO146" s="176"/>
      <c r="CP146" s="195"/>
      <c r="CQ146" s="176"/>
      <c r="CR146" s="176"/>
      <c r="CS146" s="176"/>
      <c r="CT146" s="176"/>
      <c r="CU146" s="176"/>
      <c r="CV146" s="195"/>
      <c r="CW146" s="195"/>
      <c r="CX146" s="1114"/>
      <c r="CY146" s="195"/>
      <c r="CZ146" s="195"/>
      <c r="DA146" s="176"/>
      <c r="DB146" s="639"/>
      <c r="DC146" s="639"/>
    </row>
    <row r="147" spans="1:110" ht="13.15" x14ac:dyDescent="0.35">
      <c r="A147" s="1584"/>
      <c r="B147" s="1614"/>
      <c r="C147" s="295" t="s">
        <v>127</v>
      </c>
      <c r="D147" s="521" t="s">
        <v>156</v>
      </c>
      <c r="E147" s="295" t="s">
        <v>73</v>
      </c>
      <c r="F147" s="119" t="s">
        <v>103</v>
      </c>
      <c r="G147" s="500">
        <f t="shared" si="88"/>
        <v>525.36830399999997</v>
      </c>
      <c r="H147" s="110">
        <v>613</v>
      </c>
      <c r="I147" s="454">
        <f>H147/G147</f>
        <v>1.1668005003971462</v>
      </c>
      <c r="J147" s="155" t="s">
        <v>41</v>
      </c>
      <c r="K147" s="156" t="s">
        <v>41</v>
      </c>
      <c r="L147" s="672">
        <v>755</v>
      </c>
      <c r="M147" s="655">
        <v>839</v>
      </c>
      <c r="N147" s="655" t="s">
        <v>41</v>
      </c>
      <c r="O147" s="655" t="s">
        <v>41</v>
      </c>
      <c r="P147" s="162">
        <f t="shared" si="85"/>
        <v>608.35919999999999</v>
      </c>
      <c r="Q147" s="173" t="s">
        <v>41</v>
      </c>
      <c r="R147" s="667">
        <v>209800</v>
      </c>
      <c r="S147" s="672">
        <v>885</v>
      </c>
      <c r="T147" s="176" t="s">
        <v>41</v>
      </c>
      <c r="U147" s="173">
        <f t="shared" si="53"/>
        <v>74.640800000000013</v>
      </c>
      <c r="V147" s="143"/>
      <c r="W147" s="673">
        <v>212400</v>
      </c>
      <c r="X147" s="174">
        <f t="shared" si="86"/>
        <v>769.20688726207902</v>
      </c>
      <c r="Y147" s="463">
        <f t="shared" si="87"/>
        <v>209800</v>
      </c>
      <c r="Z147" s="500">
        <f t="shared" si="89"/>
        <v>3.6663817314684416E-3</v>
      </c>
      <c r="AA147" s="463">
        <f t="shared" si="79"/>
        <v>839</v>
      </c>
      <c r="AB147" s="175"/>
      <c r="AC147" s="246">
        <v>239.8</v>
      </c>
      <c r="AD147" s="246">
        <v>60</v>
      </c>
      <c r="AE147" s="360">
        <v>3.09</v>
      </c>
      <c r="AF147" s="360">
        <v>2.2999999999999998</v>
      </c>
      <c r="AG147" s="273">
        <f t="shared" si="83"/>
        <v>5.39</v>
      </c>
      <c r="AH147" s="246">
        <v>683</v>
      </c>
      <c r="AI147" s="176">
        <f t="shared" si="56"/>
        <v>74.640800000000013</v>
      </c>
      <c r="AJ147" s="270">
        <f t="shared" si="75"/>
        <v>755</v>
      </c>
      <c r="AK147" s="1124">
        <v>209800</v>
      </c>
      <c r="AL147" s="195">
        <f t="shared" si="84"/>
        <v>3.5986653956148712E-3</v>
      </c>
      <c r="AM147" s="102">
        <f t="shared" si="59"/>
        <v>839</v>
      </c>
      <c r="AN147" s="1123"/>
      <c r="AO147" s="195"/>
      <c r="AP147" s="195"/>
      <c r="AQ147" s="195"/>
      <c r="AR147" s="195"/>
      <c r="AS147" s="195"/>
      <c r="AT147" s="195"/>
      <c r="AU147" s="195"/>
      <c r="AV147" s="195"/>
      <c r="AW147" s="195"/>
      <c r="AX147" s="195"/>
      <c r="AY147" s="1116"/>
      <c r="AZ147" s="1114"/>
      <c r="BA147" s="176"/>
      <c r="BB147" s="1114"/>
      <c r="BC147" s="1114"/>
      <c r="BD147" s="176"/>
      <c r="BE147" s="1114"/>
      <c r="BF147" s="1114"/>
      <c r="BG147" s="1114"/>
      <c r="BH147" s="1114"/>
      <c r="BI147" s="195"/>
      <c r="BJ147" s="176"/>
      <c r="BK147" s="176"/>
      <c r="BL147" s="1114"/>
      <c r="BM147" s="195"/>
      <c r="BN147" s="1114"/>
      <c r="BO147" s="1114"/>
      <c r="BP147" s="195"/>
      <c r="BQ147" s="176"/>
      <c r="BR147" s="195"/>
      <c r="BS147" s="1114"/>
      <c r="BT147" s="195"/>
      <c r="BU147" s="195"/>
      <c r="BV147" s="176"/>
      <c r="BW147" s="1114"/>
      <c r="BX147" s="226"/>
      <c r="BY147" s="862"/>
      <c r="BZ147" s="195"/>
      <c r="CA147" s="1114"/>
      <c r="CB147" s="1114"/>
      <c r="CC147" s="195"/>
      <c r="CD147" s="195"/>
      <c r="CE147" s="195"/>
      <c r="CF147" s="195"/>
      <c r="CG147" s="195"/>
      <c r="CH147" s="176"/>
      <c r="CI147" s="273"/>
      <c r="CJ147" s="195"/>
      <c r="CK147" s="195"/>
      <c r="CL147" s="176"/>
      <c r="CM147" s="195"/>
      <c r="CN147" s="176"/>
      <c r="CO147" s="176"/>
      <c r="CP147" s="195"/>
      <c r="CQ147" s="176"/>
      <c r="CR147" s="176"/>
      <c r="CS147" s="176"/>
      <c r="CT147" s="176"/>
      <c r="CU147" s="176"/>
      <c r="CV147" s="195"/>
      <c r="CW147" s="195"/>
      <c r="CX147" s="1114"/>
      <c r="CY147" s="195"/>
      <c r="CZ147" s="195"/>
      <c r="DA147" s="176"/>
      <c r="DB147" s="639"/>
      <c r="DC147" s="639"/>
    </row>
    <row r="148" spans="1:110" s="143" customFormat="1" ht="13.15" x14ac:dyDescent="0.35">
      <c r="A148" s="1584"/>
      <c r="B148" s="1614"/>
      <c r="C148" s="295" t="s">
        <v>127</v>
      </c>
      <c r="D148" s="521" t="s">
        <v>157</v>
      </c>
      <c r="E148" s="295" t="s">
        <v>73</v>
      </c>
      <c r="F148" s="119" t="s">
        <v>103</v>
      </c>
      <c r="G148" s="500">
        <f t="shared" si="88"/>
        <v>538.32413599999995</v>
      </c>
      <c r="H148" s="110">
        <v>616</v>
      </c>
      <c r="I148" s="454">
        <f>H148/G148</f>
        <v>1.1442919958543343</v>
      </c>
      <c r="J148" s="155" t="s">
        <v>41</v>
      </c>
      <c r="K148" s="156" t="s">
        <v>41</v>
      </c>
      <c r="L148" s="672">
        <v>755</v>
      </c>
      <c r="M148" s="655">
        <v>839</v>
      </c>
      <c r="N148" s="655" t="s">
        <v>41</v>
      </c>
      <c r="O148" s="655" t="s">
        <v>41</v>
      </c>
      <c r="P148" s="162">
        <f t="shared" si="85"/>
        <v>627.15279999999996</v>
      </c>
      <c r="Q148" s="173" t="s">
        <v>41</v>
      </c>
      <c r="R148" s="667">
        <v>209800</v>
      </c>
      <c r="S148" s="672">
        <v>885</v>
      </c>
      <c r="T148" s="162" t="s">
        <v>41</v>
      </c>
      <c r="U148" s="173">
        <f t="shared" si="53"/>
        <v>73.247200000000021</v>
      </c>
      <c r="W148" s="673">
        <v>212400</v>
      </c>
      <c r="X148" s="174">
        <f t="shared" si="86"/>
        <v>768.59528269560246</v>
      </c>
      <c r="Y148" s="463">
        <f t="shared" si="87"/>
        <v>209800</v>
      </c>
      <c r="Z148" s="500">
        <f t="shared" si="89"/>
        <v>3.6634665524099257E-3</v>
      </c>
      <c r="AA148" s="463">
        <f t="shared" si="79"/>
        <v>839</v>
      </c>
      <c r="AB148" s="175"/>
      <c r="AC148" s="246">
        <v>240</v>
      </c>
      <c r="AD148" s="246">
        <v>60</v>
      </c>
      <c r="AE148" s="360">
        <v>3.17</v>
      </c>
      <c r="AF148" s="360">
        <v>2.1</v>
      </c>
      <c r="AG148" s="273">
        <f t="shared" si="83"/>
        <v>5.27</v>
      </c>
      <c r="AH148" s="246">
        <v>700.4</v>
      </c>
      <c r="AI148" s="176">
        <f t="shared" si="56"/>
        <v>73.247200000000021</v>
      </c>
      <c r="AJ148" s="270">
        <f t="shared" si="75"/>
        <v>755</v>
      </c>
      <c r="AK148" s="1124">
        <v>209800</v>
      </c>
      <c r="AL148" s="195">
        <f t="shared" si="84"/>
        <v>3.5986653956148712E-3</v>
      </c>
      <c r="AM148" s="102">
        <f t="shared" si="59"/>
        <v>839</v>
      </c>
      <c r="AN148" s="1123"/>
      <c r="AO148" s="195"/>
      <c r="AP148" s="195"/>
      <c r="AQ148" s="195"/>
      <c r="AR148" s="195"/>
      <c r="AS148" s="195"/>
      <c r="AT148" s="195"/>
      <c r="AU148" s="195"/>
      <c r="AV148" s="195"/>
      <c r="AW148" s="195"/>
      <c r="AX148" s="195"/>
      <c r="AY148" s="1116"/>
      <c r="AZ148" s="1114"/>
      <c r="BA148" s="176"/>
      <c r="BB148" s="1114"/>
      <c r="BC148" s="1114"/>
      <c r="BD148" s="176"/>
      <c r="BE148" s="1114"/>
      <c r="BF148" s="1114"/>
      <c r="BG148" s="1114"/>
      <c r="BH148" s="1114"/>
      <c r="BI148" s="195"/>
      <c r="BJ148" s="176"/>
      <c r="BK148" s="176"/>
      <c r="BL148" s="1114"/>
      <c r="BM148" s="195"/>
      <c r="BN148" s="1114"/>
      <c r="BO148" s="1114"/>
      <c r="BP148" s="195"/>
      <c r="BQ148" s="176"/>
      <c r="BR148" s="195"/>
      <c r="BS148" s="1114"/>
      <c r="BT148" s="195"/>
      <c r="BU148" s="195"/>
      <c r="BV148" s="176"/>
      <c r="BW148" s="1114"/>
      <c r="BX148" s="226"/>
      <c r="BY148" s="862"/>
      <c r="BZ148" s="195"/>
      <c r="CA148" s="1114"/>
      <c r="CB148" s="1114"/>
      <c r="CC148" s="195"/>
      <c r="CD148" s="195"/>
      <c r="CE148" s="195"/>
      <c r="CF148" s="195"/>
      <c r="CG148" s="195"/>
      <c r="CH148" s="176"/>
      <c r="CI148" s="273"/>
      <c r="CJ148" s="195"/>
      <c r="CK148" s="195"/>
      <c r="CL148" s="176"/>
      <c r="CM148" s="195"/>
      <c r="CN148" s="176"/>
      <c r="CO148" s="176"/>
      <c r="CP148" s="195"/>
      <c r="CQ148" s="176"/>
      <c r="CR148" s="176"/>
      <c r="CS148" s="176"/>
      <c r="CT148" s="176"/>
      <c r="CU148" s="176"/>
      <c r="CV148" s="195"/>
      <c r="CW148" s="195"/>
      <c r="CX148" s="1114"/>
      <c r="CY148" s="195"/>
      <c r="CZ148" s="195"/>
      <c r="DA148" s="176"/>
      <c r="DB148" s="639"/>
      <c r="DC148" s="639"/>
    </row>
    <row r="149" spans="1:110" s="639" customFormat="1" ht="15.4" x14ac:dyDescent="0.35">
      <c r="A149" s="1649" t="s">
        <v>208</v>
      </c>
      <c r="B149" s="1676" t="s">
        <v>209</v>
      </c>
      <c r="C149" s="386" t="s">
        <v>127</v>
      </c>
      <c r="D149" s="550" t="s">
        <v>211</v>
      </c>
      <c r="E149" s="551" t="s">
        <v>73</v>
      </c>
      <c r="F149" s="680" t="s">
        <v>103</v>
      </c>
      <c r="G149" s="552">
        <f>0.001*AH149*X149</f>
        <v>374.08426800000001</v>
      </c>
      <c r="H149" s="387">
        <v>392</v>
      </c>
      <c r="I149" s="553">
        <f t="shared" ref="I149:I159" si="90">H149/G149</f>
        <v>1.0478922358745115</v>
      </c>
      <c r="J149" s="692">
        <v>321</v>
      </c>
      <c r="K149" s="393">
        <v>462</v>
      </c>
      <c r="L149" s="680">
        <v>431</v>
      </c>
      <c r="M149" s="388">
        <v>447</v>
      </c>
      <c r="N149" s="389" t="s">
        <v>41</v>
      </c>
      <c r="O149" s="394" t="s">
        <v>41</v>
      </c>
      <c r="P149" s="390">
        <f t="shared" si="85"/>
        <v>759.572</v>
      </c>
      <c r="Q149" s="394" t="s">
        <v>41</v>
      </c>
      <c r="R149" s="554"/>
      <c r="S149" s="680">
        <v>512</v>
      </c>
      <c r="T149" s="394" t="s">
        <v>41</v>
      </c>
      <c r="U149" s="395">
        <f t="shared" si="53"/>
        <v>91.227999999999952</v>
      </c>
      <c r="V149" s="394" t="s">
        <v>41</v>
      </c>
      <c r="W149" s="554"/>
      <c r="X149" s="552">
        <f t="shared" si="86"/>
        <v>439.68531734837802</v>
      </c>
      <c r="Y149" s="394">
        <v>210000</v>
      </c>
      <c r="Z149" s="552">
        <f t="shared" si="89"/>
        <v>2.0937396064208478E-3</v>
      </c>
      <c r="AA149" s="555">
        <f t="shared" si="79"/>
        <v>447</v>
      </c>
      <c r="AB149" s="556"/>
      <c r="AC149" s="767">
        <v>242</v>
      </c>
      <c r="AD149" s="557">
        <v>80.099999999999994</v>
      </c>
      <c r="AE149" s="557">
        <v>2.83</v>
      </c>
      <c r="AF149" s="557">
        <v>3.67</v>
      </c>
      <c r="AG149" s="418">
        <f t="shared" si="83"/>
        <v>6.5</v>
      </c>
      <c r="AH149" s="557">
        <v>850.8</v>
      </c>
      <c r="AI149" s="390">
        <f t="shared" si="56"/>
        <v>91.227999999999952</v>
      </c>
      <c r="AJ149" s="391">
        <f t="shared" si="75"/>
        <v>431</v>
      </c>
      <c r="AK149" s="558">
        <v>210000</v>
      </c>
      <c r="AL149" s="550">
        <f t="shared" si="84"/>
        <v>2.0523809523809522E-3</v>
      </c>
      <c r="AM149" s="636">
        <f t="shared" si="59"/>
        <v>447</v>
      </c>
      <c r="AN149" s="556"/>
      <c r="AO149" s="195"/>
      <c r="AP149" s="195"/>
      <c r="AQ149" s="195"/>
      <c r="AR149" s="195"/>
      <c r="AS149" s="195"/>
      <c r="AT149" s="195"/>
      <c r="AU149" s="195"/>
      <c r="AV149" s="195"/>
      <c r="AW149" s="195"/>
      <c r="AX149" s="195"/>
      <c r="AY149" s="1116"/>
      <c r="AZ149" s="1114"/>
      <c r="BA149" s="176"/>
      <c r="BB149" s="1114"/>
      <c r="BC149" s="1114"/>
      <c r="BD149" s="176"/>
      <c r="BE149" s="1114"/>
      <c r="BF149" s="1114"/>
      <c r="BG149" s="1114"/>
      <c r="BH149" s="1114"/>
      <c r="BI149" s="195"/>
      <c r="BJ149" s="176"/>
      <c r="BK149" s="176"/>
      <c r="BL149" s="1114"/>
      <c r="BM149" s="195"/>
      <c r="BN149" s="1114"/>
      <c r="BO149" s="1114"/>
      <c r="BP149" s="195"/>
      <c r="BQ149" s="176"/>
      <c r="BR149" s="195"/>
      <c r="BS149" s="1114"/>
      <c r="BT149" s="195"/>
      <c r="BU149" s="195"/>
      <c r="BV149" s="176"/>
      <c r="BW149" s="1114"/>
      <c r="BX149" s="590"/>
      <c r="BY149" s="862"/>
      <c r="BZ149" s="1114"/>
      <c r="CA149" s="1114"/>
      <c r="CB149" s="1114"/>
      <c r="CC149" s="195"/>
      <c r="CD149" s="195"/>
      <c r="CE149" s="1116"/>
      <c r="CF149" s="195"/>
      <c r="CG149" s="195"/>
      <c r="CH149" s="176"/>
      <c r="CI149" s="273"/>
      <c r="CJ149" s="195"/>
      <c r="CK149" s="195"/>
      <c r="CL149" s="176"/>
      <c r="CM149" s="195"/>
      <c r="CN149" s="176"/>
      <c r="CO149" s="176"/>
      <c r="CP149" s="195"/>
      <c r="CQ149" s="176"/>
      <c r="CR149" s="176"/>
      <c r="CS149" s="176"/>
      <c r="CT149" s="176"/>
      <c r="CU149" s="176"/>
      <c r="CV149" s="195"/>
      <c r="CW149" s="195"/>
      <c r="CX149" s="1114"/>
      <c r="CY149" s="195"/>
      <c r="CZ149" s="195"/>
      <c r="DA149" s="176"/>
      <c r="DD149" s="629"/>
      <c r="DE149" s="629"/>
      <c r="DF149" s="629"/>
    </row>
    <row r="150" spans="1:110" s="639" customFormat="1" ht="15.4" x14ac:dyDescent="0.35">
      <c r="A150" s="1650"/>
      <c r="B150" s="1686"/>
      <c r="C150" s="399" t="s">
        <v>127</v>
      </c>
      <c r="D150" s="560" t="s">
        <v>212</v>
      </c>
      <c r="E150" s="561" t="s">
        <v>73</v>
      </c>
      <c r="F150" s="681" t="s">
        <v>103</v>
      </c>
      <c r="G150" s="562">
        <f t="shared" si="88"/>
        <v>372.97443200000004</v>
      </c>
      <c r="H150" s="400">
        <v>389</v>
      </c>
      <c r="I150" s="563">
        <f t="shared" si="90"/>
        <v>1.0429669345270294</v>
      </c>
      <c r="J150" s="406">
        <v>321</v>
      </c>
      <c r="K150" s="407">
        <v>462</v>
      </c>
      <c r="L150" s="681">
        <v>431</v>
      </c>
      <c r="M150" s="401">
        <v>447</v>
      </c>
      <c r="N150" s="402" t="s">
        <v>41</v>
      </c>
      <c r="O150" s="408" t="s">
        <v>41</v>
      </c>
      <c r="P150" s="403">
        <f t="shared" si="85"/>
        <v>762.52799999999991</v>
      </c>
      <c r="Q150" s="408" t="s">
        <v>41</v>
      </c>
      <c r="R150" s="564"/>
      <c r="S150" s="681">
        <v>512</v>
      </c>
      <c r="T150" s="408" t="s">
        <v>41</v>
      </c>
      <c r="U150" s="409">
        <f t="shared" si="53"/>
        <v>86.572000000000116</v>
      </c>
      <c r="V150" s="408" t="s">
        <v>41</v>
      </c>
      <c r="W150" s="564"/>
      <c r="X150" s="565">
        <f t="shared" si="86"/>
        <v>439.25854669650221</v>
      </c>
      <c r="Y150" s="681">
        <v>210000</v>
      </c>
      <c r="Z150" s="562">
        <f t="shared" si="89"/>
        <v>2.091707365221439E-3</v>
      </c>
      <c r="AA150" s="566">
        <f t="shared" si="79"/>
        <v>447</v>
      </c>
      <c r="AB150" s="567"/>
      <c r="AC150" s="768">
        <v>242</v>
      </c>
      <c r="AD150" s="568">
        <v>80.099999999999994</v>
      </c>
      <c r="AE150" s="568">
        <v>2.82</v>
      </c>
      <c r="AF150" s="568">
        <v>3.43</v>
      </c>
      <c r="AG150" s="569">
        <f t="shared" si="83"/>
        <v>6.25</v>
      </c>
      <c r="AH150" s="568">
        <v>849.1</v>
      </c>
      <c r="AI150" s="403">
        <f t="shared" si="56"/>
        <v>86.572000000000116</v>
      </c>
      <c r="AJ150" s="404">
        <f t="shared" si="75"/>
        <v>431</v>
      </c>
      <c r="AK150" s="570">
        <v>210000</v>
      </c>
      <c r="AL150" s="560">
        <f t="shared" si="84"/>
        <v>2.0523809523809522E-3</v>
      </c>
      <c r="AM150" s="405">
        <f t="shared" si="59"/>
        <v>447</v>
      </c>
      <c r="AN150" s="567"/>
      <c r="AO150" s="195"/>
      <c r="AP150" s="195"/>
      <c r="AQ150" s="195"/>
      <c r="AR150" s="195"/>
      <c r="AS150" s="195"/>
      <c r="AT150" s="195"/>
      <c r="AU150" s="195"/>
      <c r="AV150" s="195"/>
      <c r="AW150" s="195"/>
      <c r="AX150" s="195"/>
      <c r="AY150" s="1116"/>
      <c r="AZ150" s="1114"/>
      <c r="BA150" s="176"/>
      <c r="BB150" s="1114"/>
      <c r="BC150" s="1114"/>
      <c r="BD150" s="176"/>
      <c r="BE150" s="1114"/>
      <c r="BF150" s="1114"/>
      <c r="BG150" s="1114"/>
      <c r="BH150" s="1114"/>
      <c r="BI150" s="195"/>
      <c r="BJ150" s="176"/>
      <c r="BK150" s="176"/>
      <c r="BL150" s="1114"/>
      <c r="BM150" s="195"/>
      <c r="BN150" s="1114"/>
      <c r="BO150" s="1114"/>
      <c r="BP150" s="195"/>
      <c r="BQ150" s="176"/>
      <c r="BR150" s="195"/>
      <c r="BS150" s="1114"/>
      <c r="BT150" s="195"/>
      <c r="BU150" s="195"/>
      <c r="BV150" s="176"/>
      <c r="BW150" s="1114"/>
      <c r="BX150" s="590"/>
      <c r="BY150" s="862"/>
      <c r="BZ150" s="1114"/>
      <c r="CA150" s="1114"/>
      <c r="CB150" s="1114"/>
      <c r="CC150" s="195"/>
      <c r="CD150" s="195"/>
      <c r="CE150" s="1116"/>
      <c r="CF150" s="195"/>
      <c r="CG150" s="195"/>
      <c r="CH150" s="176"/>
      <c r="CI150" s="273"/>
      <c r="CJ150" s="195"/>
      <c r="CK150" s="195"/>
      <c r="CL150" s="176"/>
      <c r="CM150" s="195"/>
      <c r="CN150" s="176"/>
      <c r="CO150" s="176"/>
      <c r="CP150" s="195"/>
      <c r="CQ150" s="176"/>
      <c r="CR150" s="176"/>
      <c r="CS150" s="176"/>
      <c r="CT150" s="176"/>
      <c r="CU150" s="176"/>
      <c r="CV150" s="195"/>
      <c r="CW150" s="195"/>
      <c r="CX150" s="1114"/>
      <c r="CY150" s="195"/>
      <c r="CZ150" s="195"/>
      <c r="DA150" s="176"/>
      <c r="DD150" s="629"/>
      <c r="DE150" s="629"/>
      <c r="DF150" s="629"/>
    </row>
    <row r="151" spans="1:110" s="639" customFormat="1" ht="15.4" x14ac:dyDescent="0.35">
      <c r="A151" s="1650"/>
      <c r="B151" s="1676" t="s">
        <v>210</v>
      </c>
      <c r="C151" s="410" t="s">
        <v>127</v>
      </c>
      <c r="D151" s="571" t="s">
        <v>156</v>
      </c>
      <c r="E151" s="572" t="s">
        <v>73</v>
      </c>
      <c r="F151" s="422" t="s">
        <v>103</v>
      </c>
      <c r="G151" s="565">
        <f t="shared" si="88"/>
        <v>348.57817119999999</v>
      </c>
      <c r="H151" s="411">
        <v>376</v>
      </c>
      <c r="I151" s="573">
        <f t="shared" si="90"/>
        <v>1.078667659267357</v>
      </c>
      <c r="J151" s="693" t="s">
        <v>41</v>
      </c>
      <c r="K151" s="415" t="s">
        <v>41</v>
      </c>
      <c r="L151" s="422">
        <v>519</v>
      </c>
      <c r="M151" s="412">
        <v>539</v>
      </c>
      <c r="N151" s="413" t="s">
        <v>41</v>
      </c>
      <c r="O151" s="396" t="s">
        <v>41</v>
      </c>
      <c r="P151" s="398">
        <f t="shared" si="85"/>
        <v>580.98080000000004</v>
      </c>
      <c r="Q151" s="396" t="s">
        <v>41</v>
      </c>
      <c r="R151" s="574"/>
      <c r="S151" s="422">
        <v>580</v>
      </c>
      <c r="T151" s="396" t="s">
        <v>41</v>
      </c>
      <c r="U151" s="397">
        <f t="shared" si="53"/>
        <v>81.119199999999978</v>
      </c>
      <c r="V151" s="396" t="s">
        <v>41</v>
      </c>
      <c r="W151" s="574"/>
      <c r="X151" s="552">
        <f t="shared" si="86"/>
        <v>526.47360096662135</v>
      </c>
      <c r="Y151" s="396">
        <v>218300</v>
      </c>
      <c r="Z151" s="565">
        <f t="shared" si="89"/>
        <v>2.4116976681934099E-3</v>
      </c>
      <c r="AA151" s="575">
        <f t="shared" si="79"/>
        <v>539</v>
      </c>
      <c r="AB151" s="559"/>
      <c r="AC151" s="737">
        <v>182.2</v>
      </c>
      <c r="AD151" s="576">
        <v>60.5</v>
      </c>
      <c r="AE151" s="576">
        <v>2.98</v>
      </c>
      <c r="AF151" s="576">
        <v>2.9</v>
      </c>
      <c r="AG151" s="425">
        <f t="shared" si="83"/>
        <v>5.88</v>
      </c>
      <c r="AH151" s="576">
        <v>662.1</v>
      </c>
      <c r="AI151" s="398">
        <f t="shared" si="56"/>
        <v>81.119199999999978</v>
      </c>
      <c r="AJ151" s="414">
        <f t="shared" si="75"/>
        <v>519</v>
      </c>
      <c r="AK151" s="577">
        <v>218300</v>
      </c>
      <c r="AL151" s="571">
        <f t="shared" si="84"/>
        <v>2.3774622079706827E-3</v>
      </c>
      <c r="AM151" s="392">
        <f t="shared" si="59"/>
        <v>539</v>
      </c>
      <c r="AN151" s="559"/>
      <c r="AO151" s="195"/>
      <c r="AP151" s="195"/>
      <c r="AQ151" s="195"/>
      <c r="AR151" s="195"/>
      <c r="AS151" s="195"/>
      <c r="AT151" s="195"/>
      <c r="AU151" s="195"/>
      <c r="AV151" s="195"/>
      <c r="AW151" s="195"/>
      <c r="AX151" s="195"/>
      <c r="AY151" s="1116"/>
      <c r="AZ151" s="1114"/>
      <c r="BA151" s="176"/>
      <c r="BB151" s="1114"/>
      <c r="BC151" s="1114"/>
      <c r="BD151" s="176"/>
      <c r="BE151" s="1114"/>
      <c r="BF151" s="1114"/>
      <c r="BG151" s="1114"/>
      <c r="BH151" s="1114"/>
      <c r="BI151" s="195"/>
      <c r="BJ151" s="176"/>
      <c r="BK151" s="176"/>
      <c r="BL151" s="1114"/>
      <c r="BM151" s="195"/>
      <c r="BN151" s="1114"/>
      <c r="BO151" s="1114"/>
      <c r="BP151" s="195"/>
      <c r="BQ151" s="176"/>
      <c r="BR151" s="195"/>
      <c r="BS151" s="1114"/>
      <c r="BT151" s="195"/>
      <c r="BU151" s="195"/>
      <c r="BV151" s="176"/>
      <c r="BW151" s="1114"/>
      <c r="BX151" s="590"/>
      <c r="BY151" s="862"/>
      <c r="BZ151" s="1114"/>
      <c r="CA151" s="1114"/>
      <c r="CB151" s="1114"/>
      <c r="CC151" s="195"/>
      <c r="CD151" s="195"/>
      <c r="CE151" s="1116"/>
      <c r="CF151" s="195"/>
      <c r="CG151" s="195"/>
      <c r="CH151" s="176"/>
      <c r="CI151" s="273"/>
      <c r="CJ151" s="195"/>
      <c r="CK151" s="195"/>
      <c r="CL151" s="176"/>
      <c r="CM151" s="195"/>
      <c r="CN151" s="176"/>
      <c r="CO151" s="176"/>
      <c r="CP151" s="195"/>
      <c r="CQ151" s="176"/>
      <c r="CR151" s="176"/>
      <c r="CS151" s="176"/>
      <c r="CT151" s="176"/>
      <c r="CU151" s="176"/>
      <c r="CV151" s="195"/>
      <c r="CW151" s="195"/>
      <c r="CX151" s="1114"/>
      <c r="CY151" s="195"/>
      <c r="CZ151" s="195"/>
      <c r="DA151" s="176"/>
      <c r="DD151" s="629"/>
      <c r="DE151" s="629"/>
      <c r="DF151" s="629"/>
    </row>
    <row r="152" spans="1:110" s="639" customFormat="1" ht="15.4" x14ac:dyDescent="0.35">
      <c r="A152" s="1650"/>
      <c r="B152" s="1677"/>
      <c r="C152" s="410" t="s">
        <v>127</v>
      </c>
      <c r="D152" s="571" t="s">
        <v>157</v>
      </c>
      <c r="E152" s="572" t="s">
        <v>73</v>
      </c>
      <c r="F152" s="422" t="s">
        <v>103</v>
      </c>
      <c r="G152" s="562">
        <f t="shared" si="88"/>
        <v>345.46539999999993</v>
      </c>
      <c r="H152" s="411">
        <v>370</v>
      </c>
      <c r="I152" s="563">
        <f t="shared" si="90"/>
        <v>1.0710189790352378</v>
      </c>
      <c r="J152" s="693" t="s">
        <v>41</v>
      </c>
      <c r="K152" s="415" t="s">
        <v>41</v>
      </c>
      <c r="L152" s="422">
        <v>519</v>
      </c>
      <c r="M152" s="412">
        <v>539</v>
      </c>
      <c r="N152" s="413" t="s">
        <v>41</v>
      </c>
      <c r="O152" s="396" t="s">
        <v>41</v>
      </c>
      <c r="P152" s="398">
        <f t="shared" si="85"/>
        <v>562.6</v>
      </c>
      <c r="Q152" s="396" t="s">
        <v>41</v>
      </c>
      <c r="R152" s="574"/>
      <c r="S152" s="422">
        <v>580</v>
      </c>
      <c r="T152" s="396" t="s">
        <v>41</v>
      </c>
      <c r="U152" s="397">
        <f t="shared" si="53"/>
        <v>92.199999999999932</v>
      </c>
      <c r="V152" s="396" t="s">
        <v>41</v>
      </c>
      <c r="W152" s="574"/>
      <c r="X152" s="565">
        <f t="shared" si="86"/>
        <v>527.58918753817954</v>
      </c>
      <c r="Y152" s="396">
        <v>218300</v>
      </c>
      <c r="Z152" s="565">
        <f t="shared" si="89"/>
        <v>2.4168080052138323E-3</v>
      </c>
      <c r="AA152" s="575">
        <f t="shared" si="79"/>
        <v>539</v>
      </c>
      <c r="AB152" s="559"/>
      <c r="AC152" s="737">
        <v>182.2</v>
      </c>
      <c r="AD152" s="576">
        <v>60.5</v>
      </c>
      <c r="AE152" s="748">
        <v>2.9</v>
      </c>
      <c r="AF152" s="576">
        <v>3.1</v>
      </c>
      <c r="AG152" s="425">
        <f t="shared" si="83"/>
        <v>6</v>
      </c>
      <c r="AH152" s="576">
        <v>654.79999999999995</v>
      </c>
      <c r="AI152" s="398">
        <f t="shared" si="56"/>
        <v>92.199999999999932</v>
      </c>
      <c r="AJ152" s="414">
        <f t="shared" si="75"/>
        <v>519</v>
      </c>
      <c r="AK152" s="577">
        <v>218300</v>
      </c>
      <c r="AL152" s="571">
        <f t="shared" si="84"/>
        <v>2.3774622079706827E-3</v>
      </c>
      <c r="AM152" s="392">
        <f t="shared" si="59"/>
        <v>539</v>
      </c>
      <c r="AN152" s="559"/>
      <c r="AO152" s="195"/>
      <c r="AP152" s="195"/>
      <c r="AQ152" s="195"/>
      <c r="AR152" s="195"/>
      <c r="AS152" s="195"/>
      <c r="AT152" s="195"/>
      <c r="AU152" s="195"/>
      <c r="AV152" s="195"/>
      <c r="AW152" s="195"/>
      <c r="AX152" s="195"/>
      <c r="AY152" s="1116"/>
      <c r="AZ152" s="1114"/>
      <c r="BA152" s="176"/>
      <c r="BB152" s="1114"/>
      <c r="BC152" s="1114"/>
      <c r="BD152" s="176"/>
      <c r="BE152" s="1114"/>
      <c r="BF152" s="1114"/>
      <c r="BG152" s="1114"/>
      <c r="BH152" s="1114"/>
      <c r="BI152" s="195"/>
      <c r="BJ152" s="176"/>
      <c r="BK152" s="176"/>
      <c r="BL152" s="1114"/>
      <c r="BM152" s="195"/>
      <c r="BN152" s="1114"/>
      <c r="BO152" s="1114"/>
      <c r="BP152" s="195"/>
      <c r="BQ152" s="176"/>
      <c r="BR152" s="195"/>
      <c r="BS152" s="1114"/>
      <c r="BT152" s="195"/>
      <c r="BU152" s="195"/>
      <c r="BV152" s="176"/>
      <c r="BW152" s="1114"/>
      <c r="BX152" s="590"/>
      <c r="BY152" s="862"/>
      <c r="BZ152" s="1114"/>
      <c r="CA152" s="1114"/>
      <c r="CB152" s="1114"/>
      <c r="CC152" s="195"/>
      <c r="CD152" s="195"/>
      <c r="CE152" s="1116"/>
      <c r="CF152" s="195"/>
      <c r="CG152" s="195"/>
      <c r="CH152" s="176"/>
      <c r="CI152" s="273"/>
      <c r="CJ152" s="195"/>
      <c r="CK152" s="195"/>
      <c r="CL152" s="176"/>
      <c r="CM152" s="195"/>
      <c r="CN152" s="176"/>
      <c r="CO152" s="176"/>
      <c r="CP152" s="195"/>
      <c r="CQ152" s="176"/>
      <c r="CR152" s="176"/>
      <c r="CS152" s="176"/>
      <c r="CT152" s="176"/>
      <c r="CU152" s="176"/>
      <c r="CV152" s="195"/>
      <c r="CW152" s="195"/>
      <c r="CX152" s="1114"/>
      <c r="CY152" s="195"/>
      <c r="CZ152" s="195"/>
      <c r="DA152" s="176"/>
      <c r="DD152" s="629"/>
      <c r="DE152" s="629"/>
      <c r="DF152" s="629"/>
    </row>
    <row r="153" spans="1:110" s="657" customFormat="1" ht="15.4" x14ac:dyDescent="0.35">
      <c r="A153" s="1580" t="s">
        <v>332</v>
      </c>
      <c r="B153" s="1615" t="s">
        <v>309</v>
      </c>
      <c r="C153" s="121" t="s">
        <v>338</v>
      </c>
      <c r="D153" s="754" t="s">
        <v>339</v>
      </c>
      <c r="E153" s="757" t="s">
        <v>73</v>
      </c>
      <c r="F153" s="757" t="s">
        <v>103</v>
      </c>
      <c r="G153" s="540">
        <f>0.001*AH153*X153</f>
        <v>930.23508000000015</v>
      </c>
      <c r="H153" s="111">
        <v>1066.4000000000001</v>
      </c>
      <c r="I153" s="545">
        <f t="shared" si="90"/>
        <v>1.1463768921722453</v>
      </c>
      <c r="J153" s="263"/>
      <c r="K153" s="221"/>
      <c r="L153" s="382"/>
      <c r="M153" s="6"/>
      <c r="N153" s="689"/>
      <c r="O153" s="382"/>
      <c r="P153" s="172"/>
      <c r="Q153" s="382"/>
      <c r="R153" s="760"/>
      <c r="S153" s="382"/>
      <c r="T153" s="382"/>
      <c r="U153" s="218"/>
      <c r="V153" s="382"/>
      <c r="W153" s="760"/>
      <c r="X153" s="541">
        <v>312.60000000000002</v>
      </c>
      <c r="Y153" s="757">
        <v>188600</v>
      </c>
      <c r="Z153" s="541">
        <f t="shared" si="89"/>
        <v>1.6574761399787913E-3</v>
      </c>
      <c r="AA153" s="763">
        <v>695.7</v>
      </c>
      <c r="AB153" s="433"/>
      <c r="AC153" s="771">
        <v>399.7</v>
      </c>
      <c r="AD153" s="752">
        <v>130</v>
      </c>
      <c r="AE153" s="753">
        <v>6</v>
      </c>
      <c r="AF153" s="753">
        <v>0</v>
      </c>
      <c r="AG153" s="272">
        <v>5</v>
      </c>
      <c r="AH153" s="751">
        <v>2975.8</v>
      </c>
      <c r="AI153" s="383">
        <v>0</v>
      </c>
      <c r="AJ153" s="432">
        <v>312.60000000000002</v>
      </c>
      <c r="AK153" s="382">
        <v>188600</v>
      </c>
      <c r="AL153" s="725">
        <f t="shared" si="84"/>
        <v>1.6574761399787913E-3</v>
      </c>
      <c r="AM153" s="772">
        <v>695.7</v>
      </c>
      <c r="AN153" s="433"/>
      <c r="AO153" s="195"/>
      <c r="AP153" s="195"/>
      <c r="AQ153" s="195"/>
      <c r="AR153" s="195"/>
      <c r="AS153" s="195"/>
      <c r="AT153" s="195"/>
      <c r="AU153" s="195"/>
      <c r="AV153" s="195"/>
      <c r="AW153" s="195"/>
      <c r="AX153" s="195"/>
      <c r="AY153" s="1116"/>
      <c r="AZ153" s="176"/>
      <c r="BA153" s="176"/>
      <c r="BB153" s="1114"/>
      <c r="BC153" s="176"/>
      <c r="BD153" s="176"/>
      <c r="BE153" s="1114"/>
      <c r="BF153" s="1114"/>
      <c r="BG153" s="273"/>
      <c r="BH153" s="273"/>
      <c r="BI153" s="195"/>
      <c r="BJ153" s="176"/>
      <c r="BK153" s="176"/>
      <c r="BL153" s="273"/>
      <c r="BM153" s="273"/>
      <c r="BN153" s="176"/>
      <c r="BO153" s="1114"/>
      <c r="BP153" s="195"/>
      <c r="BQ153" s="176"/>
      <c r="BR153" s="195"/>
      <c r="BS153" s="1114"/>
      <c r="BT153" s="195"/>
      <c r="BU153" s="195"/>
      <c r="BV153" s="176"/>
      <c r="BW153" s="273"/>
      <c r="BX153" s="590"/>
      <c r="BY153" s="862"/>
      <c r="BZ153" s="1114"/>
      <c r="CA153" s="273"/>
      <c r="CB153" s="1114"/>
      <c r="CC153" s="195"/>
      <c r="CD153" s="195"/>
      <c r="CE153" s="1116"/>
      <c r="CF153" s="195"/>
      <c r="CG153" s="195"/>
      <c r="CH153" s="176"/>
      <c r="CI153" s="273"/>
      <c r="CJ153" s="195"/>
      <c r="CK153" s="195"/>
      <c r="CL153" s="176"/>
      <c r="CM153" s="195"/>
      <c r="CN153" s="176"/>
      <c r="CO153" s="176"/>
      <c r="CP153" s="195"/>
      <c r="CQ153" s="176"/>
      <c r="CR153" s="176"/>
      <c r="CS153" s="176"/>
      <c r="CT153" s="176"/>
      <c r="CU153" s="176"/>
      <c r="CV153" s="195"/>
      <c r="CW153" s="195"/>
      <c r="CX153" s="1114"/>
      <c r="CY153" s="195"/>
      <c r="CZ153" s="195"/>
      <c r="DA153" s="176"/>
    </row>
    <row r="154" spans="1:110" s="657" customFormat="1" ht="15.4" x14ac:dyDescent="0.35">
      <c r="A154" s="1581"/>
      <c r="B154" s="1616"/>
      <c r="C154" s="295" t="s">
        <v>338</v>
      </c>
      <c r="D154" s="755" t="s">
        <v>340</v>
      </c>
      <c r="E154" s="758" t="s">
        <v>73</v>
      </c>
      <c r="F154" s="758" t="s">
        <v>103</v>
      </c>
      <c r="G154" s="540">
        <f t="shared" si="88"/>
        <v>1458.2790000000002</v>
      </c>
      <c r="H154" s="110">
        <v>1354.2</v>
      </c>
      <c r="I154" s="545">
        <f t="shared" si="90"/>
        <v>0.92862888377326958</v>
      </c>
      <c r="J154" s="155"/>
      <c r="K154" s="156"/>
      <c r="L154" s="655"/>
      <c r="M154" s="7"/>
      <c r="N154" s="119"/>
      <c r="O154" s="655"/>
      <c r="P154" s="176"/>
      <c r="Q154" s="655"/>
      <c r="R154" s="761"/>
      <c r="S154" s="655"/>
      <c r="T154" s="655"/>
      <c r="U154" s="195"/>
      <c r="V154" s="655"/>
      <c r="W154" s="761"/>
      <c r="X154" s="540">
        <v>312.60000000000002</v>
      </c>
      <c r="Y154" s="758">
        <v>188600</v>
      </c>
      <c r="Z154" s="540">
        <f t="shared" si="89"/>
        <v>1.6574761399787913E-3</v>
      </c>
      <c r="AA154" s="764">
        <v>695.7</v>
      </c>
      <c r="AB154" s="381"/>
      <c r="AC154" s="770">
        <v>600.4</v>
      </c>
      <c r="AD154" s="745">
        <v>200.375</v>
      </c>
      <c r="AE154" s="740">
        <v>6</v>
      </c>
      <c r="AF154" s="740">
        <v>0</v>
      </c>
      <c r="AG154" s="273">
        <v>5</v>
      </c>
      <c r="AH154" s="739">
        <v>4665</v>
      </c>
      <c r="AI154" s="147">
        <v>0</v>
      </c>
      <c r="AJ154" s="280">
        <v>312.60000000000002</v>
      </c>
      <c r="AK154" s="1114">
        <v>188600</v>
      </c>
      <c r="AL154" s="1116">
        <f t="shared" si="84"/>
        <v>1.6574761399787913E-3</v>
      </c>
      <c r="AM154" s="579">
        <v>695.7</v>
      </c>
      <c r="AN154" s="381"/>
      <c r="AO154" s="195"/>
      <c r="AP154" s="195"/>
      <c r="AQ154" s="195"/>
      <c r="AR154" s="195"/>
      <c r="AS154" s="195"/>
      <c r="AT154" s="195"/>
      <c r="AU154" s="195"/>
      <c r="AV154" s="195"/>
      <c r="AW154" s="195"/>
      <c r="AX154" s="195"/>
      <c r="AY154" s="1116"/>
      <c r="AZ154" s="176"/>
      <c r="BA154" s="176"/>
      <c r="BB154" s="1114"/>
      <c r="BC154" s="176"/>
      <c r="BD154" s="176"/>
      <c r="BE154" s="1114"/>
      <c r="BF154" s="1114"/>
      <c r="BG154" s="273"/>
      <c r="BH154" s="273"/>
      <c r="BI154" s="195"/>
      <c r="BJ154" s="176"/>
      <c r="BK154" s="176"/>
      <c r="BL154" s="273"/>
      <c r="BM154" s="273"/>
      <c r="BN154" s="176"/>
      <c r="BO154" s="1114"/>
      <c r="BP154" s="195"/>
      <c r="BQ154" s="176"/>
      <c r="BR154" s="195"/>
      <c r="BS154" s="1114"/>
      <c r="BT154" s="195"/>
      <c r="BU154" s="195"/>
      <c r="BV154" s="176"/>
      <c r="BW154" s="273"/>
      <c r="BX154" s="590"/>
      <c r="BY154" s="862"/>
      <c r="BZ154" s="1114"/>
      <c r="CA154" s="273"/>
      <c r="CB154" s="1114"/>
      <c r="CC154" s="195"/>
      <c r="CD154" s="195"/>
      <c r="CE154" s="1116"/>
      <c r="CF154" s="195"/>
      <c r="CG154" s="195"/>
      <c r="CH154" s="176"/>
      <c r="CI154" s="273"/>
      <c r="CJ154" s="195"/>
      <c r="CK154" s="195"/>
      <c r="CL154" s="176"/>
      <c r="CM154" s="195"/>
      <c r="CN154" s="176"/>
      <c r="CO154" s="176"/>
      <c r="CP154" s="195"/>
      <c r="CQ154" s="176"/>
      <c r="CR154" s="176"/>
      <c r="CS154" s="176"/>
      <c r="CT154" s="176"/>
      <c r="CU154" s="176"/>
      <c r="CV154" s="195"/>
      <c r="CW154" s="195"/>
      <c r="CX154" s="1114"/>
      <c r="CY154" s="195"/>
      <c r="CZ154" s="195"/>
      <c r="DA154" s="176"/>
    </row>
    <row r="155" spans="1:110" s="657" customFormat="1" ht="15.4" x14ac:dyDescent="0.35">
      <c r="A155" s="1581"/>
      <c r="B155" s="1616"/>
      <c r="C155" s="295" t="s">
        <v>338</v>
      </c>
      <c r="D155" s="755" t="s">
        <v>341</v>
      </c>
      <c r="E155" s="758" t="s">
        <v>73</v>
      </c>
      <c r="F155" s="758" t="s">
        <v>103</v>
      </c>
      <c r="G155" s="540">
        <f t="shared" si="88"/>
        <v>2212.9579200000003</v>
      </c>
      <c r="H155" s="110">
        <v>1393.2</v>
      </c>
      <c r="I155" s="545">
        <f t="shared" si="90"/>
        <v>0.62956461458607393</v>
      </c>
      <c r="J155" s="155"/>
      <c r="K155" s="156"/>
      <c r="L155" s="655"/>
      <c r="M155" s="7"/>
      <c r="N155" s="119"/>
      <c r="O155" s="655"/>
      <c r="P155" s="176"/>
      <c r="Q155" s="655"/>
      <c r="R155" s="761"/>
      <c r="S155" s="655"/>
      <c r="T155" s="655"/>
      <c r="U155" s="195"/>
      <c r="V155" s="655"/>
      <c r="W155" s="761"/>
      <c r="X155" s="540">
        <v>312.60000000000002</v>
      </c>
      <c r="Y155" s="758">
        <v>188600</v>
      </c>
      <c r="Z155" s="540">
        <f t="shared" si="89"/>
        <v>1.6574761399787913E-3</v>
      </c>
      <c r="AA155" s="764">
        <v>695.7</v>
      </c>
      <c r="AB155" s="381"/>
      <c r="AC155" s="770">
        <v>900.9</v>
      </c>
      <c r="AD155" s="745">
        <v>300.22500000000002</v>
      </c>
      <c r="AE155" s="740">
        <v>6</v>
      </c>
      <c r="AF155" s="740">
        <v>0</v>
      </c>
      <c r="AG155" s="273">
        <v>5</v>
      </c>
      <c r="AH155" s="739">
        <v>7079.2</v>
      </c>
      <c r="AI155" s="147">
        <v>0</v>
      </c>
      <c r="AJ155" s="280">
        <v>312.60000000000002</v>
      </c>
      <c r="AK155" s="1114">
        <v>188600</v>
      </c>
      <c r="AL155" s="1116">
        <f t="shared" si="84"/>
        <v>1.6574761399787913E-3</v>
      </c>
      <c r="AM155" s="579">
        <v>695.7</v>
      </c>
      <c r="AN155" s="381"/>
      <c r="AO155" s="195"/>
      <c r="AP155" s="195"/>
      <c r="AQ155" s="195"/>
      <c r="AR155" s="195"/>
      <c r="AS155" s="195"/>
      <c r="AT155" s="195"/>
      <c r="AU155" s="195"/>
      <c r="AV155" s="195"/>
      <c r="AW155" s="195"/>
      <c r="AX155" s="195"/>
      <c r="AY155" s="1116"/>
      <c r="AZ155" s="176"/>
      <c r="BA155" s="176"/>
      <c r="BB155" s="1114"/>
      <c r="BC155" s="176"/>
      <c r="BD155" s="176"/>
      <c r="BE155" s="1114"/>
      <c r="BF155" s="1114"/>
      <c r="BG155" s="273"/>
      <c r="BH155" s="273"/>
      <c r="BI155" s="195"/>
      <c r="BJ155" s="176"/>
      <c r="BK155" s="176"/>
      <c r="BL155" s="273"/>
      <c r="BM155" s="273"/>
      <c r="BN155" s="176"/>
      <c r="BO155" s="1114"/>
      <c r="BP155" s="195"/>
      <c r="BQ155" s="176"/>
      <c r="BR155" s="195"/>
      <c r="BS155" s="1114"/>
      <c r="BT155" s="195"/>
      <c r="BU155" s="195"/>
      <c r="BV155" s="176"/>
      <c r="BW155" s="273"/>
      <c r="BX155" s="590"/>
      <c r="BY155" s="862"/>
      <c r="BZ155" s="1114"/>
      <c r="CA155" s="273"/>
      <c r="CB155" s="1114"/>
      <c r="CC155" s="195"/>
      <c r="CD155" s="195"/>
      <c r="CE155" s="1116"/>
      <c r="CF155" s="195"/>
      <c r="CG155" s="195"/>
      <c r="CH155" s="176"/>
      <c r="CI155" s="273"/>
      <c r="CJ155" s="195"/>
      <c r="CK155" s="195"/>
      <c r="CL155" s="176"/>
      <c r="CM155" s="195"/>
      <c r="CN155" s="176"/>
      <c r="CO155" s="176"/>
      <c r="CP155" s="195"/>
      <c r="CQ155" s="176"/>
      <c r="CR155" s="176"/>
      <c r="CS155" s="176"/>
      <c r="CT155" s="176"/>
      <c r="CU155" s="176"/>
      <c r="CV155" s="195"/>
      <c r="CW155" s="195"/>
      <c r="CX155" s="1114"/>
      <c r="CY155" s="195"/>
      <c r="CZ155" s="195"/>
      <c r="DA155" s="176"/>
    </row>
    <row r="156" spans="1:110" s="657" customFormat="1" ht="15.4" x14ac:dyDescent="0.35">
      <c r="A156" s="1581"/>
      <c r="B156" s="1616"/>
      <c r="C156" s="295" t="s">
        <v>338</v>
      </c>
      <c r="D156" s="755" t="s">
        <v>342</v>
      </c>
      <c r="E156" s="758" t="s">
        <v>73</v>
      </c>
      <c r="F156" s="758" t="s">
        <v>103</v>
      </c>
      <c r="G156" s="540">
        <f t="shared" si="88"/>
        <v>2582.9512799999998</v>
      </c>
      <c r="H156" s="110">
        <v>1423.9</v>
      </c>
      <c r="I156" s="545">
        <f t="shared" si="90"/>
        <v>0.55126862478025529</v>
      </c>
      <c r="J156" s="155"/>
      <c r="K156" s="156"/>
      <c r="L156" s="655"/>
      <c r="M156" s="7"/>
      <c r="N156" s="119"/>
      <c r="O156" s="655"/>
      <c r="P156" s="176"/>
      <c r="Q156" s="655"/>
      <c r="R156" s="761"/>
      <c r="S156" s="655"/>
      <c r="T156" s="655"/>
      <c r="U156" s="195"/>
      <c r="V156" s="655"/>
      <c r="W156" s="761"/>
      <c r="X156" s="540">
        <v>312.60000000000002</v>
      </c>
      <c r="Y156" s="758">
        <v>188600</v>
      </c>
      <c r="Z156" s="540">
        <f t="shared" si="89"/>
        <v>1.6574761399787913E-3</v>
      </c>
      <c r="AA156" s="764">
        <v>695.7</v>
      </c>
      <c r="AB156" s="381"/>
      <c r="AC156" s="770">
        <v>1051</v>
      </c>
      <c r="AD156" s="745">
        <v>350.3</v>
      </c>
      <c r="AE156" s="740">
        <v>6</v>
      </c>
      <c r="AF156" s="740">
        <v>0</v>
      </c>
      <c r="AG156" s="273">
        <v>5</v>
      </c>
      <c r="AH156" s="739">
        <v>8262.7999999999993</v>
      </c>
      <c r="AI156" s="147">
        <v>0</v>
      </c>
      <c r="AJ156" s="280">
        <v>312.60000000000002</v>
      </c>
      <c r="AK156" s="1114">
        <v>188600</v>
      </c>
      <c r="AL156" s="1116">
        <f t="shared" si="84"/>
        <v>1.6574761399787913E-3</v>
      </c>
      <c r="AM156" s="579">
        <v>695.7</v>
      </c>
      <c r="AN156" s="381"/>
      <c r="AO156" s="195"/>
      <c r="AP156" s="195"/>
      <c r="AQ156" s="195"/>
      <c r="AR156" s="195"/>
      <c r="AS156" s="195"/>
      <c r="AT156" s="195"/>
      <c r="AU156" s="195"/>
      <c r="AV156" s="195"/>
      <c r="AW156" s="195"/>
      <c r="AX156" s="195"/>
      <c r="AY156" s="1116"/>
      <c r="AZ156" s="176"/>
      <c r="BA156" s="176"/>
      <c r="BB156" s="1114"/>
      <c r="BC156" s="176"/>
      <c r="BD156" s="176"/>
      <c r="BE156" s="1114"/>
      <c r="BF156" s="1114"/>
      <c r="BG156" s="273"/>
      <c r="BH156" s="273"/>
      <c r="BI156" s="195"/>
      <c r="BJ156" s="176"/>
      <c r="BK156" s="176"/>
      <c r="BL156" s="273"/>
      <c r="BM156" s="273"/>
      <c r="BN156" s="176"/>
      <c r="BO156" s="1114"/>
      <c r="BP156" s="195"/>
      <c r="BQ156" s="176"/>
      <c r="BR156" s="195"/>
      <c r="BS156" s="1114"/>
      <c r="BT156" s="195"/>
      <c r="BU156" s="195"/>
      <c r="BV156" s="176"/>
      <c r="BW156" s="273"/>
      <c r="BX156" s="590"/>
      <c r="BY156" s="862"/>
      <c r="BZ156" s="1114"/>
      <c r="CA156" s="273"/>
      <c r="CB156" s="1114"/>
      <c r="CC156" s="195"/>
      <c r="CD156" s="195"/>
      <c r="CE156" s="1116"/>
      <c r="CF156" s="195"/>
      <c r="CG156" s="195"/>
      <c r="CH156" s="176"/>
      <c r="CI156" s="273"/>
      <c r="CJ156" s="195"/>
      <c r="CK156" s="195"/>
      <c r="CL156" s="176"/>
      <c r="CM156" s="195"/>
      <c r="CN156" s="176"/>
      <c r="CO156" s="176"/>
      <c r="CP156" s="195"/>
      <c r="CQ156" s="176"/>
      <c r="CR156" s="176"/>
      <c r="CS156" s="176"/>
      <c r="CT156" s="176"/>
      <c r="CU156" s="176"/>
      <c r="CV156" s="195"/>
      <c r="CW156" s="195"/>
      <c r="CX156" s="1114"/>
      <c r="CY156" s="195"/>
      <c r="CZ156" s="195"/>
      <c r="DA156" s="176"/>
    </row>
    <row r="157" spans="1:110" s="657" customFormat="1" ht="15.4" x14ac:dyDescent="0.35">
      <c r="A157" s="1581"/>
      <c r="B157" s="1616" t="s">
        <v>310</v>
      </c>
      <c r="C157" s="295" t="s">
        <v>338</v>
      </c>
      <c r="D157" s="755" t="s">
        <v>343</v>
      </c>
      <c r="E157" s="758" t="s">
        <v>73</v>
      </c>
      <c r="F157" s="758" t="s">
        <v>103</v>
      </c>
      <c r="G157" s="540">
        <f t="shared" si="88"/>
        <v>1808.2004800000002</v>
      </c>
      <c r="H157" s="110">
        <v>1897.5</v>
      </c>
      <c r="I157" s="545">
        <f t="shared" si="90"/>
        <v>1.0493858512856935</v>
      </c>
      <c r="J157" s="155"/>
      <c r="K157" s="156"/>
      <c r="L157" s="655"/>
      <c r="M157" s="7"/>
      <c r="N157" s="119"/>
      <c r="O157" s="655"/>
      <c r="P157" s="176"/>
      <c r="Q157" s="655"/>
      <c r="R157" s="761"/>
      <c r="S157" s="655"/>
      <c r="T157" s="655"/>
      <c r="U157" s="195"/>
      <c r="V157" s="655"/>
      <c r="W157" s="761"/>
      <c r="X157" s="540">
        <v>605.6</v>
      </c>
      <c r="Y157" s="758">
        <v>193200</v>
      </c>
      <c r="Z157" s="540">
        <f t="shared" si="89"/>
        <v>3.1345755693581783E-3</v>
      </c>
      <c r="AA157" s="764">
        <v>797.9</v>
      </c>
      <c r="AB157" s="381"/>
      <c r="AC157" s="630">
        <v>399.5</v>
      </c>
      <c r="AD157" s="745">
        <v>130.4</v>
      </c>
      <c r="AE157" s="740">
        <v>6</v>
      </c>
      <c r="AF157" s="740">
        <v>0</v>
      </c>
      <c r="AG157" s="273">
        <v>5</v>
      </c>
      <c r="AH157" s="740">
        <v>2985.8</v>
      </c>
      <c r="AI157" s="147">
        <v>0</v>
      </c>
      <c r="AJ157" s="280">
        <v>605.6</v>
      </c>
      <c r="AK157" s="1114">
        <v>193200</v>
      </c>
      <c r="AL157" s="1116">
        <f t="shared" si="84"/>
        <v>3.1345755693581783E-3</v>
      </c>
      <c r="AM157" s="579">
        <v>797.9</v>
      </c>
      <c r="AN157" s="381"/>
      <c r="AO157" s="195"/>
      <c r="AP157" s="195"/>
      <c r="AQ157" s="195"/>
      <c r="AR157" s="195"/>
      <c r="AS157" s="195"/>
      <c r="AT157" s="195"/>
      <c r="AU157" s="195"/>
      <c r="AV157" s="195"/>
      <c r="AW157" s="195"/>
      <c r="AX157" s="195"/>
      <c r="AY157" s="1116"/>
      <c r="AZ157" s="176"/>
      <c r="BA157" s="176"/>
      <c r="BB157" s="1114"/>
      <c r="BC157" s="176"/>
      <c r="BD157" s="176"/>
      <c r="BE157" s="1114"/>
      <c r="BF157" s="1114"/>
      <c r="BG157" s="273"/>
      <c r="BH157" s="273"/>
      <c r="BI157" s="195"/>
      <c r="BJ157" s="176"/>
      <c r="BK157" s="176"/>
      <c r="BL157" s="273"/>
      <c r="BM157" s="273"/>
      <c r="BN157" s="176"/>
      <c r="BO157" s="1114"/>
      <c r="BP157" s="195"/>
      <c r="BQ157" s="176"/>
      <c r="BR157" s="195"/>
      <c r="BS157" s="1114"/>
      <c r="BT157" s="195"/>
      <c r="BU157" s="195"/>
      <c r="BV157" s="176"/>
      <c r="BW157" s="273"/>
      <c r="BX157" s="590"/>
      <c r="BY157" s="862"/>
      <c r="BZ157" s="1114"/>
      <c r="CA157" s="273"/>
      <c r="CB157" s="1114"/>
      <c r="CC157" s="195"/>
      <c r="CD157" s="195"/>
      <c r="CE157" s="1116"/>
      <c r="CF157" s="195"/>
      <c r="CG157" s="195"/>
      <c r="CH157" s="176"/>
      <c r="CI157" s="273"/>
      <c r="CJ157" s="195"/>
      <c r="CK157" s="195"/>
      <c r="CL157" s="176"/>
      <c r="CM157" s="195"/>
      <c r="CN157" s="176"/>
      <c r="CO157" s="176"/>
      <c r="CP157" s="195"/>
      <c r="CQ157" s="176"/>
      <c r="CR157" s="176"/>
      <c r="CS157" s="176"/>
      <c r="CT157" s="176"/>
      <c r="CU157" s="176"/>
      <c r="CV157" s="195"/>
      <c r="CW157" s="195"/>
      <c r="CX157" s="1114"/>
      <c r="CY157" s="195"/>
      <c r="CZ157" s="195"/>
      <c r="DA157" s="176"/>
    </row>
    <row r="158" spans="1:110" s="657" customFormat="1" ht="15.4" x14ac:dyDescent="0.35">
      <c r="A158" s="1581"/>
      <c r="B158" s="1616"/>
      <c r="C158" s="295" t="s">
        <v>338</v>
      </c>
      <c r="D158" s="755" t="s">
        <v>344</v>
      </c>
      <c r="E158" s="758" t="s">
        <v>73</v>
      </c>
      <c r="F158" s="758" t="s">
        <v>103</v>
      </c>
      <c r="G158" s="540">
        <f t="shared" si="88"/>
        <v>4278.9879199999996</v>
      </c>
      <c r="H158" s="110">
        <v>2221.5</v>
      </c>
      <c r="I158" s="545">
        <f t="shared" si="90"/>
        <v>0.51916482157304156</v>
      </c>
      <c r="J158" s="155"/>
      <c r="K158" s="156"/>
      <c r="L158" s="655"/>
      <c r="M158" s="7"/>
      <c r="N158" s="119"/>
      <c r="O158" s="655"/>
      <c r="P158" s="176"/>
      <c r="Q158" s="655"/>
      <c r="R158" s="761"/>
      <c r="S158" s="655"/>
      <c r="T158" s="655"/>
      <c r="U158" s="195"/>
      <c r="V158" s="655"/>
      <c r="W158" s="761"/>
      <c r="X158" s="540">
        <v>605.6</v>
      </c>
      <c r="Y158" s="758">
        <v>193200</v>
      </c>
      <c r="Z158" s="540">
        <f t="shared" si="89"/>
        <v>3.1345755693581783E-3</v>
      </c>
      <c r="AA158" s="764">
        <v>797.9</v>
      </c>
      <c r="AB158" s="381"/>
      <c r="AC158" s="630">
        <v>898.9</v>
      </c>
      <c r="AD158" s="745">
        <v>299.92500000000001</v>
      </c>
      <c r="AE158" s="740">
        <v>6</v>
      </c>
      <c r="AF158" s="740">
        <v>0</v>
      </c>
      <c r="AG158" s="273">
        <v>5</v>
      </c>
      <c r="AH158" s="740">
        <v>7065.7</v>
      </c>
      <c r="AI158" s="147">
        <v>0</v>
      </c>
      <c r="AJ158" s="280">
        <v>605.6</v>
      </c>
      <c r="AK158" s="1114">
        <v>193200</v>
      </c>
      <c r="AL158" s="1116">
        <f t="shared" si="84"/>
        <v>3.1345755693581783E-3</v>
      </c>
      <c r="AM158" s="579">
        <v>797.9</v>
      </c>
      <c r="AN158" s="381"/>
      <c r="AO158" s="195"/>
      <c r="AP158" s="195"/>
      <c r="AQ158" s="195"/>
      <c r="AR158" s="195"/>
      <c r="AS158" s="195"/>
      <c r="AT158" s="195"/>
      <c r="AU158" s="195"/>
      <c r="AV158" s="195"/>
      <c r="AW158" s="195"/>
      <c r="AX158" s="195"/>
      <c r="AY158" s="1116"/>
      <c r="AZ158" s="176"/>
      <c r="BA158" s="176"/>
      <c r="BB158" s="1114"/>
      <c r="BC158" s="176"/>
      <c r="BD158" s="176"/>
      <c r="BE158" s="1114"/>
      <c r="BF158" s="1114"/>
      <c r="BG158" s="273"/>
      <c r="BH158" s="273"/>
      <c r="BI158" s="195"/>
      <c r="BJ158" s="176"/>
      <c r="BK158" s="176"/>
      <c r="BL158" s="273"/>
      <c r="BM158" s="273"/>
      <c r="BN158" s="176"/>
      <c r="BO158" s="1114"/>
      <c r="BP158" s="195"/>
      <c r="BQ158" s="176"/>
      <c r="BR158" s="195"/>
      <c r="BS158" s="1114"/>
      <c r="BT158" s="195"/>
      <c r="BU158" s="195"/>
      <c r="BV158" s="176"/>
      <c r="BW158" s="273"/>
      <c r="BX158" s="590"/>
      <c r="BY158" s="862"/>
      <c r="BZ158" s="1114"/>
      <c r="CA158" s="273"/>
      <c r="CB158" s="1114"/>
      <c r="CC158" s="195"/>
      <c r="CD158" s="195"/>
      <c r="CE158" s="1116"/>
      <c r="CF158" s="195"/>
      <c r="CG158" s="195"/>
      <c r="CH158" s="176"/>
      <c r="CI158" s="273"/>
      <c r="CJ158" s="195"/>
      <c r="CK158" s="195"/>
      <c r="CL158" s="176"/>
      <c r="CM158" s="195"/>
      <c r="CN158" s="176"/>
      <c r="CO158" s="176"/>
      <c r="CP158" s="195"/>
      <c r="CQ158" s="176"/>
      <c r="CR158" s="176"/>
      <c r="CS158" s="176"/>
      <c r="CT158" s="176"/>
      <c r="CU158" s="176"/>
      <c r="CV158" s="195"/>
      <c r="CW158" s="195"/>
      <c r="CX158" s="1114"/>
      <c r="CY158" s="195"/>
      <c r="CZ158" s="195"/>
      <c r="DA158" s="176"/>
    </row>
    <row r="159" spans="1:110" s="657" customFormat="1" ht="15.75" thickBot="1" x14ac:dyDescent="0.4">
      <c r="A159" s="1582"/>
      <c r="B159" s="1617"/>
      <c r="C159" s="123" t="s">
        <v>338</v>
      </c>
      <c r="D159" s="756" t="s">
        <v>345</v>
      </c>
      <c r="E159" s="759" t="s">
        <v>73</v>
      </c>
      <c r="F159" s="759" t="s">
        <v>103</v>
      </c>
      <c r="G159" s="746">
        <f t="shared" si="88"/>
        <v>5000.31808</v>
      </c>
      <c r="H159" s="118">
        <v>2363.5</v>
      </c>
      <c r="I159" s="697">
        <f t="shared" si="90"/>
        <v>0.47266993062969304</v>
      </c>
      <c r="J159" s="305"/>
      <c r="K159" s="241"/>
      <c r="L159" s="240"/>
      <c r="M159" s="277"/>
      <c r="N159" s="120"/>
      <c r="O159" s="240"/>
      <c r="P159" s="193"/>
      <c r="Q159" s="240"/>
      <c r="R159" s="762"/>
      <c r="S159" s="240"/>
      <c r="T159" s="240"/>
      <c r="U159" s="238"/>
      <c r="V159" s="240"/>
      <c r="W159" s="762"/>
      <c r="X159" s="746">
        <v>605.6</v>
      </c>
      <c r="Y159" s="759">
        <v>193200</v>
      </c>
      <c r="Z159" s="746">
        <f t="shared" si="89"/>
        <v>3.1345755693581783E-3</v>
      </c>
      <c r="AA159" s="765">
        <v>797.9</v>
      </c>
      <c r="AB159" s="769"/>
      <c r="AC159" s="631">
        <v>1051</v>
      </c>
      <c r="AD159" s="749">
        <v>350.05</v>
      </c>
      <c r="AE159" s="750">
        <v>6</v>
      </c>
      <c r="AF159" s="750">
        <v>0</v>
      </c>
      <c r="AG159" s="276">
        <v>5</v>
      </c>
      <c r="AH159" s="750">
        <v>8256.7999999999993</v>
      </c>
      <c r="AI159" s="329">
        <v>0</v>
      </c>
      <c r="AJ159" s="633">
        <v>605.6</v>
      </c>
      <c r="AK159" s="240">
        <v>193200</v>
      </c>
      <c r="AL159" s="650">
        <f t="shared" si="84"/>
        <v>3.1345755693581783E-3</v>
      </c>
      <c r="AM159" s="773">
        <v>797.9</v>
      </c>
      <c r="AN159" s="769"/>
      <c r="AO159" s="195"/>
      <c r="AP159" s="195"/>
      <c r="AQ159" s="195"/>
      <c r="AR159" s="195"/>
      <c r="AS159" s="195"/>
      <c r="AT159" s="195"/>
      <c r="AU159" s="195"/>
      <c r="AV159" s="195"/>
      <c r="AW159" s="195"/>
      <c r="AX159" s="195"/>
      <c r="AY159" s="1116"/>
      <c r="AZ159" s="176"/>
      <c r="BA159" s="176"/>
      <c r="BB159" s="1114"/>
      <c r="BC159" s="176"/>
      <c r="BD159" s="176"/>
      <c r="BE159" s="1114"/>
      <c r="BF159" s="1114"/>
      <c r="BG159" s="273"/>
      <c r="BH159" s="273"/>
      <c r="BI159" s="195"/>
      <c r="BJ159" s="176"/>
      <c r="BK159" s="176"/>
      <c r="BL159" s="273"/>
      <c r="BM159" s="273"/>
      <c r="BN159" s="176"/>
      <c r="BO159" s="1114"/>
      <c r="BP159" s="195"/>
      <c r="BQ159" s="176"/>
      <c r="BR159" s="195"/>
      <c r="BS159" s="1114"/>
      <c r="BT159" s="195"/>
      <c r="BU159" s="195"/>
      <c r="BV159" s="176"/>
      <c r="BW159" s="273"/>
      <c r="BX159" s="590"/>
      <c r="BY159" s="862"/>
      <c r="BZ159" s="1114"/>
      <c r="CA159" s="273"/>
      <c r="CB159" s="1114"/>
      <c r="CC159" s="195"/>
      <c r="CD159" s="195"/>
      <c r="CE159" s="1116"/>
      <c r="CF159" s="195"/>
      <c r="CG159" s="195"/>
      <c r="CH159" s="176"/>
      <c r="CI159" s="273"/>
      <c r="CJ159" s="195"/>
      <c r="CK159" s="195"/>
      <c r="CL159" s="176"/>
      <c r="CM159" s="195"/>
      <c r="CN159" s="176"/>
      <c r="CO159" s="176"/>
      <c r="CP159" s="195"/>
      <c r="CQ159" s="176"/>
      <c r="CR159" s="176"/>
      <c r="CS159" s="176"/>
      <c r="CT159" s="176"/>
      <c r="CU159" s="176"/>
      <c r="CV159" s="195"/>
      <c r="CW159" s="195"/>
      <c r="CX159" s="1114"/>
      <c r="CY159" s="195"/>
      <c r="CZ159" s="195"/>
      <c r="DA159" s="176"/>
    </row>
    <row r="160" spans="1:110" s="657" customFormat="1" ht="15.4" x14ac:dyDescent="0.45">
      <c r="A160" s="738"/>
      <c r="B160" s="655"/>
      <c r="C160" s="658"/>
      <c r="E160" s="655"/>
      <c r="F160" s="655"/>
      <c r="G160" s="195"/>
      <c r="H160" s="110"/>
      <c r="I160" s="195"/>
      <c r="J160" s="655"/>
      <c r="K160" s="655"/>
      <c r="L160" s="655"/>
      <c r="M160" s="7"/>
      <c r="N160" s="119"/>
      <c r="O160" s="655"/>
      <c r="P160" s="176"/>
      <c r="Q160" s="655"/>
      <c r="S160" s="655"/>
      <c r="T160" s="655"/>
      <c r="U160" s="195"/>
      <c r="V160" s="655"/>
      <c r="X160" s="195"/>
      <c r="Y160" s="655"/>
      <c r="Z160" s="195"/>
      <c r="AA160" s="538"/>
      <c r="AC160" s="747"/>
      <c r="AD160" s="740"/>
      <c r="AE160" s="740"/>
      <c r="AF160" s="740"/>
      <c r="AG160" s="273"/>
      <c r="AH160" s="740"/>
      <c r="AI160" s="176"/>
      <c r="AJ160" s="7"/>
      <c r="AK160" s="114"/>
      <c r="AM160" s="741"/>
      <c r="AO160" s="195"/>
      <c r="AP160" s="195"/>
      <c r="AQ160" s="195"/>
      <c r="AR160" s="195"/>
      <c r="AS160" s="195"/>
      <c r="AT160" s="195"/>
      <c r="AU160" s="195"/>
      <c r="AV160" s="195"/>
      <c r="AW160" s="195"/>
      <c r="AX160" s="195"/>
      <c r="AZ160" s="655"/>
      <c r="BA160" s="176"/>
      <c r="BB160" s="655"/>
      <c r="BC160" s="655"/>
      <c r="BD160" s="176"/>
      <c r="BE160" s="655"/>
      <c r="BF160" s="655"/>
      <c r="BG160" s="655"/>
      <c r="BH160" s="655"/>
      <c r="BI160" s="195"/>
      <c r="BJ160" s="176"/>
      <c r="BK160" s="176"/>
      <c r="BL160" s="655"/>
      <c r="BM160" s="195"/>
      <c r="BN160" s="655"/>
      <c r="BO160" s="655"/>
      <c r="BP160" s="195"/>
      <c r="BQ160" s="176"/>
      <c r="BR160" s="195"/>
      <c r="BS160" s="655"/>
      <c r="BT160" s="195"/>
      <c r="BU160" s="195"/>
      <c r="BV160" s="176"/>
      <c r="BW160" s="655"/>
      <c r="BX160" s="590"/>
      <c r="BY160" s="176"/>
      <c r="BZ160" s="655"/>
      <c r="CA160" s="655"/>
      <c r="CB160" s="655"/>
      <c r="CC160" s="195"/>
      <c r="CD160" s="195"/>
      <c r="CF160" s="195"/>
      <c r="CG160" s="195"/>
      <c r="CH160" s="176"/>
      <c r="CI160" s="273"/>
      <c r="CJ160" s="195"/>
      <c r="CK160" s="195"/>
      <c r="CL160" s="176"/>
      <c r="CM160" s="195"/>
      <c r="CN160" s="176"/>
      <c r="CO160" s="176"/>
      <c r="CP160" s="195"/>
      <c r="CQ160" s="176"/>
      <c r="CR160" s="176"/>
      <c r="CS160" s="176"/>
      <c r="CT160" s="176"/>
      <c r="CU160" s="162"/>
      <c r="CV160" s="195"/>
      <c r="CW160" s="195"/>
      <c r="CX160" s="655"/>
      <c r="CY160" s="195"/>
      <c r="CZ160" s="195"/>
      <c r="DA160" s="176"/>
    </row>
    <row r="161" spans="1:107" s="657" customFormat="1" ht="15.4" x14ac:dyDescent="0.45">
      <c r="A161" s="738"/>
      <c r="B161" s="655"/>
      <c r="C161" s="658"/>
      <c r="E161" s="655"/>
      <c r="F161" s="655"/>
      <c r="G161" s="195"/>
      <c r="H161" s="110"/>
      <c r="I161" s="195"/>
      <c r="J161" s="655"/>
      <c r="K161" s="655"/>
      <c r="L161" s="655"/>
      <c r="M161" s="7"/>
      <c r="N161" s="119"/>
      <c r="O161" s="655"/>
      <c r="P161" s="176"/>
      <c r="Q161" s="655"/>
      <c r="S161" s="655"/>
      <c r="T161" s="655"/>
      <c r="U161" s="195"/>
      <c r="V161" s="655"/>
      <c r="X161" s="195"/>
      <c r="Y161" s="655"/>
      <c r="Z161" s="195"/>
      <c r="AA161" s="538"/>
      <c r="AC161" s="739"/>
      <c r="AD161" s="740"/>
      <c r="AE161" s="740"/>
      <c r="AF161" s="740"/>
      <c r="AG161" s="273"/>
      <c r="AH161" s="740"/>
      <c r="AI161" s="176"/>
      <c r="AJ161" s="7"/>
      <c r="AK161" s="114"/>
      <c r="AM161" s="741"/>
      <c r="AO161" s="195"/>
      <c r="AP161" s="195"/>
      <c r="AQ161" s="195"/>
      <c r="AR161" s="195"/>
      <c r="AS161" s="195"/>
      <c r="AT161" s="195"/>
      <c r="AU161" s="195"/>
      <c r="AV161" s="195"/>
      <c r="AW161" s="195"/>
      <c r="AX161" s="195"/>
      <c r="AZ161" s="655"/>
      <c r="BA161" s="176"/>
      <c r="BB161" s="655"/>
      <c r="BC161" s="655"/>
      <c r="BD161" s="176"/>
      <c r="BE161" s="655"/>
      <c r="BF161" s="655"/>
      <c r="BG161" s="655"/>
      <c r="BH161" s="655"/>
      <c r="BI161" s="195"/>
      <c r="BJ161" s="176"/>
      <c r="BK161" s="176"/>
      <c r="BL161" s="655"/>
      <c r="BM161" s="195"/>
      <c r="BN161" s="655"/>
      <c r="BO161" s="655"/>
      <c r="BP161" s="195"/>
      <c r="BQ161" s="176"/>
      <c r="BR161" s="195"/>
      <c r="BS161" s="655"/>
      <c r="BT161" s="195"/>
      <c r="BU161" s="195"/>
      <c r="BV161" s="176"/>
      <c r="BW161" s="655"/>
      <c r="BX161" s="590"/>
      <c r="BY161" s="176"/>
      <c r="BZ161" s="655"/>
      <c r="CA161" s="655"/>
      <c r="CB161" s="655"/>
      <c r="CC161" s="195"/>
      <c r="CD161" s="195"/>
      <c r="CF161" s="195"/>
      <c r="CG161" s="195"/>
      <c r="CH161" s="176"/>
      <c r="CI161" s="273"/>
      <c r="CJ161" s="195"/>
      <c r="CK161" s="195"/>
      <c r="CL161" s="176"/>
      <c r="CM161" s="195"/>
      <c r="CN161" s="176"/>
      <c r="CO161" s="176"/>
      <c r="CP161" s="195"/>
      <c r="CQ161" s="176"/>
      <c r="CR161" s="176"/>
      <c r="CS161" s="176"/>
      <c r="CT161" s="176"/>
      <c r="CU161" s="162"/>
      <c r="CV161" s="195"/>
      <c r="CW161" s="195"/>
      <c r="CX161" s="655"/>
      <c r="CY161" s="195"/>
      <c r="CZ161" s="195"/>
      <c r="DA161" s="176"/>
    </row>
    <row r="162" spans="1:107" ht="13.15" x14ac:dyDescent="0.45">
      <c r="G162" s="143"/>
      <c r="H162" s="110"/>
      <c r="I162" s="143"/>
      <c r="J162" s="328"/>
      <c r="M162" s="7"/>
      <c r="N162" s="119"/>
    </row>
    <row r="163" spans="1:107" ht="13.5" thickBot="1" x14ac:dyDescent="0.5">
      <c r="G163" s="143"/>
      <c r="H163" s="110"/>
      <c r="I163" s="143"/>
      <c r="M163" s="277"/>
      <c r="N163" s="120"/>
    </row>
    <row r="164" spans="1:107" ht="15.75" customHeight="1" thickBot="1" x14ac:dyDescent="0.5">
      <c r="J164" s="1556" t="s">
        <v>1</v>
      </c>
      <c r="K164" s="1557"/>
      <c r="L164" s="1557"/>
      <c r="M164" s="1557"/>
      <c r="N164" s="1557"/>
      <c r="O164" s="1557"/>
      <c r="P164" s="1557"/>
      <c r="Q164" s="1557"/>
      <c r="R164" s="1557"/>
      <c r="S164" s="1557"/>
      <c r="T164" s="1557"/>
      <c r="U164" s="1557"/>
      <c r="V164" s="1557"/>
      <c r="W164" s="1557"/>
      <c r="X164" s="1557"/>
      <c r="Y164" s="1557"/>
      <c r="Z164" s="1557"/>
      <c r="AA164" s="1557"/>
      <c r="AB164" s="1558"/>
      <c r="AC164" s="1556" t="s">
        <v>0</v>
      </c>
      <c r="AD164" s="1557"/>
      <c r="AE164" s="1557"/>
      <c r="AF164" s="1557"/>
      <c r="AG164" s="1557"/>
      <c r="AH164" s="1557"/>
      <c r="AI164" s="1557"/>
      <c r="AJ164" s="1558"/>
      <c r="AK164" s="1594" t="s">
        <v>149</v>
      </c>
      <c r="AL164" s="1595"/>
      <c r="AM164" s="1595"/>
      <c r="AN164" s="1595"/>
      <c r="AO164" s="1596"/>
      <c r="AP164" s="286"/>
      <c r="AQ164" s="286"/>
      <c r="AR164" s="286"/>
      <c r="AS164" s="286"/>
      <c r="AT164" s="286"/>
      <c r="AU164" s="286"/>
      <c r="AV164" s="286"/>
      <c r="AW164" s="286"/>
      <c r="AX164" s="286"/>
      <c r="AY164" s="286"/>
      <c r="AZ164" s="286"/>
      <c r="BA164" s="286"/>
      <c r="BB164" s="286"/>
      <c r="BC164" s="286"/>
      <c r="BD164" s="286"/>
      <c r="BE164" s="286"/>
      <c r="BF164" s="286"/>
      <c r="BG164" s="286"/>
      <c r="BH164" s="286"/>
      <c r="BI164" s="286"/>
      <c r="BJ164" s="286"/>
      <c r="BK164" s="286"/>
      <c r="BL164" s="286"/>
      <c r="BM164" s="286"/>
      <c r="BN164" s="286"/>
      <c r="BO164" s="286"/>
      <c r="BP164" s="286"/>
      <c r="BQ164" s="286"/>
      <c r="BR164" s="286"/>
      <c r="BS164" s="286"/>
      <c r="BT164" s="286"/>
      <c r="BU164" s="286"/>
      <c r="BV164" s="286"/>
      <c r="BW164" s="286"/>
      <c r="BX164" s="286"/>
      <c r="BY164" s="286"/>
      <c r="BZ164" s="286"/>
      <c r="CA164" s="286"/>
      <c r="CB164" s="286"/>
      <c r="CC164" s="286"/>
      <c r="CD164" s="286"/>
      <c r="CE164" s="286"/>
      <c r="CF164" s="286"/>
      <c r="CG164" s="286"/>
      <c r="CH164" s="286"/>
      <c r="CI164" s="286"/>
      <c r="CJ164" s="286"/>
      <c r="CK164" s="286"/>
      <c r="CL164" s="286"/>
      <c r="CM164" s="286"/>
      <c r="CN164" s="286"/>
      <c r="CO164" s="286"/>
      <c r="CP164" s="286"/>
      <c r="CQ164" s="286"/>
      <c r="CR164" s="286"/>
      <c r="CS164" s="286"/>
      <c r="CT164" s="286"/>
      <c r="CU164" s="286"/>
      <c r="CV164" s="286"/>
      <c r="CW164" s="1114"/>
      <c r="CX164" s="1116"/>
      <c r="CY164" s="1116"/>
      <c r="CZ164" s="1116"/>
      <c r="DA164" s="1116"/>
      <c r="DB164" s="1116"/>
      <c r="DC164" s="1116"/>
    </row>
    <row r="165" spans="1:107" ht="15.75" customHeight="1" x14ac:dyDescent="0.35">
      <c r="A165" s="1570" t="s">
        <v>2</v>
      </c>
      <c r="B165" s="1682" t="s">
        <v>3</v>
      </c>
      <c r="C165" s="1560" t="s">
        <v>4</v>
      </c>
      <c r="D165" s="196" t="s">
        <v>5</v>
      </c>
      <c r="E165" s="1605" t="s">
        <v>221</v>
      </c>
      <c r="F165" s="695" t="s">
        <v>6</v>
      </c>
      <c r="G165" s="1550" t="s">
        <v>143</v>
      </c>
      <c r="H165" s="1603" t="s">
        <v>7</v>
      </c>
      <c r="I165" s="1680" t="s">
        <v>144</v>
      </c>
      <c r="J165" s="1549" t="s">
        <v>17</v>
      </c>
      <c r="K165" s="1562"/>
      <c r="L165" s="1548" t="s">
        <v>18</v>
      </c>
      <c r="M165" s="1549"/>
      <c r="N165" s="1549"/>
      <c r="O165" s="1549"/>
      <c r="P165" s="1549"/>
      <c r="Q165" s="1549"/>
      <c r="R165" s="1562"/>
      <c r="S165" s="1548" t="s">
        <v>19</v>
      </c>
      <c r="T165" s="1549"/>
      <c r="U165" s="1549"/>
      <c r="V165" s="1549"/>
      <c r="W165" s="1562"/>
      <c r="X165" s="1548" t="s">
        <v>50</v>
      </c>
      <c r="Y165" s="1549"/>
      <c r="Z165" s="1549"/>
      <c r="AA165" s="295" t="s">
        <v>196</v>
      </c>
      <c r="AB165" s="1546"/>
      <c r="AC165" s="66" t="s">
        <v>8</v>
      </c>
      <c r="AD165" s="50" t="s">
        <v>49</v>
      </c>
      <c r="AE165" s="49" t="s">
        <v>9</v>
      </c>
      <c r="AF165" s="48" t="s">
        <v>10</v>
      </c>
      <c r="AG165" s="50" t="s">
        <v>71</v>
      </c>
      <c r="AH165" s="372" t="s">
        <v>12</v>
      </c>
      <c r="AI165" s="351" t="s">
        <v>14</v>
      </c>
      <c r="AJ165" s="353" t="s">
        <v>15</v>
      </c>
      <c r="AK165" s="61" t="s">
        <v>178</v>
      </c>
      <c r="AL165" s="48" t="s">
        <v>194</v>
      </c>
      <c r="AM165" s="1126" t="s">
        <v>199</v>
      </c>
      <c r="AN165" s="1149" t="s">
        <v>196</v>
      </c>
      <c r="AO165" s="1544"/>
      <c r="AP165" s="1114"/>
      <c r="AQ165" s="1116"/>
      <c r="AR165" s="1116"/>
      <c r="AS165" s="1116"/>
      <c r="AT165" s="1116"/>
      <c r="AU165" s="1116"/>
      <c r="AV165" s="1116"/>
      <c r="AW165" s="1116"/>
      <c r="AX165" s="1116"/>
      <c r="AY165" s="1116"/>
      <c r="AZ165" s="1114"/>
      <c r="BA165" s="1116"/>
      <c r="BB165" s="1116"/>
      <c r="BC165" s="1116"/>
      <c r="BD165" s="1116"/>
      <c r="BE165" s="1116"/>
      <c r="BF165" s="1116"/>
      <c r="BG165" s="1116"/>
      <c r="BH165" s="1116"/>
      <c r="BI165" s="1116"/>
      <c r="BJ165" s="1116"/>
      <c r="BK165" s="1116"/>
      <c r="BL165" s="1116"/>
      <c r="BM165" s="1116"/>
      <c r="BN165" s="1116"/>
      <c r="BO165" s="1116"/>
      <c r="BP165" s="1116"/>
      <c r="BQ165" s="1116"/>
      <c r="BR165" s="1116"/>
      <c r="BS165" s="1116"/>
      <c r="BT165" s="1116"/>
      <c r="BU165" s="1116"/>
      <c r="BV165" s="1116"/>
      <c r="BW165" s="1116"/>
      <c r="BX165" s="1120"/>
      <c r="BY165" s="1120"/>
      <c r="BZ165" s="287"/>
      <c r="CA165" s="287"/>
      <c r="CB165" s="325"/>
      <c r="CC165" s="325"/>
      <c r="CD165" s="1120"/>
      <c r="CE165" s="1120"/>
      <c r="CF165" s="1115"/>
      <c r="CG165" s="1144"/>
      <c r="CH165" s="1114"/>
      <c r="CI165" s="1145"/>
      <c r="CJ165" s="1115"/>
      <c r="CK165" s="1144"/>
      <c r="CL165" s="1114"/>
      <c r="CM165" s="1145"/>
      <c r="CN165" s="1114"/>
      <c r="CO165" s="1114"/>
      <c r="CP165" s="1114"/>
      <c r="CQ165" s="1114"/>
      <c r="CR165" s="1114"/>
      <c r="CS165" s="1114"/>
      <c r="CT165" s="1114"/>
      <c r="CU165" s="1114"/>
      <c r="CV165" s="1114"/>
      <c r="CW165" s="1114"/>
      <c r="CX165" s="1114"/>
      <c r="CY165" s="1114"/>
      <c r="CZ165" s="1114"/>
      <c r="DA165" s="1114"/>
      <c r="DB165" s="1114"/>
      <c r="DC165" s="1114"/>
    </row>
    <row r="166" spans="1:107" ht="15" x14ac:dyDescent="0.45">
      <c r="A166" s="1571"/>
      <c r="B166" s="1683"/>
      <c r="C166" s="1561"/>
      <c r="D166" s="803"/>
      <c r="E166" s="1606"/>
      <c r="F166" s="73" t="s">
        <v>16</v>
      </c>
      <c r="G166" s="1612"/>
      <c r="H166" s="1638"/>
      <c r="I166" s="1681"/>
      <c r="J166" s="79" t="s">
        <v>179</v>
      </c>
      <c r="K166" s="80" t="s">
        <v>185</v>
      </c>
      <c r="L166" s="73" t="s">
        <v>311</v>
      </c>
      <c r="M166" s="79" t="s">
        <v>186</v>
      </c>
      <c r="N166" s="79" t="s">
        <v>312</v>
      </c>
      <c r="O166" s="74" t="s">
        <v>187</v>
      </c>
      <c r="P166" s="74" t="s">
        <v>29</v>
      </c>
      <c r="Q166" s="74" t="s">
        <v>30</v>
      </c>
      <c r="R166" s="96" t="s">
        <v>190</v>
      </c>
      <c r="S166" s="73" t="s">
        <v>311</v>
      </c>
      <c r="T166" s="74" t="s">
        <v>313</v>
      </c>
      <c r="U166" s="74" t="s">
        <v>33</v>
      </c>
      <c r="V166" s="74" t="s">
        <v>34</v>
      </c>
      <c r="W166" s="96" t="s">
        <v>31</v>
      </c>
      <c r="X166" s="116" t="s">
        <v>35</v>
      </c>
      <c r="Y166" s="358" t="s">
        <v>142</v>
      </c>
      <c r="Z166" s="73" t="s">
        <v>180</v>
      </c>
      <c r="AA166" s="346" t="s">
        <v>23</v>
      </c>
      <c r="AB166" s="1547"/>
      <c r="AC166" s="46" t="s">
        <v>21</v>
      </c>
      <c r="AD166" s="51" t="s">
        <v>21</v>
      </c>
      <c r="AE166" s="35" t="s">
        <v>21</v>
      </c>
      <c r="AF166" s="43" t="s">
        <v>21</v>
      </c>
      <c r="AG166" s="51" t="s">
        <v>21</v>
      </c>
      <c r="AH166" s="373" t="s">
        <v>21</v>
      </c>
      <c r="AI166" s="360" t="s">
        <v>22</v>
      </c>
      <c r="AJ166" s="367" t="s">
        <v>22</v>
      </c>
      <c r="AK166" s="63" t="s">
        <v>181</v>
      </c>
      <c r="AL166" s="44" t="s">
        <v>23</v>
      </c>
      <c r="AM166" s="1127" t="s">
        <v>24</v>
      </c>
      <c r="AN166" s="127" t="s">
        <v>23</v>
      </c>
      <c r="AO166" s="1545"/>
      <c r="AP166" s="1116"/>
      <c r="AQ166" s="1114"/>
      <c r="AR166" s="1114"/>
      <c r="AS166" s="1114"/>
      <c r="AT166" s="1114"/>
      <c r="AU166" s="1114"/>
      <c r="AV166" s="1114"/>
      <c r="AW166" s="1114"/>
      <c r="AX166" s="1114"/>
      <c r="AY166" s="1114"/>
      <c r="AZ166" s="1116"/>
      <c r="BA166" s="1114"/>
      <c r="BB166" s="1114"/>
      <c r="BC166" s="1114"/>
      <c r="BD166" s="1114"/>
      <c r="BE166" s="1114"/>
      <c r="BF166" s="1114"/>
      <c r="BG166" s="1116"/>
      <c r="BH166" s="1120"/>
      <c r="BI166" s="1120"/>
      <c r="BJ166" s="1114"/>
      <c r="BK166" s="1114"/>
      <c r="BL166" s="1114"/>
      <c r="BM166" s="1114"/>
      <c r="BN166" s="1114"/>
      <c r="BO166" s="1120"/>
      <c r="BP166" s="1120"/>
      <c r="BQ166" s="1114"/>
      <c r="BR166" s="1114"/>
      <c r="BS166" s="1114"/>
      <c r="BT166" s="1114"/>
      <c r="BU166" s="1114"/>
      <c r="BV166" s="1116"/>
      <c r="BW166" s="1116"/>
      <c r="BX166" s="1120"/>
      <c r="BY166" s="1120"/>
      <c r="BZ166" s="287"/>
      <c r="CA166" s="287"/>
      <c r="CB166" s="1114"/>
      <c r="CC166" s="1116"/>
      <c r="CD166" s="1120"/>
      <c r="CE166" s="1120"/>
      <c r="CF166" s="119"/>
      <c r="CG166" s="119"/>
      <c r="CH166" s="119"/>
      <c r="CI166" s="119"/>
      <c r="CJ166" s="119"/>
      <c r="CK166" s="119"/>
      <c r="CL166" s="119"/>
      <c r="CM166" s="119"/>
      <c r="CN166" s="1114"/>
      <c r="CO166" s="1114"/>
      <c r="CP166" s="1114"/>
      <c r="CQ166" s="1114"/>
      <c r="CR166" s="1114"/>
      <c r="CS166" s="1114"/>
      <c r="CT166" s="1154"/>
      <c r="CU166" s="1154"/>
      <c r="CV166" s="1114"/>
      <c r="CW166" s="1114"/>
      <c r="CX166" s="1114"/>
      <c r="CY166" s="1114"/>
      <c r="CZ166" s="1114"/>
      <c r="DA166" s="1114"/>
      <c r="DB166" s="1114"/>
      <c r="DC166" s="1114"/>
    </row>
    <row r="167" spans="1:107" ht="15" customHeight="1" x14ac:dyDescent="0.45">
      <c r="A167" s="1564" t="s">
        <v>214</v>
      </c>
      <c r="B167" s="1567">
        <v>1.4300999999999999</v>
      </c>
      <c r="C167" s="473" t="s">
        <v>88</v>
      </c>
      <c r="D167" s="804" t="s">
        <v>112</v>
      </c>
      <c r="E167" s="306" t="s">
        <v>73</v>
      </c>
      <c r="F167" s="42" t="s">
        <v>67</v>
      </c>
      <c r="G167" s="322">
        <f>0.001*AI167*X167</f>
        <v>363.71880803999994</v>
      </c>
      <c r="H167" s="86">
        <v>492</v>
      </c>
      <c r="I167" s="168">
        <f>H167/G167</f>
        <v>1.3526933145175499</v>
      </c>
      <c r="J167" s="159">
        <v>279</v>
      </c>
      <c r="K167" s="170">
        <v>615</v>
      </c>
      <c r="L167" s="348">
        <v>489</v>
      </c>
      <c r="M167" s="382">
        <v>705</v>
      </c>
      <c r="N167" s="501">
        <f>L167</f>
        <v>489</v>
      </c>
      <c r="O167" s="498">
        <f>M167</f>
        <v>705</v>
      </c>
      <c r="P167" s="169">
        <f>AI167-AJ167</f>
        <v>559.79279999999994</v>
      </c>
      <c r="Q167" s="165">
        <f t="shared" ref="Q167:Q172" si="91">P167-8*(2*AF167*AF167)</f>
        <v>325.09039999999993</v>
      </c>
      <c r="R167" s="125">
        <v>193100</v>
      </c>
      <c r="S167" s="348" t="s">
        <v>41</v>
      </c>
      <c r="T167" s="165">
        <f t="shared" ref="T167:T172" si="92">0.83*M167</f>
        <v>585.15</v>
      </c>
      <c r="U167" s="165">
        <f>AJ167</f>
        <v>115.2072</v>
      </c>
      <c r="V167" s="165">
        <f>U167+8*(2*AF167*AF167)</f>
        <v>349.90960000000001</v>
      </c>
      <c r="W167" s="125">
        <v>193100</v>
      </c>
      <c r="X167" s="537">
        <f t="shared" ref="X167:X172" si="93">((L167*Q167)+(T167*V167))/(Q167+V167)</f>
        <v>538.84267857777763</v>
      </c>
      <c r="Y167" s="42">
        <v>193100</v>
      </c>
      <c r="Z167" s="537">
        <f>X167/Y167</f>
        <v>2.7904851298693818E-3</v>
      </c>
      <c r="AA167" s="452">
        <f>M167</f>
        <v>705</v>
      </c>
      <c r="AB167" s="205"/>
      <c r="AC167" s="279">
        <v>180.3</v>
      </c>
      <c r="AD167" s="71">
        <v>60</v>
      </c>
      <c r="AE167" s="34">
        <v>40</v>
      </c>
      <c r="AF167" s="42">
        <v>3.83</v>
      </c>
      <c r="AG167" s="71">
        <v>2.9</v>
      </c>
      <c r="AH167" s="258">
        <v>6.73</v>
      </c>
      <c r="AI167" s="54">
        <v>675</v>
      </c>
      <c r="AJ167" s="168">
        <f>AI167-2*(AD167-2*(AF167+AG167))*AF167-2*(AE167-2*(AF167+AG167))*AF167</f>
        <v>115.2072</v>
      </c>
      <c r="AK167" s="278">
        <f>L167</f>
        <v>489</v>
      </c>
      <c r="AL167" s="159">
        <f>R167</f>
        <v>193100</v>
      </c>
      <c r="AM167" s="165">
        <f>AK167/AL167</f>
        <v>2.5323666494044537E-3</v>
      </c>
      <c r="AN167" s="315">
        <f>AA167</f>
        <v>705</v>
      </c>
      <c r="AO167" s="205"/>
      <c r="AP167" s="195"/>
      <c r="AQ167" s="195"/>
      <c r="AR167" s="195"/>
      <c r="AS167" s="195"/>
      <c r="AT167" s="195"/>
      <c r="AU167" s="195"/>
      <c r="AV167" s="195"/>
      <c r="AW167" s="195"/>
      <c r="AX167" s="195"/>
      <c r="AY167" s="195"/>
      <c r="AZ167" s="1116"/>
      <c r="BA167" s="1114"/>
      <c r="BB167" s="195"/>
      <c r="BC167" s="1114"/>
      <c r="BD167" s="1114"/>
      <c r="BE167" s="195"/>
      <c r="BF167" s="1114"/>
      <c r="BG167" s="1114"/>
      <c r="BH167" s="1114"/>
      <c r="BI167" s="1114"/>
      <c r="BJ167" s="195"/>
      <c r="BK167" s="195"/>
      <c r="BL167" s="195"/>
      <c r="BM167" s="1114"/>
      <c r="BN167" s="195"/>
      <c r="BO167" s="1114"/>
      <c r="BP167" s="1114"/>
      <c r="BQ167" s="195"/>
      <c r="BR167" s="195"/>
      <c r="BS167" s="195"/>
      <c r="BT167" s="1114"/>
      <c r="BU167" s="176"/>
      <c r="BV167" s="176"/>
      <c r="BW167" s="176"/>
      <c r="BX167" s="1115"/>
      <c r="BY167" s="195"/>
      <c r="BZ167" s="176"/>
      <c r="CA167" s="195"/>
      <c r="CB167" s="195"/>
      <c r="CC167" s="176"/>
      <c r="CD167" s="195"/>
      <c r="CE167" s="195"/>
      <c r="CF167" s="195"/>
      <c r="CG167" s="195"/>
      <c r="CH167" s="176"/>
      <c r="CI167" s="176"/>
      <c r="CJ167" s="195"/>
      <c r="CK167" s="195"/>
      <c r="CL167" s="195"/>
      <c r="CM167" s="273"/>
      <c r="CN167" s="195"/>
      <c r="CO167" s="176"/>
      <c r="CP167" s="195"/>
      <c r="CQ167" s="176"/>
      <c r="CR167" s="195"/>
      <c r="CS167" s="195"/>
      <c r="CT167" s="195"/>
      <c r="CU167" s="176"/>
      <c r="CV167" s="176"/>
      <c r="CW167" s="195"/>
      <c r="CX167" s="273"/>
      <c r="CY167" s="176"/>
      <c r="CZ167" s="195"/>
      <c r="DA167" s="1116"/>
      <c r="DB167" s="1116"/>
      <c r="DC167" s="195"/>
    </row>
    <row r="168" spans="1:107" ht="13.15" x14ac:dyDescent="0.45">
      <c r="A168" s="1565"/>
      <c r="B168" s="1568"/>
      <c r="C168" s="473" t="s">
        <v>88</v>
      </c>
      <c r="D168" s="804" t="s">
        <v>113</v>
      </c>
      <c r="E168" s="307" t="s">
        <v>73</v>
      </c>
      <c r="F168" s="43" t="s">
        <v>67</v>
      </c>
      <c r="G168" s="323">
        <f>0.001*AI168*X168</f>
        <v>363.71226983999998</v>
      </c>
      <c r="H168" s="87">
        <v>497</v>
      </c>
      <c r="I168" s="175">
        <f t="shared" ref="I168:I199" si="94">H168/G168</f>
        <v>1.3664647613308025</v>
      </c>
      <c r="J168" s="360">
        <v>279</v>
      </c>
      <c r="K168" s="361">
        <v>615</v>
      </c>
      <c r="L168" s="359">
        <v>489</v>
      </c>
      <c r="M168" s="328">
        <v>705</v>
      </c>
      <c r="N168" s="501">
        <f t="shared" ref="N168:N180" si="95">L168</f>
        <v>489</v>
      </c>
      <c r="O168" s="501">
        <f t="shared" ref="O168:O180" si="96">M168</f>
        <v>705</v>
      </c>
      <c r="P168" s="162">
        <f t="shared" ref="P168:P200" si="97">AI168-AJ168</f>
        <v>558.63679999999999</v>
      </c>
      <c r="Q168" s="173">
        <f t="shared" si="91"/>
        <v>325.15840000000003</v>
      </c>
      <c r="R168" s="125">
        <v>193100</v>
      </c>
      <c r="S168" s="359" t="s">
        <v>41</v>
      </c>
      <c r="T168" s="173">
        <f t="shared" si="92"/>
        <v>585.15</v>
      </c>
      <c r="U168" s="173">
        <f t="shared" ref="U168:U174" si="98">AJ168</f>
        <v>116.36320000000001</v>
      </c>
      <c r="V168" s="173">
        <f t="shared" ref="V168:V199" si="99">U168+8*(2*AF168*AF168)</f>
        <v>349.84159999999997</v>
      </c>
      <c r="W168" s="125">
        <v>193100</v>
      </c>
      <c r="X168" s="500">
        <f t="shared" si="93"/>
        <v>538.83299235555546</v>
      </c>
      <c r="Y168" s="43">
        <v>193100</v>
      </c>
      <c r="Z168" s="500">
        <f t="shared" ref="Z168:Z184" si="100">X168/Y168</f>
        <v>2.7904349681799868E-3</v>
      </c>
      <c r="AA168" s="463">
        <f t="shared" ref="AA168:AA205" si="101">M168</f>
        <v>705</v>
      </c>
      <c r="AB168" s="367"/>
      <c r="AC168" s="46">
        <v>179.6</v>
      </c>
      <c r="AD168" s="51">
        <v>60</v>
      </c>
      <c r="AE168" s="35">
        <v>40</v>
      </c>
      <c r="AF168" s="43">
        <v>3.82</v>
      </c>
      <c r="AG168" s="51">
        <v>2.9</v>
      </c>
      <c r="AH168" s="246">
        <v>6.72</v>
      </c>
      <c r="AI168" s="13">
        <v>675</v>
      </c>
      <c r="AJ168" s="175">
        <f>AI168-2*(AD168-2*(AF168+AG168))*AF168-2*(AE168-2*(AF168+AG168))*AF168</f>
        <v>116.36320000000001</v>
      </c>
      <c r="AK168" s="62">
        <f t="shared" ref="AK168:AK184" si="102">L168</f>
        <v>489</v>
      </c>
      <c r="AL168" s="1124">
        <f t="shared" ref="AL168:AL184" si="103">R168</f>
        <v>193100</v>
      </c>
      <c r="AM168" s="173">
        <f t="shared" ref="AM168:AM184" si="104">AK168/AL168</f>
        <v>2.5323666494044537E-3</v>
      </c>
      <c r="AN168" s="316">
        <f t="shared" ref="AN168:AN205" si="105">AA168</f>
        <v>705</v>
      </c>
      <c r="AO168" s="1128"/>
      <c r="AP168" s="195"/>
      <c r="AQ168" s="195"/>
      <c r="AR168" s="195"/>
      <c r="AS168" s="195"/>
      <c r="AT168" s="195"/>
      <c r="AU168" s="195"/>
      <c r="AV168" s="195"/>
      <c r="AW168" s="195"/>
      <c r="AX168" s="195"/>
      <c r="AY168" s="195"/>
      <c r="AZ168" s="1116"/>
      <c r="BA168" s="1114"/>
      <c r="BB168" s="195"/>
      <c r="BC168" s="1114"/>
      <c r="BD168" s="1114"/>
      <c r="BE168" s="195"/>
      <c r="BF168" s="1114"/>
      <c r="BG168" s="1114"/>
      <c r="BH168" s="1114"/>
      <c r="BI168" s="1114"/>
      <c r="BJ168" s="195"/>
      <c r="BK168" s="195"/>
      <c r="BL168" s="195"/>
      <c r="BM168" s="1114"/>
      <c r="BN168" s="195"/>
      <c r="BO168" s="1114"/>
      <c r="BP168" s="1114"/>
      <c r="BQ168" s="195"/>
      <c r="BR168" s="195"/>
      <c r="BS168" s="195"/>
      <c r="BT168" s="1114"/>
      <c r="BU168" s="176"/>
      <c r="BV168" s="176"/>
      <c r="BW168" s="176"/>
      <c r="BX168" s="1115"/>
      <c r="BY168" s="195"/>
      <c r="BZ168" s="176"/>
      <c r="CA168" s="195"/>
      <c r="CB168" s="195"/>
      <c r="CC168" s="176"/>
      <c r="CD168" s="195"/>
      <c r="CE168" s="195"/>
      <c r="CF168" s="195"/>
      <c r="CG168" s="195"/>
      <c r="CH168" s="176"/>
      <c r="CI168" s="176"/>
      <c r="CJ168" s="195"/>
      <c r="CK168" s="195"/>
      <c r="CL168" s="195"/>
      <c r="CM168" s="273"/>
      <c r="CN168" s="195"/>
      <c r="CO168" s="176"/>
      <c r="CP168" s="195"/>
      <c r="CQ168" s="176"/>
      <c r="CR168" s="195"/>
      <c r="CS168" s="195"/>
      <c r="CT168" s="195"/>
      <c r="CU168" s="176"/>
      <c r="CV168" s="176"/>
      <c r="CW168" s="195"/>
      <c r="CX168" s="273"/>
      <c r="CY168" s="176"/>
      <c r="CZ168" s="195"/>
      <c r="DA168" s="1116"/>
      <c r="DB168" s="1116"/>
      <c r="DC168" s="195"/>
    </row>
    <row r="169" spans="1:107" ht="13.15" x14ac:dyDescent="0.45">
      <c r="A169" s="1565"/>
      <c r="B169" s="1568"/>
      <c r="C169" s="473" t="s">
        <v>88</v>
      </c>
      <c r="D169" s="804" t="s">
        <v>114</v>
      </c>
      <c r="E169" s="307" t="s">
        <v>73</v>
      </c>
      <c r="F169" s="43" t="s">
        <v>67</v>
      </c>
      <c r="G169" s="323">
        <f t="shared" ref="G169:G183" si="106">0.001*AI169*X169</f>
        <v>513.08926673200006</v>
      </c>
      <c r="H169" s="87">
        <v>452</v>
      </c>
      <c r="I169" s="175">
        <f t="shared" si="94"/>
        <v>0.88093832653897908</v>
      </c>
      <c r="J169" s="360">
        <v>485</v>
      </c>
      <c r="K169" s="361">
        <v>685</v>
      </c>
      <c r="L169" s="359">
        <v>419</v>
      </c>
      <c r="M169" s="328">
        <v>739</v>
      </c>
      <c r="N169" s="501">
        <f t="shared" si="95"/>
        <v>419</v>
      </c>
      <c r="O169" s="501">
        <f t="shared" si="96"/>
        <v>739</v>
      </c>
      <c r="P169" s="162">
        <f t="shared" si="97"/>
        <v>997.25480000000005</v>
      </c>
      <c r="Q169" s="173">
        <f t="shared" si="91"/>
        <v>859.89640000000009</v>
      </c>
      <c r="R169" s="125">
        <v>197300</v>
      </c>
      <c r="S169" s="359" t="s">
        <v>41</v>
      </c>
      <c r="T169" s="173">
        <f t="shared" si="92"/>
        <v>613.37</v>
      </c>
      <c r="U169" s="173">
        <f t="shared" si="98"/>
        <v>111.74519999999995</v>
      </c>
      <c r="V169" s="173">
        <f t="shared" si="99"/>
        <v>249.10359999999997</v>
      </c>
      <c r="W169" s="125">
        <v>197300</v>
      </c>
      <c r="X169" s="500">
        <f t="shared" si="93"/>
        <v>462.65939290532015</v>
      </c>
      <c r="Y169" s="43">
        <v>197300</v>
      </c>
      <c r="Z169" s="500">
        <f t="shared" si="100"/>
        <v>2.3449538413853025E-3</v>
      </c>
      <c r="AA169" s="463">
        <f t="shared" si="101"/>
        <v>739</v>
      </c>
      <c r="AB169" s="367"/>
      <c r="AC169" s="46">
        <v>359.9</v>
      </c>
      <c r="AD169" s="51">
        <v>120.1</v>
      </c>
      <c r="AE169" s="35">
        <v>80.2</v>
      </c>
      <c r="AF169" s="43">
        <v>2.93</v>
      </c>
      <c r="AG169" s="51">
        <v>4.5999999999999996</v>
      </c>
      <c r="AH169" s="246">
        <v>7.5299999999999994</v>
      </c>
      <c r="AI169" s="13">
        <v>1109</v>
      </c>
      <c r="AJ169" s="175">
        <f t="shared" ref="AJ169:AJ205" si="107">AI169-2*(AD169-2*(AF169+AG169))*AF169-2*(AE169-2*(AF169+AG169))*AF169</f>
        <v>111.74519999999995</v>
      </c>
      <c r="AK169" s="62">
        <f t="shared" si="102"/>
        <v>419</v>
      </c>
      <c r="AL169" s="1124">
        <f t="shared" si="103"/>
        <v>197300</v>
      </c>
      <c r="AM169" s="173">
        <f t="shared" si="104"/>
        <v>2.1236695387734416E-3</v>
      </c>
      <c r="AN169" s="316">
        <f t="shared" si="105"/>
        <v>739</v>
      </c>
      <c r="AO169" s="1128"/>
      <c r="AP169" s="195"/>
      <c r="AQ169" s="195"/>
      <c r="AR169" s="195"/>
      <c r="AS169" s="195"/>
      <c r="AT169" s="195"/>
      <c r="AU169" s="195"/>
      <c r="AV169" s="195"/>
      <c r="AW169" s="195"/>
      <c r="AX169" s="195"/>
      <c r="AY169" s="195"/>
      <c r="AZ169" s="1116"/>
      <c r="BA169" s="1114"/>
      <c r="BB169" s="195"/>
      <c r="BC169" s="1114"/>
      <c r="BD169" s="1114"/>
      <c r="BE169" s="195"/>
      <c r="BF169" s="1114"/>
      <c r="BG169" s="1114"/>
      <c r="BH169" s="1114"/>
      <c r="BI169" s="1114"/>
      <c r="BJ169" s="195"/>
      <c r="BK169" s="195"/>
      <c r="BL169" s="195"/>
      <c r="BM169" s="1114"/>
      <c r="BN169" s="195"/>
      <c r="BO169" s="1114"/>
      <c r="BP169" s="1114"/>
      <c r="BQ169" s="195"/>
      <c r="BR169" s="195"/>
      <c r="BS169" s="195"/>
      <c r="BT169" s="1114"/>
      <c r="BU169" s="176"/>
      <c r="BV169" s="176"/>
      <c r="BW169" s="176"/>
      <c r="BX169" s="1115"/>
      <c r="BY169" s="195"/>
      <c r="BZ169" s="176"/>
      <c r="CA169" s="195"/>
      <c r="CB169" s="195"/>
      <c r="CC169" s="176"/>
      <c r="CD169" s="195"/>
      <c r="CE169" s="195"/>
      <c r="CF169" s="195"/>
      <c r="CG169" s="195"/>
      <c r="CH169" s="176"/>
      <c r="CI169" s="176"/>
      <c r="CJ169" s="195"/>
      <c r="CK169" s="195"/>
      <c r="CL169" s="195"/>
      <c r="CM169" s="273"/>
      <c r="CN169" s="195"/>
      <c r="CO169" s="176"/>
      <c r="CP169" s="195"/>
      <c r="CQ169" s="176"/>
      <c r="CR169" s="195"/>
      <c r="CS169" s="195"/>
      <c r="CT169" s="195"/>
      <c r="CU169" s="176"/>
      <c r="CV169" s="176"/>
      <c r="CW169" s="195"/>
      <c r="CX169" s="273"/>
      <c r="CY169" s="176"/>
      <c r="CZ169" s="195"/>
      <c r="DA169" s="1116"/>
      <c r="DB169" s="1116"/>
      <c r="DC169" s="195"/>
    </row>
    <row r="170" spans="1:107" ht="13.15" x14ac:dyDescent="0.45">
      <c r="A170" s="1565"/>
      <c r="B170" s="1568"/>
      <c r="C170" s="473" t="s">
        <v>88</v>
      </c>
      <c r="D170" s="804" t="s">
        <v>115</v>
      </c>
      <c r="E170" s="307" t="s">
        <v>73</v>
      </c>
      <c r="F170" s="43" t="s">
        <v>67</v>
      </c>
      <c r="G170" s="323">
        <f t="shared" si="106"/>
        <v>508.55143820800004</v>
      </c>
      <c r="H170" s="87">
        <v>447</v>
      </c>
      <c r="I170" s="175">
        <f t="shared" si="94"/>
        <v>0.87896713373795399</v>
      </c>
      <c r="J170" s="360">
        <v>485</v>
      </c>
      <c r="K170" s="361">
        <v>685</v>
      </c>
      <c r="L170" s="359">
        <v>419</v>
      </c>
      <c r="M170" s="328">
        <v>739</v>
      </c>
      <c r="N170" s="501">
        <f t="shared" si="95"/>
        <v>419</v>
      </c>
      <c r="O170" s="501">
        <f t="shared" si="96"/>
        <v>739</v>
      </c>
      <c r="P170" s="162">
        <f t="shared" si="97"/>
        <v>990.33120000000008</v>
      </c>
      <c r="Q170" s="173">
        <f t="shared" si="91"/>
        <v>854.84160000000008</v>
      </c>
      <c r="R170" s="125">
        <v>197300</v>
      </c>
      <c r="S170" s="359" t="s">
        <v>41</v>
      </c>
      <c r="T170" s="173">
        <f t="shared" si="92"/>
        <v>613.37</v>
      </c>
      <c r="U170" s="173">
        <f t="shared" si="98"/>
        <v>109.66879999999992</v>
      </c>
      <c r="V170" s="173">
        <f t="shared" si="99"/>
        <v>245.15839999999994</v>
      </c>
      <c r="W170" s="125">
        <v>197300</v>
      </c>
      <c r="X170" s="500">
        <f t="shared" si="93"/>
        <v>462.31948927999997</v>
      </c>
      <c r="Y170" s="43">
        <v>197300</v>
      </c>
      <c r="Z170" s="500">
        <f t="shared" si="100"/>
        <v>2.3432310657881396E-3</v>
      </c>
      <c r="AA170" s="463">
        <f t="shared" si="101"/>
        <v>739</v>
      </c>
      <c r="AB170" s="367"/>
      <c r="AC170" s="46">
        <v>360</v>
      </c>
      <c r="AD170" s="51">
        <v>120</v>
      </c>
      <c r="AE170" s="35">
        <v>80.2</v>
      </c>
      <c r="AF170" s="43">
        <v>2.91</v>
      </c>
      <c r="AG170" s="51">
        <v>4.5999999999999996</v>
      </c>
      <c r="AH170" s="246">
        <v>7.51</v>
      </c>
      <c r="AI170" s="13">
        <v>1100</v>
      </c>
      <c r="AJ170" s="175">
        <f t="shared" si="107"/>
        <v>109.66879999999992</v>
      </c>
      <c r="AK170" s="62">
        <f t="shared" si="102"/>
        <v>419</v>
      </c>
      <c r="AL170" s="1124">
        <f t="shared" si="103"/>
        <v>197300</v>
      </c>
      <c r="AM170" s="173">
        <f t="shared" si="104"/>
        <v>2.1236695387734416E-3</v>
      </c>
      <c r="AN170" s="316">
        <f t="shared" si="105"/>
        <v>739</v>
      </c>
      <c r="AO170" s="1128"/>
      <c r="AP170" s="195"/>
      <c r="AQ170" s="195"/>
      <c r="AR170" s="195"/>
      <c r="AS170" s="195"/>
      <c r="AT170" s="195"/>
      <c r="AU170" s="195"/>
      <c r="AV170" s="195"/>
      <c r="AW170" s="195"/>
      <c r="AX170" s="195"/>
      <c r="AY170" s="195"/>
      <c r="AZ170" s="1116"/>
      <c r="BA170" s="1114"/>
      <c r="BB170" s="195"/>
      <c r="BC170" s="1114"/>
      <c r="BD170" s="1114"/>
      <c r="BE170" s="195"/>
      <c r="BF170" s="1114"/>
      <c r="BG170" s="1114"/>
      <c r="BH170" s="1114"/>
      <c r="BI170" s="1114"/>
      <c r="BJ170" s="195"/>
      <c r="BK170" s="195"/>
      <c r="BL170" s="195"/>
      <c r="BM170" s="1114"/>
      <c r="BN170" s="195"/>
      <c r="BO170" s="1114"/>
      <c r="BP170" s="1114"/>
      <c r="BQ170" s="195"/>
      <c r="BR170" s="195"/>
      <c r="BS170" s="195"/>
      <c r="BT170" s="1114"/>
      <c r="BU170" s="176"/>
      <c r="BV170" s="176"/>
      <c r="BW170" s="176"/>
      <c r="BX170" s="1115"/>
      <c r="BY170" s="195"/>
      <c r="BZ170" s="176"/>
      <c r="CA170" s="195"/>
      <c r="CB170" s="195"/>
      <c r="CC170" s="176"/>
      <c r="CD170" s="195"/>
      <c r="CE170" s="195"/>
      <c r="CF170" s="195"/>
      <c r="CG170" s="195"/>
      <c r="CH170" s="176"/>
      <c r="CI170" s="176"/>
      <c r="CJ170" s="195"/>
      <c r="CK170" s="195"/>
      <c r="CL170" s="195"/>
      <c r="CM170" s="273"/>
      <c r="CN170" s="195"/>
      <c r="CO170" s="176"/>
      <c r="CP170" s="195"/>
      <c r="CQ170" s="176"/>
      <c r="CR170" s="195"/>
      <c r="CS170" s="195"/>
      <c r="CT170" s="195"/>
      <c r="CU170" s="176"/>
      <c r="CV170" s="176"/>
      <c r="CW170" s="195"/>
      <c r="CX170" s="273"/>
      <c r="CY170" s="176"/>
      <c r="CZ170" s="195"/>
      <c r="DA170" s="1116"/>
      <c r="DB170" s="1116"/>
      <c r="DC170" s="195"/>
    </row>
    <row r="171" spans="1:107" ht="13.15" x14ac:dyDescent="0.45">
      <c r="A171" s="1565"/>
      <c r="B171" s="1568"/>
      <c r="C171" s="473" t="s">
        <v>88</v>
      </c>
      <c r="D171" s="804" t="s">
        <v>116</v>
      </c>
      <c r="E171" s="307" t="s">
        <v>73</v>
      </c>
      <c r="F171" s="43" t="s">
        <v>67</v>
      </c>
      <c r="G171" s="323">
        <f t="shared" si="106"/>
        <v>1148.7603966000001</v>
      </c>
      <c r="H171" s="87">
        <v>1459</v>
      </c>
      <c r="I171" s="175">
        <f t="shared" si="94"/>
        <v>1.2700646752083549</v>
      </c>
      <c r="J171" s="360">
        <v>289</v>
      </c>
      <c r="K171" s="361">
        <v>616</v>
      </c>
      <c r="L171" s="359">
        <v>509</v>
      </c>
      <c r="M171" s="328">
        <v>714</v>
      </c>
      <c r="N171" s="501">
        <f t="shared" si="95"/>
        <v>509</v>
      </c>
      <c r="O171" s="501">
        <f t="shared" si="96"/>
        <v>714</v>
      </c>
      <c r="P171" s="162">
        <f t="shared" si="97"/>
        <v>1742.1299999999999</v>
      </c>
      <c r="Q171" s="173">
        <f t="shared" si="91"/>
        <v>1194.57</v>
      </c>
      <c r="R171" s="125">
        <v>192300</v>
      </c>
      <c r="S171" s="359" t="s">
        <v>41</v>
      </c>
      <c r="T171" s="173">
        <f t="shared" si="92"/>
        <v>592.62</v>
      </c>
      <c r="U171" s="173">
        <f t="shared" si="98"/>
        <v>364.87000000000012</v>
      </c>
      <c r="V171" s="173">
        <f t="shared" si="99"/>
        <v>912.43000000000006</v>
      </c>
      <c r="W171" s="125">
        <v>192300</v>
      </c>
      <c r="X171" s="500">
        <f t="shared" si="93"/>
        <v>545.21138898908407</v>
      </c>
      <c r="Y171" s="43">
        <v>192300</v>
      </c>
      <c r="Z171" s="500">
        <f t="shared" si="100"/>
        <v>2.8352126312484872E-3</v>
      </c>
      <c r="AA171" s="463">
        <f t="shared" si="101"/>
        <v>714</v>
      </c>
      <c r="AB171" s="367"/>
      <c r="AC171" s="46">
        <v>360.1</v>
      </c>
      <c r="AD171" s="51">
        <v>119.9</v>
      </c>
      <c r="AE171" s="35">
        <v>80.400000000000006</v>
      </c>
      <c r="AF171" s="43">
        <v>5.85</v>
      </c>
      <c r="AG171" s="51">
        <v>7</v>
      </c>
      <c r="AH171" s="246">
        <v>12.85</v>
      </c>
      <c r="AI171" s="13">
        <v>2107</v>
      </c>
      <c r="AJ171" s="175">
        <f t="shared" si="107"/>
        <v>364.87000000000012</v>
      </c>
      <c r="AK171" s="62">
        <f t="shared" si="102"/>
        <v>509</v>
      </c>
      <c r="AL171" s="1124">
        <f t="shared" si="103"/>
        <v>192300</v>
      </c>
      <c r="AM171" s="173">
        <f t="shared" si="104"/>
        <v>2.6469058762350495E-3</v>
      </c>
      <c r="AN171" s="316">
        <f t="shared" si="105"/>
        <v>714</v>
      </c>
      <c r="AO171" s="1128"/>
      <c r="AP171" s="195"/>
      <c r="AQ171" s="195"/>
      <c r="AR171" s="195"/>
      <c r="AS171" s="195"/>
      <c r="AT171" s="195"/>
      <c r="AU171" s="195"/>
      <c r="AV171" s="195"/>
      <c r="AW171" s="195"/>
      <c r="AX171" s="195"/>
      <c r="AY171" s="195"/>
      <c r="AZ171" s="1116"/>
      <c r="BA171" s="1114"/>
      <c r="BB171" s="195"/>
      <c r="BC171" s="1114"/>
      <c r="BD171" s="1114"/>
      <c r="BE171" s="195"/>
      <c r="BF171" s="1114"/>
      <c r="BG171" s="1114"/>
      <c r="BH171" s="1114"/>
      <c r="BI171" s="1114"/>
      <c r="BJ171" s="195"/>
      <c r="BK171" s="195"/>
      <c r="BL171" s="195"/>
      <c r="BM171" s="1114"/>
      <c r="BN171" s="195"/>
      <c r="BO171" s="1114"/>
      <c r="BP171" s="1114"/>
      <c r="BQ171" s="195"/>
      <c r="BR171" s="195"/>
      <c r="BS171" s="195"/>
      <c r="BT171" s="1114"/>
      <c r="BU171" s="176"/>
      <c r="BV171" s="176"/>
      <c r="BW171" s="176"/>
      <c r="BX171" s="1115"/>
      <c r="BY171" s="195"/>
      <c r="BZ171" s="176"/>
      <c r="CA171" s="195"/>
      <c r="CB171" s="195"/>
      <c r="CC171" s="176"/>
      <c r="CD171" s="195"/>
      <c r="CE171" s="195"/>
      <c r="CF171" s="195"/>
      <c r="CG171" s="195"/>
      <c r="CH171" s="176"/>
      <c r="CI171" s="176"/>
      <c r="CJ171" s="195"/>
      <c r="CK171" s="195"/>
      <c r="CL171" s="195"/>
      <c r="CM171" s="273"/>
      <c r="CN171" s="195"/>
      <c r="CO171" s="176"/>
      <c r="CP171" s="195"/>
      <c r="CQ171" s="176"/>
      <c r="CR171" s="195"/>
      <c r="CS171" s="195"/>
      <c r="CT171" s="195"/>
      <c r="CU171" s="176"/>
      <c r="CV171" s="176"/>
      <c r="CW171" s="195"/>
      <c r="CX171" s="273"/>
      <c r="CY171" s="176"/>
      <c r="CZ171" s="195"/>
      <c r="DA171" s="1116"/>
      <c r="DB171" s="1116"/>
      <c r="DC171" s="195"/>
    </row>
    <row r="172" spans="1:107" ht="13.15" x14ac:dyDescent="0.45">
      <c r="A172" s="1565"/>
      <c r="B172" s="1568"/>
      <c r="C172" s="473" t="s">
        <v>88</v>
      </c>
      <c r="D172" s="804" t="s">
        <v>117</v>
      </c>
      <c r="E172" s="307" t="s">
        <v>73</v>
      </c>
      <c r="F172" s="43" t="s">
        <v>67</v>
      </c>
      <c r="G172" s="323">
        <f t="shared" si="106"/>
        <v>1149.3530166000003</v>
      </c>
      <c r="H172" s="87">
        <v>1465</v>
      </c>
      <c r="I172" s="175">
        <f t="shared" si="94"/>
        <v>1.2746301430814895</v>
      </c>
      <c r="J172" s="360">
        <v>289</v>
      </c>
      <c r="K172" s="361">
        <v>616</v>
      </c>
      <c r="L172" s="359">
        <v>509</v>
      </c>
      <c r="M172" s="328">
        <v>714</v>
      </c>
      <c r="N172" s="501">
        <f t="shared" si="95"/>
        <v>509</v>
      </c>
      <c r="O172" s="501">
        <f t="shared" si="96"/>
        <v>714</v>
      </c>
      <c r="P172" s="162">
        <f t="shared" si="97"/>
        <v>1742.1299999999999</v>
      </c>
      <c r="Q172" s="173">
        <f t="shared" si="91"/>
        <v>1194.57</v>
      </c>
      <c r="R172" s="125">
        <v>192300</v>
      </c>
      <c r="S172" s="359" t="s">
        <v>41</v>
      </c>
      <c r="T172" s="173">
        <f t="shared" si="92"/>
        <v>592.62</v>
      </c>
      <c r="U172" s="173">
        <f t="shared" si="98"/>
        <v>365.87000000000012</v>
      </c>
      <c r="V172" s="173">
        <f t="shared" si="99"/>
        <v>913.43000000000006</v>
      </c>
      <c r="W172" s="125">
        <v>192300</v>
      </c>
      <c r="X172" s="500">
        <f t="shared" si="93"/>
        <v>545.23387884250485</v>
      </c>
      <c r="Y172" s="43">
        <v>192300</v>
      </c>
      <c r="Z172" s="500">
        <f t="shared" si="100"/>
        <v>2.8353295831643516E-3</v>
      </c>
      <c r="AA172" s="463">
        <f t="shared" si="101"/>
        <v>714</v>
      </c>
      <c r="AB172" s="367"/>
      <c r="AC172" s="46">
        <v>360.1</v>
      </c>
      <c r="AD172" s="51">
        <v>120</v>
      </c>
      <c r="AE172" s="35">
        <v>80.3</v>
      </c>
      <c r="AF172" s="43">
        <v>5.85</v>
      </c>
      <c r="AG172" s="51">
        <v>7</v>
      </c>
      <c r="AH172" s="246">
        <v>12.85</v>
      </c>
      <c r="AI172" s="13">
        <v>2108</v>
      </c>
      <c r="AJ172" s="175">
        <f t="shared" si="107"/>
        <v>365.87000000000012</v>
      </c>
      <c r="AK172" s="62">
        <f t="shared" si="102"/>
        <v>509</v>
      </c>
      <c r="AL172" s="1124">
        <f t="shared" si="103"/>
        <v>192300</v>
      </c>
      <c r="AM172" s="173">
        <f t="shared" si="104"/>
        <v>2.6469058762350495E-3</v>
      </c>
      <c r="AN172" s="316">
        <f t="shared" si="105"/>
        <v>714</v>
      </c>
      <c r="AO172" s="1128"/>
      <c r="AP172" s="195"/>
      <c r="AQ172" s="195"/>
      <c r="AR172" s="195"/>
      <c r="AS172" s="195"/>
      <c r="AT172" s="195"/>
      <c r="AU172" s="195"/>
      <c r="AV172" s="195"/>
      <c r="AW172" s="195"/>
      <c r="AX172" s="195"/>
      <c r="AY172" s="195"/>
      <c r="AZ172" s="1116"/>
      <c r="BA172" s="1114"/>
      <c r="BB172" s="195"/>
      <c r="BC172" s="1114"/>
      <c r="BD172" s="1114"/>
      <c r="BE172" s="195"/>
      <c r="BF172" s="1114"/>
      <c r="BG172" s="1114"/>
      <c r="BH172" s="1114"/>
      <c r="BI172" s="1114"/>
      <c r="BJ172" s="195"/>
      <c r="BK172" s="195"/>
      <c r="BL172" s="195"/>
      <c r="BM172" s="1114"/>
      <c r="BN172" s="195"/>
      <c r="BO172" s="1114"/>
      <c r="BP172" s="1114"/>
      <c r="BQ172" s="195"/>
      <c r="BR172" s="195"/>
      <c r="BS172" s="195"/>
      <c r="BT172" s="1114"/>
      <c r="BU172" s="176"/>
      <c r="BV172" s="176"/>
      <c r="BW172" s="176"/>
      <c r="BX172" s="1115"/>
      <c r="BY172" s="195"/>
      <c r="BZ172" s="176"/>
      <c r="CA172" s="195"/>
      <c r="CB172" s="195"/>
      <c r="CC172" s="176"/>
      <c r="CD172" s="195"/>
      <c r="CE172" s="195"/>
      <c r="CF172" s="195"/>
      <c r="CG172" s="195"/>
      <c r="CH172" s="176"/>
      <c r="CI172" s="176"/>
      <c r="CJ172" s="195"/>
      <c r="CK172" s="195"/>
      <c r="CL172" s="195"/>
      <c r="CM172" s="273"/>
      <c r="CN172" s="195"/>
      <c r="CO172" s="176"/>
      <c r="CP172" s="195"/>
      <c r="CQ172" s="176"/>
      <c r="CR172" s="195"/>
      <c r="CS172" s="195"/>
      <c r="CT172" s="195"/>
      <c r="CU172" s="176"/>
      <c r="CV172" s="176"/>
      <c r="CW172" s="195"/>
      <c r="CX172" s="273"/>
      <c r="CY172" s="176"/>
      <c r="CZ172" s="195"/>
      <c r="DA172" s="1116"/>
      <c r="DB172" s="1116"/>
      <c r="DC172" s="195"/>
    </row>
    <row r="173" spans="1:107" ht="15" customHeight="1" x14ac:dyDescent="0.45">
      <c r="A173" s="1565"/>
      <c r="B173" s="1568"/>
      <c r="C173" s="473" t="s">
        <v>88</v>
      </c>
      <c r="D173" s="804" t="s">
        <v>118</v>
      </c>
      <c r="E173" s="307" t="s">
        <v>73</v>
      </c>
      <c r="F173" s="43" t="s">
        <v>67</v>
      </c>
      <c r="G173" s="323">
        <f t="shared" si="106"/>
        <v>583.36387999999999</v>
      </c>
      <c r="H173" s="87">
        <v>660</v>
      </c>
      <c r="I173" s="175">
        <f t="shared" si="94"/>
        <v>1.1313693264656701</v>
      </c>
      <c r="J173" s="360">
        <v>289</v>
      </c>
      <c r="K173" s="361">
        <v>600</v>
      </c>
      <c r="L173" s="359">
        <v>297</v>
      </c>
      <c r="M173" s="328">
        <v>663</v>
      </c>
      <c r="N173" s="501">
        <f t="shared" si="95"/>
        <v>297</v>
      </c>
      <c r="O173" s="501">
        <f t="shared" si="96"/>
        <v>663</v>
      </c>
      <c r="P173" s="162">
        <f t="shared" si="97"/>
        <v>1620.5968</v>
      </c>
      <c r="Q173" s="173" t="s">
        <v>41</v>
      </c>
      <c r="R173" s="125">
        <v>200300</v>
      </c>
      <c r="S173" s="359">
        <v>572</v>
      </c>
      <c r="T173" s="173" t="s">
        <v>41</v>
      </c>
      <c r="U173" s="173">
        <f t="shared" si="98"/>
        <v>178.40319999999997</v>
      </c>
      <c r="V173" s="173">
        <f>U173+8*(2*AF173*AF173)</f>
        <v>411.88159999999993</v>
      </c>
      <c r="W173" s="125">
        <v>200300</v>
      </c>
      <c r="X173" s="500">
        <f>((L173*P173)+(S173*U173))/(P173+U173)</f>
        <v>324.27119510839356</v>
      </c>
      <c r="Y173" s="43">
        <v>200300</v>
      </c>
      <c r="Z173" s="500">
        <f t="shared" si="100"/>
        <v>1.6189275841657193E-3</v>
      </c>
      <c r="AA173" s="463">
        <f t="shared" si="101"/>
        <v>663</v>
      </c>
      <c r="AB173" s="367"/>
      <c r="AC173" s="46">
        <v>450.4</v>
      </c>
      <c r="AD173" s="51">
        <v>149.9</v>
      </c>
      <c r="AE173" s="35">
        <v>99.9</v>
      </c>
      <c r="AF173" s="43">
        <v>3.82</v>
      </c>
      <c r="AG173" s="51">
        <v>5.6</v>
      </c>
      <c r="AH173" s="246">
        <v>9.42</v>
      </c>
      <c r="AI173" s="13">
        <v>1799</v>
      </c>
      <c r="AJ173" s="175">
        <f t="shared" si="107"/>
        <v>178.40319999999997</v>
      </c>
      <c r="AK173" s="62">
        <f t="shared" si="102"/>
        <v>297</v>
      </c>
      <c r="AL173" s="1124">
        <f t="shared" si="103"/>
        <v>200300</v>
      </c>
      <c r="AM173" s="173">
        <f t="shared" si="104"/>
        <v>1.4827758362456315E-3</v>
      </c>
      <c r="AN173" s="316">
        <f t="shared" si="105"/>
        <v>663</v>
      </c>
      <c r="AO173" s="1128"/>
      <c r="AP173" s="195"/>
      <c r="AQ173" s="195"/>
      <c r="AR173" s="195"/>
      <c r="AS173" s="195"/>
      <c r="AT173" s="195"/>
      <c r="AU173" s="195"/>
      <c r="AV173" s="195"/>
      <c r="AW173" s="195"/>
      <c r="AX173" s="195"/>
      <c r="AY173" s="195"/>
      <c r="AZ173" s="1116"/>
      <c r="BA173" s="1114"/>
      <c r="BB173" s="195"/>
      <c r="BC173" s="1114"/>
      <c r="BD173" s="1114"/>
      <c r="BE173" s="195"/>
      <c r="BF173" s="1114"/>
      <c r="BG173" s="1114"/>
      <c r="BH173" s="1114"/>
      <c r="BI173" s="1114"/>
      <c r="BJ173" s="195"/>
      <c r="BK173" s="195"/>
      <c r="BL173" s="195"/>
      <c r="BM173" s="1114"/>
      <c r="BN173" s="195"/>
      <c r="BO173" s="1114"/>
      <c r="BP173" s="1114"/>
      <c r="BQ173" s="195"/>
      <c r="BR173" s="195"/>
      <c r="BS173" s="195"/>
      <c r="BT173" s="1114"/>
      <c r="BU173" s="176"/>
      <c r="BV173" s="176"/>
      <c r="BW173" s="176"/>
      <c r="BX173" s="1115"/>
      <c r="BY173" s="195"/>
      <c r="BZ173" s="176"/>
      <c r="CA173" s="195"/>
      <c r="CB173" s="195"/>
      <c r="CC173" s="176"/>
      <c r="CD173" s="195"/>
      <c r="CE173" s="195"/>
      <c r="CF173" s="195"/>
      <c r="CG173" s="195"/>
      <c r="CH173" s="176"/>
      <c r="CI173" s="176"/>
      <c r="CJ173" s="195"/>
      <c r="CK173" s="195"/>
      <c r="CL173" s="195"/>
      <c r="CM173" s="273"/>
      <c r="CN173" s="195"/>
      <c r="CO173" s="176"/>
      <c r="CP173" s="195"/>
      <c r="CQ173" s="176"/>
      <c r="CR173" s="195"/>
      <c r="CS173" s="195"/>
      <c r="CT173" s="195"/>
      <c r="CU173" s="176"/>
      <c r="CV173" s="176"/>
      <c r="CW173" s="195"/>
      <c r="CX173" s="273"/>
      <c r="CY173" s="176"/>
      <c r="CZ173" s="195"/>
      <c r="DA173" s="1116"/>
      <c r="DB173" s="1116"/>
      <c r="DC173" s="195"/>
    </row>
    <row r="174" spans="1:107" ht="15" customHeight="1" x14ac:dyDescent="0.45">
      <c r="A174" s="1565"/>
      <c r="B174" s="1568"/>
      <c r="C174" s="473" t="s">
        <v>88</v>
      </c>
      <c r="D174" s="804" t="s">
        <v>119</v>
      </c>
      <c r="E174" s="308" t="s">
        <v>73</v>
      </c>
      <c r="F174" s="43" t="s">
        <v>67</v>
      </c>
      <c r="G174" s="323">
        <f t="shared" si="106"/>
        <v>585.71348</v>
      </c>
      <c r="H174" s="87">
        <v>659</v>
      </c>
      <c r="I174" s="175">
        <f t="shared" si="94"/>
        <v>1.1251234989503742</v>
      </c>
      <c r="J174" s="362">
        <v>289</v>
      </c>
      <c r="K174" s="356">
        <v>600</v>
      </c>
      <c r="L174" s="349">
        <v>297</v>
      </c>
      <c r="M174" s="230">
        <v>663</v>
      </c>
      <c r="N174" s="502">
        <f t="shared" si="95"/>
        <v>297</v>
      </c>
      <c r="O174" s="502">
        <f t="shared" si="96"/>
        <v>663</v>
      </c>
      <c r="P174" s="177">
        <f t="shared" si="97"/>
        <v>1624.5328000000004</v>
      </c>
      <c r="Q174" s="179" t="s">
        <v>41</v>
      </c>
      <c r="R174" s="117">
        <v>200300</v>
      </c>
      <c r="S174" s="349">
        <v>572</v>
      </c>
      <c r="T174" s="173" t="s">
        <v>41</v>
      </c>
      <c r="U174" s="173">
        <f t="shared" si="98"/>
        <v>180.46719999999971</v>
      </c>
      <c r="V174" s="179">
        <f t="shared" si="99"/>
        <v>415.16959999999972</v>
      </c>
      <c r="W174" s="117">
        <v>200300</v>
      </c>
      <c r="X174" s="539">
        <f>((L174*P174)+(S174*U174))/(P174+U174)</f>
        <v>324.49500277008309</v>
      </c>
      <c r="Y174" s="44">
        <v>200300</v>
      </c>
      <c r="Z174" s="539">
        <f t="shared" si="100"/>
        <v>1.6200449464307692E-3</v>
      </c>
      <c r="AA174" s="471">
        <f t="shared" si="101"/>
        <v>663</v>
      </c>
      <c r="AB174" s="354"/>
      <c r="AC174" s="47">
        <v>450</v>
      </c>
      <c r="AD174" s="65">
        <v>149.9</v>
      </c>
      <c r="AE174" s="36">
        <v>99.9</v>
      </c>
      <c r="AF174" s="44">
        <v>3.83</v>
      </c>
      <c r="AG174" s="65">
        <v>5.6</v>
      </c>
      <c r="AH174" s="248">
        <v>9.43</v>
      </c>
      <c r="AI174" s="53">
        <v>1805</v>
      </c>
      <c r="AJ174" s="175">
        <f t="shared" si="107"/>
        <v>180.46719999999971</v>
      </c>
      <c r="AK174" s="63">
        <f t="shared" si="102"/>
        <v>297</v>
      </c>
      <c r="AL174" s="1122">
        <f t="shared" si="103"/>
        <v>200300</v>
      </c>
      <c r="AM174" s="179">
        <f t="shared" si="104"/>
        <v>1.4827758362456315E-3</v>
      </c>
      <c r="AN174" s="316">
        <f t="shared" si="105"/>
        <v>663</v>
      </c>
      <c r="AO174" s="1119"/>
      <c r="AP174" s="195"/>
      <c r="AQ174" s="195"/>
      <c r="AR174" s="195"/>
      <c r="AS174" s="195"/>
      <c r="AT174" s="195"/>
      <c r="AU174" s="195"/>
      <c r="AV174" s="195"/>
      <c r="AW174" s="195"/>
      <c r="AX174" s="195"/>
      <c r="AY174" s="195"/>
      <c r="AZ174" s="1116"/>
      <c r="BA174" s="1114"/>
      <c r="BB174" s="195"/>
      <c r="BC174" s="1114"/>
      <c r="BD174" s="1114"/>
      <c r="BE174" s="195"/>
      <c r="BF174" s="1114"/>
      <c r="BG174" s="1114"/>
      <c r="BH174" s="1114"/>
      <c r="BI174" s="1114"/>
      <c r="BJ174" s="195"/>
      <c r="BK174" s="195"/>
      <c r="BL174" s="195"/>
      <c r="BM174" s="1114"/>
      <c r="BN174" s="195"/>
      <c r="BO174" s="1114"/>
      <c r="BP174" s="1114"/>
      <c r="BQ174" s="195"/>
      <c r="BR174" s="195"/>
      <c r="BS174" s="195"/>
      <c r="BT174" s="1114"/>
      <c r="BU174" s="176"/>
      <c r="BV174" s="176"/>
      <c r="BW174" s="176"/>
      <c r="BX174" s="1115"/>
      <c r="BY174" s="195"/>
      <c r="BZ174" s="176"/>
      <c r="CA174" s="195"/>
      <c r="CB174" s="195"/>
      <c r="CC174" s="176"/>
      <c r="CD174" s="195"/>
      <c r="CE174" s="195"/>
      <c r="CF174" s="195"/>
      <c r="CG174" s="195"/>
      <c r="CH174" s="176"/>
      <c r="CI174" s="176"/>
      <c r="CJ174" s="195"/>
      <c r="CK174" s="195"/>
      <c r="CL174" s="195"/>
      <c r="CM174" s="273"/>
      <c r="CN174" s="195"/>
      <c r="CO174" s="176"/>
      <c r="CP174" s="195"/>
      <c r="CQ174" s="176"/>
      <c r="CR174" s="195"/>
      <c r="CS174" s="195"/>
      <c r="CT174" s="195"/>
      <c r="CU174" s="176"/>
      <c r="CV174" s="176"/>
      <c r="CW174" s="195"/>
      <c r="CX174" s="273"/>
      <c r="CY174" s="176"/>
      <c r="CZ174" s="195"/>
      <c r="DA174" s="1116"/>
      <c r="DB174" s="1116"/>
      <c r="DC174" s="195"/>
    </row>
    <row r="175" spans="1:107" ht="13.15" x14ac:dyDescent="0.45">
      <c r="A175" s="1565"/>
      <c r="B175" s="1568"/>
      <c r="C175" s="473" t="s">
        <v>88</v>
      </c>
      <c r="D175" s="805" t="s">
        <v>120</v>
      </c>
      <c r="E175" s="306" t="s">
        <v>73</v>
      </c>
      <c r="F175" s="42" t="s">
        <v>67</v>
      </c>
      <c r="G175" s="322">
        <f t="shared" si="106"/>
        <v>230.03502460000001</v>
      </c>
      <c r="H175" s="86">
        <v>182</v>
      </c>
      <c r="I175" s="168">
        <f t="shared" si="94"/>
        <v>0.79118386565903842</v>
      </c>
      <c r="J175" s="360">
        <v>319</v>
      </c>
      <c r="K175" s="361">
        <v>634</v>
      </c>
      <c r="L175" s="359">
        <v>403</v>
      </c>
      <c r="M175" s="328">
        <v>707</v>
      </c>
      <c r="N175" s="501">
        <f t="shared" si="95"/>
        <v>403</v>
      </c>
      <c r="O175" s="501">
        <f t="shared" si="96"/>
        <v>707</v>
      </c>
      <c r="P175" s="162">
        <f t="shared" si="97"/>
        <v>492.1</v>
      </c>
      <c r="Q175" s="173">
        <f t="shared" ref="Q175:Q199" si="108">P175-8*(2*AF175*AF175)</f>
        <v>437.34000000000003</v>
      </c>
      <c r="R175" s="125">
        <v>205900</v>
      </c>
      <c r="S175" s="359" t="s">
        <v>41</v>
      </c>
      <c r="T175" s="165">
        <f t="shared" ref="T175:T180" si="109">0.83*M175</f>
        <v>586.80999999999995</v>
      </c>
      <c r="U175" s="165">
        <f>AJ175</f>
        <v>36.899999999999977</v>
      </c>
      <c r="V175" s="173">
        <f>U175+8*(2*AF175*AF175)</f>
        <v>91.659999999999982</v>
      </c>
      <c r="W175" s="125">
        <v>205900</v>
      </c>
      <c r="X175" s="500">
        <f t="shared" ref="X175:X180" si="110">((L175*Q175)+(T175*V175))/(Q175+V175)</f>
        <v>434.84881776937618</v>
      </c>
      <c r="Y175" s="42">
        <v>205900</v>
      </c>
      <c r="Z175" s="537">
        <f t="shared" si="100"/>
        <v>2.111941805582206E-3</v>
      </c>
      <c r="AA175" s="463">
        <f t="shared" si="101"/>
        <v>707</v>
      </c>
      <c r="AB175" s="205"/>
      <c r="AC175" s="279">
        <v>300.60000000000002</v>
      </c>
      <c r="AD175" s="71">
        <v>99.8</v>
      </c>
      <c r="AE175" s="34">
        <v>49.8</v>
      </c>
      <c r="AF175" s="42">
        <v>1.85</v>
      </c>
      <c r="AG175" s="71">
        <v>2.2999999999999998</v>
      </c>
      <c r="AH175" s="258">
        <v>4.1500000000000004</v>
      </c>
      <c r="AI175" s="54">
        <v>529</v>
      </c>
      <c r="AJ175" s="168">
        <f t="shared" si="107"/>
        <v>36.899999999999977</v>
      </c>
      <c r="AK175" s="62">
        <f t="shared" si="102"/>
        <v>403</v>
      </c>
      <c r="AL175" s="1124">
        <f t="shared" si="103"/>
        <v>205900</v>
      </c>
      <c r="AM175" s="173">
        <f t="shared" si="104"/>
        <v>1.9572608062166101E-3</v>
      </c>
      <c r="AN175" s="315">
        <f t="shared" si="105"/>
        <v>707</v>
      </c>
      <c r="AO175" s="1128"/>
      <c r="AP175" s="195"/>
      <c r="AQ175" s="195"/>
      <c r="AR175" s="195"/>
      <c r="AS175" s="195"/>
      <c r="AT175" s="195"/>
      <c r="AU175" s="195"/>
      <c r="AV175" s="195"/>
      <c r="AW175" s="195"/>
      <c r="AX175" s="195"/>
      <c r="AY175" s="195"/>
      <c r="AZ175" s="1116"/>
      <c r="BA175" s="1114"/>
      <c r="BB175" s="195"/>
      <c r="BC175" s="1114"/>
      <c r="BD175" s="1114"/>
      <c r="BE175" s="195"/>
      <c r="BF175" s="1114"/>
      <c r="BG175" s="1114"/>
      <c r="BH175" s="1114"/>
      <c r="BI175" s="1114"/>
      <c r="BJ175" s="195"/>
      <c r="BK175" s="195"/>
      <c r="BL175" s="195"/>
      <c r="BM175" s="1114"/>
      <c r="BN175" s="195"/>
      <c r="BO175" s="1114"/>
      <c r="BP175" s="1114"/>
      <c r="BQ175" s="195"/>
      <c r="BR175" s="195"/>
      <c r="BS175" s="195"/>
      <c r="BT175" s="1114"/>
      <c r="BU175" s="176"/>
      <c r="BV175" s="176"/>
      <c r="BW175" s="176"/>
      <c r="BX175" s="1115"/>
      <c r="BY175" s="195"/>
      <c r="BZ175" s="176"/>
      <c r="CA175" s="195"/>
      <c r="CB175" s="195"/>
      <c r="CC175" s="176"/>
      <c r="CD175" s="195"/>
      <c r="CE175" s="195"/>
      <c r="CF175" s="195"/>
      <c r="CG175" s="195"/>
      <c r="CH175" s="176"/>
      <c r="CI175" s="176"/>
      <c r="CJ175" s="195"/>
      <c r="CK175" s="195"/>
      <c r="CL175" s="195"/>
      <c r="CM175" s="273"/>
      <c r="CN175" s="195"/>
      <c r="CO175" s="176"/>
      <c r="CP175" s="195"/>
      <c r="CQ175" s="176"/>
      <c r="CR175" s="195"/>
      <c r="CS175" s="195"/>
      <c r="CT175" s="195"/>
      <c r="CU175" s="176"/>
      <c r="CV175" s="176"/>
      <c r="CW175" s="195"/>
      <c r="CX175" s="273"/>
      <c r="CY175" s="176"/>
      <c r="CZ175" s="195"/>
      <c r="DA175" s="1116"/>
      <c r="DB175" s="1116"/>
      <c r="DC175" s="195"/>
    </row>
    <row r="176" spans="1:107" ht="13.15" x14ac:dyDescent="0.45">
      <c r="A176" s="1565"/>
      <c r="B176" s="1568"/>
      <c r="C176" s="473" t="s">
        <v>88</v>
      </c>
      <c r="D176" s="804" t="s">
        <v>121</v>
      </c>
      <c r="E176" s="307" t="s">
        <v>73</v>
      </c>
      <c r="F176" s="43" t="s">
        <v>67</v>
      </c>
      <c r="G176" s="323">
        <f t="shared" si="106"/>
        <v>230.25309678399998</v>
      </c>
      <c r="H176" s="87">
        <v>181</v>
      </c>
      <c r="I176" s="175">
        <f t="shared" si="94"/>
        <v>0.7860914903124876</v>
      </c>
      <c r="J176" s="360">
        <v>319</v>
      </c>
      <c r="K176" s="361">
        <v>634</v>
      </c>
      <c r="L176" s="359">
        <v>403</v>
      </c>
      <c r="M176" s="328">
        <v>707</v>
      </c>
      <c r="N176" s="501">
        <f t="shared" si="95"/>
        <v>403</v>
      </c>
      <c r="O176" s="501">
        <f t="shared" si="96"/>
        <v>707</v>
      </c>
      <c r="P176" s="162">
        <f t="shared" si="97"/>
        <v>490.32320000000004</v>
      </c>
      <c r="Q176" s="173">
        <f t="shared" si="108"/>
        <v>436.15360000000004</v>
      </c>
      <c r="R176" s="125">
        <v>205900</v>
      </c>
      <c r="S176" s="359" t="s">
        <v>41</v>
      </c>
      <c r="T176" s="173">
        <f t="shared" si="109"/>
        <v>586.80999999999995</v>
      </c>
      <c r="U176" s="173">
        <v>38.676799999999957</v>
      </c>
      <c r="V176" s="173">
        <f t="shared" si="99"/>
        <v>92.84639999999996</v>
      </c>
      <c r="W176" s="125">
        <v>205900</v>
      </c>
      <c r="X176" s="500">
        <f t="shared" si="110"/>
        <v>435.26105252173909</v>
      </c>
      <c r="Y176" s="43">
        <v>205900</v>
      </c>
      <c r="Z176" s="500">
        <f t="shared" si="100"/>
        <v>2.1139439170555566E-3</v>
      </c>
      <c r="AA176" s="463">
        <f t="shared" si="101"/>
        <v>707</v>
      </c>
      <c r="AB176" s="367"/>
      <c r="AC176" s="46">
        <v>299.8</v>
      </c>
      <c r="AD176" s="51">
        <v>99.8</v>
      </c>
      <c r="AE176" s="35">
        <v>50</v>
      </c>
      <c r="AF176" s="43">
        <v>1.84</v>
      </c>
      <c r="AG176" s="51">
        <v>2.2999999999999998</v>
      </c>
      <c r="AH176" s="246">
        <v>4.1399999999999997</v>
      </c>
      <c r="AI176" s="13">
        <v>529</v>
      </c>
      <c r="AJ176" s="175">
        <f t="shared" si="107"/>
        <v>38.676799999999957</v>
      </c>
      <c r="AK176" s="62">
        <f t="shared" si="102"/>
        <v>403</v>
      </c>
      <c r="AL176" s="1124">
        <f t="shared" si="103"/>
        <v>205900</v>
      </c>
      <c r="AM176" s="173">
        <f t="shared" si="104"/>
        <v>1.9572608062166101E-3</v>
      </c>
      <c r="AN176" s="316">
        <f t="shared" si="105"/>
        <v>707</v>
      </c>
      <c r="AO176" s="1128"/>
      <c r="AP176" s="195"/>
      <c r="AQ176" s="195"/>
      <c r="AR176" s="195"/>
      <c r="AS176" s="195"/>
      <c r="AT176" s="195"/>
      <c r="AU176" s="195"/>
      <c r="AV176" s="195"/>
      <c r="AW176" s="195"/>
      <c r="AX176" s="195"/>
      <c r="AY176" s="195"/>
      <c r="AZ176" s="1116"/>
      <c r="BA176" s="1114"/>
      <c r="BB176" s="195"/>
      <c r="BC176" s="1114"/>
      <c r="BD176" s="1114"/>
      <c r="BE176" s="195"/>
      <c r="BF176" s="1114"/>
      <c r="BG176" s="1114"/>
      <c r="BH176" s="1114"/>
      <c r="BI176" s="1114"/>
      <c r="BJ176" s="195"/>
      <c r="BK176" s="195"/>
      <c r="BL176" s="195"/>
      <c r="BM176" s="1114"/>
      <c r="BN176" s="195"/>
      <c r="BO176" s="1114"/>
      <c r="BP176" s="1114"/>
      <c r="BQ176" s="195"/>
      <c r="BR176" s="195"/>
      <c r="BS176" s="195"/>
      <c r="BT176" s="1114"/>
      <c r="BU176" s="176"/>
      <c r="BV176" s="176"/>
      <c r="BW176" s="176"/>
      <c r="BX176" s="1115"/>
      <c r="BY176" s="195"/>
      <c r="BZ176" s="176"/>
      <c r="CA176" s="195"/>
      <c r="CB176" s="195"/>
      <c r="CC176" s="176"/>
      <c r="CD176" s="195"/>
      <c r="CE176" s="195"/>
      <c r="CF176" s="195"/>
      <c r="CG176" s="195"/>
      <c r="CH176" s="176"/>
      <c r="CI176" s="176"/>
      <c r="CJ176" s="195"/>
      <c r="CK176" s="195"/>
      <c r="CL176" s="195"/>
      <c r="CM176" s="273"/>
      <c r="CN176" s="195"/>
      <c r="CO176" s="176"/>
      <c r="CP176" s="195"/>
      <c r="CQ176" s="176"/>
      <c r="CR176" s="195"/>
      <c r="CS176" s="195"/>
      <c r="CT176" s="195"/>
      <c r="CU176" s="176"/>
      <c r="CV176" s="176"/>
      <c r="CW176" s="195"/>
      <c r="CX176" s="273"/>
      <c r="CY176" s="176"/>
      <c r="CZ176" s="195"/>
      <c r="DA176" s="1116"/>
      <c r="DB176" s="1116"/>
      <c r="DC176" s="195"/>
    </row>
    <row r="177" spans="1:107" ht="13.15" x14ac:dyDescent="0.45">
      <c r="A177" s="1565"/>
      <c r="B177" s="1568"/>
      <c r="C177" s="473" t="s">
        <v>88</v>
      </c>
      <c r="D177" s="804" t="s">
        <v>122</v>
      </c>
      <c r="E177" s="307" t="s">
        <v>73</v>
      </c>
      <c r="F177" s="43" t="s">
        <v>67</v>
      </c>
      <c r="G177" s="323">
        <f t="shared" si="106"/>
        <v>413.25032659200002</v>
      </c>
      <c r="H177" s="87">
        <v>407</v>
      </c>
      <c r="I177" s="175">
        <f t="shared" si="94"/>
        <v>0.98487520471297552</v>
      </c>
      <c r="J177" s="360">
        <v>485</v>
      </c>
      <c r="K177" s="361">
        <v>685</v>
      </c>
      <c r="L177" s="359">
        <v>479</v>
      </c>
      <c r="M177" s="328">
        <v>716</v>
      </c>
      <c r="N177" s="501">
        <f t="shared" si="95"/>
        <v>479</v>
      </c>
      <c r="O177" s="501">
        <f t="shared" si="96"/>
        <v>716</v>
      </c>
      <c r="P177" s="162">
        <f t="shared" si="97"/>
        <v>729.66720000000009</v>
      </c>
      <c r="Q177" s="173">
        <f>P177-8*(2*AF177*AF177)</f>
        <v>596.03360000000009</v>
      </c>
      <c r="R177" s="125">
        <v>200900</v>
      </c>
      <c r="S177" s="359" t="s">
        <v>41</v>
      </c>
      <c r="T177" s="173">
        <f t="shared" si="109"/>
        <v>594.28</v>
      </c>
      <c r="U177" s="173">
        <v>81.332800000000077</v>
      </c>
      <c r="V177" s="173">
        <f t="shared" si="99"/>
        <v>214.96640000000008</v>
      </c>
      <c r="W177" s="125">
        <v>200900</v>
      </c>
      <c r="X177" s="500">
        <f t="shared" si="110"/>
        <v>509.55650627866828</v>
      </c>
      <c r="Y177" s="43">
        <v>200900</v>
      </c>
      <c r="Z177" s="500">
        <f t="shared" si="100"/>
        <v>2.5363688714717188E-3</v>
      </c>
      <c r="AA177" s="463">
        <f t="shared" si="101"/>
        <v>716</v>
      </c>
      <c r="AB177" s="367"/>
      <c r="AC177" s="46">
        <v>299.89999999999998</v>
      </c>
      <c r="AD177" s="51">
        <v>100.1</v>
      </c>
      <c r="AE177" s="35">
        <v>50.1</v>
      </c>
      <c r="AF177" s="43">
        <v>2.89</v>
      </c>
      <c r="AG177" s="51">
        <v>3.1</v>
      </c>
      <c r="AH177" s="246">
        <v>5.99</v>
      </c>
      <c r="AI177" s="13">
        <v>811</v>
      </c>
      <c r="AJ177" s="175">
        <f t="shared" si="107"/>
        <v>81.332799999999963</v>
      </c>
      <c r="AK177" s="62">
        <f t="shared" si="102"/>
        <v>479</v>
      </c>
      <c r="AL177" s="1124">
        <f t="shared" si="103"/>
        <v>200900</v>
      </c>
      <c r="AM177" s="173">
        <f t="shared" si="104"/>
        <v>2.3842707814833251E-3</v>
      </c>
      <c r="AN177" s="316">
        <f t="shared" si="105"/>
        <v>716</v>
      </c>
      <c r="AO177" s="1128"/>
      <c r="AP177" s="195"/>
      <c r="AQ177" s="195"/>
      <c r="AR177" s="195"/>
      <c r="AS177" s="195"/>
      <c r="AT177" s="195"/>
      <c r="AU177" s="195"/>
      <c r="AV177" s="195"/>
      <c r="AW177" s="195"/>
      <c r="AX177" s="195"/>
      <c r="AY177" s="195"/>
      <c r="AZ177" s="1116"/>
      <c r="BA177" s="1114"/>
      <c r="BB177" s="195"/>
      <c r="BC177" s="1114"/>
      <c r="BD177" s="1114"/>
      <c r="BE177" s="195"/>
      <c r="BF177" s="1114"/>
      <c r="BG177" s="1114"/>
      <c r="BH177" s="1114"/>
      <c r="BI177" s="1114"/>
      <c r="BJ177" s="195"/>
      <c r="BK177" s="195"/>
      <c r="BL177" s="195"/>
      <c r="BM177" s="1114"/>
      <c r="BN177" s="195"/>
      <c r="BO177" s="1114"/>
      <c r="BP177" s="1114"/>
      <c r="BQ177" s="195"/>
      <c r="BR177" s="195"/>
      <c r="BS177" s="195"/>
      <c r="BT177" s="1114"/>
      <c r="BU177" s="176"/>
      <c r="BV177" s="176"/>
      <c r="BW177" s="176"/>
      <c r="BX177" s="1115"/>
      <c r="BY177" s="195"/>
      <c r="BZ177" s="176"/>
      <c r="CA177" s="195"/>
      <c r="CB177" s="195"/>
      <c r="CC177" s="176"/>
      <c r="CD177" s="195"/>
      <c r="CE177" s="195"/>
      <c r="CF177" s="195"/>
      <c r="CG177" s="195"/>
      <c r="CH177" s="176"/>
      <c r="CI177" s="176"/>
      <c r="CJ177" s="195"/>
      <c r="CK177" s="195"/>
      <c r="CL177" s="195"/>
      <c r="CM177" s="273"/>
      <c r="CN177" s="195"/>
      <c r="CO177" s="176"/>
      <c r="CP177" s="195"/>
      <c r="CQ177" s="176"/>
      <c r="CR177" s="195"/>
      <c r="CS177" s="195"/>
      <c r="CT177" s="195"/>
      <c r="CU177" s="176"/>
      <c r="CV177" s="176"/>
      <c r="CW177" s="195"/>
      <c r="CX177" s="273"/>
      <c r="CY177" s="176"/>
      <c r="CZ177" s="195"/>
      <c r="DA177" s="1116"/>
      <c r="DB177" s="1116"/>
      <c r="DC177" s="195"/>
    </row>
    <row r="178" spans="1:107" ht="13.15" x14ac:dyDescent="0.45">
      <c r="A178" s="1565"/>
      <c r="B178" s="1568"/>
      <c r="C178" s="473" t="s">
        <v>88</v>
      </c>
      <c r="D178" s="804" t="s">
        <v>123</v>
      </c>
      <c r="E178" s="307" t="s">
        <v>73</v>
      </c>
      <c r="F178" s="43" t="s">
        <v>67</v>
      </c>
      <c r="G178" s="323">
        <f t="shared" si="106"/>
        <v>413.31695843200004</v>
      </c>
      <c r="H178" s="87">
        <v>415</v>
      </c>
      <c r="I178" s="175">
        <f t="shared" si="94"/>
        <v>1.0040720360819089</v>
      </c>
      <c r="J178" s="360">
        <v>485</v>
      </c>
      <c r="K178" s="361">
        <v>685</v>
      </c>
      <c r="L178" s="359">
        <v>479</v>
      </c>
      <c r="M178" s="328">
        <v>716</v>
      </c>
      <c r="N178" s="501">
        <f t="shared" si="95"/>
        <v>479</v>
      </c>
      <c r="O178" s="501">
        <f t="shared" si="96"/>
        <v>716</v>
      </c>
      <c r="P178" s="162">
        <f t="shared" si="97"/>
        <v>729.08920000000001</v>
      </c>
      <c r="Q178" s="173">
        <f t="shared" si="108"/>
        <v>595.4556</v>
      </c>
      <c r="R178" s="125">
        <v>200900</v>
      </c>
      <c r="S178" s="359" t="s">
        <v>41</v>
      </c>
      <c r="T178" s="173">
        <f t="shared" si="109"/>
        <v>594.28</v>
      </c>
      <c r="U178" s="173">
        <v>81.910800000000052</v>
      </c>
      <c r="V178" s="173">
        <f t="shared" si="99"/>
        <v>215.54440000000005</v>
      </c>
      <c r="W178" s="125">
        <v>200900</v>
      </c>
      <c r="X178" s="500">
        <f t="shared" si="110"/>
        <v>509.63866637731195</v>
      </c>
      <c r="Y178" s="43">
        <v>200900</v>
      </c>
      <c r="Z178" s="500">
        <f t="shared" si="100"/>
        <v>2.5367778316441611E-3</v>
      </c>
      <c r="AA178" s="463">
        <f t="shared" si="101"/>
        <v>716</v>
      </c>
      <c r="AB178" s="367"/>
      <c r="AC178" s="46">
        <v>300</v>
      </c>
      <c r="AD178" s="51">
        <v>100.1</v>
      </c>
      <c r="AE178" s="35">
        <v>50</v>
      </c>
      <c r="AF178" s="43">
        <v>2.89</v>
      </c>
      <c r="AG178" s="51">
        <v>3.1</v>
      </c>
      <c r="AH178" s="246">
        <v>5.99</v>
      </c>
      <c r="AI178" s="13">
        <v>811</v>
      </c>
      <c r="AJ178" s="175">
        <f t="shared" si="107"/>
        <v>81.910800000000023</v>
      </c>
      <c r="AK178" s="62">
        <f t="shared" si="102"/>
        <v>479</v>
      </c>
      <c r="AL178" s="1124">
        <f t="shared" si="103"/>
        <v>200900</v>
      </c>
      <c r="AM178" s="173">
        <f t="shared" si="104"/>
        <v>2.3842707814833251E-3</v>
      </c>
      <c r="AN178" s="316">
        <f t="shared" si="105"/>
        <v>716</v>
      </c>
      <c r="AO178" s="1128"/>
      <c r="AP178" s="195"/>
      <c r="AQ178" s="195"/>
      <c r="AR178" s="195"/>
      <c r="AS178" s="195"/>
      <c r="AT178" s="195"/>
      <c r="AU178" s="195"/>
      <c r="AV178" s="195"/>
      <c r="AW178" s="195"/>
      <c r="AX178" s="195"/>
      <c r="AY178" s="195"/>
      <c r="AZ178" s="1116"/>
      <c r="BA178" s="1114"/>
      <c r="BB178" s="195"/>
      <c r="BC178" s="1114"/>
      <c r="BD178" s="1114"/>
      <c r="BE178" s="195"/>
      <c r="BF178" s="1114"/>
      <c r="BG178" s="1114"/>
      <c r="BH178" s="1114"/>
      <c r="BI178" s="1114"/>
      <c r="BJ178" s="195"/>
      <c r="BK178" s="195"/>
      <c r="BL178" s="195"/>
      <c r="BM178" s="1114"/>
      <c r="BN178" s="195"/>
      <c r="BO178" s="1114"/>
      <c r="BP178" s="1114"/>
      <c r="BQ178" s="195"/>
      <c r="BR178" s="195"/>
      <c r="BS178" s="195"/>
      <c r="BT178" s="1114"/>
      <c r="BU178" s="176"/>
      <c r="BV178" s="176"/>
      <c r="BW178" s="176"/>
      <c r="BX178" s="1115"/>
      <c r="BY178" s="195"/>
      <c r="BZ178" s="176"/>
      <c r="CA178" s="195"/>
      <c r="CB178" s="195"/>
      <c r="CC178" s="176"/>
      <c r="CD178" s="195"/>
      <c r="CE178" s="195"/>
      <c r="CF178" s="195"/>
      <c r="CG178" s="195"/>
      <c r="CH178" s="176"/>
      <c r="CI178" s="176"/>
      <c r="CJ178" s="195"/>
      <c r="CK178" s="195"/>
      <c r="CL178" s="195"/>
      <c r="CM178" s="273"/>
      <c r="CN178" s="195"/>
      <c r="CO178" s="176"/>
      <c r="CP178" s="195"/>
      <c r="CQ178" s="176"/>
      <c r="CR178" s="195"/>
      <c r="CS178" s="195"/>
      <c r="CT178" s="195"/>
      <c r="CU178" s="176"/>
      <c r="CV178" s="176"/>
      <c r="CW178" s="195"/>
      <c r="CX178" s="273"/>
      <c r="CY178" s="176"/>
      <c r="CZ178" s="195"/>
      <c r="DA178" s="1116"/>
      <c r="DB178" s="1116"/>
      <c r="DC178" s="195"/>
    </row>
    <row r="179" spans="1:107" ht="13.15" x14ac:dyDescent="0.45">
      <c r="A179" s="1565"/>
      <c r="B179" s="1568"/>
      <c r="C179" s="473" t="s">
        <v>88</v>
      </c>
      <c r="D179" s="804" t="s">
        <v>124</v>
      </c>
      <c r="E179" s="307" t="s">
        <v>73</v>
      </c>
      <c r="F179" s="43" t="s">
        <v>67</v>
      </c>
      <c r="G179" s="323">
        <f t="shared" si="106"/>
        <v>522.47412321599995</v>
      </c>
      <c r="H179" s="87">
        <v>626</v>
      </c>
      <c r="I179" s="175">
        <f t="shared" si="94"/>
        <v>1.1981454624905905</v>
      </c>
      <c r="J179" s="360">
        <v>258</v>
      </c>
      <c r="K179" s="361">
        <v>596</v>
      </c>
      <c r="L179" s="359">
        <v>471</v>
      </c>
      <c r="M179" s="328">
        <v>702</v>
      </c>
      <c r="N179" s="501">
        <f t="shared" si="95"/>
        <v>471</v>
      </c>
      <c r="O179" s="501">
        <f t="shared" si="96"/>
        <v>702</v>
      </c>
      <c r="P179" s="162">
        <f t="shared" si="97"/>
        <v>897.28880000000004</v>
      </c>
      <c r="Q179" s="173">
        <f t="shared" si="108"/>
        <v>674.68240000000003</v>
      </c>
      <c r="R179" s="17">
        <v>203900</v>
      </c>
      <c r="S179" s="359" t="s">
        <v>41</v>
      </c>
      <c r="T179" s="173">
        <f t="shared" si="109"/>
        <v>582.66</v>
      </c>
      <c r="U179" s="173">
        <v>128.71119999999996</v>
      </c>
      <c r="V179" s="173">
        <f t="shared" si="99"/>
        <v>351.31759999999997</v>
      </c>
      <c r="W179" s="17">
        <v>203900</v>
      </c>
      <c r="X179" s="500">
        <f t="shared" si="110"/>
        <v>509.23403822222218</v>
      </c>
      <c r="Y179" s="326">
        <v>203900</v>
      </c>
      <c r="Z179" s="500">
        <f t="shared" si="100"/>
        <v>2.4974695351751945E-3</v>
      </c>
      <c r="AA179" s="463">
        <f t="shared" si="101"/>
        <v>702</v>
      </c>
      <c r="AB179" s="367"/>
      <c r="AC179" s="129">
        <v>300.39999999999998</v>
      </c>
      <c r="AD179" s="24">
        <v>99.7</v>
      </c>
      <c r="AE179" s="373">
        <v>49.9</v>
      </c>
      <c r="AF179" s="326">
        <v>3.73</v>
      </c>
      <c r="AG179" s="24">
        <v>3.6</v>
      </c>
      <c r="AH179" s="246">
        <v>7.33</v>
      </c>
      <c r="AI179" s="13">
        <v>1026</v>
      </c>
      <c r="AJ179" s="175">
        <f t="shared" si="107"/>
        <v>128.71120000000002</v>
      </c>
      <c r="AK179" s="62">
        <f t="shared" si="102"/>
        <v>471</v>
      </c>
      <c r="AL179" s="1124">
        <f t="shared" si="103"/>
        <v>203900</v>
      </c>
      <c r="AM179" s="173">
        <f t="shared" si="104"/>
        <v>2.3099558607160373E-3</v>
      </c>
      <c r="AN179" s="316">
        <f t="shared" si="105"/>
        <v>702</v>
      </c>
      <c r="AO179" s="1128"/>
      <c r="AP179" s="195"/>
      <c r="AQ179" s="195"/>
      <c r="AR179" s="195"/>
      <c r="AS179" s="195"/>
      <c r="AT179" s="195"/>
      <c r="AU179" s="195"/>
      <c r="AV179" s="195"/>
      <c r="AW179" s="195"/>
      <c r="AX179" s="195"/>
      <c r="AY179" s="195"/>
      <c r="AZ179" s="1116"/>
      <c r="BA179" s="1114"/>
      <c r="BB179" s="195"/>
      <c r="BC179" s="1114"/>
      <c r="BD179" s="1114"/>
      <c r="BE179" s="195"/>
      <c r="BF179" s="1114"/>
      <c r="BG179" s="1114"/>
      <c r="BH179" s="1114"/>
      <c r="BI179" s="1114"/>
      <c r="BJ179" s="195"/>
      <c r="BK179" s="195"/>
      <c r="BL179" s="195"/>
      <c r="BM179" s="1114"/>
      <c r="BN179" s="195"/>
      <c r="BO179" s="1114"/>
      <c r="BP179" s="1114"/>
      <c r="BQ179" s="195"/>
      <c r="BR179" s="195"/>
      <c r="BS179" s="195"/>
      <c r="BT179" s="1114"/>
      <c r="BU179" s="176"/>
      <c r="BV179" s="176"/>
      <c r="BW179" s="176"/>
      <c r="BX179" s="1115"/>
      <c r="BY179" s="195"/>
      <c r="BZ179" s="176"/>
      <c r="CA179" s="195"/>
      <c r="CB179" s="195"/>
      <c r="CC179" s="176"/>
      <c r="CD179" s="195"/>
      <c r="CE179" s="195"/>
      <c r="CF179" s="195"/>
      <c r="CG179" s="195"/>
      <c r="CH179" s="176"/>
      <c r="CI179" s="176"/>
      <c r="CJ179" s="195"/>
      <c r="CK179" s="195"/>
      <c r="CL179" s="195"/>
      <c r="CM179" s="273"/>
      <c r="CN179" s="195"/>
      <c r="CO179" s="176"/>
      <c r="CP179" s="195"/>
      <c r="CQ179" s="176"/>
      <c r="CR179" s="195"/>
      <c r="CS179" s="195"/>
      <c r="CT179" s="195"/>
      <c r="CU179" s="176"/>
      <c r="CV179" s="176"/>
      <c r="CW179" s="195"/>
      <c r="CX179" s="273"/>
      <c r="CY179" s="176"/>
      <c r="CZ179" s="195"/>
      <c r="DA179" s="1116"/>
      <c r="DB179" s="1116"/>
      <c r="DC179" s="195"/>
    </row>
    <row r="180" spans="1:107" ht="13.15" x14ac:dyDescent="0.45">
      <c r="A180" s="1565"/>
      <c r="B180" s="1568"/>
      <c r="C180" s="473" t="s">
        <v>88</v>
      </c>
      <c r="D180" s="804" t="s">
        <v>125</v>
      </c>
      <c r="E180" s="307" t="s">
        <v>73</v>
      </c>
      <c r="F180" s="43" t="s">
        <v>67</v>
      </c>
      <c r="G180" s="323">
        <f t="shared" si="106"/>
        <v>515.99896569600003</v>
      </c>
      <c r="H180" s="87">
        <v>627</v>
      </c>
      <c r="I180" s="175">
        <f t="shared" si="94"/>
        <v>1.2151187147328433</v>
      </c>
      <c r="J180" s="360">
        <v>258</v>
      </c>
      <c r="K180" s="361">
        <v>596</v>
      </c>
      <c r="L180" s="359">
        <v>471</v>
      </c>
      <c r="M180" s="328">
        <v>702</v>
      </c>
      <c r="N180" s="501">
        <f t="shared" si="95"/>
        <v>471</v>
      </c>
      <c r="O180" s="501">
        <f t="shared" si="96"/>
        <v>702</v>
      </c>
      <c r="P180" s="162">
        <f t="shared" si="97"/>
        <v>886.7328</v>
      </c>
      <c r="Q180" s="173">
        <f t="shared" si="108"/>
        <v>670.05439999999999</v>
      </c>
      <c r="R180" s="17">
        <v>203900</v>
      </c>
      <c r="S180" s="359" t="s">
        <v>41</v>
      </c>
      <c r="T180" s="173">
        <f t="shared" si="109"/>
        <v>582.66</v>
      </c>
      <c r="U180" s="173">
        <v>127.2672</v>
      </c>
      <c r="V180" s="173">
        <f t="shared" si="99"/>
        <v>343.94560000000001</v>
      </c>
      <c r="W180" s="17">
        <v>203900</v>
      </c>
      <c r="X180" s="500">
        <f t="shared" si="110"/>
        <v>508.87471962130178</v>
      </c>
      <c r="Y180" s="326">
        <v>203900</v>
      </c>
      <c r="Z180" s="500">
        <f t="shared" si="100"/>
        <v>2.4957073056464038E-3</v>
      </c>
      <c r="AA180" s="463">
        <f t="shared" si="101"/>
        <v>702</v>
      </c>
      <c r="AB180" s="367"/>
      <c r="AC180" s="129">
        <v>300.60000000000002</v>
      </c>
      <c r="AD180" s="24">
        <v>99.8</v>
      </c>
      <c r="AE180" s="373">
        <v>49.8</v>
      </c>
      <c r="AF180" s="326">
        <v>3.68</v>
      </c>
      <c r="AG180" s="24">
        <v>3.6</v>
      </c>
      <c r="AH180" s="246">
        <v>7.28</v>
      </c>
      <c r="AI180" s="13">
        <v>1014</v>
      </c>
      <c r="AJ180" s="175">
        <f t="shared" si="107"/>
        <v>127.2672</v>
      </c>
      <c r="AK180" s="62">
        <f t="shared" si="102"/>
        <v>471</v>
      </c>
      <c r="AL180" s="1124">
        <f t="shared" si="103"/>
        <v>203900</v>
      </c>
      <c r="AM180" s="173">
        <f t="shared" si="104"/>
        <v>2.3099558607160373E-3</v>
      </c>
      <c r="AN180" s="316">
        <f t="shared" si="105"/>
        <v>702</v>
      </c>
      <c r="AO180" s="1128"/>
      <c r="AP180" s="195"/>
      <c r="AQ180" s="195"/>
      <c r="AR180" s="195"/>
      <c r="AS180" s="195"/>
      <c r="AT180" s="195"/>
      <c r="AU180" s="195"/>
      <c r="AV180" s="195"/>
      <c r="AW180" s="195"/>
      <c r="AX180" s="195"/>
      <c r="AY180" s="195"/>
      <c r="AZ180" s="1116"/>
      <c r="BA180" s="1114"/>
      <c r="BB180" s="195"/>
      <c r="BC180" s="1114"/>
      <c r="BD180" s="1114"/>
      <c r="BE180" s="195"/>
      <c r="BF180" s="1114"/>
      <c r="BG180" s="1114"/>
      <c r="BH180" s="1114"/>
      <c r="BI180" s="1114"/>
      <c r="BJ180" s="195"/>
      <c r="BK180" s="195"/>
      <c r="BL180" s="195"/>
      <c r="BM180" s="1114"/>
      <c r="BN180" s="195"/>
      <c r="BO180" s="1114"/>
      <c r="BP180" s="1114"/>
      <c r="BQ180" s="195"/>
      <c r="BR180" s="195"/>
      <c r="BS180" s="195"/>
      <c r="BT180" s="1114"/>
      <c r="BU180" s="176"/>
      <c r="BV180" s="176"/>
      <c r="BW180" s="176"/>
      <c r="BX180" s="1115"/>
      <c r="BY180" s="195"/>
      <c r="BZ180" s="176"/>
      <c r="CA180" s="195"/>
      <c r="CB180" s="195"/>
      <c r="CC180" s="176"/>
      <c r="CD180" s="195"/>
      <c r="CE180" s="195"/>
      <c r="CF180" s="195"/>
      <c r="CG180" s="195"/>
      <c r="CH180" s="176"/>
      <c r="CI180" s="176"/>
      <c r="CJ180" s="195"/>
      <c r="CK180" s="195"/>
      <c r="CL180" s="195"/>
      <c r="CM180" s="273"/>
      <c r="CN180" s="195"/>
      <c r="CO180" s="176"/>
      <c r="CP180" s="195"/>
      <c r="CQ180" s="176"/>
      <c r="CR180" s="195"/>
      <c r="CS180" s="195"/>
      <c r="CT180" s="195"/>
      <c r="CU180" s="176"/>
      <c r="CV180" s="176"/>
      <c r="CW180" s="195"/>
      <c r="CX180" s="273"/>
      <c r="CY180" s="176"/>
      <c r="CZ180" s="195"/>
      <c r="DA180" s="1116"/>
      <c r="DB180" s="1116"/>
      <c r="DC180" s="195"/>
    </row>
    <row r="181" spans="1:107" ht="13.15" x14ac:dyDescent="0.45">
      <c r="A181" s="1565"/>
      <c r="B181" s="1568"/>
      <c r="C181" s="473" t="s">
        <v>88</v>
      </c>
      <c r="D181" s="804" t="s">
        <v>126</v>
      </c>
      <c r="E181" s="307" t="s">
        <v>73</v>
      </c>
      <c r="F181" s="43" t="s">
        <v>67</v>
      </c>
      <c r="G181" s="323">
        <f t="shared" si="106"/>
        <v>950.92040000000009</v>
      </c>
      <c r="H181" s="87">
        <v>1217</v>
      </c>
      <c r="I181" s="175">
        <f t="shared" si="94"/>
        <v>1.2798126951530326</v>
      </c>
      <c r="J181" s="360">
        <v>318</v>
      </c>
      <c r="K181" s="361">
        <v>612</v>
      </c>
      <c r="L181" s="359">
        <v>605</v>
      </c>
      <c r="M181" s="328">
        <v>754</v>
      </c>
      <c r="N181" s="501" t="s">
        <v>41</v>
      </c>
      <c r="O181" s="173" t="s">
        <v>41</v>
      </c>
      <c r="P181" s="162">
        <f t="shared" si="97"/>
        <v>1237.6000000000001</v>
      </c>
      <c r="Q181" s="173">
        <f t="shared" si="108"/>
        <v>671.16000000000008</v>
      </c>
      <c r="R181" s="17">
        <v>206300</v>
      </c>
      <c r="S181" s="359">
        <v>631</v>
      </c>
      <c r="T181" s="173" t="s">
        <v>41</v>
      </c>
      <c r="U181" s="173">
        <v>320.39999999999998</v>
      </c>
      <c r="V181" s="173">
        <f t="shared" si="99"/>
        <v>886.84</v>
      </c>
      <c r="W181" s="17">
        <v>206300</v>
      </c>
      <c r="X181" s="500">
        <f>((L181*P181)+(S181*U181))/(P181+U181)</f>
        <v>610.34685494223368</v>
      </c>
      <c r="Y181" s="326">
        <v>206300</v>
      </c>
      <c r="Z181" s="500">
        <f t="shared" si="100"/>
        <v>2.958540256627405E-3</v>
      </c>
      <c r="AA181" s="463">
        <f t="shared" si="101"/>
        <v>754</v>
      </c>
      <c r="AB181" s="367"/>
      <c r="AC181" s="129">
        <v>300</v>
      </c>
      <c r="AD181" s="24">
        <v>100.1</v>
      </c>
      <c r="AE181" s="373">
        <v>50.1</v>
      </c>
      <c r="AF181" s="326">
        <v>5.95</v>
      </c>
      <c r="AG181" s="24">
        <v>5.6</v>
      </c>
      <c r="AH181" s="246">
        <v>11.55</v>
      </c>
      <c r="AI181" s="13">
        <v>1558</v>
      </c>
      <c r="AJ181" s="175">
        <f t="shared" si="107"/>
        <v>320.39999999999992</v>
      </c>
      <c r="AK181" s="62">
        <f t="shared" si="102"/>
        <v>605</v>
      </c>
      <c r="AL181" s="1124">
        <f t="shared" si="103"/>
        <v>206300</v>
      </c>
      <c r="AM181" s="173">
        <f t="shared" si="104"/>
        <v>2.9326223945710132E-3</v>
      </c>
      <c r="AN181" s="316">
        <f t="shared" si="105"/>
        <v>754</v>
      </c>
      <c r="AO181" s="1128"/>
      <c r="AP181" s="195"/>
      <c r="AQ181" s="195"/>
      <c r="AR181" s="195"/>
      <c r="AS181" s="195"/>
      <c r="AT181" s="195"/>
      <c r="AU181" s="195"/>
      <c r="AV181" s="195"/>
      <c r="AW181" s="195"/>
      <c r="AX181" s="195"/>
      <c r="AY181" s="195"/>
      <c r="AZ181" s="1116"/>
      <c r="BA181" s="1114"/>
      <c r="BB181" s="195"/>
      <c r="BC181" s="1114"/>
      <c r="BD181" s="1114"/>
      <c r="BE181" s="195"/>
      <c r="BF181" s="1114"/>
      <c r="BG181" s="1114"/>
      <c r="BH181" s="1114"/>
      <c r="BI181" s="1114"/>
      <c r="BJ181" s="195"/>
      <c r="BK181" s="195"/>
      <c r="BL181" s="195"/>
      <c r="BM181" s="1114"/>
      <c r="BN181" s="195"/>
      <c r="BO181" s="1114"/>
      <c r="BP181" s="1114"/>
      <c r="BQ181" s="195"/>
      <c r="BR181" s="195"/>
      <c r="BS181" s="195"/>
      <c r="BT181" s="1114"/>
      <c r="BU181" s="176"/>
      <c r="BV181" s="176"/>
      <c r="BW181" s="176"/>
      <c r="BX181" s="1115"/>
      <c r="BY181" s="195"/>
      <c r="BZ181" s="176"/>
      <c r="CA181" s="195"/>
      <c r="CB181" s="195"/>
      <c r="CC181" s="176"/>
      <c r="CD181" s="195"/>
      <c r="CE181" s="195"/>
      <c r="CF181" s="195"/>
      <c r="CG181" s="195"/>
      <c r="CH181" s="176"/>
      <c r="CI181" s="176"/>
      <c r="CJ181" s="195"/>
      <c r="CK181" s="195"/>
      <c r="CL181" s="195"/>
      <c r="CM181" s="273"/>
      <c r="CN181" s="195"/>
      <c r="CO181" s="176"/>
      <c r="CP181" s="195"/>
      <c r="CQ181" s="176"/>
      <c r="CR181" s="195"/>
      <c r="CS181" s="195"/>
      <c r="CT181" s="195"/>
      <c r="CU181" s="176"/>
      <c r="CV181" s="176"/>
      <c r="CW181" s="195"/>
      <c r="CX181" s="1114"/>
      <c r="CY181" s="176"/>
      <c r="CZ181" s="195"/>
      <c r="DA181" s="1116"/>
      <c r="DB181" s="1116"/>
      <c r="DC181" s="195"/>
    </row>
    <row r="182" spans="1:107" ht="13.15" x14ac:dyDescent="0.45">
      <c r="A182" s="1566"/>
      <c r="B182" s="1569"/>
      <c r="C182" s="473" t="s">
        <v>127</v>
      </c>
      <c r="D182" s="804" t="s">
        <v>128</v>
      </c>
      <c r="E182" s="307" t="s">
        <v>73</v>
      </c>
      <c r="F182" s="43" t="s">
        <v>67</v>
      </c>
      <c r="G182" s="324">
        <f t="shared" si="106"/>
        <v>951.41674079999996</v>
      </c>
      <c r="H182" s="88">
        <v>1217</v>
      </c>
      <c r="I182" s="182">
        <f t="shared" si="94"/>
        <v>1.2791450347790643</v>
      </c>
      <c r="J182" s="362">
        <v>318</v>
      </c>
      <c r="K182" s="356">
        <v>612</v>
      </c>
      <c r="L182" s="349">
        <v>605</v>
      </c>
      <c r="M182" s="230">
        <v>754</v>
      </c>
      <c r="N182" s="501" t="s">
        <v>41</v>
      </c>
      <c r="O182" s="179" t="s">
        <v>41</v>
      </c>
      <c r="P182" s="162">
        <f t="shared" si="97"/>
        <v>1242.7791999999999</v>
      </c>
      <c r="Q182" s="179">
        <f t="shared" si="108"/>
        <v>674.43359999999996</v>
      </c>
      <c r="R182" s="18">
        <v>206300</v>
      </c>
      <c r="S182" s="349">
        <v>631</v>
      </c>
      <c r="T182" s="173" t="s">
        <v>41</v>
      </c>
      <c r="U182" s="173">
        <v>316.22080000000005</v>
      </c>
      <c r="V182" s="179">
        <f t="shared" si="99"/>
        <v>884.56640000000004</v>
      </c>
      <c r="W182" s="18">
        <v>206300</v>
      </c>
      <c r="X182" s="539">
        <f>((L182*P182)+(S182*U182))/(P182+U182)</f>
        <v>610.27372726106478</v>
      </c>
      <c r="Y182" s="326">
        <v>206300</v>
      </c>
      <c r="Z182" s="539">
        <f t="shared" si="100"/>
        <v>2.9581857841059853E-3</v>
      </c>
      <c r="AA182" s="471">
        <f t="shared" si="101"/>
        <v>754</v>
      </c>
      <c r="AB182" s="354"/>
      <c r="AC182" s="129">
        <v>300.10000000000002</v>
      </c>
      <c r="AD182" s="24">
        <v>100</v>
      </c>
      <c r="AE182" s="373">
        <v>50.1</v>
      </c>
      <c r="AF182" s="326">
        <v>5.96</v>
      </c>
      <c r="AG182" s="24">
        <v>5.5</v>
      </c>
      <c r="AH182" s="246">
        <v>11.46</v>
      </c>
      <c r="AI182" s="13">
        <v>1559</v>
      </c>
      <c r="AJ182" s="175">
        <f t="shared" si="107"/>
        <v>316.22080000000005</v>
      </c>
      <c r="AK182" s="63">
        <f t="shared" si="102"/>
        <v>605</v>
      </c>
      <c r="AL182" s="1122">
        <f t="shared" si="103"/>
        <v>206300</v>
      </c>
      <c r="AM182" s="179">
        <f t="shared" si="104"/>
        <v>2.9326223945710132E-3</v>
      </c>
      <c r="AN182" s="316">
        <f t="shared" si="105"/>
        <v>754</v>
      </c>
      <c r="AO182" s="1119"/>
      <c r="AP182" s="195"/>
      <c r="AQ182" s="195"/>
      <c r="AR182" s="195"/>
      <c r="AS182" s="195"/>
      <c r="AT182" s="195"/>
      <c r="AU182" s="195"/>
      <c r="AV182" s="195"/>
      <c r="AW182" s="195"/>
      <c r="AX182" s="195"/>
      <c r="AY182" s="195"/>
      <c r="AZ182" s="1116"/>
      <c r="BA182" s="1114"/>
      <c r="BB182" s="195"/>
      <c r="BC182" s="1114"/>
      <c r="BD182" s="1114"/>
      <c r="BE182" s="195"/>
      <c r="BF182" s="1114"/>
      <c r="BG182" s="1114"/>
      <c r="BH182" s="1114"/>
      <c r="BI182" s="1114"/>
      <c r="BJ182" s="195"/>
      <c r="BK182" s="195"/>
      <c r="BL182" s="195"/>
      <c r="BM182" s="1114"/>
      <c r="BN182" s="195"/>
      <c r="BO182" s="1114"/>
      <c r="BP182" s="1114"/>
      <c r="BQ182" s="195"/>
      <c r="BR182" s="195"/>
      <c r="BS182" s="195"/>
      <c r="BT182" s="1114"/>
      <c r="BU182" s="176"/>
      <c r="BV182" s="176"/>
      <c r="BW182" s="176"/>
      <c r="BX182" s="1115"/>
      <c r="BY182" s="195"/>
      <c r="BZ182" s="176"/>
      <c r="CA182" s="195"/>
      <c r="CB182" s="195"/>
      <c r="CC182" s="176"/>
      <c r="CD182" s="195"/>
      <c r="CE182" s="195"/>
      <c r="CF182" s="195"/>
      <c r="CG182" s="195"/>
      <c r="CH182" s="176"/>
      <c r="CI182" s="176"/>
      <c r="CJ182" s="195"/>
      <c r="CK182" s="195"/>
      <c r="CL182" s="195"/>
      <c r="CM182" s="273"/>
      <c r="CN182" s="195"/>
      <c r="CO182" s="176"/>
      <c r="CP182" s="195"/>
      <c r="CQ182" s="176"/>
      <c r="CR182" s="195"/>
      <c r="CS182" s="195"/>
      <c r="CT182" s="195"/>
      <c r="CU182" s="176"/>
      <c r="CV182" s="176"/>
      <c r="CW182" s="195"/>
      <c r="CX182" s="1114"/>
      <c r="CY182" s="176"/>
      <c r="CZ182" s="195"/>
      <c r="DA182" s="1116"/>
      <c r="DB182" s="1116"/>
      <c r="DC182" s="195"/>
    </row>
    <row r="183" spans="1:107" ht="15" customHeight="1" x14ac:dyDescent="0.45">
      <c r="A183" s="1564" t="s">
        <v>215</v>
      </c>
      <c r="B183" s="1542">
        <v>1.4300999999999999</v>
      </c>
      <c r="C183" s="797" t="s">
        <v>37</v>
      </c>
      <c r="D183" s="805" t="s">
        <v>129</v>
      </c>
      <c r="E183" s="306" t="s">
        <v>39</v>
      </c>
      <c r="F183" s="42" t="s">
        <v>67</v>
      </c>
      <c r="G183" s="323">
        <f t="shared" si="106"/>
        <v>428.28940268823027</v>
      </c>
      <c r="H183" s="87">
        <v>372</v>
      </c>
      <c r="I183" s="175">
        <f t="shared" si="94"/>
        <v>0.86857157255136275</v>
      </c>
      <c r="J183" s="159">
        <v>287</v>
      </c>
      <c r="K183" s="221">
        <v>620</v>
      </c>
      <c r="L183" s="159">
        <v>296</v>
      </c>
      <c r="M183" s="159">
        <v>627</v>
      </c>
      <c r="N183" s="498">
        <f>L183</f>
        <v>296</v>
      </c>
      <c r="O183" s="165">
        <f>M183</f>
        <v>627</v>
      </c>
      <c r="P183" s="169">
        <f>AI183-AJ183</f>
        <v>1315.7592</v>
      </c>
      <c r="Q183" s="173">
        <f>P183</f>
        <v>1315.7592</v>
      </c>
      <c r="R183" s="128">
        <v>196750</v>
      </c>
      <c r="S183" s="348" t="s">
        <v>41</v>
      </c>
      <c r="T183" s="165">
        <f>(1.673*J183)/((AG183/AF183)^0.126)</f>
        <v>477.89632165402378</v>
      </c>
      <c r="U183" s="165">
        <f>AJ183</f>
        <v>81.240800000000036</v>
      </c>
      <c r="V183" s="173">
        <f>U183</f>
        <v>81.240800000000036</v>
      </c>
      <c r="W183" s="128">
        <v>196750</v>
      </c>
      <c r="X183" s="500">
        <f>((L183*Q183)+(T183*V183))/(Q183+V183)</f>
        <v>306.57795468019344</v>
      </c>
      <c r="Y183" s="59">
        <v>196750</v>
      </c>
      <c r="Z183" s="537">
        <f t="shared" si="100"/>
        <v>1.5582106972309704E-3</v>
      </c>
      <c r="AA183" s="463">
        <f t="shared" si="101"/>
        <v>627</v>
      </c>
      <c r="AB183" s="205"/>
      <c r="AC183" s="67">
        <v>1048</v>
      </c>
      <c r="AD183" s="54">
        <v>150.69999999999999</v>
      </c>
      <c r="AE183" s="14">
        <v>100.5</v>
      </c>
      <c r="AF183" s="59">
        <v>2.89</v>
      </c>
      <c r="AG183" s="71">
        <v>3</v>
      </c>
      <c r="AH183" s="258">
        <v>5.8900000000000006</v>
      </c>
      <c r="AI183" s="54">
        <v>1397</v>
      </c>
      <c r="AJ183" s="168">
        <f t="shared" si="107"/>
        <v>81.240800000000036</v>
      </c>
      <c r="AK183" s="62">
        <f t="shared" si="102"/>
        <v>296</v>
      </c>
      <c r="AL183" s="1124">
        <f t="shared" si="103"/>
        <v>196750</v>
      </c>
      <c r="AM183" s="173">
        <f t="shared" si="104"/>
        <v>1.5044472681067344E-3</v>
      </c>
      <c r="AN183" s="315">
        <f t="shared" si="105"/>
        <v>627</v>
      </c>
      <c r="AO183" s="1128"/>
      <c r="AP183" s="195"/>
      <c r="AQ183" s="195"/>
      <c r="AR183" s="195"/>
      <c r="AS183" s="195"/>
      <c r="AT183" s="195"/>
      <c r="AU183" s="195"/>
      <c r="AV183" s="195"/>
      <c r="AW183" s="195"/>
      <c r="AX183" s="195"/>
      <c r="AY183" s="195"/>
      <c r="AZ183" s="1116"/>
      <c r="BA183" s="1114"/>
      <c r="BB183" s="195"/>
      <c r="BC183" s="1114"/>
      <c r="BD183" s="1114"/>
      <c r="BE183" s="195"/>
      <c r="BF183" s="1114"/>
      <c r="BG183" s="1114"/>
      <c r="BH183" s="1114"/>
      <c r="BI183" s="1114"/>
      <c r="BJ183" s="195"/>
      <c r="BK183" s="195"/>
      <c r="BL183" s="195"/>
      <c r="BM183" s="1114"/>
      <c r="BN183" s="195"/>
      <c r="BO183" s="1114"/>
      <c r="BP183" s="1114"/>
      <c r="BQ183" s="195"/>
      <c r="BR183" s="195"/>
      <c r="BS183" s="195"/>
      <c r="BT183" s="1114"/>
      <c r="BU183" s="176"/>
      <c r="BV183" s="176"/>
      <c r="BW183" s="176"/>
      <c r="BX183" s="1115"/>
      <c r="BY183" s="195"/>
      <c r="BZ183" s="176"/>
      <c r="CA183" s="195"/>
      <c r="CB183" s="195"/>
      <c r="CC183" s="176"/>
      <c r="CD183" s="195"/>
      <c r="CE183" s="195"/>
      <c r="CF183" s="195"/>
      <c r="CG183" s="195"/>
      <c r="CH183" s="176"/>
      <c r="CI183" s="176"/>
      <c r="CJ183" s="195"/>
      <c r="CK183" s="195"/>
      <c r="CL183" s="195"/>
      <c r="CM183" s="273"/>
      <c r="CN183" s="195"/>
      <c r="CO183" s="176"/>
      <c r="CP183" s="195"/>
      <c r="CQ183" s="176"/>
      <c r="CR183" s="195"/>
      <c r="CS183" s="195"/>
      <c r="CT183" s="195"/>
      <c r="CU183" s="176"/>
      <c r="CV183" s="176"/>
      <c r="CW183" s="195"/>
      <c r="CX183" s="1114"/>
      <c r="CY183" s="176"/>
      <c r="CZ183" s="195"/>
      <c r="DA183" s="1116"/>
      <c r="DB183" s="1116"/>
      <c r="DC183" s="195"/>
    </row>
    <row r="184" spans="1:107" ht="15.75" customHeight="1" x14ac:dyDescent="0.45">
      <c r="A184" s="1566"/>
      <c r="B184" s="1543"/>
      <c r="C184" s="798" t="s">
        <v>37</v>
      </c>
      <c r="D184" s="806" t="s">
        <v>130</v>
      </c>
      <c r="E184" s="307" t="s">
        <v>39</v>
      </c>
      <c r="F184" s="281" t="s">
        <v>67</v>
      </c>
      <c r="G184" s="323">
        <f>0.001*AI184*X184</f>
        <v>984.85986716583329</v>
      </c>
      <c r="H184" s="87">
        <v>1292</v>
      </c>
      <c r="I184" s="175">
        <f t="shared" si="94"/>
        <v>1.3118617613265477</v>
      </c>
      <c r="J184" s="362">
        <v>300</v>
      </c>
      <c r="K184" s="229">
        <v>612</v>
      </c>
      <c r="L184" s="502">
        <v>349.5</v>
      </c>
      <c r="M184" s="502">
        <v>653.5</v>
      </c>
      <c r="N184" s="502">
        <f>L184</f>
        <v>349.5</v>
      </c>
      <c r="O184" s="179">
        <f>M184</f>
        <v>653.5</v>
      </c>
      <c r="P184" s="177">
        <f t="shared" si="97"/>
        <v>2379.722968</v>
      </c>
      <c r="Q184" s="179">
        <f>P184</f>
        <v>2379.722968</v>
      </c>
      <c r="R184" s="20">
        <v>193000</v>
      </c>
      <c r="S184" s="349" t="s">
        <v>41</v>
      </c>
      <c r="T184" s="179">
        <f>(1.673*J184)/((AG184/AF184)^0.126)</f>
        <v>504.97292472129311</v>
      </c>
      <c r="U184" s="173">
        <f>AJ184</f>
        <v>303.27703200000008</v>
      </c>
      <c r="V184" s="179">
        <f>U184</f>
        <v>303.27703200000008</v>
      </c>
      <c r="W184" s="20">
        <v>193000</v>
      </c>
      <c r="X184" s="539">
        <f>((L184*Q184)+(T184*V184))/(Q184+V184)</f>
        <v>367.07412119486889</v>
      </c>
      <c r="Y184" s="58">
        <v>193000</v>
      </c>
      <c r="Z184" s="539">
        <f t="shared" si="100"/>
        <v>1.9019384517868854E-3</v>
      </c>
      <c r="AA184" s="471">
        <f t="shared" si="101"/>
        <v>653.5</v>
      </c>
      <c r="AB184" s="354"/>
      <c r="AC184" s="313">
        <v>1049</v>
      </c>
      <c r="AD184" s="13">
        <v>150.5</v>
      </c>
      <c r="AE184" s="60">
        <v>100.7</v>
      </c>
      <c r="AF184" s="57">
        <v>5.7729999999999997</v>
      </c>
      <c r="AG184" s="13">
        <v>5.5</v>
      </c>
      <c r="AH184" s="246">
        <v>11.273</v>
      </c>
      <c r="AI184" s="13">
        <v>2683</v>
      </c>
      <c r="AJ184" s="175">
        <f t="shared" si="107"/>
        <v>303.27703200000008</v>
      </c>
      <c r="AK184" s="63">
        <f t="shared" si="102"/>
        <v>349.5</v>
      </c>
      <c r="AL184" s="1122">
        <f t="shared" si="103"/>
        <v>193000</v>
      </c>
      <c r="AM184" s="179">
        <f t="shared" si="104"/>
        <v>1.8108808290155441E-3</v>
      </c>
      <c r="AN184" s="317">
        <f t="shared" si="105"/>
        <v>653.5</v>
      </c>
      <c r="AO184" s="1119"/>
      <c r="AP184" s="195"/>
      <c r="AQ184" s="195"/>
      <c r="AR184" s="195"/>
      <c r="AS184" s="195"/>
      <c r="AT184" s="195"/>
      <c r="AU184" s="195"/>
      <c r="AV184" s="195"/>
      <c r="AW184" s="195"/>
      <c r="AX184" s="195"/>
      <c r="AY184" s="195"/>
      <c r="AZ184" s="1116"/>
      <c r="BA184" s="1114"/>
      <c r="BB184" s="195"/>
      <c r="BC184" s="1114"/>
      <c r="BD184" s="1114"/>
      <c r="BE184" s="195"/>
      <c r="BF184" s="1114"/>
      <c r="BG184" s="1114"/>
      <c r="BH184" s="1114"/>
      <c r="BI184" s="1114"/>
      <c r="BJ184" s="195"/>
      <c r="BK184" s="195"/>
      <c r="BL184" s="195"/>
      <c r="BM184" s="1114"/>
      <c r="BN184" s="195"/>
      <c r="BO184" s="1114"/>
      <c r="BP184" s="1114"/>
      <c r="BQ184" s="195"/>
      <c r="BR184" s="195"/>
      <c r="BS184" s="195"/>
      <c r="BT184" s="1114"/>
      <c r="BU184" s="176"/>
      <c r="BV184" s="176"/>
      <c r="BW184" s="176"/>
      <c r="BX184" s="119"/>
      <c r="BY184" s="195"/>
      <c r="BZ184" s="176"/>
      <c r="CA184" s="195"/>
      <c r="CB184" s="195"/>
      <c r="CC184" s="176"/>
      <c r="CD184" s="195"/>
      <c r="CE184" s="195"/>
      <c r="CF184" s="195"/>
      <c r="CG184" s="195"/>
      <c r="CH184" s="176"/>
      <c r="CI184" s="176"/>
      <c r="CJ184" s="195"/>
      <c r="CK184" s="195"/>
      <c r="CL184" s="195"/>
      <c r="CM184" s="273"/>
      <c r="CN184" s="195"/>
      <c r="CO184" s="176"/>
      <c r="CP184" s="195"/>
      <c r="CQ184" s="176"/>
      <c r="CR184" s="195"/>
      <c r="CS184" s="195"/>
      <c r="CT184" s="195"/>
      <c r="CU184" s="176"/>
      <c r="CV184" s="176"/>
      <c r="CW184" s="195"/>
      <c r="CX184" s="1114"/>
      <c r="CY184" s="176"/>
      <c r="CZ184" s="195"/>
      <c r="DA184" s="1116"/>
      <c r="DB184" s="1116"/>
      <c r="DC184" s="195"/>
    </row>
    <row r="185" spans="1:107" ht="13.5" customHeight="1" x14ac:dyDescent="0.45">
      <c r="A185" s="1532" t="s">
        <v>100</v>
      </c>
      <c r="B185" s="1540" t="s">
        <v>101</v>
      </c>
      <c r="C185" s="473" t="s">
        <v>88</v>
      </c>
      <c r="D185" s="807" t="s">
        <v>131</v>
      </c>
      <c r="E185" s="306" t="s">
        <v>39</v>
      </c>
      <c r="F185" s="319" t="s">
        <v>67</v>
      </c>
      <c r="G185" s="322">
        <f t="shared" ref="G185:G199" si="111">0.001*AI185*X185</f>
        <v>650.1439585280001</v>
      </c>
      <c r="H185" s="86">
        <v>558.20000000000005</v>
      </c>
      <c r="I185" s="168">
        <f t="shared" si="94"/>
        <v>0.85857907726133198</v>
      </c>
      <c r="J185" s="159" t="s">
        <v>41</v>
      </c>
      <c r="K185" s="170" t="s">
        <v>41</v>
      </c>
      <c r="L185" s="328">
        <v>486</v>
      </c>
      <c r="M185" s="328">
        <v>736</v>
      </c>
      <c r="N185" s="195" t="s">
        <v>41</v>
      </c>
      <c r="O185" s="195" t="s">
        <v>41</v>
      </c>
      <c r="P185" s="162">
        <f>AI185-AJ185</f>
        <v>1099.4367999999999</v>
      </c>
      <c r="Q185" s="173">
        <f t="shared" si="108"/>
        <v>947.6543999999999</v>
      </c>
      <c r="R185" s="326">
        <v>212000</v>
      </c>
      <c r="S185" s="348" t="s">
        <v>41</v>
      </c>
      <c r="T185" s="360">
        <f>0.83*M185</f>
        <v>610.88</v>
      </c>
      <c r="U185" s="165">
        <f t="shared" ref="U185:U211" si="112">AJ185</f>
        <v>158.56319999999994</v>
      </c>
      <c r="V185" s="173">
        <f t="shared" si="99"/>
        <v>310.34559999999993</v>
      </c>
      <c r="W185" s="5">
        <v>212000</v>
      </c>
      <c r="X185" s="500">
        <f>((L185*Q185)+(T185*V185))/(Q185+V185)</f>
        <v>516.80759819395871</v>
      </c>
      <c r="Y185" s="5">
        <v>212000</v>
      </c>
      <c r="Z185" s="540">
        <f>X185/Y185</f>
        <v>2.4377716895941448E-3</v>
      </c>
      <c r="AA185" s="463">
        <f t="shared" si="101"/>
        <v>736</v>
      </c>
      <c r="AB185" s="367"/>
      <c r="AC185" s="3">
        <v>600</v>
      </c>
      <c r="AD185" s="55">
        <v>140</v>
      </c>
      <c r="AE185" s="75">
        <v>78.8</v>
      </c>
      <c r="AF185" s="374">
        <v>3.08</v>
      </c>
      <c r="AG185" s="172">
        <v>7</v>
      </c>
      <c r="AH185" s="75">
        <v>10</v>
      </c>
      <c r="AI185" s="55">
        <v>1258</v>
      </c>
      <c r="AJ185" s="168">
        <f t="shared" si="107"/>
        <v>158.56319999999994</v>
      </c>
      <c r="AK185" s="270">
        <v>486</v>
      </c>
      <c r="AL185" s="119">
        <v>212000</v>
      </c>
      <c r="AM185" s="195">
        <f>AK185/AL185</f>
        <v>2.292452830188679E-3</v>
      </c>
      <c r="AN185" s="316">
        <f t="shared" si="105"/>
        <v>736</v>
      </c>
      <c r="AO185" s="1128"/>
      <c r="AP185" s="195"/>
      <c r="AQ185" s="195"/>
      <c r="AR185" s="195"/>
      <c r="AS185" s="195"/>
      <c r="AT185" s="195"/>
      <c r="AU185" s="195"/>
      <c r="AV185" s="195"/>
      <c r="AW185" s="195"/>
      <c r="AX185" s="195"/>
      <c r="AY185" s="195"/>
      <c r="AZ185" s="1116"/>
      <c r="BA185" s="1114"/>
      <c r="BB185" s="195"/>
      <c r="BC185" s="1114"/>
      <c r="BD185" s="1114"/>
      <c r="BE185" s="195"/>
      <c r="BF185" s="1114"/>
      <c r="BG185" s="1114"/>
      <c r="BH185" s="1114"/>
      <c r="BI185" s="1114"/>
      <c r="BJ185" s="195"/>
      <c r="BK185" s="195"/>
      <c r="BL185" s="195"/>
      <c r="BM185" s="1114"/>
      <c r="BN185" s="195"/>
      <c r="BO185" s="1114"/>
      <c r="BP185" s="1114"/>
      <c r="BQ185" s="195"/>
      <c r="BR185" s="195"/>
      <c r="BS185" s="195"/>
      <c r="BT185" s="1114"/>
      <c r="BU185" s="176"/>
      <c r="BV185" s="176"/>
      <c r="BW185" s="176"/>
      <c r="BX185" s="1115"/>
      <c r="BY185" s="195"/>
      <c r="BZ185" s="176"/>
      <c r="CA185" s="195"/>
      <c r="CB185" s="195"/>
      <c r="CC185" s="176"/>
      <c r="CD185" s="195"/>
      <c r="CE185" s="195"/>
      <c r="CF185" s="195"/>
      <c r="CG185" s="195"/>
      <c r="CH185" s="176"/>
      <c r="CI185" s="176"/>
      <c r="CJ185" s="195"/>
      <c r="CK185" s="195"/>
      <c r="CL185" s="195"/>
      <c r="CM185" s="273"/>
      <c r="CN185" s="195"/>
      <c r="CO185" s="176"/>
      <c r="CP185" s="195"/>
      <c r="CQ185" s="176"/>
      <c r="CR185" s="195"/>
      <c r="CS185" s="195"/>
      <c r="CT185" s="195"/>
      <c r="CU185" s="176"/>
      <c r="CV185" s="176"/>
      <c r="CW185" s="195"/>
      <c r="CX185" s="1114"/>
      <c r="CY185" s="176"/>
      <c r="CZ185" s="195"/>
      <c r="DA185" s="1116"/>
      <c r="DB185" s="1116"/>
      <c r="DC185" s="195"/>
    </row>
    <row r="186" spans="1:107" ht="13.5" customHeight="1" x14ac:dyDescent="0.45">
      <c r="A186" s="1533"/>
      <c r="B186" s="1541"/>
      <c r="C186" s="799" t="s">
        <v>88</v>
      </c>
      <c r="D186" s="808" t="s">
        <v>132</v>
      </c>
      <c r="E186" s="308" t="s">
        <v>39</v>
      </c>
      <c r="F186" s="320" t="s">
        <v>67</v>
      </c>
      <c r="G186" s="324">
        <f t="shared" si="111"/>
        <v>722.58323279999991</v>
      </c>
      <c r="H186" s="88">
        <v>537.29999999999995</v>
      </c>
      <c r="I186" s="182">
        <f t="shared" si="94"/>
        <v>0.74358215858119203</v>
      </c>
      <c r="J186" s="362" t="s">
        <v>41</v>
      </c>
      <c r="K186" s="356" t="s">
        <v>41</v>
      </c>
      <c r="L186" s="362">
        <v>536</v>
      </c>
      <c r="M186" s="362">
        <v>766</v>
      </c>
      <c r="N186" s="179" t="s">
        <v>41</v>
      </c>
      <c r="O186" s="179" t="s">
        <v>41</v>
      </c>
      <c r="P186" s="177">
        <f t="shared" si="97"/>
        <v>1172.2228</v>
      </c>
      <c r="Q186" s="179">
        <f t="shared" si="108"/>
        <v>1040.4323999999999</v>
      </c>
      <c r="R186" s="362">
        <v>208000</v>
      </c>
      <c r="S186" s="359">
        <v>710</v>
      </c>
      <c r="T186" s="362" t="s">
        <v>41</v>
      </c>
      <c r="U186" s="179">
        <f t="shared" si="112"/>
        <v>132.77719999999999</v>
      </c>
      <c r="V186" s="179">
        <f t="shared" si="99"/>
        <v>264.56759999999997</v>
      </c>
      <c r="W186" s="356">
        <v>208000</v>
      </c>
      <c r="X186" s="539">
        <f>((L186*P186)+(S186*U186))/(P186+U186)</f>
        <v>553.70362666666665</v>
      </c>
      <c r="Y186" s="356">
        <v>208000</v>
      </c>
      <c r="Z186" s="539">
        <f>X186/Y186</f>
        <v>2.6620366666666668E-3</v>
      </c>
      <c r="AA186" s="471">
        <f t="shared" si="101"/>
        <v>766</v>
      </c>
      <c r="AB186" s="354"/>
      <c r="AC186" s="4">
        <v>600</v>
      </c>
      <c r="AD186" s="56">
        <v>160.1</v>
      </c>
      <c r="AE186" s="76">
        <v>80.8</v>
      </c>
      <c r="AF186" s="70">
        <v>2.87</v>
      </c>
      <c r="AG186" s="184">
        <v>6.3</v>
      </c>
      <c r="AH186" s="76">
        <v>9</v>
      </c>
      <c r="AI186" s="56">
        <v>1305</v>
      </c>
      <c r="AJ186" s="182">
        <f t="shared" si="107"/>
        <v>132.77719999999999</v>
      </c>
      <c r="AK186" s="271">
        <v>536</v>
      </c>
      <c r="AL186" s="70">
        <v>208000</v>
      </c>
      <c r="AM186" s="227">
        <f>AK186/AL186</f>
        <v>2.5769230769230769E-3</v>
      </c>
      <c r="AN186" s="317">
        <f t="shared" si="105"/>
        <v>766</v>
      </c>
      <c r="AO186" s="1119"/>
      <c r="AP186" s="195"/>
      <c r="AQ186" s="195"/>
      <c r="AR186" s="195"/>
      <c r="AS186" s="195"/>
      <c r="AT186" s="195"/>
      <c r="AU186" s="195"/>
      <c r="AV186" s="195"/>
      <c r="AW186" s="195"/>
      <c r="AX186" s="195"/>
      <c r="AY186" s="195"/>
      <c r="AZ186" s="1116"/>
      <c r="BA186" s="1114"/>
      <c r="BB186" s="195"/>
      <c r="BC186" s="1114"/>
      <c r="BD186" s="1114"/>
      <c r="BE186" s="195"/>
      <c r="BF186" s="1114"/>
      <c r="BG186" s="1114"/>
      <c r="BH186" s="1114"/>
      <c r="BI186" s="1114"/>
      <c r="BJ186" s="195"/>
      <c r="BK186" s="195"/>
      <c r="BL186" s="195"/>
      <c r="BM186" s="1114"/>
      <c r="BN186" s="195"/>
      <c r="BO186" s="1114"/>
      <c r="BP186" s="1114"/>
      <c r="BQ186" s="195"/>
      <c r="BR186" s="195"/>
      <c r="BS186" s="195"/>
      <c r="BT186" s="1114"/>
      <c r="BU186" s="176"/>
      <c r="BV186" s="176"/>
      <c r="BW186" s="176"/>
      <c r="BX186" s="119"/>
      <c r="BY186" s="195"/>
      <c r="BZ186" s="176"/>
      <c r="CA186" s="195"/>
      <c r="CB186" s="195"/>
      <c r="CC186" s="176"/>
      <c r="CD186" s="195"/>
      <c r="CE186" s="195"/>
      <c r="CF186" s="195"/>
      <c r="CG186" s="195"/>
      <c r="CH186" s="176"/>
      <c r="CI186" s="176"/>
      <c r="CJ186" s="195"/>
      <c r="CK186" s="195"/>
      <c r="CL186" s="195"/>
      <c r="CM186" s="273"/>
      <c r="CN186" s="195"/>
      <c r="CO186" s="176"/>
      <c r="CP186" s="195"/>
      <c r="CQ186" s="176"/>
      <c r="CR186" s="195"/>
      <c r="CS186" s="195"/>
      <c r="CT186" s="195"/>
      <c r="CU186" s="176"/>
      <c r="CV186" s="176"/>
      <c r="CW186" s="195"/>
      <c r="CX186" s="1114"/>
      <c r="CY186" s="176"/>
      <c r="CZ186" s="195"/>
      <c r="DA186" s="1116"/>
      <c r="DB186" s="1116"/>
      <c r="DC186" s="195"/>
    </row>
    <row r="187" spans="1:107" ht="15.75" customHeight="1" x14ac:dyDescent="0.45">
      <c r="A187" s="1534"/>
      <c r="B187" s="347">
        <v>1.4300999999999999</v>
      </c>
      <c r="C187" s="799" t="s">
        <v>88</v>
      </c>
      <c r="D187" s="808" t="s">
        <v>133</v>
      </c>
      <c r="E187" s="308" t="s">
        <v>39</v>
      </c>
      <c r="F187" s="320" t="s">
        <v>67</v>
      </c>
      <c r="G187" s="323">
        <f t="shared" si="111"/>
        <v>1225.7706952000003</v>
      </c>
      <c r="H187" s="87">
        <v>957</v>
      </c>
      <c r="I187" s="175">
        <f t="shared" si="94"/>
        <v>0.78073330007604158</v>
      </c>
      <c r="J187" s="362" t="s">
        <v>41</v>
      </c>
      <c r="K187" s="356" t="s">
        <v>41</v>
      </c>
      <c r="L187" s="362">
        <v>503</v>
      </c>
      <c r="M187" s="362">
        <v>961</v>
      </c>
      <c r="N187" s="179" t="s">
        <v>41</v>
      </c>
      <c r="O187" s="179" t="s">
        <v>41</v>
      </c>
      <c r="P187" s="169">
        <f t="shared" si="97"/>
        <v>2023.1251999999999</v>
      </c>
      <c r="Q187" s="165">
        <f t="shared" si="108"/>
        <v>1765.8435999999999</v>
      </c>
      <c r="R187" s="362">
        <v>200000</v>
      </c>
      <c r="S187" s="368">
        <v>777</v>
      </c>
      <c r="T187" s="360" t="s">
        <v>41</v>
      </c>
      <c r="U187" s="165">
        <f t="shared" si="112"/>
        <v>267.87480000000016</v>
      </c>
      <c r="V187" s="173">
        <f t="shared" si="99"/>
        <v>525.15640000000008</v>
      </c>
      <c r="W187" s="356">
        <v>200000</v>
      </c>
      <c r="X187" s="500">
        <f>((L187*P187)+(S187*U187))/(P187+U187)</f>
        <v>535.03740515058939</v>
      </c>
      <c r="Y187" s="356">
        <v>200000</v>
      </c>
      <c r="Z187" s="500">
        <f>X187/Y187</f>
        <v>2.675187025752947E-3</v>
      </c>
      <c r="AA187" s="534">
        <f t="shared" si="101"/>
        <v>961</v>
      </c>
      <c r="AB187" s="354"/>
      <c r="AC187" s="4">
        <v>600</v>
      </c>
      <c r="AD187" s="56">
        <v>196.2</v>
      </c>
      <c r="AE187" s="76">
        <v>108.5</v>
      </c>
      <c r="AF187" s="70">
        <v>4.01</v>
      </c>
      <c r="AG187" s="184">
        <v>9.1</v>
      </c>
      <c r="AH187" s="76">
        <v>13</v>
      </c>
      <c r="AI187" s="56">
        <v>2291</v>
      </c>
      <c r="AJ187" s="182">
        <f t="shared" si="107"/>
        <v>267.87480000000016</v>
      </c>
      <c r="AK187" s="283">
        <v>503</v>
      </c>
      <c r="AL187" s="119">
        <v>200000</v>
      </c>
      <c r="AM187" s="195">
        <f>AK187/AL187</f>
        <v>2.5149999999999999E-3</v>
      </c>
      <c r="AN187" s="317">
        <f t="shared" si="105"/>
        <v>961</v>
      </c>
      <c r="AO187" s="1128"/>
      <c r="AP187" s="195"/>
      <c r="AQ187" s="195"/>
      <c r="AR187" s="195"/>
      <c r="AS187" s="195"/>
      <c r="AT187" s="195"/>
      <c r="AU187" s="195"/>
      <c r="AV187" s="195"/>
      <c r="AW187" s="195"/>
      <c r="AX187" s="195"/>
      <c r="AY187" s="195"/>
      <c r="AZ187" s="1116"/>
      <c r="BA187" s="1114"/>
      <c r="BB187" s="195"/>
      <c r="BC187" s="1114"/>
      <c r="BD187" s="1114"/>
      <c r="BE187" s="195"/>
      <c r="BF187" s="1114"/>
      <c r="BG187" s="1114"/>
      <c r="BH187" s="1114"/>
      <c r="BI187" s="1114"/>
      <c r="BJ187" s="195"/>
      <c r="BK187" s="195"/>
      <c r="BL187" s="195"/>
      <c r="BM187" s="1114"/>
      <c r="BN187" s="195"/>
      <c r="BO187" s="1114"/>
      <c r="BP187" s="1114"/>
      <c r="BQ187" s="195"/>
      <c r="BR187" s="195"/>
      <c r="BS187" s="195"/>
      <c r="BT187" s="1114"/>
      <c r="BU187" s="176"/>
      <c r="BV187" s="176"/>
      <c r="BW187" s="176"/>
      <c r="BX187" s="1115"/>
      <c r="BY187" s="195"/>
      <c r="BZ187" s="176"/>
      <c r="CA187" s="195"/>
      <c r="CB187" s="195"/>
      <c r="CC187" s="176"/>
      <c r="CD187" s="195"/>
      <c r="CE187" s="195"/>
      <c r="CF187" s="195"/>
      <c r="CG187" s="195"/>
      <c r="CH187" s="176"/>
      <c r="CI187" s="176"/>
      <c r="CJ187" s="195"/>
      <c r="CK187" s="195"/>
      <c r="CL187" s="195"/>
      <c r="CM187" s="273"/>
      <c r="CN187" s="195"/>
      <c r="CO187" s="176"/>
      <c r="CP187" s="195"/>
      <c r="CQ187" s="176"/>
      <c r="CR187" s="195"/>
      <c r="CS187" s="195"/>
      <c r="CT187" s="195"/>
      <c r="CU187" s="176"/>
      <c r="CV187" s="176"/>
      <c r="CW187" s="195"/>
      <c r="CX187" s="1114"/>
      <c r="CY187" s="176"/>
      <c r="CZ187" s="195"/>
      <c r="DA187" s="1116"/>
      <c r="DB187" s="1116"/>
      <c r="DC187" s="195"/>
    </row>
    <row r="188" spans="1:107" ht="14.25" customHeight="1" x14ac:dyDescent="0.45">
      <c r="A188" s="1532" t="s">
        <v>134</v>
      </c>
      <c r="B188" s="1538" t="s">
        <v>135</v>
      </c>
      <c r="C188" s="473" t="s">
        <v>88</v>
      </c>
      <c r="D188" s="807" t="s">
        <v>136</v>
      </c>
      <c r="E188" s="307" t="s">
        <v>39</v>
      </c>
      <c r="F188" s="321" t="s">
        <v>67</v>
      </c>
      <c r="G188" s="322">
        <f t="shared" si="111"/>
        <v>230.356779488</v>
      </c>
      <c r="H188" s="86">
        <v>187.8</v>
      </c>
      <c r="I188" s="168">
        <f t="shared" si="94"/>
        <v>0.81525709995343587</v>
      </c>
      <c r="J188" s="159" t="s">
        <v>41</v>
      </c>
      <c r="K188" s="170" t="s">
        <v>41</v>
      </c>
      <c r="L188" s="159">
        <v>350</v>
      </c>
      <c r="M188" s="159">
        <v>649</v>
      </c>
      <c r="N188" s="165" t="s">
        <v>41</v>
      </c>
      <c r="O188" s="165" t="s">
        <v>41</v>
      </c>
      <c r="P188" s="169">
        <f t="shared" si="97"/>
        <v>547.85919999999999</v>
      </c>
      <c r="Q188" s="165">
        <f>P188-8*(2*AF188*AF188)</f>
        <v>486.39359999999999</v>
      </c>
      <c r="R188" s="170">
        <v>198000</v>
      </c>
      <c r="S188" s="159" t="s">
        <v>41</v>
      </c>
      <c r="T188" s="159">
        <f t="shared" ref="T188:T199" si="113">0.83*M188</f>
        <v>538.66999999999996</v>
      </c>
      <c r="U188" s="165">
        <f t="shared" si="112"/>
        <v>50.140800000000056</v>
      </c>
      <c r="V188" s="165">
        <f t="shared" si="99"/>
        <v>111.60640000000005</v>
      </c>
      <c r="W188" s="159">
        <v>198000</v>
      </c>
      <c r="X188" s="537">
        <f>((L188*Q188)+(T188*V188))/(Q188+V188)</f>
        <v>385.21200583277596</v>
      </c>
      <c r="Y188" s="159">
        <v>198000</v>
      </c>
      <c r="Z188" s="537">
        <f>X188/Y188</f>
        <v>1.945515180973616E-3</v>
      </c>
      <c r="AA188" s="463">
        <f t="shared" si="101"/>
        <v>649</v>
      </c>
      <c r="AB188" s="205"/>
      <c r="AC188" s="2">
        <v>358.5</v>
      </c>
      <c r="AD188" s="52">
        <v>120</v>
      </c>
      <c r="AE188" s="64">
        <v>40</v>
      </c>
      <c r="AF188" s="119">
        <v>1.96</v>
      </c>
      <c r="AG188" s="24">
        <v>3.1</v>
      </c>
      <c r="AH188" s="273">
        <f>AF188+AG188</f>
        <v>5.0600000000000005</v>
      </c>
      <c r="AI188" s="52">
        <v>598</v>
      </c>
      <c r="AJ188" s="175">
        <f t="shared" si="107"/>
        <v>50.140800000000056</v>
      </c>
      <c r="AK188" s="284">
        <v>350</v>
      </c>
      <c r="AL188" s="115">
        <v>198000</v>
      </c>
      <c r="AM188" s="218">
        <f>AK188/AL188</f>
        <v>1.7676767676767678E-3</v>
      </c>
      <c r="AN188" s="316">
        <f t="shared" si="105"/>
        <v>649</v>
      </c>
      <c r="AO188" s="205"/>
      <c r="AP188" s="195"/>
      <c r="AQ188" s="195"/>
      <c r="AR188" s="195"/>
      <c r="AS188" s="195"/>
      <c r="AT188" s="195"/>
      <c r="AU188" s="195"/>
      <c r="AV188" s="195"/>
      <c r="AW188" s="195"/>
      <c r="AX188" s="195"/>
      <c r="AY188" s="195"/>
      <c r="AZ188" s="1116"/>
      <c r="BA188" s="1114"/>
      <c r="BB188" s="195"/>
      <c r="BC188" s="1114"/>
      <c r="BD188" s="1114"/>
      <c r="BE188" s="195"/>
      <c r="BF188" s="1114"/>
      <c r="BG188" s="1114"/>
      <c r="BH188" s="1114"/>
      <c r="BI188" s="1114"/>
      <c r="BJ188" s="195"/>
      <c r="BK188" s="195"/>
      <c r="BL188" s="195"/>
      <c r="BM188" s="1114"/>
      <c r="BN188" s="195"/>
      <c r="BO188" s="1114"/>
      <c r="BP188" s="1114"/>
      <c r="BQ188" s="195"/>
      <c r="BR188" s="195"/>
      <c r="BS188" s="195"/>
      <c r="BT188" s="1114"/>
      <c r="BU188" s="176"/>
      <c r="BV188" s="176"/>
      <c r="BW188" s="176"/>
      <c r="BX188" s="1115"/>
      <c r="BY188" s="195"/>
      <c r="BZ188" s="176"/>
      <c r="CA188" s="195"/>
      <c r="CB188" s="195"/>
      <c r="CC188" s="176"/>
      <c r="CD188" s="195"/>
      <c r="CE188" s="195"/>
      <c r="CF188" s="195"/>
      <c r="CG188" s="195"/>
      <c r="CH188" s="176"/>
      <c r="CI188" s="176"/>
      <c r="CJ188" s="195"/>
      <c r="CK188" s="195"/>
      <c r="CL188" s="195"/>
      <c r="CM188" s="273"/>
      <c r="CN188" s="195"/>
      <c r="CO188" s="176"/>
      <c r="CP188" s="195"/>
      <c r="CQ188" s="176"/>
      <c r="CR188" s="195"/>
      <c r="CS188" s="195"/>
      <c r="CT188" s="195"/>
      <c r="CU188" s="176"/>
      <c r="CV188" s="176"/>
      <c r="CW188" s="195"/>
      <c r="CX188" s="1114"/>
      <c r="CY188" s="176"/>
      <c r="CZ188" s="195"/>
      <c r="DA188" s="1116"/>
      <c r="DB188" s="1116"/>
      <c r="DC188" s="195"/>
    </row>
    <row r="189" spans="1:107" ht="15.75" customHeight="1" x14ac:dyDescent="0.45">
      <c r="A189" s="1533"/>
      <c r="B189" s="1538"/>
      <c r="C189" s="473" t="s">
        <v>88</v>
      </c>
      <c r="D189" s="807" t="s">
        <v>136</v>
      </c>
      <c r="E189" s="307" t="s">
        <v>39</v>
      </c>
      <c r="F189" s="321" t="s">
        <v>67</v>
      </c>
      <c r="G189" s="323">
        <f t="shared" si="111"/>
        <v>227.18985407200003</v>
      </c>
      <c r="H189" s="87">
        <v>184.7</v>
      </c>
      <c r="I189" s="175">
        <f t="shared" si="94"/>
        <v>0.81297644542465197</v>
      </c>
      <c r="J189" s="360" t="s">
        <v>41</v>
      </c>
      <c r="K189" s="156" t="s">
        <v>41</v>
      </c>
      <c r="L189" s="328">
        <v>350</v>
      </c>
      <c r="M189" s="328">
        <v>649</v>
      </c>
      <c r="N189" s="173" t="s">
        <v>41</v>
      </c>
      <c r="O189" s="173" t="s">
        <v>41</v>
      </c>
      <c r="P189" s="162">
        <f t="shared" si="97"/>
        <v>539.93679999999995</v>
      </c>
      <c r="Q189" s="173">
        <f t="shared" si="108"/>
        <v>480.33839999999998</v>
      </c>
      <c r="R189" s="361">
        <v>198000</v>
      </c>
      <c r="S189" s="157" t="s">
        <v>41</v>
      </c>
      <c r="T189" s="360">
        <f t="shared" si="113"/>
        <v>538.66999999999996</v>
      </c>
      <c r="U189" s="173">
        <f t="shared" si="112"/>
        <v>50.063200000000066</v>
      </c>
      <c r="V189" s="173">
        <f t="shared" si="99"/>
        <v>109.66160000000006</v>
      </c>
      <c r="W189" s="360">
        <v>198000</v>
      </c>
      <c r="X189" s="500">
        <f>((L189*Q189)+(T189*V189))/(Q189+V189)</f>
        <v>385.06754927457632</v>
      </c>
      <c r="Y189" s="360">
        <v>198000</v>
      </c>
      <c r="Z189" s="500">
        <f t="shared" ref="Z189:Z195" si="114">X189/Y189</f>
        <v>1.9447856023968502E-3</v>
      </c>
      <c r="AA189" s="463">
        <f t="shared" si="101"/>
        <v>649</v>
      </c>
      <c r="AB189" s="367"/>
      <c r="AC189" s="2">
        <v>358.5</v>
      </c>
      <c r="AD189" s="52">
        <v>120</v>
      </c>
      <c r="AE189" s="64">
        <v>40</v>
      </c>
      <c r="AF189" s="119">
        <v>1.93</v>
      </c>
      <c r="AG189" s="24">
        <v>3.1</v>
      </c>
      <c r="AH189" s="273">
        <f>AG189+AF189</f>
        <v>5.03</v>
      </c>
      <c r="AI189" s="52">
        <v>590</v>
      </c>
      <c r="AJ189" s="175">
        <f t="shared" si="107"/>
        <v>50.063200000000066</v>
      </c>
      <c r="AK189" s="283">
        <v>350</v>
      </c>
      <c r="AL189" s="114">
        <v>198000</v>
      </c>
      <c r="AM189" s="195">
        <f>AK189/AL189</f>
        <v>1.7676767676767678E-3</v>
      </c>
      <c r="AN189" s="316">
        <f t="shared" si="105"/>
        <v>649</v>
      </c>
      <c r="AO189" s="1128"/>
      <c r="AP189" s="195"/>
      <c r="AQ189" s="195"/>
      <c r="AR189" s="195"/>
      <c r="AS189" s="195"/>
      <c r="AT189" s="195"/>
      <c r="AU189" s="195"/>
      <c r="AV189" s="195"/>
      <c r="AW189" s="195"/>
      <c r="AX189" s="195"/>
      <c r="AY189" s="195"/>
      <c r="AZ189" s="1116"/>
      <c r="BA189" s="1114"/>
      <c r="BB189" s="195"/>
      <c r="BC189" s="1114"/>
      <c r="BD189" s="1114"/>
      <c r="BE189" s="195"/>
      <c r="BF189" s="1114"/>
      <c r="BG189" s="1114"/>
      <c r="BH189" s="1114"/>
      <c r="BI189" s="1114"/>
      <c r="BJ189" s="195"/>
      <c r="BK189" s="195"/>
      <c r="BL189" s="195"/>
      <c r="BM189" s="1114"/>
      <c r="BN189" s="195"/>
      <c r="BO189" s="1114"/>
      <c r="BP189" s="1114"/>
      <c r="BQ189" s="195"/>
      <c r="BR189" s="195"/>
      <c r="BS189" s="195"/>
      <c r="BT189" s="1114"/>
      <c r="BU189" s="176"/>
      <c r="BV189" s="176"/>
      <c r="BW189" s="176"/>
      <c r="BX189" s="1115"/>
      <c r="BY189" s="195"/>
      <c r="BZ189" s="176"/>
      <c r="CA189" s="195"/>
      <c r="CB189" s="195"/>
      <c r="CC189" s="176"/>
      <c r="CD189" s="195"/>
      <c r="CE189" s="195"/>
      <c r="CF189" s="195"/>
      <c r="CG189" s="195"/>
      <c r="CH189" s="176"/>
      <c r="CI189" s="176"/>
      <c r="CJ189" s="195"/>
      <c r="CK189" s="195"/>
      <c r="CL189" s="195"/>
      <c r="CM189" s="273"/>
      <c r="CN189" s="195"/>
      <c r="CO189" s="176"/>
      <c r="CP189" s="195"/>
      <c r="CQ189" s="176"/>
      <c r="CR189" s="195"/>
      <c r="CS189" s="195"/>
      <c r="CT189" s="195"/>
      <c r="CU189" s="176"/>
      <c r="CV189" s="176"/>
      <c r="CW189" s="195"/>
      <c r="CX189" s="1114"/>
      <c r="CY189" s="176"/>
      <c r="CZ189" s="195"/>
      <c r="DA189" s="1116"/>
      <c r="DB189" s="1116"/>
      <c r="DC189" s="195"/>
    </row>
    <row r="190" spans="1:107" ht="17.25" customHeight="1" x14ac:dyDescent="0.45">
      <c r="A190" s="1533"/>
      <c r="B190" s="1538"/>
      <c r="C190" s="473" t="s">
        <v>88</v>
      </c>
      <c r="D190" s="807" t="s">
        <v>137</v>
      </c>
      <c r="E190" s="307" t="s">
        <v>39</v>
      </c>
      <c r="F190" s="321" t="s">
        <v>67</v>
      </c>
      <c r="G190" s="323">
        <f t="shared" si="111"/>
        <v>736.24673280000002</v>
      </c>
      <c r="H190" s="87">
        <v>969.8</v>
      </c>
      <c r="I190" s="175">
        <f t="shared" si="94"/>
        <v>1.3172214650267851</v>
      </c>
      <c r="J190" s="360" t="s">
        <v>41</v>
      </c>
      <c r="K190" s="156" t="s">
        <v>41</v>
      </c>
      <c r="L190" s="328">
        <v>424</v>
      </c>
      <c r="M190" s="328">
        <v>676</v>
      </c>
      <c r="N190" s="173" t="s">
        <v>41</v>
      </c>
      <c r="O190" s="173" t="s">
        <v>41</v>
      </c>
      <c r="P190" s="162">
        <f t="shared" si="97"/>
        <v>1312.28</v>
      </c>
      <c r="Q190" s="173">
        <f t="shared" si="108"/>
        <v>862.83999999999992</v>
      </c>
      <c r="R190" s="361">
        <v>194000</v>
      </c>
      <c r="S190" s="157" t="s">
        <v>41</v>
      </c>
      <c r="T190" s="360">
        <f t="shared" si="113"/>
        <v>561.07999999999993</v>
      </c>
      <c r="U190" s="173">
        <f t="shared" si="112"/>
        <v>210.72000000000008</v>
      </c>
      <c r="V190" s="173">
        <f t="shared" si="99"/>
        <v>660.16000000000008</v>
      </c>
      <c r="W190" s="360">
        <v>194000</v>
      </c>
      <c r="X190" s="500">
        <f t="shared" ref="X190:X196" si="115">((L190*Q190)+(T190*V190))/(Q190+V190)</f>
        <v>483.4187346027577</v>
      </c>
      <c r="Y190" s="360">
        <v>194000</v>
      </c>
      <c r="Z190" s="500">
        <f t="shared" si="114"/>
        <v>2.4918491474368951E-3</v>
      </c>
      <c r="AA190" s="463">
        <f t="shared" si="101"/>
        <v>676</v>
      </c>
      <c r="AB190" s="367"/>
      <c r="AC190" s="2">
        <v>359</v>
      </c>
      <c r="AD190" s="52">
        <v>119.8</v>
      </c>
      <c r="AE190" s="64">
        <v>40</v>
      </c>
      <c r="AF190" s="119">
        <v>5.3</v>
      </c>
      <c r="AG190" s="24">
        <v>3.7</v>
      </c>
      <c r="AH190" s="273">
        <f t="shared" ref="AH190:AH195" si="116">AG190+AF190</f>
        <v>9</v>
      </c>
      <c r="AI190" s="52">
        <v>1523</v>
      </c>
      <c r="AJ190" s="175">
        <f t="shared" si="107"/>
        <v>210.72000000000008</v>
      </c>
      <c r="AK190" s="283">
        <v>424</v>
      </c>
      <c r="AL190" s="114">
        <v>194000</v>
      </c>
      <c r="AM190" s="195">
        <f t="shared" ref="AM190:AM195" si="117">AK190/AL190</f>
        <v>2.1855670103092784E-3</v>
      </c>
      <c r="AN190" s="316">
        <f t="shared" si="105"/>
        <v>676</v>
      </c>
      <c r="AO190" s="1128"/>
      <c r="AP190" s="195"/>
      <c r="AQ190" s="195"/>
      <c r="AR190" s="195"/>
      <c r="AS190" s="195"/>
      <c r="AT190" s="195"/>
      <c r="AU190" s="195"/>
      <c r="AV190" s="195"/>
      <c r="AW190" s="195"/>
      <c r="AX190" s="195"/>
      <c r="AY190" s="195"/>
      <c r="AZ190" s="1116"/>
      <c r="BA190" s="1114"/>
      <c r="BB190" s="195"/>
      <c r="BC190" s="1114"/>
      <c r="BD190" s="1114"/>
      <c r="BE190" s="195"/>
      <c r="BF190" s="1114"/>
      <c r="BG190" s="1114"/>
      <c r="BH190" s="1114"/>
      <c r="BI190" s="1114"/>
      <c r="BJ190" s="195"/>
      <c r="BK190" s="195"/>
      <c r="BL190" s="195"/>
      <c r="BM190" s="1114"/>
      <c r="BN190" s="195"/>
      <c r="BO190" s="1114"/>
      <c r="BP190" s="1114"/>
      <c r="BQ190" s="195"/>
      <c r="BR190" s="195"/>
      <c r="BS190" s="195"/>
      <c r="BT190" s="1114"/>
      <c r="BU190" s="176"/>
      <c r="BV190" s="176"/>
      <c r="BW190" s="176"/>
      <c r="BX190" s="1115"/>
      <c r="BY190" s="195"/>
      <c r="BZ190" s="176"/>
      <c r="CA190" s="195"/>
      <c r="CB190" s="195"/>
      <c r="CC190" s="176"/>
      <c r="CD190" s="195"/>
      <c r="CE190" s="195"/>
      <c r="CF190" s="195"/>
      <c r="CG190" s="195"/>
      <c r="CH190" s="176"/>
      <c r="CI190" s="176"/>
      <c r="CJ190" s="195"/>
      <c r="CK190" s="195"/>
      <c r="CL190" s="195"/>
      <c r="CM190" s="273"/>
      <c r="CN190" s="195"/>
      <c r="CO190" s="176"/>
      <c r="CP190" s="195"/>
      <c r="CQ190" s="176"/>
      <c r="CR190" s="195"/>
      <c r="CS190" s="195"/>
      <c r="CT190" s="195"/>
      <c r="CU190" s="176"/>
      <c r="CV190" s="176"/>
      <c r="CW190" s="195"/>
      <c r="CX190" s="1114"/>
      <c r="CY190" s="176"/>
      <c r="CZ190" s="195"/>
      <c r="DA190" s="1116"/>
      <c r="DB190" s="1116"/>
      <c r="DC190" s="195"/>
    </row>
    <row r="191" spans="1:107" ht="16.5" customHeight="1" x14ac:dyDescent="0.45">
      <c r="A191" s="1533"/>
      <c r="B191" s="1538"/>
      <c r="C191" s="473" t="s">
        <v>88</v>
      </c>
      <c r="D191" s="807" t="s">
        <v>137</v>
      </c>
      <c r="E191" s="307" t="s">
        <v>39</v>
      </c>
      <c r="F191" s="321" t="s">
        <v>67</v>
      </c>
      <c r="G191" s="323">
        <f t="shared" si="111"/>
        <v>731.76297284800012</v>
      </c>
      <c r="H191" s="87">
        <v>994.7</v>
      </c>
      <c r="I191" s="175">
        <f t="shared" si="94"/>
        <v>1.3593199395272171</v>
      </c>
      <c r="J191" s="360" t="s">
        <v>41</v>
      </c>
      <c r="K191" s="156" t="s">
        <v>41</v>
      </c>
      <c r="L191" s="328">
        <v>424</v>
      </c>
      <c r="M191" s="328">
        <v>676</v>
      </c>
      <c r="N191" s="173" t="s">
        <v>41</v>
      </c>
      <c r="O191" s="173" t="s">
        <v>41</v>
      </c>
      <c r="P191" s="162">
        <f t="shared" si="97"/>
        <v>1307.1707999999999</v>
      </c>
      <c r="Q191" s="173">
        <f t="shared" si="108"/>
        <v>862.80439999999999</v>
      </c>
      <c r="R191" s="156">
        <v>194000</v>
      </c>
      <c r="S191" s="157" t="s">
        <v>41</v>
      </c>
      <c r="T191" s="360">
        <f t="shared" si="113"/>
        <v>561.07999999999993</v>
      </c>
      <c r="U191" s="173">
        <f t="shared" si="112"/>
        <v>207.82920000000004</v>
      </c>
      <c r="V191" s="173">
        <f t="shared" si="99"/>
        <v>652.19560000000001</v>
      </c>
      <c r="W191" s="328">
        <v>194000</v>
      </c>
      <c r="X191" s="500">
        <f t="shared" si="115"/>
        <v>483.01186326600663</v>
      </c>
      <c r="Y191" s="328">
        <v>194000</v>
      </c>
      <c r="Z191" s="500">
        <f t="shared" si="114"/>
        <v>2.4897518725051889E-3</v>
      </c>
      <c r="AA191" s="463">
        <f t="shared" si="101"/>
        <v>676</v>
      </c>
      <c r="AB191" s="367"/>
      <c r="AC191" s="2">
        <v>359</v>
      </c>
      <c r="AD191" s="52">
        <v>119.8</v>
      </c>
      <c r="AE191" s="64">
        <v>40.1</v>
      </c>
      <c r="AF191" s="119">
        <v>5.27</v>
      </c>
      <c r="AG191" s="24">
        <v>3.7</v>
      </c>
      <c r="AH191" s="273">
        <f t="shared" si="116"/>
        <v>8.9699999999999989</v>
      </c>
      <c r="AI191" s="52">
        <v>1515</v>
      </c>
      <c r="AJ191" s="175">
        <f t="shared" si="107"/>
        <v>207.82920000000004</v>
      </c>
      <c r="AK191" s="283">
        <v>424</v>
      </c>
      <c r="AL191" s="114">
        <v>194000</v>
      </c>
      <c r="AM191" s="195">
        <f t="shared" si="117"/>
        <v>2.1855670103092784E-3</v>
      </c>
      <c r="AN191" s="316">
        <f t="shared" si="105"/>
        <v>676</v>
      </c>
      <c r="AO191" s="1128"/>
      <c r="AP191" s="195"/>
      <c r="AQ191" s="195"/>
      <c r="AR191" s="195"/>
      <c r="AS191" s="195"/>
      <c r="AT191" s="195"/>
      <c r="AU191" s="195"/>
      <c r="AV191" s="195"/>
      <c r="AW191" s="195"/>
      <c r="AX191" s="195"/>
      <c r="AY191" s="195"/>
      <c r="AZ191" s="1116"/>
      <c r="BA191" s="1114"/>
      <c r="BB191" s="195"/>
      <c r="BC191" s="1114"/>
      <c r="BD191" s="1114"/>
      <c r="BE191" s="195"/>
      <c r="BF191" s="1114"/>
      <c r="BG191" s="1114"/>
      <c r="BH191" s="1114"/>
      <c r="BI191" s="1114"/>
      <c r="BJ191" s="195"/>
      <c r="BK191" s="195"/>
      <c r="BL191" s="195"/>
      <c r="BM191" s="1114"/>
      <c r="BN191" s="195"/>
      <c r="BO191" s="1114"/>
      <c r="BP191" s="1114"/>
      <c r="BQ191" s="195"/>
      <c r="BR191" s="195"/>
      <c r="BS191" s="195"/>
      <c r="BT191" s="1114"/>
      <c r="BU191" s="176"/>
      <c r="BV191" s="176"/>
      <c r="BW191" s="176"/>
      <c r="BX191" s="1115"/>
      <c r="BY191" s="195"/>
      <c r="BZ191" s="176"/>
      <c r="CA191" s="195"/>
      <c r="CB191" s="195"/>
      <c r="CC191" s="176"/>
      <c r="CD191" s="195"/>
      <c r="CE191" s="195"/>
      <c r="CF191" s="195"/>
      <c r="CG191" s="195"/>
      <c r="CH191" s="176"/>
      <c r="CI191" s="176"/>
      <c r="CJ191" s="195"/>
      <c r="CK191" s="195"/>
      <c r="CL191" s="195"/>
      <c r="CM191" s="273"/>
      <c r="CN191" s="195"/>
      <c r="CO191" s="176"/>
      <c r="CP191" s="195"/>
      <c r="CQ191" s="176"/>
      <c r="CR191" s="195"/>
      <c r="CS191" s="195"/>
      <c r="CT191" s="195"/>
      <c r="CU191" s="176"/>
      <c r="CV191" s="176"/>
      <c r="CW191" s="195"/>
      <c r="CX191" s="1114"/>
      <c r="CY191" s="176"/>
      <c r="CZ191" s="195"/>
      <c r="DA191" s="1116"/>
      <c r="DB191" s="1116"/>
      <c r="DC191" s="195"/>
    </row>
    <row r="192" spans="1:107" ht="16.5" customHeight="1" x14ac:dyDescent="0.45">
      <c r="A192" s="1533"/>
      <c r="B192" s="1538"/>
      <c r="C192" s="473" t="s">
        <v>88</v>
      </c>
      <c r="D192" s="807" t="s">
        <v>176</v>
      </c>
      <c r="E192" s="307" t="s">
        <v>39</v>
      </c>
      <c r="F192" s="321" t="s">
        <v>67</v>
      </c>
      <c r="G192" s="323">
        <f t="shared" si="111"/>
        <v>424.03300454400005</v>
      </c>
      <c r="H192" s="87">
        <v>404.6</v>
      </c>
      <c r="I192" s="175">
        <f t="shared" si="94"/>
        <v>0.95417100948333478</v>
      </c>
      <c r="J192" s="360" t="s">
        <v>41</v>
      </c>
      <c r="K192" s="156" t="s">
        <v>41</v>
      </c>
      <c r="L192" s="328">
        <v>366</v>
      </c>
      <c r="M192" s="328">
        <v>648</v>
      </c>
      <c r="N192" s="173" t="s">
        <v>41</v>
      </c>
      <c r="O192" s="173" t="s">
        <v>41</v>
      </c>
      <c r="P192" s="162">
        <f t="shared" si="97"/>
        <v>961.2127999999999</v>
      </c>
      <c r="Q192" s="173">
        <f t="shared" si="108"/>
        <v>837.55839999999989</v>
      </c>
      <c r="R192" s="156">
        <v>193000</v>
      </c>
      <c r="S192" s="157" t="s">
        <v>41</v>
      </c>
      <c r="T192" s="360">
        <f t="shared" si="113"/>
        <v>537.83999999999992</v>
      </c>
      <c r="U192" s="173">
        <f t="shared" si="112"/>
        <v>94.787200000000098</v>
      </c>
      <c r="V192" s="173">
        <f t="shared" si="99"/>
        <v>218.44160000000008</v>
      </c>
      <c r="W192" s="328">
        <v>193000</v>
      </c>
      <c r="X192" s="500">
        <f t="shared" si="115"/>
        <v>401.54640581818182</v>
      </c>
      <c r="Y192" s="328">
        <v>193000</v>
      </c>
      <c r="Z192" s="500">
        <f t="shared" si="114"/>
        <v>2.0805513254828073E-3</v>
      </c>
      <c r="AA192" s="463">
        <f t="shared" si="101"/>
        <v>648</v>
      </c>
      <c r="AB192" s="367"/>
      <c r="AC192" s="2">
        <v>360</v>
      </c>
      <c r="AD192" s="52">
        <v>119.8</v>
      </c>
      <c r="AE192" s="64">
        <v>79.8</v>
      </c>
      <c r="AF192" s="119">
        <v>2.78</v>
      </c>
      <c r="AG192" s="24">
        <v>3.9</v>
      </c>
      <c r="AH192" s="273">
        <f t="shared" si="116"/>
        <v>6.68</v>
      </c>
      <c r="AI192" s="52">
        <v>1056</v>
      </c>
      <c r="AJ192" s="175">
        <f t="shared" si="107"/>
        <v>94.787200000000098</v>
      </c>
      <c r="AK192" s="283">
        <v>366</v>
      </c>
      <c r="AL192" s="114">
        <v>193000</v>
      </c>
      <c r="AM192" s="195">
        <f t="shared" si="117"/>
        <v>1.8963730569948186E-3</v>
      </c>
      <c r="AN192" s="316">
        <f t="shared" si="105"/>
        <v>648</v>
      </c>
      <c r="AO192" s="1128"/>
      <c r="AP192" s="195"/>
      <c r="AQ192" s="195"/>
      <c r="AR192" s="195"/>
      <c r="AS192" s="195"/>
      <c r="AT192" s="195"/>
      <c r="AU192" s="195"/>
      <c r="AV192" s="195"/>
      <c r="AW192" s="195"/>
      <c r="AX192" s="195"/>
      <c r="AY192" s="195"/>
      <c r="AZ192" s="1116"/>
      <c r="BA192" s="1114"/>
      <c r="BB192" s="195"/>
      <c r="BC192" s="1114"/>
      <c r="BD192" s="1114"/>
      <c r="BE192" s="195"/>
      <c r="BF192" s="1114"/>
      <c r="BG192" s="1114"/>
      <c r="BH192" s="1114"/>
      <c r="BI192" s="1114"/>
      <c r="BJ192" s="195"/>
      <c r="BK192" s="195"/>
      <c r="BL192" s="195"/>
      <c r="BM192" s="1114"/>
      <c r="BN192" s="195"/>
      <c r="BO192" s="1114"/>
      <c r="BP192" s="1114"/>
      <c r="BQ192" s="195"/>
      <c r="BR192" s="195"/>
      <c r="BS192" s="195"/>
      <c r="BT192" s="1114"/>
      <c r="BU192" s="176"/>
      <c r="BV192" s="176"/>
      <c r="BW192" s="176"/>
      <c r="BX192" s="1115"/>
      <c r="BY192" s="195"/>
      <c r="BZ192" s="176"/>
      <c r="CA192" s="195"/>
      <c r="CB192" s="195"/>
      <c r="CC192" s="176"/>
      <c r="CD192" s="195"/>
      <c r="CE192" s="195"/>
      <c r="CF192" s="195"/>
      <c r="CG192" s="195"/>
      <c r="CH192" s="176"/>
      <c r="CI192" s="176"/>
      <c r="CJ192" s="195"/>
      <c r="CK192" s="195"/>
      <c r="CL192" s="195"/>
      <c r="CM192" s="273"/>
      <c r="CN192" s="195"/>
      <c r="CO192" s="176"/>
      <c r="CP192" s="195"/>
      <c r="CQ192" s="176"/>
      <c r="CR192" s="195"/>
      <c r="CS192" s="195"/>
      <c r="CT192" s="195"/>
      <c r="CU192" s="176"/>
      <c r="CV192" s="176"/>
      <c r="CW192" s="195"/>
      <c r="CX192" s="1114"/>
      <c r="CY192" s="176"/>
      <c r="CZ192" s="195"/>
      <c r="DA192" s="1116"/>
      <c r="DB192" s="1116"/>
      <c r="DC192" s="195"/>
    </row>
    <row r="193" spans="1:131" ht="16.5" customHeight="1" x14ac:dyDescent="0.45">
      <c r="A193" s="1533"/>
      <c r="B193" s="1538"/>
      <c r="C193" s="473" t="s">
        <v>88</v>
      </c>
      <c r="D193" s="807" t="s">
        <v>177</v>
      </c>
      <c r="E193" s="307" t="s">
        <v>39</v>
      </c>
      <c r="F193" s="321" t="s">
        <v>67</v>
      </c>
      <c r="G193" s="323">
        <f t="shared" si="111"/>
        <v>427.81961625599996</v>
      </c>
      <c r="H193" s="87">
        <v>413.1</v>
      </c>
      <c r="I193" s="175">
        <f t="shared" si="94"/>
        <v>0.96559387251847761</v>
      </c>
      <c r="J193" s="360" t="s">
        <v>41</v>
      </c>
      <c r="K193" s="156" t="s">
        <v>41</v>
      </c>
      <c r="L193" s="328">
        <v>366</v>
      </c>
      <c r="M193" s="328">
        <v>648</v>
      </c>
      <c r="N193" s="173" t="s">
        <v>41</v>
      </c>
      <c r="O193" s="173" t="s">
        <v>41</v>
      </c>
      <c r="P193" s="162">
        <f t="shared" si="97"/>
        <v>973.15920000000006</v>
      </c>
      <c r="Q193" s="173">
        <f t="shared" si="108"/>
        <v>846.82159999999999</v>
      </c>
      <c r="R193" s="156">
        <v>193000</v>
      </c>
      <c r="S193" s="157" t="s">
        <v>41</v>
      </c>
      <c r="T193" s="360">
        <f t="shared" si="113"/>
        <v>537.83999999999992</v>
      </c>
      <c r="U193" s="173">
        <f t="shared" si="112"/>
        <v>92.840799999999945</v>
      </c>
      <c r="V193" s="173">
        <f t="shared" si="99"/>
        <v>219.17839999999995</v>
      </c>
      <c r="W193" s="328">
        <v>193000</v>
      </c>
      <c r="X193" s="500">
        <f t="shared" si="115"/>
        <v>401.33172256660407</v>
      </c>
      <c r="Y193" s="328">
        <v>193000</v>
      </c>
      <c r="Z193" s="500">
        <f t="shared" si="114"/>
        <v>2.0794389770290365E-3</v>
      </c>
      <c r="AA193" s="463">
        <f t="shared" si="101"/>
        <v>648</v>
      </c>
      <c r="AB193" s="367"/>
      <c r="AC193" s="2">
        <v>359.5</v>
      </c>
      <c r="AD193" s="52">
        <v>120.1</v>
      </c>
      <c r="AE193" s="64">
        <v>79.900000000000006</v>
      </c>
      <c r="AF193" s="119">
        <v>2.81</v>
      </c>
      <c r="AG193" s="24">
        <v>3.9</v>
      </c>
      <c r="AH193" s="273">
        <f t="shared" si="116"/>
        <v>6.71</v>
      </c>
      <c r="AI193" s="52">
        <v>1066</v>
      </c>
      <c r="AJ193" s="175">
        <f t="shared" si="107"/>
        <v>92.840799999999945</v>
      </c>
      <c r="AK193" s="283">
        <v>366</v>
      </c>
      <c r="AL193" s="114">
        <v>193000</v>
      </c>
      <c r="AM193" s="195">
        <f t="shared" si="117"/>
        <v>1.8963730569948186E-3</v>
      </c>
      <c r="AN193" s="316">
        <f t="shared" si="105"/>
        <v>648</v>
      </c>
      <c r="AO193" s="1128"/>
      <c r="AP193" s="195"/>
      <c r="AQ193" s="195"/>
      <c r="AR193" s="195"/>
      <c r="AS193" s="195"/>
      <c r="AT193" s="195"/>
      <c r="AU193" s="195"/>
      <c r="AV193" s="195"/>
      <c r="AW193" s="195"/>
      <c r="AX193" s="195"/>
      <c r="AY193" s="195"/>
      <c r="AZ193" s="1116"/>
      <c r="BA193" s="1114"/>
      <c r="BB193" s="195"/>
      <c r="BC193" s="1114"/>
      <c r="BD193" s="1114"/>
      <c r="BE193" s="195"/>
      <c r="BF193" s="1114"/>
      <c r="BG193" s="1114"/>
      <c r="BH193" s="1114"/>
      <c r="BI193" s="1114"/>
      <c r="BJ193" s="195"/>
      <c r="BK193" s="195"/>
      <c r="BL193" s="195"/>
      <c r="BM193" s="1114"/>
      <c r="BN193" s="195"/>
      <c r="BO193" s="1114"/>
      <c r="BP193" s="1114"/>
      <c r="BQ193" s="195"/>
      <c r="BR193" s="195"/>
      <c r="BS193" s="195"/>
      <c r="BT193" s="1114"/>
      <c r="BU193" s="176"/>
      <c r="BV193" s="176"/>
      <c r="BW193" s="176"/>
      <c r="BX193" s="1115"/>
      <c r="BY193" s="195"/>
      <c r="BZ193" s="176"/>
      <c r="CA193" s="195"/>
      <c r="CB193" s="195"/>
      <c r="CC193" s="176"/>
      <c r="CD193" s="195"/>
      <c r="CE193" s="195"/>
      <c r="CF193" s="195"/>
      <c r="CG193" s="195"/>
      <c r="CH193" s="176"/>
      <c r="CI193" s="176"/>
      <c r="CJ193" s="195"/>
      <c r="CK193" s="195"/>
      <c r="CL193" s="195"/>
      <c r="CM193" s="273"/>
      <c r="CN193" s="195"/>
      <c r="CO193" s="176"/>
      <c r="CP193" s="195"/>
      <c r="CQ193" s="176"/>
      <c r="CR193" s="195"/>
      <c r="CS193" s="195"/>
      <c r="CT193" s="195"/>
      <c r="CU193" s="176"/>
      <c r="CV193" s="176"/>
      <c r="CW193" s="195"/>
      <c r="CX193" s="1114"/>
      <c r="CY193" s="176"/>
      <c r="CZ193" s="195"/>
      <c r="DA193" s="1116"/>
      <c r="DB193" s="1116"/>
      <c r="DC193" s="195"/>
    </row>
    <row r="194" spans="1:131" ht="15.75" customHeight="1" x14ac:dyDescent="0.45">
      <c r="A194" s="1533"/>
      <c r="B194" s="1538"/>
      <c r="C194" s="473" t="s">
        <v>88</v>
      </c>
      <c r="D194" s="807" t="s">
        <v>138</v>
      </c>
      <c r="E194" s="307" t="s">
        <v>39</v>
      </c>
      <c r="F194" s="321" t="s">
        <v>67</v>
      </c>
      <c r="G194" s="323">
        <f t="shared" si="111"/>
        <v>1067.8226923040002</v>
      </c>
      <c r="H194" s="87">
        <v>1414.1</v>
      </c>
      <c r="I194" s="175">
        <f t="shared" si="94"/>
        <v>1.3242835258996515</v>
      </c>
      <c r="J194" s="360" t="s">
        <v>41</v>
      </c>
      <c r="K194" s="156" t="s">
        <v>41</v>
      </c>
      <c r="L194" s="328">
        <v>443</v>
      </c>
      <c r="M194" s="328">
        <v>678</v>
      </c>
      <c r="N194" s="173" t="s">
        <v>41</v>
      </c>
      <c r="O194" s="173" t="s">
        <v>41</v>
      </c>
      <c r="P194" s="162">
        <f t="shared" si="97"/>
        <v>1800.9368000000004</v>
      </c>
      <c r="Q194" s="173">
        <f t="shared" si="108"/>
        <v>1228.7704000000003</v>
      </c>
      <c r="R194" s="156">
        <v>194000</v>
      </c>
      <c r="S194" s="157" t="s">
        <v>41</v>
      </c>
      <c r="T194" s="360">
        <f t="shared" si="113"/>
        <v>562.74</v>
      </c>
      <c r="U194" s="173">
        <f t="shared" si="112"/>
        <v>358.06319999999971</v>
      </c>
      <c r="V194" s="173">
        <f t="shared" si="99"/>
        <v>930.22959999999978</v>
      </c>
      <c r="W194" s="328">
        <v>194000</v>
      </c>
      <c r="X194" s="500">
        <f t="shared" si="115"/>
        <v>494.59133501806394</v>
      </c>
      <c r="Y194" s="328">
        <v>194000</v>
      </c>
      <c r="Z194" s="500">
        <f t="shared" si="114"/>
        <v>2.5494398712271335E-3</v>
      </c>
      <c r="AA194" s="463">
        <f t="shared" si="101"/>
        <v>678</v>
      </c>
      <c r="AB194" s="367"/>
      <c r="AC194" s="2">
        <v>360</v>
      </c>
      <c r="AD194" s="52">
        <v>120.2</v>
      </c>
      <c r="AE194" s="64">
        <v>80.3</v>
      </c>
      <c r="AF194" s="119">
        <v>5.98</v>
      </c>
      <c r="AG194" s="24">
        <v>6.5</v>
      </c>
      <c r="AH194" s="273">
        <f t="shared" si="116"/>
        <v>12.48</v>
      </c>
      <c r="AI194" s="52">
        <v>2159</v>
      </c>
      <c r="AJ194" s="175">
        <f t="shared" si="107"/>
        <v>358.06319999999971</v>
      </c>
      <c r="AK194" s="283">
        <v>443</v>
      </c>
      <c r="AL194" s="114">
        <v>194000</v>
      </c>
      <c r="AM194" s="195">
        <f t="shared" si="117"/>
        <v>2.2835051546391751E-3</v>
      </c>
      <c r="AN194" s="316">
        <f t="shared" si="105"/>
        <v>678</v>
      </c>
      <c r="AO194" s="1128"/>
      <c r="AP194" s="195"/>
      <c r="AQ194" s="195"/>
      <c r="AR194" s="195"/>
      <c r="AS194" s="195"/>
      <c r="AT194" s="195"/>
      <c r="AU194" s="195"/>
      <c r="AV194" s="195"/>
      <c r="AW194" s="195"/>
      <c r="AX194" s="195"/>
      <c r="AY194" s="195"/>
      <c r="AZ194" s="1116"/>
      <c r="BA194" s="1114"/>
      <c r="BB194" s="195"/>
      <c r="BC194" s="1114"/>
      <c r="BD194" s="1114"/>
      <c r="BE194" s="195"/>
      <c r="BF194" s="1114"/>
      <c r="BG194" s="1114"/>
      <c r="BH194" s="1114"/>
      <c r="BI194" s="1114"/>
      <c r="BJ194" s="195"/>
      <c r="BK194" s="195"/>
      <c r="BL194" s="195"/>
      <c r="BM194" s="1114"/>
      <c r="BN194" s="195"/>
      <c r="BO194" s="1114"/>
      <c r="BP194" s="1114"/>
      <c r="BQ194" s="195"/>
      <c r="BR194" s="195"/>
      <c r="BS194" s="195"/>
      <c r="BT194" s="1114"/>
      <c r="BU194" s="176"/>
      <c r="BV194" s="176"/>
      <c r="BW194" s="176"/>
      <c r="BX194" s="1115"/>
      <c r="BY194" s="195"/>
      <c r="BZ194" s="176"/>
      <c r="CA194" s="195"/>
      <c r="CB194" s="195"/>
      <c r="CC194" s="176"/>
      <c r="CD194" s="195"/>
      <c r="CE194" s="195"/>
      <c r="CF194" s="195"/>
      <c r="CG194" s="195"/>
      <c r="CH194" s="176"/>
      <c r="CI194" s="176"/>
      <c r="CJ194" s="195"/>
      <c r="CK194" s="195"/>
      <c r="CL194" s="195"/>
      <c r="CM194" s="273"/>
      <c r="CN194" s="195"/>
      <c r="CO194" s="176"/>
      <c r="CP194" s="195"/>
      <c r="CQ194" s="176"/>
      <c r="CR194" s="195"/>
      <c r="CS194" s="195"/>
      <c r="CT194" s="195"/>
      <c r="CU194" s="176"/>
      <c r="CV194" s="176"/>
      <c r="CW194" s="195"/>
      <c r="CX194" s="1114"/>
      <c r="CY194" s="176"/>
      <c r="CZ194" s="195"/>
      <c r="DA194" s="1116"/>
      <c r="DB194" s="1116"/>
      <c r="DC194" s="195"/>
    </row>
    <row r="195" spans="1:131" ht="16.5" customHeight="1" x14ac:dyDescent="0.45">
      <c r="A195" s="1534"/>
      <c r="B195" s="1539"/>
      <c r="C195" s="799" t="s">
        <v>88</v>
      </c>
      <c r="D195" s="808" t="s">
        <v>138</v>
      </c>
      <c r="E195" s="307" t="s">
        <v>39</v>
      </c>
      <c r="F195" s="321" t="s">
        <v>67</v>
      </c>
      <c r="G195" s="324">
        <f t="shared" si="111"/>
        <v>1074.918948624</v>
      </c>
      <c r="H195" s="88">
        <v>1387.8</v>
      </c>
      <c r="I195" s="182">
        <f t="shared" si="94"/>
        <v>1.2910740868197719</v>
      </c>
      <c r="J195" s="362" t="s">
        <v>41</v>
      </c>
      <c r="K195" s="356" t="s">
        <v>41</v>
      </c>
      <c r="L195" s="362">
        <v>443</v>
      </c>
      <c r="M195" s="362">
        <v>678</v>
      </c>
      <c r="N195" s="179" t="s">
        <v>41</v>
      </c>
      <c r="O195" s="179" t="s">
        <v>41</v>
      </c>
      <c r="P195" s="162">
        <f t="shared" si="97"/>
        <v>1812.3768</v>
      </c>
      <c r="Q195" s="173">
        <f>P195-8*(2*AF195*AF195)</f>
        <v>1230.6024</v>
      </c>
      <c r="R195" s="356">
        <v>194000</v>
      </c>
      <c r="S195" s="362" t="s">
        <v>41</v>
      </c>
      <c r="T195" s="362">
        <f t="shared" si="113"/>
        <v>562.74</v>
      </c>
      <c r="U195" s="173">
        <f t="shared" si="112"/>
        <v>359.62319999999988</v>
      </c>
      <c r="V195" s="173">
        <f t="shared" si="99"/>
        <v>941.3975999999999</v>
      </c>
      <c r="W195" s="362">
        <v>194000</v>
      </c>
      <c r="X195" s="500">
        <f t="shared" si="115"/>
        <v>494.89822680662979</v>
      </c>
      <c r="Y195" s="362">
        <v>194000</v>
      </c>
      <c r="Z195" s="500">
        <f t="shared" si="114"/>
        <v>2.5510217876630404E-3</v>
      </c>
      <c r="AA195" s="471">
        <f t="shared" si="101"/>
        <v>678</v>
      </c>
      <c r="AB195" s="354"/>
      <c r="AC195" s="4">
        <v>359</v>
      </c>
      <c r="AD195" s="56">
        <v>119.9</v>
      </c>
      <c r="AE195" s="76">
        <v>80.5</v>
      </c>
      <c r="AF195" s="70">
        <v>6.03</v>
      </c>
      <c r="AG195" s="27">
        <v>6.5</v>
      </c>
      <c r="AH195" s="273">
        <f t="shared" si="116"/>
        <v>12.530000000000001</v>
      </c>
      <c r="AI195" s="52">
        <v>2172</v>
      </c>
      <c r="AJ195" s="175">
        <f t="shared" si="107"/>
        <v>359.62319999999988</v>
      </c>
      <c r="AK195" s="283">
        <v>443</v>
      </c>
      <c r="AL195" s="114">
        <v>194000</v>
      </c>
      <c r="AM195" s="227">
        <f t="shared" si="117"/>
        <v>2.2835051546391751E-3</v>
      </c>
      <c r="AN195" s="316">
        <f t="shared" si="105"/>
        <v>678</v>
      </c>
      <c r="AO195" s="1119"/>
      <c r="AP195" s="195"/>
      <c r="AQ195" s="195"/>
      <c r="AR195" s="195"/>
      <c r="AS195" s="195"/>
      <c r="AT195" s="195"/>
      <c r="AU195" s="195"/>
      <c r="AV195" s="195"/>
      <c r="AW195" s="195"/>
      <c r="AX195" s="195"/>
      <c r="AY195" s="195"/>
      <c r="AZ195" s="1116"/>
      <c r="BA195" s="1114"/>
      <c r="BB195" s="195"/>
      <c r="BC195" s="1114"/>
      <c r="BD195" s="1114"/>
      <c r="BE195" s="195"/>
      <c r="BF195" s="1114"/>
      <c r="BG195" s="1114"/>
      <c r="BH195" s="1114"/>
      <c r="BI195" s="1114"/>
      <c r="BJ195" s="195"/>
      <c r="BK195" s="195"/>
      <c r="BL195" s="195"/>
      <c r="BM195" s="1114"/>
      <c r="BN195" s="195"/>
      <c r="BO195" s="1114"/>
      <c r="BP195" s="1114"/>
      <c r="BQ195" s="195"/>
      <c r="BR195" s="195"/>
      <c r="BS195" s="195"/>
      <c r="BT195" s="1114"/>
      <c r="BU195" s="176"/>
      <c r="BV195" s="176"/>
      <c r="BW195" s="176"/>
      <c r="BX195" s="1115"/>
      <c r="BY195" s="195"/>
      <c r="BZ195" s="176"/>
      <c r="CA195" s="195"/>
      <c r="CB195" s="195"/>
      <c r="CC195" s="176"/>
      <c r="CD195" s="195"/>
      <c r="CE195" s="195"/>
      <c r="CF195" s="195"/>
      <c r="CG195" s="195"/>
      <c r="CH195" s="176"/>
      <c r="CI195" s="176"/>
      <c r="CJ195" s="195"/>
      <c r="CK195" s="195"/>
      <c r="CL195" s="195"/>
      <c r="CM195" s="273"/>
      <c r="CN195" s="195"/>
      <c r="CO195" s="176"/>
      <c r="CP195" s="195"/>
      <c r="CQ195" s="176"/>
      <c r="CR195" s="195"/>
      <c r="CS195" s="195"/>
      <c r="CT195" s="195"/>
      <c r="CU195" s="176"/>
      <c r="CV195" s="176"/>
      <c r="CW195" s="195"/>
      <c r="CX195" s="1114"/>
      <c r="CY195" s="176"/>
      <c r="CZ195" s="195"/>
      <c r="DA195" s="1116"/>
      <c r="DB195" s="1116"/>
      <c r="DC195" s="195"/>
    </row>
    <row r="196" spans="1:131" s="491" customFormat="1" ht="15" customHeight="1" x14ac:dyDescent="0.45">
      <c r="A196" s="1532" t="s">
        <v>109</v>
      </c>
      <c r="B196" s="1535">
        <v>1.4318</v>
      </c>
      <c r="C196" s="800" t="s">
        <v>88</v>
      </c>
      <c r="D196" s="809" t="s">
        <v>139</v>
      </c>
      <c r="E196" s="311" t="s">
        <v>39</v>
      </c>
      <c r="F196" s="16" t="s">
        <v>67</v>
      </c>
      <c r="G196" s="430">
        <f t="shared" si="111"/>
        <v>654.98651983999991</v>
      </c>
      <c r="H196" s="87">
        <v>595</v>
      </c>
      <c r="I196" s="435">
        <f t="shared" si="94"/>
        <v>0.90841564211939285</v>
      </c>
      <c r="J196" s="382" t="s">
        <v>41</v>
      </c>
      <c r="K196" s="221" t="s">
        <v>41</v>
      </c>
      <c r="L196" s="382">
        <v>520</v>
      </c>
      <c r="M196" s="382">
        <v>830</v>
      </c>
      <c r="N196" s="218" t="s">
        <v>41</v>
      </c>
      <c r="O196" s="218" t="s">
        <v>41</v>
      </c>
      <c r="P196" s="172">
        <f t="shared" si="97"/>
        <v>1053.1327999999999</v>
      </c>
      <c r="Q196" s="218">
        <f>P196-8*(2*AF196*AF196)</f>
        <v>902.33439999999985</v>
      </c>
      <c r="R196" s="221">
        <v>200000</v>
      </c>
      <c r="S196" s="382" t="s">
        <v>41</v>
      </c>
      <c r="T196" s="172">
        <f t="shared" si="113"/>
        <v>688.9</v>
      </c>
      <c r="U196" s="218">
        <f t="shared" si="112"/>
        <v>118.86720000000014</v>
      </c>
      <c r="V196" s="218">
        <f t="shared" si="99"/>
        <v>269.66560000000015</v>
      </c>
      <c r="W196" s="382">
        <v>195000</v>
      </c>
      <c r="X196" s="541">
        <f t="shared" si="115"/>
        <v>558.8622182935153</v>
      </c>
      <c r="Y196" s="434">
        <v>195000</v>
      </c>
      <c r="Z196" s="541">
        <f t="shared" ref="Z196:Z201" si="118">X196/Y196</f>
        <v>2.8659600938128992E-3</v>
      </c>
      <c r="AA196" s="543">
        <f t="shared" si="101"/>
        <v>830</v>
      </c>
      <c r="AB196" s="222"/>
      <c r="AC196" s="3">
        <v>400</v>
      </c>
      <c r="AD196" s="55">
        <v>120</v>
      </c>
      <c r="AE196" s="75">
        <v>79.8</v>
      </c>
      <c r="AF196" s="374">
        <v>3.07</v>
      </c>
      <c r="AG196" s="135">
        <v>4</v>
      </c>
      <c r="AH196" s="272">
        <f t="shared" ref="AH196:AH205" si="119">AF196+AG196</f>
        <v>7.07</v>
      </c>
      <c r="AI196" s="55">
        <v>1172</v>
      </c>
      <c r="AJ196" s="431">
        <f>AI196-2*(AD196-2*(AF196+AG196))*AF196-2*(AE196-2*(AF196+AG196))*AF196</f>
        <v>118.86720000000014</v>
      </c>
      <c r="AK196" s="269">
        <f>L196</f>
        <v>520</v>
      </c>
      <c r="AL196" s="1148">
        <f>R196</f>
        <v>200000</v>
      </c>
      <c r="AM196" s="218">
        <f t="shared" ref="AM196:AM201" si="120">AK196/AL196</f>
        <v>2.5999999999999999E-3</v>
      </c>
      <c r="AN196" s="315">
        <f t="shared" si="105"/>
        <v>830</v>
      </c>
      <c r="AO196" s="222"/>
      <c r="AP196" s="195"/>
      <c r="AQ196" s="195"/>
      <c r="AR196" s="195"/>
      <c r="AS196" s="195"/>
      <c r="AT196" s="195"/>
      <c r="AU196" s="195"/>
      <c r="AV196" s="195"/>
      <c r="AW196" s="195"/>
      <c r="AX196" s="195"/>
      <c r="AY196" s="195"/>
      <c r="AZ196" s="1116"/>
      <c r="BA196" s="1114"/>
      <c r="BB196" s="195"/>
      <c r="BC196" s="1114"/>
      <c r="BD196" s="1114"/>
      <c r="BE196" s="195"/>
      <c r="BF196" s="1114"/>
      <c r="BG196" s="1114"/>
      <c r="BH196" s="1114"/>
      <c r="BI196" s="1114"/>
      <c r="BJ196" s="195"/>
      <c r="BK196" s="195"/>
      <c r="BL196" s="195"/>
      <c r="BM196" s="1114"/>
      <c r="BN196" s="195"/>
      <c r="BO196" s="1114"/>
      <c r="BP196" s="1114"/>
      <c r="BQ196" s="195"/>
      <c r="BR196" s="195"/>
      <c r="BS196" s="195"/>
      <c r="BT196" s="1114"/>
      <c r="BU196" s="176"/>
      <c r="BV196" s="176"/>
      <c r="BW196" s="176"/>
      <c r="BX196" s="1115"/>
      <c r="BY196" s="195"/>
      <c r="BZ196" s="176"/>
      <c r="CA196" s="195"/>
      <c r="CB196" s="195"/>
      <c r="CC196" s="176"/>
      <c r="CD196" s="195"/>
      <c r="CE196" s="195"/>
      <c r="CF196" s="195"/>
      <c r="CG196" s="195"/>
      <c r="CH196" s="176"/>
      <c r="CI196" s="176"/>
      <c r="CJ196" s="195"/>
      <c r="CK196" s="195"/>
      <c r="CL196" s="195"/>
      <c r="CM196" s="273"/>
      <c r="CN196" s="195"/>
      <c r="CO196" s="176"/>
      <c r="CP196" s="195"/>
      <c r="CQ196" s="176"/>
      <c r="CR196" s="195"/>
      <c r="CS196" s="195"/>
      <c r="CT196" s="195"/>
      <c r="CU196" s="176"/>
      <c r="CV196" s="176"/>
      <c r="CW196" s="195"/>
      <c r="CX196" s="1114"/>
      <c r="CY196" s="176"/>
      <c r="CZ196" s="195"/>
      <c r="DA196" s="1116"/>
      <c r="DB196" s="1116"/>
      <c r="DC196" s="195"/>
    </row>
    <row r="197" spans="1:131" s="491" customFormat="1" ht="15" customHeight="1" x14ac:dyDescent="0.45">
      <c r="A197" s="1533"/>
      <c r="B197" s="1536"/>
      <c r="C197" s="473" t="s">
        <v>88</v>
      </c>
      <c r="D197" s="807" t="s">
        <v>139</v>
      </c>
      <c r="E197" s="309" t="s">
        <v>39</v>
      </c>
      <c r="F197" s="15" t="s">
        <v>67</v>
      </c>
      <c r="G197" s="430">
        <f t="shared" si="111"/>
        <v>778.71475945600002</v>
      </c>
      <c r="H197" s="87">
        <v>645</v>
      </c>
      <c r="I197" s="435">
        <f t="shared" si="94"/>
        <v>0.82828788355133864</v>
      </c>
      <c r="J197" s="328" t="s">
        <v>41</v>
      </c>
      <c r="K197" s="156" t="s">
        <v>41</v>
      </c>
      <c r="L197" s="328">
        <v>634</v>
      </c>
      <c r="M197" s="328">
        <v>958</v>
      </c>
      <c r="N197" s="195" t="s">
        <v>41</v>
      </c>
      <c r="O197" s="195" t="s">
        <v>41</v>
      </c>
      <c r="P197" s="176">
        <f t="shared" si="97"/>
        <v>1056.0672</v>
      </c>
      <c r="Q197" s="195">
        <f t="shared" si="108"/>
        <v>906.24959999999999</v>
      </c>
      <c r="R197" s="156">
        <v>190500</v>
      </c>
      <c r="S197" s="328" t="s">
        <v>41</v>
      </c>
      <c r="T197" s="328">
        <f t="shared" si="113"/>
        <v>795.14</v>
      </c>
      <c r="U197" s="195">
        <f t="shared" si="112"/>
        <v>106.93280000000004</v>
      </c>
      <c r="V197" s="195">
        <f t="shared" si="99"/>
        <v>256.75040000000001</v>
      </c>
      <c r="W197" s="328">
        <v>190000</v>
      </c>
      <c r="X197" s="540">
        <f>((L197*Q197)+(T197*V197))/(Q197+V197)</f>
        <v>669.57416978159927</v>
      </c>
      <c r="Y197" s="157">
        <v>190000</v>
      </c>
      <c r="Z197" s="540">
        <f t="shared" si="118"/>
        <v>3.524074577797891E-3</v>
      </c>
      <c r="AA197" s="543">
        <f t="shared" si="101"/>
        <v>958</v>
      </c>
      <c r="AB197" s="154"/>
      <c r="AC197" s="2">
        <v>400</v>
      </c>
      <c r="AD197" s="52">
        <v>120.3</v>
      </c>
      <c r="AE197" s="64">
        <v>80.5</v>
      </c>
      <c r="AF197" s="119">
        <v>3.06</v>
      </c>
      <c r="AG197" s="24">
        <v>4</v>
      </c>
      <c r="AH197" s="273">
        <f t="shared" si="119"/>
        <v>7.0600000000000005</v>
      </c>
      <c r="AI197" s="52">
        <v>1163</v>
      </c>
      <c r="AJ197" s="435">
        <f t="shared" si="107"/>
        <v>106.93280000000004</v>
      </c>
      <c r="AK197" s="270">
        <f>L197</f>
        <v>634</v>
      </c>
      <c r="AL197" s="119">
        <f>R197</f>
        <v>190500</v>
      </c>
      <c r="AM197" s="195">
        <f t="shared" si="120"/>
        <v>3.3280839895013124E-3</v>
      </c>
      <c r="AN197" s="316">
        <f t="shared" si="105"/>
        <v>958</v>
      </c>
      <c r="AO197" s="154"/>
      <c r="AP197" s="195"/>
      <c r="AQ197" s="195"/>
      <c r="AR197" s="195"/>
      <c r="AS197" s="195"/>
      <c r="AT197" s="195"/>
      <c r="AU197" s="195"/>
      <c r="AV197" s="195"/>
      <c r="AW197" s="195"/>
      <c r="AX197" s="195"/>
      <c r="AY197" s="195"/>
      <c r="AZ197" s="1116"/>
      <c r="BA197" s="1114"/>
      <c r="BB197" s="195"/>
      <c r="BC197" s="1114"/>
      <c r="BD197" s="1114"/>
      <c r="BE197" s="195"/>
      <c r="BF197" s="1114"/>
      <c r="BG197" s="1114"/>
      <c r="BH197" s="1114"/>
      <c r="BI197" s="1114"/>
      <c r="BJ197" s="195"/>
      <c r="BK197" s="195"/>
      <c r="BL197" s="195"/>
      <c r="BM197" s="1114"/>
      <c r="BN197" s="195"/>
      <c r="BO197" s="1114"/>
      <c r="BP197" s="1114"/>
      <c r="BQ197" s="195"/>
      <c r="BR197" s="195"/>
      <c r="BS197" s="195"/>
      <c r="BT197" s="1114"/>
      <c r="BU197" s="176"/>
      <c r="BV197" s="176"/>
      <c r="BW197" s="176"/>
      <c r="BX197" s="1115"/>
      <c r="BY197" s="195"/>
      <c r="BZ197" s="176"/>
      <c r="CA197" s="195"/>
      <c r="CB197" s="195"/>
      <c r="CC197" s="176"/>
      <c r="CD197" s="195"/>
      <c r="CE197" s="195"/>
      <c r="CF197" s="195"/>
      <c r="CG197" s="195"/>
      <c r="CH197" s="176"/>
      <c r="CI197" s="176"/>
      <c r="CJ197" s="195"/>
      <c r="CK197" s="195"/>
      <c r="CL197" s="195"/>
      <c r="CM197" s="273"/>
      <c r="CN197" s="195"/>
      <c r="CO197" s="176"/>
      <c r="CP197" s="195"/>
      <c r="CQ197" s="176"/>
      <c r="CR197" s="195"/>
      <c r="CS197" s="195"/>
      <c r="CT197" s="195"/>
      <c r="CU197" s="176"/>
      <c r="CV197" s="176"/>
      <c r="CW197" s="195"/>
      <c r="CX197" s="1114"/>
      <c r="CY197" s="176"/>
      <c r="CZ197" s="195"/>
      <c r="DA197" s="1116"/>
      <c r="DB197" s="1116"/>
      <c r="DC197" s="195"/>
    </row>
    <row r="198" spans="1:131" s="491" customFormat="1" ht="15" customHeight="1" x14ac:dyDescent="0.45">
      <c r="A198" s="1533"/>
      <c r="B198" s="1536"/>
      <c r="C198" s="473" t="s">
        <v>88</v>
      </c>
      <c r="D198" s="807" t="s">
        <v>140</v>
      </c>
      <c r="E198" s="309" t="s">
        <v>39</v>
      </c>
      <c r="F198" s="15" t="s">
        <v>67</v>
      </c>
      <c r="G198" s="430">
        <f t="shared" si="111"/>
        <v>658.0895804160001</v>
      </c>
      <c r="H198" s="87">
        <v>560</v>
      </c>
      <c r="I198" s="435">
        <f t="shared" si="94"/>
        <v>0.85094798134625615</v>
      </c>
      <c r="J198" s="328" t="s">
        <v>41</v>
      </c>
      <c r="K198" s="156" t="s">
        <v>41</v>
      </c>
      <c r="L198" s="328">
        <v>526</v>
      </c>
      <c r="M198" s="328">
        <v>828</v>
      </c>
      <c r="N198" s="195" t="s">
        <v>41</v>
      </c>
      <c r="O198" s="195" t="s">
        <v>41</v>
      </c>
      <c r="P198" s="176">
        <f t="shared" si="97"/>
        <v>1049.6112000000001</v>
      </c>
      <c r="Q198" s="195">
        <f t="shared" si="108"/>
        <v>896.84160000000008</v>
      </c>
      <c r="R198" s="156">
        <v>199500</v>
      </c>
      <c r="S198" s="328" t="s">
        <v>41</v>
      </c>
      <c r="T198" s="328">
        <f t="shared" si="113"/>
        <v>687.24</v>
      </c>
      <c r="U198" s="195">
        <f t="shared" si="112"/>
        <v>118.3888</v>
      </c>
      <c r="V198" s="195">
        <f t="shared" si="99"/>
        <v>271.15840000000003</v>
      </c>
      <c r="W198" s="328">
        <v>199000</v>
      </c>
      <c r="X198" s="540">
        <f>((L198*Q198)+(T198*V198))/(Q198+V198)</f>
        <v>563.43285994520556</v>
      </c>
      <c r="Y198" s="157">
        <v>199000</v>
      </c>
      <c r="Z198" s="540">
        <f t="shared" si="118"/>
        <v>2.8313209042472643E-3</v>
      </c>
      <c r="AA198" s="543">
        <f t="shared" si="101"/>
        <v>828</v>
      </c>
      <c r="AB198" s="154"/>
      <c r="AC198" s="2">
        <v>400</v>
      </c>
      <c r="AD198" s="52">
        <v>139.80000000000001</v>
      </c>
      <c r="AE198" s="64">
        <v>60.4</v>
      </c>
      <c r="AF198" s="119">
        <v>3.09</v>
      </c>
      <c r="AG198" s="24">
        <v>4.5</v>
      </c>
      <c r="AH198" s="273">
        <f t="shared" si="119"/>
        <v>7.59</v>
      </c>
      <c r="AI198" s="52">
        <v>1168</v>
      </c>
      <c r="AJ198" s="435">
        <f t="shared" si="107"/>
        <v>118.3888</v>
      </c>
      <c r="AK198" s="270">
        <f>L198</f>
        <v>526</v>
      </c>
      <c r="AL198" s="119">
        <f>R198</f>
        <v>199500</v>
      </c>
      <c r="AM198" s="195">
        <f t="shared" si="120"/>
        <v>2.6365914786967417E-3</v>
      </c>
      <c r="AN198" s="316">
        <f t="shared" si="105"/>
        <v>828</v>
      </c>
      <c r="AO198" s="154"/>
      <c r="AP198" s="195"/>
      <c r="AQ198" s="195"/>
      <c r="AR198" s="195"/>
      <c r="AS198" s="195"/>
      <c r="AT198" s="195"/>
      <c r="AU198" s="195"/>
      <c r="AV198" s="195"/>
      <c r="AW198" s="195"/>
      <c r="AX198" s="195"/>
      <c r="AY198" s="195"/>
      <c r="AZ198" s="1116"/>
      <c r="BA198" s="1114"/>
      <c r="BB198" s="195"/>
      <c r="BC198" s="1114"/>
      <c r="BD198" s="1114"/>
      <c r="BE198" s="195"/>
      <c r="BF198" s="1114"/>
      <c r="BG198" s="1114"/>
      <c r="BH198" s="1114"/>
      <c r="BI198" s="1114"/>
      <c r="BJ198" s="195"/>
      <c r="BK198" s="195"/>
      <c r="BL198" s="195"/>
      <c r="BM198" s="1114"/>
      <c r="BN198" s="195"/>
      <c r="BO198" s="1114"/>
      <c r="BP198" s="1114"/>
      <c r="BQ198" s="195"/>
      <c r="BR198" s="195"/>
      <c r="BS198" s="195"/>
      <c r="BT198" s="1114"/>
      <c r="BU198" s="176"/>
      <c r="BV198" s="176"/>
      <c r="BW198" s="176"/>
      <c r="BX198" s="1115"/>
      <c r="BY198" s="195"/>
      <c r="BZ198" s="176"/>
      <c r="CA198" s="195"/>
      <c r="CB198" s="195"/>
      <c r="CC198" s="176"/>
      <c r="CD198" s="195"/>
      <c r="CE198" s="195"/>
      <c r="CF198" s="195"/>
      <c r="CG198" s="195"/>
      <c r="CH198" s="176"/>
      <c r="CI198" s="176"/>
      <c r="CJ198" s="195"/>
      <c r="CK198" s="195"/>
      <c r="CL198" s="195"/>
      <c r="CM198" s="273"/>
      <c r="CN198" s="195"/>
      <c r="CO198" s="176"/>
      <c r="CP198" s="195"/>
      <c r="CQ198" s="176"/>
      <c r="CR198" s="195"/>
      <c r="CS198" s="195"/>
      <c r="CT198" s="195"/>
      <c r="CU198" s="176"/>
      <c r="CV198" s="176"/>
      <c r="CW198" s="195"/>
      <c r="CX198" s="1114"/>
      <c r="CY198" s="176"/>
      <c r="CZ198" s="195"/>
      <c r="DA198" s="1116"/>
      <c r="DB198" s="1116"/>
      <c r="DC198" s="195"/>
    </row>
    <row r="199" spans="1:131" s="491" customFormat="1" ht="16.5" customHeight="1" x14ac:dyDescent="0.45">
      <c r="A199" s="1534"/>
      <c r="B199" s="1537"/>
      <c r="C199" s="799" t="s">
        <v>88</v>
      </c>
      <c r="D199" s="808" t="s">
        <v>140</v>
      </c>
      <c r="E199" s="312" t="s">
        <v>39</v>
      </c>
      <c r="F199" s="122" t="s">
        <v>67</v>
      </c>
      <c r="G199" s="430">
        <f t="shared" si="111"/>
        <v>759.04995641599999</v>
      </c>
      <c r="H199" s="87">
        <v>642</v>
      </c>
      <c r="I199" s="435">
        <f t="shared" si="94"/>
        <v>0.8457941332759259</v>
      </c>
      <c r="J199" s="230" t="s">
        <v>41</v>
      </c>
      <c r="K199" s="229" t="s">
        <v>41</v>
      </c>
      <c r="L199" s="230">
        <v>610</v>
      </c>
      <c r="M199" s="230">
        <v>978</v>
      </c>
      <c r="N199" s="227" t="s">
        <v>41</v>
      </c>
      <c r="O199" s="227" t="s">
        <v>41</v>
      </c>
      <c r="P199" s="184">
        <f t="shared" si="97"/>
        <v>1044.7872000000002</v>
      </c>
      <c r="Q199" s="227">
        <f t="shared" si="108"/>
        <v>896.92160000000024</v>
      </c>
      <c r="R199" s="229">
        <v>185500</v>
      </c>
      <c r="S199" s="230" t="s">
        <v>41</v>
      </c>
      <c r="T199" s="230">
        <f t="shared" si="113"/>
        <v>811.74</v>
      </c>
      <c r="U199" s="227">
        <f t="shared" si="112"/>
        <v>113.21279999999985</v>
      </c>
      <c r="V199" s="227">
        <f t="shared" si="99"/>
        <v>261.07839999999987</v>
      </c>
      <c r="W199" s="230">
        <v>186000</v>
      </c>
      <c r="X199" s="544">
        <f>((L199*Q199)+(T199*V199))/(Q199+V199)</f>
        <v>655.4835547633852</v>
      </c>
      <c r="Y199" s="244">
        <v>186000</v>
      </c>
      <c r="Z199" s="544">
        <f t="shared" si="118"/>
        <v>3.5241051331364797E-3</v>
      </c>
      <c r="AA199" s="546">
        <f t="shared" si="101"/>
        <v>978</v>
      </c>
      <c r="AB199" s="231"/>
      <c r="AC199" s="4">
        <v>400</v>
      </c>
      <c r="AD199" s="56">
        <v>139.80000000000001</v>
      </c>
      <c r="AE199" s="76">
        <v>60.2</v>
      </c>
      <c r="AF199" s="70">
        <v>3.04</v>
      </c>
      <c r="AG199" s="27">
        <v>4</v>
      </c>
      <c r="AH199" s="274">
        <f t="shared" si="119"/>
        <v>7.04</v>
      </c>
      <c r="AI199" s="56">
        <v>1158</v>
      </c>
      <c r="AJ199" s="436">
        <f t="shared" si="107"/>
        <v>113.21279999999985</v>
      </c>
      <c r="AK199" s="271">
        <f>L199</f>
        <v>610</v>
      </c>
      <c r="AL199" s="70">
        <f>R199</f>
        <v>185500</v>
      </c>
      <c r="AM199" s="227">
        <f t="shared" si="120"/>
        <v>3.2884097035040432E-3</v>
      </c>
      <c r="AN199" s="316">
        <f t="shared" si="105"/>
        <v>978</v>
      </c>
      <c r="AO199" s="231"/>
      <c r="AP199" s="195"/>
      <c r="AQ199" s="195"/>
      <c r="AR199" s="195"/>
      <c r="AS199" s="195"/>
      <c r="AT199" s="195"/>
      <c r="AU199" s="195"/>
      <c r="AV199" s="195"/>
      <c r="AW199" s="195"/>
      <c r="AX199" s="195"/>
      <c r="AY199" s="195"/>
      <c r="AZ199" s="1116"/>
      <c r="BA199" s="1114"/>
      <c r="BB199" s="195"/>
      <c r="BC199" s="1114"/>
      <c r="BD199" s="1114"/>
      <c r="BE199" s="195"/>
      <c r="BF199" s="1114"/>
      <c r="BG199" s="1114"/>
      <c r="BH199" s="1114"/>
      <c r="BI199" s="1114"/>
      <c r="BJ199" s="195"/>
      <c r="BK199" s="195"/>
      <c r="BL199" s="195"/>
      <c r="BM199" s="1114"/>
      <c r="BN199" s="195"/>
      <c r="BO199" s="1114"/>
      <c r="BP199" s="1114"/>
      <c r="BQ199" s="195"/>
      <c r="BR199" s="195"/>
      <c r="BS199" s="195"/>
      <c r="BT199" s="1114"/>
      <c r="BU199" s="176"/>
      <c r="BV199" s="176"/>
      <c r="BW199" s="176"/>
      <c r="BX199" s="1115"/>
      <c r="BY199" s="195"/>
      <c r="BZ199" s="176"/>
      <c r="CA199" s="195"/>
      <c r="CB199" s="195"/>
      <c r="CC199" s="176"/>
      <c r="CD199" s="195"/>
      <c r="CE199" s="195"/>
      <c r="CF199" s="195"/>
      <c r="CG199" s="195"/>
      <c r="CH199" s="176"/>
      <c r="CI199" s="176"/>
      <c r="CJ199" s="195"/>
      <c r="CK199" s="195"/>
      <c r="CL199" s="195"/>
      <c r="CM199" s="273"/>
      <c r="CN199" s="195"/>
      <c r="CO199" s="176"/>
      <c r="CP199" s="195"/>
      <c r="CQ199" s="176"/>
      <c r="CR199" s="195"/>
      <c r="CS199" s="195"/>
      <c r="CT199" s="195"/>
      <c r="CU199" s="176"/>
      <c r="CV199" s="176"/>
      <c r="CW199" s="195"/>
      <c r="CX199" s="1114"/>
      <c r="CY199" s="176"/>
      <c r="CZ199" s="195"/>
      <c r="DA199" s="1116"/>
      <c r="DB199" s="1116"/>
      <c r="DC199" s="195"/>
    </row>
    <row r="200" spans="1:131" ht="13.15" x14ac:dyDescent="0.45">
      <c r="A200" s="1559" t="s">
        <v>216</v>
      </c>
      <c r="B200" s="1563" t="s">
        <v>158</v>
      </c>
      <c r="C200" s="473" t="s">
        <v>127</v>
      </c>
      <c r="D200" s="810" t="s">
        <v>159</v>
      </c>
      <c r="E200" s="309" t="s">
        <v>73</v>
      </c>
      <c r="F200" s="15" t="s">
        <v>67</v>
      </c>
      <c r="G200" s="167">
        <f>0.001*X200*AI200</f>
        <v>599.37809760000005</v>
      </c>
      <c r="H200" s="86">
        <v>709</v>
      </c>
      <c r="I200" s="168">
        <f>H200/G200</f>
        <v>1.1828927397229603</v>
      </c>
      <c r="J200" s="328" t="s">
        <v>41</v>
      </c>
      <c r="K200" s="156" t="s">
        <v>41</v>
      </c>
      <c r="L200" s="328">
        <v>734</v>
      </c>
      <c r="M200" s="328">
        <v>817</v>
      </c>
      <c r="N200" s="195" t="s">
        <v>41</v>
      </c>
      <c r="O200" s="195" t="s">
        <v>41</v>
      </c>
      <c r="P200" s="162">
        <f t="shared" si="97"/>
        <v>672.73919999999998</v>
      </c>
      <c r="Q200" s="173" t="s">
        <v>41</v>
      </c>
      <c r="R200" s="156">
        <v>199500</v>
      </c>
      <c r="S200" s="360">
        <v>831</v>
      </c>
      <c r="T200" s="328" t="s">
        <v>41</v>
      </c>
      <c r="U200" s="173">
        <f t="shared" si="112"/>
        <v>127.06079999999994</v>
      </c>
      <c r="V200" s="173" t="s">
        <v>41</v>
      </c>
      <c r="W200" s="328">
        <v>213800</v>
      </c>
      <c r="X200" s="540">
        <f t="shared" ref="X200:X205" si="121">((L200*P200)+(S200*U200))/(P200+U200)</f>
        <v>749.40997449362339</v>
      </c>
      <c r="Y200" s="463">
        <f>((R200*P200)+(W200*U200))/(P200+U200)</f>
        <v>201771.77974493621</v>
      </c>
      <c r="Z200" s="500">
        <f t="shared" si="118"/>
        <v>3.7141466236803168E-3</v>
      </c>
      <c r="AA200" s="463">
        <f t="shared" si="101"/>
        <v>817</v>
      </c>
      <c r="AB200" s="464"/>
      <c r="AC200" s="294">
        <v>239.9</v>
      </c>
      <c r="AD200" s="360">
        <v>79.5</v>
      </c>
      <c r="AE200" s="246">
        <v>39</v>
      </c>
      <c r="AF200" s="360">
        <v>3.76</v>
      </c>
      <c r="AG200" s="360">
        <v>3.5</v>
      </c>
      <c r="AH200" s="273">
        <f t="shared" si="119"/>
        <v>7.26</v>
      </c>
      <c r="AI200" s="246">
        <v>799.8</v>
      </c>
      <c r="AJ200" s="175">
        <f t="shared" si="107"/>
        <v>127.06079999999994</v>
      </c>
      <c r="AK200" s="1121">
        <v>734</v>
      </c>
      <c r="AL200" s="1124">
        <v>199500</v>
      </c>
      <c r="AM200" s="173">
        <f t="shared" si="120"/>
        <v>3.6791979949874687E-3</v>
      </c>
      <c r="AN200" s="6">
        <f t="shared" si="105"/>
        <v>817</v>
      </c>
      <c r="AO200" s="314"/>
      <c r="AP200" s="195"/>
      <c r="AQ200" s="195"/>
      <c r="AR200" s="195"/>
      <c r="AS200" s="195"/>
      <c r="AT200" s="195"/>
      <c r="AU200" s="195"/>
      <c r="AV200" s="195"/>
      <c r="AW200" s="195"/>
      <c r="AX200" s="195"/>
      <c r="AY200" s="195"/>
      <c r="AZ200" s="1116"/>
      <c r="BA200" s="1114"/>
      <c r="BB200" s="195"/>
      <c r="BC200" s="1114"/>
      <c r="BD200" s="1114"/>
      <c r="BE200" s="195"/>
      <c r="BF200" s="1114"/>
      <c r="BG200" s="1114"/>
      <c r="BH200" s="1114"/>
      <c r="BI200" s="1114"/>
      <c r="BJ200" s="195"/>
      <c r="BK200" s="195"/>
      <c r="BL200" s="195"/>
      <c r="BM200" s="1114"/>
      <c r="BN200" s="195"/>
      <c r="BO200" s="1114"/>
      <c r="BP200" s="1114"/>
      <c r="BQ200" s="195"/>
      <c r="BR200" s="195"/>
      <c r="BS200" s="195"/>
      <c r="BT200" s="1114"/>
      <c r="BU200" s="176"/>
      <c r="BV200" s="176"/>
      <c r="BW200" s="176"/>
      <c r="BX200" s="1114"/>
      <c r="BY200" s="195"/>
      <c r="BZ200" s="176"/>
      <c r="CA200" s="195"/>
      <c r="CB200" s="195"/>
      <c r="CC200" s="176"/>
      <c r="CD200" s="195"/>
      <c r="CE200" s="195"/>
      <c r="CF200" s="195"/>
      <c r="CG200" s="195"/>
      <c r="CH200" s="176"/>
      <c r="CI200" s="176"/>
      <c r="CJ200" s="195"/>
      <c r="CK200" s="195"/>
      <c r="CL200" s="195"/>
      <c r="CM200" s="273"/>
      <c r="CN200" s="195"/>
      <c r="CO200" s="176"/>
      <c r="CP200" s="195"/>
      <c r="CQ200" s="176"/>
      <c r="CR200" s="195"/>
      <c r="CS200" s="195"/>
      <c r="CT200" s="195"/>
      <c r="CU200" s="176"/>
      <c r="CV200" s="176"/>
      <c r="CW200" s="195"/>
      <c r="CX200" s="1114"/>
      <c r="CY200" s="176"/>
      <c r="CZ200" s="195"/>
      <c r="DA200" s="1116"/>
      <c r="DB200" s="1116"/>
      <c r="DC200" s="195"/>
      <c r="DP200" s="548"/>
      <c r="DW200" s="442"/>
      <c r="EA200" s="173"/>
    </row>
    <row r="201" spans="1:131" ht="13.15" x14ac:dyDescent="0.45">
      <c r="A201" s="1559"/>
      <c r="B201" s="1563"/>
      <c r="C201" s="473" t="s">
        <v>222</v>
      </c>
      <c r="D201" s="810" t="s">
        <v>160</v>
      </c>
      <c r="E201" s="309" t="s">
        <v>73</v>
      </c>
      <c r="F201" s="15" t="s">
        <v>67</v>
      </c>
      <c r="G201" s="181">
        <f>0.001*X201*AI201</f>
        <v>608.50241159999996</v>
      </c>
      <c r="H201" s="88">
        <v>710</v>
      </c>
      <c r="I201" s="182">
        <f>H201/G201</f>
        <v>1.1667989912038668</v>
      </c>
      <c r="J201" s="328" t="s">
        <v>41</v>
      </c>
      <c r="K201" s="156" t="s">
        <v>41</v>
      </c>
      <c r="L201" s="328">
        <v>734</v>
      </c>
      <c r="M201" s="328">
        <v>817</v>
      </c>
      <c r="N201" s="328" t="s">
        <v>41</v>
      </c>
      <c r="O201" s="328" t="s">
        <v>41</v>
      </c>
      <c r="P201" s="162">
        <f>AI201-AJ201</f>
        <v>655.77719999999999</v>
      </c>
      <c r="Q201" s="173" t="s">
        <v>41</v>
      </c>
      <c r="R201" s="156">
        <v>199500</v>
      </c>
      <c r="S201" s="360">
        <v>831</v>
      </c>
      <c r="T201" s="328" t="s">
        <v>41</v>
      </c>
      <c r="U201" s="173">
        <f t="shared" si="112"/>
        <v>153.02279999999993</v>
      </c>
      <c r="V201" s="173" t="s">
        <v>41</v>
      </c>
      <c r="W201" s="328">
        <v>213800</v>
      </c>
      <c r="X201" s="540">
        <f t="shared" si="121"/>
        <v>752.35214094955495</v>
      </c>
      <c r="Y201" s="463">
        <f>((R201*P201)+(W201*U201))/(P201+U201)</f>
        <v>202205.52181008903</v>
      </c>
      <c r="Z201" s="500">
        <f t="shared" si="118"/>
        <v>3.7207299494825979E-3</v>
      </c>
      <c r="AA201" s="463">
        <f t="shared" si="101"/>
        <v>817</v>
      </c>
      <c r="AB201" s="464"/>
      <c r="AC201" s="294">
        <v>237.8</v>
      </c>
      <c r="AD201" s="360">
        <v>79.5</v>
      </c>
      <c r="AE201" s="246">
        <v>39</v>
      </c>
      <c r="AF201" s="360">
        <v>3.81</v>
      </c>
      <c r="AG201" s="360">
        <v>4.3</v>
      </c>
      <c r="AH201" s="273">
        <f t="shared" si="119"/>
        <v>8.11</v>
      </c>
      <c r="AI201" s="246">
        <v>808.8</v>
      </c>
      <c r="AJ201" s="175">
        <f t="shared" si="107"/>
        <v>153.02279999999993</v>
      </c>
      <c r="AK201" s="1121">
        <v>734</v>
      </c>
      <c r="AL201" s="1124">
        <v>199500</v>
      </c>
      <c r="AM201" s="173">
        <f t="shared" si="120"/>
        <v>3.6791979949874687E-3</v>
      </c>
      <c r="AN201" s="316">
        <f t="shared" si="105"/>
        <v>817</v>
      </c>
      <c r="AO201" s="154"/>
      <c r="AP201" s="195"/>
      <c r="AQ201" s="195"/>
      <c r="AR201" s="195"/>
      <c r="AS201" s="195"/>
      <c r="AT201" s="195"/>
      <c r="AU201" s="195"/>
      <c r="AV201" s="195"/>
      <c r="AW201" s="195"/>
      <c r="AX201" s="195"/>
      <c r="AY201" s="195"/>
      <c r="AZ201" s="1116"/>
      <c r="BA201" s="1114"/>
      <c r="BB201" s="195"/>
      <c r="BC201" s="1114"/>
      <c r="BD201" s="1114"/>
      <c r="BE201" s="195"/>
      <c r="BF201" s="1114"/>
      <c r="BG201" s="1114"/>
      <c r="BH201" s="1114"/>
      <c r="BI201" s="1114"/>
      <c r="BJ201" s="195"/>
      <c r="BK201" s="195"/>
      <c r="BL201" s="195"/>
      <c r="BM201" s="1114"/>
      <c r="BN201" s="195"/>
      <c r="BO201" s="1114"/>
      <c r="BP201" s="1114"/>
      <c r="BQ201" s="195"/>
      <c r="BR201" s="195"/>
      <c r="BS201" s="195"/>
      <c r="BT201" s="1114"/>
      <c r="BU201" s="176"/>
      <c r="BV201" s="176"/>
      <c r="BW201" s="176"/>
      <c r="BX201" s="1114"/>
      <c r="BY201" s="195"/>
      <c r="BZ201" s="176"/>
      <c r="CA201" s="195"/>
      <c r="CB201" s="195"/>
      <c r="CC201" s="176"/>
      <c r="CD201" s="195"/>
      <c r="CE201" s="195"/>
      <c r="CF201" s="195"/>
      <c r="CG201" s="195"/>
      <c r="CH201" s="176"/>
      <c r="CI201" s="176"/>
      <c r="CJ201" s="195"/>
      <c r="CK201" s="195"/>
      <c r="CL201" s="195"/>
      <c r="CM201" s="273"/>
      <c r="CN201" s="195"/>
      <c r="CO201" s="176"/>
      <c r="CP201" s="195"/>
      <c r="CQ201" s="176"/>
      <c r="CR201" s="195"/>
      <c r="CS201" s="195"/>
      <c r="CT201" s="195"/>
      <c r="CU201" s="176"/>
      <c r="CV201" s="176"/>
      <c r="CW201" s="195"/>
      <c r="CX201" s="1114"/>
      <c r="CY201" s="176"/>
      <c r="CZ201" s="195"/>
      <c r="DA201" s="1116"/>
      <c r="DB201" s="1116"/>
      <c r="DC201" s="195"/>
      <c r="DP201" s="548"/>
      <c r="DW201" s="442"/>
      <c r="EA201" s="173"/>
    </row>
    <row r="202" spans="1:131" s="491" customFormat="1" ht="13.15" x14ac:dyDescent="0.45">
      <c r="A202" s="1552" t="s">
        <v>208</v>
      </c>
      <c r="B202" s="1554" t="s">
        <v>209</v>
      </c>
      <c r="C202" s="801" t="s">
        <v>127</v>
      </c>
      <c r="D202" s="659" t="s">
        <v>217</v>
      </c>
      <c r="E202" s="416" t="s">
        <v>73</v>
      </c>
      <c r="F202" s="417" t="s">
        <v>67</v>
      </c>
      <c r="G202" s="429">
        <f>0.001*X202*AI202</f>
        <v>466.15006160000007</v>
      </c>
      <c r="H202" s="580">
        <v>449</v>
      </c>
      <c r="I202" s="426">
        <f t="shared" ref="I202:I211" si="122">H202/G202</f>
        <v>0.96320914011866765</v>
      </c>
      <c r="J202" s="394">
        <v>346</v>
      </c>
      <c r="K202" s="393">
        <v>498</v>
      </c>
      <c r="L202" s="394">
        <v>423</v>
      </c>
      <c r="M202" s="394">
        <v>472</v>
      </c>
      <c r="N202" s="394" t="s">
        <v>41</v>
      </c>
      <c r="O202" s="394" t="s">
        <v>41</v>
      </c>
      <c r="P202" s="390">
        <f t="shared" ref="P202:P211" si="123">AI202-AJ202</f>
        <v>986.84320000000002</v>
      </c>
      <c r="Q202" s="395" t="s">
        <v>41</v>
      </c>
      <c r="R202" s="393">
        <v>216000</v>
      </c>
      <c r="S202" s="680">
        <v>535</v>
      </c>
      <c r="T202" s="394" t="s">
        <v>41</v>
      </c>
      <c r="U202" s="395">
        <f t="shared" si="112"/>
        <v>91.056800000000067</v>
      </c>
      <c r="V202" s="395" t="s">
        <v>41</v>
      </c>
      <c r="W202" s="393">
        <v>216000</v>
      </c>
      <c r="X202" s="395">
        <f t="shared" si="121"/>
        <v>432.46132442712684</v>
      </c>
      <c r="Y202" s="555">
        <v>216000</v>
      </c>
      <c r="Z202" s="552">
        <f t="shared" ref="Z202:Z211" si="124">X202/Y202</f>
        <v>2.0021357612366982E-3</v>
      </c>
      <c r="AA202" s="555">
        <f t="shared" si="101"/>
        <v>472</v>
      </c>
      <c r="AB202" s="581"/>
      <c r="AC202" s="582">
        <v>362</v>
      </c>
      <c r="AD202" s="583">
        <v>119.9</v>
      </c>
      <c r="AE202" s="584">
        <v>80</v>
      </c>
      <c r="AF202" s="583">
        <v>2.84</v>
      </c>
      <c r="AG202" s="583">
        <v>3.7</v>
      </c>
      <c r="AH202" s="418">
        <f t="shared" si="119"/>
        <v>6.54</v>
      </c>
      <c r="AI202" s="583">
        <v>1077.9000000000001</v>
      </c>
      <c r="AJ202" s="419">
        <f t="shared" si="107"/>
        <v>91.056800000000067</v>
      </c>
      <c r="AK202" s="1146">
        <v>423</v>
      </c>
      <c r="AL202" s="394">
        <v>216000</v>
      </c>
      <c r="AM202" s="395">
        <f t="shared" ref="AM202:AM211" si="125">AK202/AL202</f>
        <v>1.9583333333333332E-3</v>
      </c>
      <c r="AN202" s="420">
        <f t="shared" si="105"/>
        <v>472</v>
      </c>
      <c r="AO202" s="421"/>
      <c r="AP202" s="195"/>
      <c r="AQ202" s="195"/>
      <c r="AR202" s="195"/>
      <c r="AS202" s="195"/>
      <c r="AT202" s="195"/>
      <c r="AU202" s="195"/>
      <c r="AV202" s="195"/>
      <c r="AW202" s="195"/>
      <c r="AX202" s="195"/>
      <c r="AY202" s="195"/>
      <c r="AZ202" s="1116"/>
      <c r="BA202" s="1114"/>
      <c r="BB202" s="195"/>
      <c r="BC202" s="1114"/>
      <c r="BD202" s="1114"/>
      <c r="BE202" s="195"/>
      <c r="BF202" s="1114"/>
      <c r="BG202" s="1114"/>
      <c r="BH202" s="1114"/>
      <c r="BI202" s="1114"/>
      <c r="BJ202" s="195"/>
      <c r="BK202" s="195"/>
      <c r="BL202" s="195"/>
      <c r="BM202" s="1114"/>
      <c r="BN202" s="195"/>
      <c r="BO202" s="1114"/>
      <c r="BP202" s="1114"/>
      <c r="BQ202" s="195"/>
      <c r="BR202" s="195"/>
      <c r="BS202" s="195"/>
      <c r="BT202" s="1114"/>
      <c r="BU202" s="176"/>
      <c r="BV202" s="176"/>
      <c r="BW202" s="176"/>
      <c r="BX202" s="743"/>
      <c r="BY202" s="195"/>
      <c r="BZ202" s="176"/>
      <c r="CA202" s="195"/>
      <c r="CB202" s="195"/>
      <c r="CC202" s="176"/>
      <c r="CD202" s="195"/>
      <c r="CE202" s="195"/>
      <c r="CF202" s="195"/>
      <c r="CG202" s="195"/>
      <c r="CH202" s="176"/>
      <c r="CI202" s="176"/>
      <c r="CJ202" s="195"/>
      <c r="CK202" s="195"/>
      <c r="CL202" s="195"/>
      <c r="CM202" s="273"/>
      <c r="CN202" s="195"/>
      <c r="CO202" s="176"/>
      <c r="CP202" s="195"/>
      <c r="CQ202" s="176"/>
      <c r="CR202" s="195"/>
      <c r="CS202" s="195"/>
      <c r="CT202" s="195"/>
      <c r="CU202" s="176"/>
      <c r="CV202" s="176"/>
      <c r="CW202" s="195"/>
      <c r="CX202" s="1114"/>
      <c r="CY202" s="176"/>
      <c r="CZ202" s="195"/>
      <c r="DA202" s="1116"/>
      <c r="DB202" s="1116"/>
      <c r="DC202" s="195"/>
      <c r="DP202" s="637"/>
      <c r="DW202" s="497"/>
      <c r="EA202" s="195"/>
    </row>
    <row r="203" spans="1:131" s="491" customFormat="1" ht="15" customHeight="1" x14ac:dyDescent="0.45">
      <c r="A203" s="1553"/>
      <c r="B203" s="1555"/>
      <c r="C203" s="802" t="s">
        <v>127</v>
      </c>
      <c r="D203" s="660" t="s">
        <v>218</v>
      </c>
      <c r="E203" s="423" t="s">
        <v>73</v>
      </c>
      <c r="F203" s="424" t="s">
        <v>67</v>
      </c>
      <c r="G203" s="429">
        <f t="shared" ref="G203:G211" si="126">0.001*X203*AI203</f>
        <v>465.03162639999994</v>
      </c>
      <c r="H203" s="580">
        <v>441</v>
      </c>
      <c r="I203" s="426">
        <f t="shared" si="122"/>
        <v>0.94832259778536232</v>
      </c>
      <c r="J203" s="396">
        <v>346</v>
      </c>
      <c r="K203" s="415">
        <v>498</v>
      </c>
      <c r="L203" s="396">
        <v>423</v>
      </c>
      <c r="M203" s="396">
        <v>472</v>
      </c>
      <c r="N203" s="396" t="s">
        <v>41</v>
      </c>
      <c r="O203" s="396" t="s">
        <v>41</v>
      </c>
      <c r="P203" s="398">
        <f t="shared" si="123"/>
        <v>979.63279999999986</v>
      </c>
      <c r="Q203" s="397" t="s">
        <v>41</v>
      </c>
      <c r="R203" s="415">
        <v>216000</v>
      </c>
      <c r="S203" s="422">
        <v>535</v>
      </c>
      <c r="T203" s="396" t="s">
        <v>41</v>
      </c>
      <c r="U203" s="397">
        <f t="shared" si="112"/>
        <v>94.667200000000037</v>
      </c>
      <c r="V203" s="397" t="s">
        <v>41</v>
      </c>
      <c r="W203" s="415">
        <v>216000</v>
      </c>
      <c r="X203" s="397">
        <f t="shared" si="121"/>
        <v>432.86942790654376</v>
      </c>
      <c r="Y203" s="575">
        <v>216000</v>
      </c>
      <c r="Z203" s="565">
        <f t="shared" si="124"/>
        <v>2.0040251291969617E-3</v>
      </c>
      <c r="AA203" s="575">
        <f t="shared" si="101"/>
        <v>472</v>
      </c>
      <c r="AB203" s="586"/>
      <c r="AC203" s="585">
        <v>362.2</v>
      </c>
      <c r="AD203" s="587">
        <v>120</v>
      </c>
      <c r="AE203" s="588">
        <v>80</v>
      </c>
      <c r="AF203" s="587">
        <v>2.83</v>
      </c>
      <c r="AG203" s="587">
        <v>3.9</v>
      </c>
      <c r="AH203" s="425">
        <f t="shared" si="119"/>
        <v>6.73</v>
      </c>
      <c r="AI203" s="587">
        <v>1074.3</v>
      </c>
      <c r="AJ203" s="426">
        <f t="shared" si="107"/>
        <v>94.667200000000037</v>
      </c>
      <c r="AK203" s="1147">
        <v>423</v>
      </c>
      <c r="AL203" s="396">
        <v>216000</v>
      </c>
      <c r="AM203" s="397">
        <f t="shared" si="125"/>
        <v>1.9583333333333332E-3</v>
      </c>
      <c r="AN203" s="427">
        <f t="shared" si="105"/>
        <v>472</v>
      </c>
      <c r="AO203" s="428"/>
      <c r="AP203" s="195"/>
      <c r="AQ203" s="195"/>
      <c r="AR203" s="195"/>
      <c r="AS203" s="195"/>
      <c r="AT203" s="195"/>
      <c r="AU203" s="195"/>
      <c r="AV203" s="195"/>
      <c r="AW203" s="195"/>
      <c r="AX203" s="195"/>
      <c r="AY203" s="195"/>
      <c r="AZ203" s="1116"/>
      <c r="BA203" s="1114"/>
      <c r="BB203" s="195"/>
      <c r="BC203" s="1114"/>
      <c r="BD203" s="1114"/>
      <c r="BE203" s="195"/>
      <c r="BF203" s="1114"/>
      <c r="BG203" s="1114"/>
      <c r="BH203" s="1114"/>
      <c r="BI203" s="1114"/>
      <c r="BJ203" s="195"/>
      <c r="BK203" s="195"/>
      <c r="BL203" s="195"/>
      <c r="BM203" s="1114"/>
      <c r="BN203" s="195"/>
      <c r="BO203" s="1114"/>
      <c r="BP203" s="1114"/>
      <c r="BQ203" s="195"/>
      <c r="BR203" s="195"/>
      <c r="BS203" s="195"/>
      <c r="BT203" s="1114"/>
      <c r="BU203" s="176"/>
      <c r="BV203" s="176"/>
      <c r="BW203" s="176"/>
      <c r="BX203" s="743"/>
      <c r="BY203" s="195"/>
      <c r="BZ203" s="176"/>
      <c r="CA203" s="195"/>
      <c r="CB203" s="195"/>
      <c r="CC203" s="176"/>
      <c r="CD203" s="195"/>
      <c r="CE203" s="195"/>
      <c r="CF203" s="195"/>
      <c r="CG203" s="195"/>
      <c r="CH203" s="176"/>
      <c r="CI203" s="176"/>
      <c r="CJ203" s="195"/>
      <c r="CK203" s="195"/>
      <c r="CL203" s="195"/>
      <c r="CM203" s="273"/>
      <c r="CN203" s="195"/>
      <c r="CO203" s="176"/>
      <c r="CP203" s="195"/>
      <c r="CQ203" s="176"/>
      <c r="CR203" s="195"/>
      <c r="CS203" s="195"/>
      <c r="CT203" s="195"/>
      <c r="CU203" s="176"/>
      <c r="CV203" s="176"/>
      <c r="CW203" s="195"/>
      <c r="CX203" s="1114"/>
      <c r="CY203" s="176"/>
      <c r="CZ203" s="195"/>
      <c r="DA203" s="1116"/>
      <c r="DB203" s="1116"/>
      <c r="DC203" s="195"/>
      <c r="DP203" s="637"/>
      <c r="DW203" s="497"/>
      <c r="EA203" s="195"/>
    </row>
    <row r="204" spans="1:131" s="491" customFormat="1" ht="15" customHeight="1" x14ac:dyDescent="0.45">
      <c r="A204" s="1553"/>
      <c r="B204" s="1555"/>
      <c r="C204" s="802" t="s">
        <v>127</v>
      </c>
      <c r="D204" s="660" t="s">
        <v>219</v>
      </c>
      <c r="E204" s="423" t="s">
        <v>73</v>
      </c>
      <c r="F204" s="424" t="s">
        <v>67</v>
      </c>
      <c r="G204" s="429">
        <f t="shared" si="126"/>
        <v>238.09772200000003</v>
      </c>
      <c r="H204" s="580">
        <v>278</v>
      </c>
      <c r="I204" s="426">
        <f t="shared" si="122"/>
        <v>1.1675878192568343</v>
      </c>
      <c r="J204" s="396">
        <v>339</v>
      </c>
      <c r="K204" s="415">
        <v>478</v>
      </c>
      <c r="L204" s="396">
        <v>454</v>
      </c>
      <c r="M204" s="396">
        <v>475</v>
      </c>
      <c r="N204" s="396" t="s">
        <v>41</v>
      </c>
      <c r="O204" s="396" t="s">
        <v>41</v>
      </c>
      <c r="P204" s="398">
        <f t="shared" si="123"/>
        <v>426.55799999999999</v>
      </c>
      <c r="Q204" s="397" t="s">
        <v>41</v>
      </c>
      <c r="R204" s="415">
        <v>219300</v>
      </c>
      <c r="S204" s="422">
        <v>545</v>
      </c>
      <c r="T204" s="396" t="s">
        <v>41</v>
      </c>
      <c r="U204" s="397">
        <f t="shared" si="112"/>
        <v>81.54200000000003</v>
      </c>
      <c r="V204" s="397" t="s">
        <v>41</v>
      </c>
      <c r="W204" s="415">
        <v>219300</v>
      </c>
      <c r="X204" s="397">
        <f t="shared" si="121"/>
        <v>468.60405825624878</v>
      </c>
      <c r="Y204" s="575">
        <v>219300</v>
      </c>
      <c r="Z204" s="565">
        <f t="shared" si="124"/>
        <v>2.1368174111092058E-3</v>
      </c>
      <c r="AA204" s="575">
        <f t="shared" si="101"/>
        <v>475</v>
      </c>
      <c r="AB204" s="586"/>
      <c r="AC204" s="585">
        <v>122.1</v>
      </c>
      <c r="AD204" s="587">
        <v>59.9</v>
      </c>
      <c r="AE204" s="588">
        <v>40</v>
      </c>
      <c r="AF204" s="587">
        <v>2.81</v>
      </c>
      <c r="AG204" s="587">
        <v>3.19</v>
      </c>
      <c r="AH204" s="425">
        <f t="shared" si="119"/>
        <v>6</v>
      </c>
      <c r="AI204" s="587">
        <v>508.1</v>
      </c>
      <c r="AJ204" s="426">
        <f t="shared" si="107"/>
        <v>81.54200000000003</v>
      </c>
      <c r="AK204" s="1147">
        <v>454</v>
      </c>
      <c r="AL204" s="396">
        <v>219300</v>
      </c>
      <c r="AM204" s="397">
        <f t="shared" si="125"/>
        <v>2.0702234382124944E-3</v>
      </c>
      <c r="AN204" s="427">
        <f t="shared" si="105"/>
        <v>475</v>
      </c>
      <c r="AO204" s="428"/>
      <c r="AP204" s="195"/>
      <c r="AQ204" s="195"/>
      <c r="AR204" s="195"/>
      <c r="AS204" s="195"/>
      <c r="AT204" s="195"/>
      <c r="AU204" s="195"/>
      <c r="AV204" s="195"/>
      <c r="AW204" s="195"/>
      <c r="AX204" s="195"/>
      <c r="AY204" s="195"/>
      <c r="AZ204" s="1116"/>
      <c r="BA204" s="1114"/>
      <c r="BB204" s="195"/>
      <c r="BC204" s="1114"/>
      <c r="BD204" s="1114"/>
      <c r="BE204" s="195"/>
      <c r="BF204" s="1114"/>
      <c r="BG204" s="1114"/>
      <c r="BH204" s="1114"/>
      <c r="BI204" s="1114"/>
      <c r="BJ204" s="195"/>
      <c r="BK204" s="195"/>
      <c r="BL204" s="195"/>
      <c r="BM204" s="1114"/>
      <c r="BN204" s="195"/>
      <c r="BO204" s="1114"/>
      <c r="BP204" s="1114"/>
      <c r="BQ204" s="195"/>
      <c r="BR204" s="195"/>
      <c r="BS204" s="195"/>
      <c r="BT204" s="1114"/>
      <c r="BU204" s="176"/>
      <c r="BV204" s="176"/>
      <c r="BW204" s="176"/>
      <c r="BX204" s="743"/>
      <c r="BY204" s="195"/>
      <c r="BZ204" s="176"/>
      <c r="CA204" s="195"/>
      <c r="CB204" s="195"/>
      <c r="CC204" s="176"/>
      <c r="CD204" s="195"/>
      <c r="CE204" s="195"/>
      <c r="CF204" s="195"/>
      <c r="CG204" s="195"/>
      <c r="CH204" s="176"/>
      <c r="CI204" s="176"/>
      <c r="CJ204" s="195"/>
      <c r="CK204" s="195"/>
      <c r="CL204" s="195"/>
      <c r="CM204" s="273"/>
      <c r="CN204" s="195"/>
      <c r="CO204" s="176"/>
      <c r="CP204" s="195"/>
      <c r="CQ204" s="176"/>
      <c r="CR204" s="195"/>
      <c r="CS204" s="195"/>
      <c r="CT204" s="195"/>
      <c r="CU204" s="176"/>
      <c r="CV204" s="176"/>
      <c r="CW204" s="195"/>
      <c r="CX204" s="1114"/>
      <c r="CY204" s="176"/>
      <c r="CZ204" s="195"/>
      <c r="DA204" s="1116"/>
      <c r="DB204" s="1116"/>
      <c r="DC204" s="195"/>
      <c r="DP204" s="637"/>
      <c r="DW204" s="497"/>
      <c r="EA204" s="195"/>
    </row>
    <row r="205" spans="1:131" s="491" customFormat="1" ht="15.75" customHeight="1" x14ac:dyDescent="0.45">
      <c r="A205" s="1553"/>
      <c r="B205" s="1555"/>
      <c r="C205" s="802" t="s">
        <v>127</v>
      </c>
      <c r="D205" s="660" t="s">
        <v>220</v>
      </c>
      <c r="E205" s="423" t="s">
        <v>73</v>
      </c>
      <c r="F205" s="424" t="s">
        <v>67</v>
      </c>
      <c r="G205" s="562">
        <f t="shared" si="126"/>
        <v>238.04322200000001</v>
      </c>
      <c r="H205" s="580">
        <v>271</v>
      </c>
      <c r="I205" s="563">
        <f t="shared" si="122"/>
        <v>1.1384487141583053</v>
      </c>
      <c r="J205" s="396">
        <v>339</v>
      </c>
      <c r="K205" s="415">
        <v>478</v>
      </c>
      <c r="L205" s="396">
        <v>454</v>
      </c>
      <c r="M205" s="396">
        <v>475</v>
      </c>
      <c r="N205" s="396" t="s">
        <v>41</v>
      </c>
      <c r="O205" s="396" t="s">
        <v>41</v>
      </c>
      <c r="P205" s="398">
        <f t="shared" si="123"/>
        <v>426.55799999999999</v>
      </c>
      <c r="Q205" s="397" t="s">
        <v>41</v>
      </c>
      <c r="R205" s="415">
        <v>219300</v>
      </c>
      <c r="S205" s="422">
        <v>545</v>
      </c>
      <c r="T205" s="396" t="s">
        <v>41</v>
      </c>
      <c r="U205" s="397">
        <f t="shared" si="112"/>
        <v>81.442000000000007</v>
      </c>
      <c r="V205" s="397" t="s">
        <v>41</v>
      </c>
      <c r="W205" s="415">
        <v>219300</v>
      </c>
      <c r="X205" s="397">
        <f t="shared" si="121"/>
        <v>468.58901968503937</v>
      </c>
      <c r="Y205" s="575">
        <v>219300</v>
      </c>
      <c r="Z205" s="565">
        <f t="shared" si="124"/>
        <v>2.1367488357730935E-3</v>
      </c>
      <c r="AA205" s="575">
        <f t="shared" si="101"/>
        <v>475</v>
      </c>
      <c r="AB205" s="586"/>
      <c r="AC205" s="585">
        <v>122.1</v>
      </c>
      <c r="AD205" s="587">
        <v>59.9</v>
      </c>
      <c r="AE205" s="588">
        <v>40</v>
      </c>
      <c r="AF205" s="587">
        <v>2.81</v>
      </c>
      <c r="AG205" s="587">
        <v>3.19</v>
      </c>
      <c r="AH205" s="425">
        <f t="shared" si="119"/>
        <v>6</v>
      </c>
      <c r="AI205" s="587">
        <v>508</v>
      </c>
      <c r="AJ205" s="426">
        <f t="shared" si="107"/>
        <v>81.442000000000007</v>
      </c>
      <c r="AK205" s="1147">
        <v>454</v>
      </c>
      <c r="AL205" s="396">
        <v>219300</v>
      </c>
      <c r="AM205" s="397">
        <f t="shared" si="125"/>
        <v>2.0702234382124944E-3</v>
      </c>
      <c r="AN205" s="427">
        <f t="shared" si="105"/>
        <v>475</v>
      </c>
      <c r="AO205" s="428"/>
      <c r="AP205" s="195"/>
      <c r="AQ205" s="195"/>
      <c r="AR205" s="195"/>
      <c r="AS205" s="195"/>
      <c r="AT205" s="195"/>
      <c r="AU205" s="195"/>
      <c r="AV205" s="195"/>
      <c r="AW205" s="195"/>
      <c r="AX205" s="195"/>
      <c r="AY205" s="195"/>
      <c r="AZ205" s="1116"/>
      <c r="BA205" s="1114"/>
      <c r="BB205" s="195"/>
      <c r="BC205" s="1114"/>
      <c r="BD205" s="1114"/>
      <c r="BE205" s="195"/>
      <c r="BF205" s="1114"/>
      <c r="BG205" s="1114"/>
      <c r="BH205" s="1114"/>
      <c r="BI205" s="1114"/>
      <c r="BJ205" s="195"/>
      <c r="BK205" s="195"/>
      <c r="BL205" s="195"/>
      <c r="BM205" s="1114"/>
      <c r="BN205" s="195"/>
      <c r="BO205" s="1114"/>
      <c r="BP205" s="1114"/>
      <c r="BQ205" s="195"/>
      <c r="BR205" s="195"/>
      <c r="BS205" s="195"/>
      <c r="BT205" s="1114"/>
      <c r="BU205" s="176"/>
      <c r="BV205" s="176"/>
      <c r="BW205" s="176"/>
      <c r="BX205" s="743"/>
      <c r="BY205" s="195"/>
      <c r="BZ205" s="176"/>
      <c r="CA205" s="195"/>
      <c r="CB205" s="195"/>
      <c r="CC205" s="176"/>
      <c r="CD205" s="195"/>
      <c r="CE205" s="195"/>
      <c r="CF205" s="195"/>
      <c r="CG205" s="195"/>
      <c r="CH205" s="176"/>
      <c r="CI205" s="176"/>
      <c r="CJ205" s="195"/>
      <c r="CK205" s="195"/>
      <c r="CL205" s="195"/>
      <c r="CM205" s="273"/>
      <c r="CN205" s="195"/>
      <c r="CO205" s="176"/>
      <c r="CP205" s="195"/>
      <c r="CQ205" s="176"/>
      <c r="CR205" s="195"/>
      <c r="CS205" s="195"/>
      <c r="CT205" s="195"/>
      <c r="CU205" s="176"/>
      <c r="CV205" s="176"/>
      <c r="CW205" s="195"/>
      <c r="CX205" s="1114"/>
      <c r="CY205" s="176"/>
      <c r="CZ205" s="195"/>
      <c r="DA205" s="1116"/>
      <c r="DB205" s="1116"/>
      <c r="DC205" s="195"/>
      <c r="DP205" s="637"/>
      <c r="DW205" s="497"/>
      <c r="EA205" s="195"/>
    </row>
    <row r="206" spans="1:131" s="491" customFormat="1" ht="15.75" customHeight="1" x14ac:dyDescent="0.45">
      <c r="A206" s="1526" t="s">
        <v>332</v>
      </c>
      <c r="B206" s="1529" t="s">
        <v>309</v>
      </c>
      <c r="C206" s="16" t="s">
        <v>338</v>
      </c>
      <c r="D206" s="811" t="s">
        <v>340</v>
      </c>
      <c r="E206" s="311" t="s">
        <v>73</v>
      </c>
      <c r="F206" s="121" t="s">
        <v>67</v>
      </c>
      <c r="G206" s="223">
        <f t="shared" si="126"/>
        <v>1081.3459200000002</v>
      </c>
      <c r="H206" s="778">
        <v>1068.5999999999999</v>
      </c>
      <c r="I206" s="435">
        <f t="shared" si="122"/>
        <v>0.98821291155377888</v>
      </c>
      <c r="J206" s="263"/>
      <c r="K206" s="221"/>
      <c r="L206" s="382"/>
      <c r="M206" s="382"/>
      <c r="N206" s="382"/>
      <c r="O206" s="382"/>
      <c r="P206" s="172">
        <f t="shared" si="123"/>
        <v>3459.2</v>
      </c>
      <c r="Q206" s="218"/>
      <c r="R206" s="221"/>
      <c r="S206" s="382"/>
      <c r="T206" s="382"/>
      <c r="U206" s="218">
        <f t="shared" si="112"/>
        <v>0</v>
      </c>
      <c r="V206" s="218"/>
      <c r="W206" s="382"/>
      <c r="X206" s="779">
        <v>312.60000000000002</v>
      </c>
      <c r="Y206" s="542">
        <v>188600</v>
      </c>
      <c r="Z206" s="552">
        <f t="shared" si="124"/>
        <v>1.6574761399787913E-3</v>
      </c>
      <c r="AA206" s="542">
        <v>695.7</v>
      </c>
      <c r="AB206" s="785"/>
      <c r="AC206" s="793">
        <v>600.1</v>
      </c>
      <c r="AD206" s="794">
        <v>199.9</v>
      </c>
      <c r="AE206" s="795">
        <v>100.4</v>
      </c>
      <c r="AF206" s="796">
        <v>6</v>
      </c>
      <c r="AG206" s="796">
        <v>0</v>
      </c>
      <c r="AH206" s="272">
        <v>5</v>
      </c>
      <c r="AI206" s="796">
        <v>3459.2</v>
      </c>
      <c r="AJ206" s="218">
        <v>0</v>
      </c>
      <c r="AK206" s="220">
        <v>312.60000000000002</v>
      </c>
      <c r="AL206" s="774">
        <v>188600</v>
      </c>
      <c r="AM206" s="218">
        <f t="shared" si="125"/>
        <v>1.6574761399787913E-3</v>
      </c>
      <c r="AN206" s="774">
        <v>695.7</v>
      </c>
      <c r="AO206" s="314"/>
      <c r="AP206" s="195"/>
      <c r="AQ206" s="195"/>
      <c r="AR206" s="195"/>
      <c r="AS206" s="195"/>
      <c r="AT206" s="195"/>
      <c r="AU206" s="195"/>
      <c r="AV206" s="195"/>
      <c r="AW206" s="195"/>
      <c r="AX206" s="195"/>
      <c r="AY206" s="195"/>
      <c r="AZ206" s="1116"/>
      <c r="BA206" s="1114"/>
      <c r="BB206" s="195"/>
      <c r="BC206" s="1114"/>
      <c r="BD206" s="1114"/>
      <c r="BE206" s="195"/>
      <c r="BF206" s="1114"/>
      <c r="BG206" s="1114"/>
      <c r="BH206" s="176"/>
      <c r="BI206" s="1114"/>
      <c r="BJ206" s="195"/>
      <c r="BK206" s="195"/>
      <c r="BL206" s="195"/>
      <c r="BM206" s="176"/>
      <c r="BN206" s="195"/>
      <c r="BO206" s="1114"/>
      <c r="BP206" s="1114"/>
      <c r="BQ206" s="195"/>
      <c r="BR206" s="195"/>
      <c r="BS206" s="195"/>
      <c r="BT206" s="1114"/>
      <c r="BU206" s="176"/>
      <c r="BV206" s="176"/>
      <c r="BW206" s="176"/>
      <c r="BX206" s="743"/>
      <c r="BY206" s="195"/>
      <c r="BZ206" s="176"/>
      <c r="CA206" s="195"/>
      <c r="CB206" s="195"/>
      <c r="CC206" s="176"/>
      <c r="CD206" s="195"/>
      <c r="CE206" s="195"/>
      <c r="CF206" s="195"/>
      <c r="CG206" s="195"/>
      <c r="CH206" s="176"/>
      <c r="CI206" s="176"/>
      <c r="CJ206" s="195"/>
      <c r="CK206" s="195"/>
      <c r="CL206" s="195"/>
      <c r="CM206" s="273"/>
      <c r="CN206" s="195"/>
      <c r="CO206" s="176"/>
      <c r="CP206" s="195"/>
      <c r="CQ206" s="176"/>
      <c r="CR206" s="195"/>
      <c r="CS206" s="195"/>
      <c r="CT206" s="195"/>
      <c r="CU206" s="176"/>
      <c r="CV206" s="176"/>
      <c r="CW206" s="195"/>
      <c r="CX206" s="1114"/>
      <c r="CY206" s="176"/>
      <c r="CZ206" s="195"/>
      <c r="DA206" s="1116"/>
      <c r="DB206" s="1116"/>
      <c r="DC206" s="195"/>
      <c r="DP206" s="637"/>
      <c r="DW206" s="497"/>
      <c r="EA206" s="195"/>
    </row>
    <row r="207" spans="1:131" s="491" customFormat="1" ht="15.75" customHeight="1" x14ac:dyDescent="0.45">
      <c r="A207" s="1527"/>
      <c r="B207" s="1530"/>
      <c r="C207" s="15" t="s">
        <v>338</v>
      </c>
      <c r="D207" s="812" t="s">
        <v>341</v>
      </c>
      <c r="E207" s="309" t="s">
        <v>73</v>
      </c>
      <c r="F207" s="295" t="s">
        <v>67</v>
      </c>
      <c r="G207" s="223">
        <f t="shared" si="126"/>
        <v>1829.5852800000002</v>
      </c>
      <c r="H207" s="776">
        <v>1317.1</v>
      </c>
      <c r="I207" s="435">
        <f t="shared" si="122"/>
        <v>0.71988991953411419</v>
      </c>
      <c r="J207" s="155"/>
      <c r="K207" s="156"/>
      <c r="L207" s="655"/>
      <c r="M207" s="655"/>
      <c r="N207" s="655"/>
      <c r="O207" s="655"/>
      <c r="P207" s="176">
        <f t="shared" si="123"/>
        <v>5852.8</v>
      </c>
      <c r="Q207" s="195"/>
      <c r="R207" s="156"/>
      <c r="S207" s="655"/>
      <c r="T207" s="655"/>
      <c r="U207" s="195">
        <f t="shared" si="112"/>
        <v>0</v>
      </c>
      <c r="V207" s="195"/>
      <c r="W207" s="655"/>
      <c r="X207" s="780">
        <v>312.60000000000002</v>
      </c>
      <c r="Y207" s="543">
        <v>188600</v>
      </c>
      <c r="Z207" s="565">
        <f t="shared" si="124"/>
        <v>1.6574761399787913E-3</v>
      </c>
      <c r="AA207" s="543">
        <v>695.7</v>
      </c>
      <c r="AB207" s="781"/>
      <c r="AC207" s="788">
        <v>901.2</v>
      </c>
      <c r="AD207" s="786">
        <v>299.7</v>
      </c>
      <c r="AE207" s="787">
        <v>200.05</v>
      </c>
      <c r="AF207" s="743">
        <v>6</v>
      </c>
      <c r="AG207" s="743">
        <v>0</v>
      </c>
      <c r="AH207" s="273">
        <v>5</v>
      </c>
      <c r="AI207" s="743">
        <v>5852.8</v>
      </c>
      <c r="AJ207" s="195">
        <v>0</v>
      </c>
      <c r="AK207" s="225">
        <v>312.60000000000002</v>
      </c>
      <c r="AL207" s="538">
        <v>188600</v>
      </c>
      <c r="AM207" s="195">
        <f t="shared" si="125"/>
        <v>1.6574761399787913E-3</v>
      </c>
      <c r="AN207" s="538">
        <v>695.7</v>
      </c>
      <c r="AO207" s="385"/>
      <c r="AP207" s="195"/>
      <c r="AQ207" s="195"/>
      <c r="AR207" s="195"/>
      <c r="AS207" s="195"/>
      <c r="AT207" s="195"/>
      <c r="AU207" s="195"/>
      <c r="AV207" s="195"/>
      <c r="AW207" s="195"/>
      <c r="AX207" s="195"/>
      <c r="AY207" s="195"/>
      <c r="AZ207" s="1116"/>
      <c r="BA207" s="1114"/>
      <c r="BB207" s="195"/>
      <c r="BC207" s="1114"/>
      <c r="BD207" s="1114"/>
      <c r="BE207" s="195"/>
      <c r="BF207" s="1114"/>
      <c r="BG207" s="1114"/>
      <c r="BH207" s="176"/>
      <c r="BI207" s="1114"/>
      <c r="BJ207" s="195"/>
      <c r="BK207" s="195"/>
      <c r="BL207" s="195"/>
      <c r="BM207" s="176"/>
      <c r="BN207" s="195"/>
      <c r="BO207" s="1114"/>
      <c r="BP207" s="1114"/>
      <c r="BQ207" s="195"/>
      <c r="BR207" s="195"/>
      <c r="BS207" s="195"/>
      <c r="BT207" s="1114"/>
      <c r="BU207" s="176"/>
      <c r="BV207" s="176"/>
      <c r="BW207" s="176"/>
      <c r="BX207" s="743"/>
      <c r="BY207" s="195"/>
      <c r="BZ207" s="176"/>
      <c r="CA207" s="195"/>
      <c r="CB207" s="195"/>
      <c r="CC207" s="176"/>
      <c r="CD207" s="195"/>
      <c r="CE207" s="195"/>
      <c r="CF207" s="195"/>
      <c r="CG207" s="195"/>
      <c r="CH207" s="176"/>
      <c r="CI207" s="176"/>
      <c r="CJ207" s="195"/>
      <c r="CK207" s="195"/>
      <c r="CL207" s="195"/>
      <c r="CM207" s="273"/>
      <c r="CN207" s="195"/>
      <c r="CO207" s="176"/>
      <c r="CP207" s="195"/>
      <c r="CQ207" s="176"/>
      <c r="CR207" s="195"/>
      <c r="CS207" s="195"/>
      <c r="CT207" s="195"/>
      <c r="CU207" s="176"/>
      <c r="CV207" s="176"/>
      <c r="CW207" s="195"/>
      <c r="CX207" s="1114"/>
      <c r="CY207" s="176"/>
      <c r="CZ207" s="195"/>
      <c r="DA207" s="1116"/>
      <c r="DB207" s="1116"/>
      <c r="DC207" s="195"/>
      <c r="DP207" s="637"/>
      <c r="DW207" s="497"/>
      <c r="EA207" s="195"/>
    </row>
    <row r="208" spans="1:131" s="491" customFormat="1" ht="15.75" customHeight="1" x14ac:dyDescent="0.45">
      <c r="A208" s="1527"/>
      <c r="B208" s="1531"/>
      <c r="C208" s="122" t="s">
        <v>338</v>
      </c>
      <c r="D208" s="813" t="s">
        <v>347</v>
      </c>
      <c r="E208" s="309" t="s">
        <v>73</v>
      </c>
      <c r="F208" s="295" t="s">
        <v>67</v>
      </c>
      <c r="G208" s="223">
        <f t="shared" si="126"/>
        <v>2206.6434000000004</v>
      </c>
      <c r="H208" s="776">
        <v>1351.7</v>
      </c>
      <c r="I208" s="435">
        <f t="shared" si="122"/>
        <v>0.61255932879775676</v>
      </c>
      <c r="J208" s="155"/>
      <c r="K208" s="156"/>
      <c r="L208" s="655"/>
      <c r="M208" s="655"/>
      <c r="N208" s="655"/>
      <c r="O208" s="655"/>
      <c r="P208" s="176">
        <f t="shared" si="123"/>
        <v>7059</v>
      </c>
      <c r="Q208" s="195"/>
      <c r="R208" s="156"/>
      <c r="S208" s="655"/>
      <c r="T208" s="655"/>
      <c r="U208" s="195">
        <f t="shared" si="112"/>
        <v>0</v>
      </c>
      <c r="V208" s="195"/>
      <c r="W208" s="655"/>
      <c r="X208" s="780">
        <v>312.60000000000002</v>
      </c>
      <c r="Y208" s="543">
        <v>188600</v>
      </c>
      <c r="Z208" s="565">
        <f t="shared" si="124"/>
        <v>1.6574761399787913E-3</v>
      </c>
      <c r="AA208" s="543">
        <v>695.7</v>
      </c>
      <c r="AB208" s="781"/>
      <c r="AC208" s="788">
        <v>1201.5</v>
      </c>
      <c r="AD208" s="786">
        <v>400.25</v>
      </c>
      <c r="AE208" s="787">
        <v>200</v>
      </c>
      <c r="AF208" s="743">
        <v>6</v>
      </c>
      <c r="AG208" s="743">
        <v>0</v>
      </c>
      <c r="AH208" s="273">
        <v>5</v>
      </c>
      <c r="AI208" s="743">
        <v>7059</v>
      </c>
      <c r="AJ208" s="195">
        <v>0</v>
      </c>
      <c r="AK208" s="225">
        <v>312.60000000000002</v>
      </c>
      <c r="AL208" s="538">
        <v>188600</v>
      </c>
      <c r="AM208" s="195">
        <f t="shared" si="125"/>
        <v>1.6574761399787913E-3</v>
      </c>
      <c r="AN208" s="538">
        <v>695.7</v>
      </c>
      <c r="AO208" s="385"/>
      <c r="AP208" s="195"/>
      <c r="AQ208" s="195"/>
      <c r="AR208" s="195"/>
      <c r="AS208" s="195"/>
      <c r="AT208" s="195"/>
      <c r="AU208" s="195"/>
      <c r="AV208" s="195"/>
      <c r="AW208" s="195"/>
      <c r="AX208" s="195"/>
      <c r="AY208" s="195"/>
      <c r="AZ208" s="1116"/>
      <c r="BA208" s="1114"/>
      <c r="BB208" s="195"/>
      <c r="BC208" s="1114"/>
      <c r="BD208" s="1114"/>
      <c r="BE208" s="195"/>
      <c r="BF208" s="1114"/>
      <c r="BG208" s="1114"/>
      <c r="BH208" s="176"/>
      <c r="BI208" s="1114"/>
      <c r="BJ208" s="195"/>
      <c r="BK208" s="195"/>
      <c r="BL208" s="195"/>
      <c r="BM208" s="176"/>
      <c r="BN208" s="195"/>
      <c r="BO208" s="1114"/>
      <c r="BP208" s="1114"/>
      <c r="BQ208" s="195"/>
      <c r="BR208" s="195"/>
      <c r="BS208" s="195"/>
      <c r="BT208" s="1114"/>
      <c r="BU208" s="176"/>
      <c r="BV208" s="176"/>
      <c r="BW208" s="176"/>
      <c r="BX208" s="743"/>
      <c r="BY208" s="195"/>
      <c r="BZ208" s="176"/>
      <c r="CA208" s="195"/>
      <c r="CB208" s="195"/>
      <c r="CC208" s="176"/>
      <c r="CD208" s="195"/>
      <c r="CE208" s="195"/>
      <c r="CF208" s="195"/>
      <c r="CG208" s="195"/>
      <c r="CH208" s="176"/>
      <c r="CI208" s="176"/>
      <c r="CJ208" s="195"/>
      <c r="CK208" s="195"/>
      <c r="CL208" s="195"/>
      <c r="CM208" s="273"/>
      <c r="CN208" s="195"/>
      <c r="CO208" s="176"/>
      <c r="CP208" s="195"/>
      <c r="CQ208" s="176"/>
      <c r="CR208" s="195"/>
      <c r="CS208" s="195"/>
      <c r="CT208" s="195"/>
      <c r="CU208" s="176"/>
      <c r="CV208" s="176"/>
      <c r="CW208" s="195"/>
      <c r="CX208" s="1114"/>
      <c r="CY208" s="176"/>
      <c r="CZ208" s="195"/>
      <c r="DA208" s="1116"/>
      <c r="DB208" s="1116"/>
      <c r="DC208" s="195"/>
      <c r="DP208" s="637"/>
      <c r="DW208" s="497"/>
      <c r="EA208" s="195"/>
    </row>
    <row r="209" spans="1:131" s="491" customFormat="1" ht="15.75" customHeight="1" x14ac:dyDescent="0.45">
      <c r="A209" s="1527"/>
      <c r="B209" s="1530" t="s">
        <v>310</v>
      </c>
      <c r="C209" s="15" t="s">
        <v>338</v>
      </c>
      <c r="D209" s="812" t="s">
        <v>348</v>
      </c>
      <c r="E209" s="309" t="s">
        <v>73</v>
      </c>
      <c r="F209" s="295" t="s">
        <v>67</v>
      </c>
      <c r="G209" s="223">
        <f t="shared" si="126"/>
        <v>2096.7083200000002</v>
      </c>
      <c r="H209" s="776">
        <v>1802.5</v>
      </c>
      <c r="I209" s="435">
        <f t="shared" si="122"/>
        <v>0.8596808544166028</v>
      </c>
      <c r="J209" s="155"/>
      <c r="K209" s="156"/>
      <c r="L209" s="655"/>
      <c r="M209" s="655"/>
      <c r="N209" s="655"/>
      <c r="O209" s="655"/>
      <c r="P209" s="176">
        <f t="shared" si="123"/>
        <v>3462.2</v>
      </c>
      <c r="Q209" s="195"/>
      <c r="R209" s="156"/>
      <c r="S209" s="655"/>
      <c r="T209" s="655"/>
      <c r="U209" s="195">
        <f t="shared" si="112"/>
        <v>0</v>
      </c>
      <c r="V209" s="195"/>
      <c r="W209" s="655"/>
      <c r="X209" s="780">
        <v>605.6</v>
      </c>
      <c r="Y209" s="543">
        <v>193200</v>
      </c>
      <c r="Z209" s="565">
        <f t="shared" si="124"/>
        <v>3.1345755693581783E-3</v>
      </c>
      <c r="AA209" s="543">
        <v>797.9</v>
      </c>
      <c r="AB209" s="781"/>
      <c r="AC209" s="788">
        <v>399.5</v>
      </c>
      <c r="AD209" s="786">
        <v>200.1</v>
      </c>
      <c r="AE209" s="787">
        <v>100.4</v>
      </c>
      <c r="AF209" s="743">
        <v>6</v>
      </c>
      <c r="AG209" s="743">
        <v>0</v>
      </c>
      <c r="AH209" s="273">
        <v>5</v>
      </c>
      <c r="AI209" s="743">
        <v>3462.2</v>
      </c>
      <c r="AJ209" s="195">
        <v>0</v>
      </c>
      <c r="AK209" s="225">
        <v>605.6</v>
      </c>
      <c r="AL209" s="538">
        <v>193200</v>
      </c>
      <c r="AM209" s="195">
        <f t="shared" si="125"/>
        <v>3.1345755693581783E-3</v>
      </c>
      <c r="AN209" s="538">
        <v>797.9</v>
      </c>
      <c r="AO209" s="385"/>
      <c r="AP209" s="195"/>
      <c r="AQ209" s="195"/>
      <c r="AR209" s="195"/>
      <c r="AS209" s="195"/>
      <c r="AT209" s="195"/>
      <c r="AU209" s="195"/>
      <c r="AV209" s="195"/>
      <c r="AW209" s="195"/>
      <c r="AX209" s="195"/>
      <c r="AY209" s="195"/>
      <c r="AZ209" s="1116"/>
      <c r="BA209" s="1114"/>
      <c r="BB209" s="195"/>
      <c r="BC209" s="1114"/>
      <c r="BD209" s="1114"/>
      <c r="BE209" s="195"/>
      <c r="BF209" s="1114"/>
      <c r="BG209" s="1114"/>
      <c r="BH209" s="176"/>
      <c r="BI209" s="1114"/>
      <c r="BJ209" s="195"/>
      <c r="BK209" s="195"/>
      <c r="BL209" s="195"/>
      <c r="BM209" s="176"/>
      <c r="BN209" s="195"/>
      <c r="BO209" s="1114"/>
      <c r="BP209" s="1114"/>
      <c r="BQ209" s="195"/>
      <c r="BR209" s="195"/>
      <c r="BS209" s="195"/>
      <c r="BT209" s="1114"/>
      <c r="BU209" s="176"/>
      <c r="BV209" s="176"/>
      <c r="BW209" s="176"/>
      <c r="BX209" s="743"/>
      <c r="BY209" s="195"/>
      <c r="BZ209" s="176"/>
      <c r="CA209" s="195"/>
      <c r="CB209" s="195"/>
      <c r="CC209" s="176"/>
      <c r="CD209" s="195"/>
      <c r="CE209" s="195"/>
      <c r="CF209" s="195"/>
      <c r="CG209" s="195"/>
      <c r="CH209" s="176"/>
      <c r="CI209" s="176"/>
      <c r="CJ209" s="195"/>
      <c r="CK209" s="195"/>
      <c r="CL209" s="195"/>
      <c r="CM209" s="273"/>
      <c r="CN209" s="195"/>
      <c r="CO209" s="176"/>
      <c r="CP209" s="195"/>
      <c r="CQ209" s="176"/>
      <c r="CR209" s="195"/>
      <c r="CS209" s="195"/>
      <c r="CT209" s="195"/>
      <c r="CU209" s="176"/>
      <c r="CV209" s="176"/>
      <c r="CW209" s="195"/>
      <c r="CX209" s="1114"/>
      <c r="CY209" s="176"/>
      <c r="CZ209" s="195"/>
      <c r="DA209" s="1116"/>
      <c r="DB209" s="1116"/>
      <c r="DC209" s="195"/>
      <c r="DP209" s="637"/>
      <c r="DW209" s="497"/>
      <c r="EA209" s="195"/>
    </row>
    <row r="210" spans="1:131" s="491" customFormat="1" ht="15.75" customHeight="1" x14ac:dyDescent="0.45">
      <c r="A210" s="1527"/>
      <c r="B210" s="1530"/>
      <c r="C210" s="15" t="s">
        <v>338</v>
      </c>
      <c r="D210" s="812" t="s">
        <v>344</v>
      </c>
      <c r="E210" s="309" t="s">
        <v>73</v>
      </c>
      <c r="F210" s="295" t="s">
        <v>67</v>
      </c>
      <c r="G210" s="223">
        <f t="shared" si="126"/>
        <v>3557.0521600000002</v>
      </c>
      <c r="H210" s="776">
        <v>2140.4</v>
      </c>
      <c r="I210" s="435">
        <f t="shared" si="122"/>
        <v>0.60173421803294558</v>
      </c>
      <c r="J210" s="155"/>
      <c r="K210" s="156"/>
      <c r="L210" s="655"/>
      <c r="M210" s="655"/>
      <c r="N210" s="655"/>
      <c r="O210" s="655"/>
      <c r="P210" s="176">
        <f t="shared" si="123"/>
        <v>5873.6</v>
      </c>
      <c r="Q210" s="195"/>
      <c r="R210" s="156"/>
      <c r="S210" s="655"/>
      <c r="T210" s="655"/>
      <c r="U210" s="195">
        <f t="shared" si="112"/>
        <v>0</v>
      </c>
      <c r="V210" s="195"/>
      <c r="W210" s="655"/>
      <c r="X210" s="780">
        <v>605.6</v>
      </c>
      <c r="Y210" s="543">
        <v>193200</v>
      </c>
      <c r="Z210" s="565">
        <f t="shared" si="124"/>
        <v>3.1345755693581783E-3</v>
      </c>
      <c r="AA210" s="543">
        <v>797.9</v>
      </c>
      <c r="AB210" s="781"/>
      <c r="AC210" s="788">
        <v>898.9</v>
      </c>
      <c r="AD210" s="786">
        <v>300.55</v>
      </c>
      <c r="AE210" s="787">
        <v>200.9</v>
      </c>
      <c r="AF210" s="743">
        <v>6</v>
      </c>
      <c r="AG210" s="743">
        <v>0</v>
      </c>
      <c r="AH210" s="273">
        <v>5</v>
      </c>
      <c r="AI210" s="743">
        <v>5873.6</v>
      </c>
      <c r="AJ210" s="195">
        <v>0</v>
      </c>
      <c r="AK210" s="225">
        <v>605.6</v>
      </c>
      <c r="AL210" s="538">
        <v>193200</v>
      </c>
      <c r="AM210" s="195">
        <f t="shared" si="125"/>
        <v>3.1345755693581783E-3</v>
      </c>
      <c r="AN210" s="538">
        <v>797.9</v>
      </c>
      <c r="AO210" s="385"/>
      <c r="AP210" s="195"/>
      <c r="AQ210" s="195"/>
      <c r="AR210" s="195"/>
      <c r="AS210" s="195"/>
      <c r="AT210" s="195"/>
      <c r="AU210" s="195"/>
      <c r="AV210" s="195"/>
      <c r="AW210" s="195"/>
      <c r="AX210" s="195"/>
      <c r="AY210" s="195"/>
      <c r="AZ210" s="1116"/>
      <c r="BA210" s="1114"/>
      <c r="BB210" s="195"/>
      <c r="BC210" s="1114"/>
      <c r="BD210" s="1114"/>
      <c r="BE210" s="195"/>
      <c r="BF210" s="1114"/>
      <c r="BG210" s="1114"/>
      <c r="BH210" s="176"/>
      <c r="BI210" s="1114"/>
      <c r="BJ210" s="195"/>
      <c r="BK210" s="195"/>
      <c r="BL210" s="195"/>
      <c r="BM210" s="176"/>
      <c r="BN210" s="195"/>
      <c r="BO210" s="1114"/>
      <c r="BP210" s="1114"/>
      <c r="BQ210" s="195"/>
      <c r="BR210" s="195"/>
      <c r="BS210" s="195"/>
      <c r="BT210" s="1114"/>
      <c r="BU210" s="176"/>
      <c r="BV210" s="176"/>
      <c r="BW210" s="176"/>
      <c r="BX210" s="743"/>
      <c r="BY210" s="195"/>
      <c r="BZ210" s="176"/>
      <c r="CA210" s="195"/>
      <c r="CB210" s="195"/>
      <c r="CC210" s="176"/>
      <c r="CD210" s="195"/>
      <c r="CE210" s="195"/>
      <c r="CF210" s="195"/>
      <c r="CG210" s="195"/>
      <c r="CH210" s="176"/>
      <c r="CI210" s="176"/>
      <c r="CJ210" s="195"/>
      <c r="CK210" s="195"/>
      <c r="CL210" s="195"/>
      <c r="CM210" s="273"/>
      <c r="CN210" s="195"/>
      <c r="CO210" s="176"/>
      <c r="CP210" s="195"/>
      <c r="CQ210" s="176"/>
      <c r="CR210" s="195"/>
      <c r="CS210" s="195"/>
      <c r="CT210" s="195"/>
      <c r="CU210" s="176"/>
      <c r="CV210" s="176"/>
      <c r="CW210" s="195"/>
      <c r="CX210" s="1114"/>
      <c r="CY210" s="176"/>
      <c r="CZ210" s="195"/>
      <c r="DA210" s="1116"/>
      <c r="DB210" s="1116"/>
      <c r="DC210" s="195"/>
      <c r="DP210" s="637"/>
      <c r="DW210" s="497"/>
      <c r="EA210" s="195"/>
    </row>
    <row r="211" spans="1:131" s="491" customFormat="1" ht="15.75" customHeight="1" thickBot="1" x14ac:dyDescent="0.5">
      <c r="A211" s="1528"/>
      <c r="B211" s="1601"/>
      <c r="C211" s="12" t="s">
        <v>338</v>
      </c>
      <c r="D211" s="814" t="s">
        <v>349</v>
      </c>
      <c r="E211" s="310" t="s">
        <v>73</v>
      </c>
      <c r="F211" s="123" t="s">
        <v>67</v>
      </c>
      <c r="G211" s="632">
        <f t="shared" si="126"/>
        <v>4283.1665600000006</v>
      </c>
      <c r="H211" s="777">
        <v>2320.3000000000002</v>
      </c>
      <c r="I211" s="483">
        <f t="shared" si="122"/>
        <v>0.54172537245434604</v>
      </c>
      <c r="J211" s="305"/>
      <c r="K211" s="241"/>
      <c r="L211" s="240"/>
      <c r="M211" s="240"/>
      <c r="N211" s="240"/>
      <c r="O211" s="240"/>
      <c r="P211" s="193">
        <f t="shared" si="123"/>
        <v>7072.6</v>
      </c>
      <c r="Q211" s="238"/>
      <c r="R211" s="241"/>
      <c r="S211" s="240"/>
      <c r="T211" s="240"/>
      <c r="U211" s="238">
        <f t="shared" si="112"/>
        <v>0</v>
      </c>
      <c r="V211" s="238"/>
      <c r="W211" s="240"/>
      <c r="X211" s="782">
        <v>605.6</v>
      </c>
      <c r="Y211" s="783">
        <v>193200</v>
      </c>
      <c r="Z211" s="578">
        <f t="shared" si="124"/>
        <v>3.1345755693581783E-3</v>
      </c>
      <c r="AA211" s="783">
        <v>797.9</v>
      </c>
      <c r="AB211" s="784"/>
      <c r="AC211" s="789">
        <v>1051</v>
      </c>
      <c r="AD211" s="790">
        <v>401.25</v>
      </c>
      <c r="AE211" s="791">
        <v>200.15</v>
      </c>
      <c r="AF211" s="792">
        <v>6</v>
      </c>
      <c r="AG211" s="792">
        <v>0</v>
      </c>
      <c r="AH211" s="276">
        <v>5</v>
      </c>
      <c r="AI211" s="792">
        <v>7072.6</v>
      </c>
      <c r="AJ211" s="238">
        <v>0</v>
      </c>
      <c r="AK211" s="239">
        <v>605.6</v>
      </c>
      <c r="AL211" s="775">
        <v>193200</v>
      </c>
      <c r="AM211" s="238">
        <f t="shared" si="125"/>
        <v>3.1345755693581783E-3</v>
      </c>
      <c r="AN211" s="775">
        <v>797.9</v>
      </c>
      <c r="AO211" s="527"/>
      <c r="AP211" s="195"/>
      <c r="AQ211" s="195"/>
      <c r="AR211" s="195"/>
      <c r="AS211" s="195"/>
      <c r="AT211" s="195"/>
      <c r="AU211" s="195"/>
      <c r="AV211" s="195"/>
      <c r="AW211" s="195"/>
      <c r="AX211" s="195"/>
      <c r="AY211" s="195"/>
      <c r="AZ211" s="1116"/>
      <c r="BA211" s="1114"/>
      <c r="BB211" s="195"/>
      <c r="BC211" s="1114"/>
      <c r="BD211" s="1114"/>
      <c r="BE211" s="195"/>
      <c r="BF211" s="1114"/>
      <c r="BG211" s="1114"/>
      <c r="BH211" s="176"/>
      <c r="BI211" s="1114"/>
      <c r="BJ211" s="195"/>
      <c r="BK211" s="195"/>
      <c r="BL211" s="195"/>
      <c r="BM211" s="176"/>
      <c r="BN211" s="195"/>
      <c r="BO211" s="1114"/>
      <c r="BP211" s="1114"/>
      <c r="BQ211" s="195"/>
      <c r="BR211" s="195"/>
      <c r="BS211" s="195"/>
      <c r="BT211" s="1114"/>
      <c r="BU211" s="176"/>
      <c r="BV211" s="176"/>
      <c r="BW211" s="176"/>
      <c r="BX211" s="743"/>
      <c r="BY211" s="195"/>
      <c r="BZ211" s="176"/>
      <c r="CA211" s="195"/>
      <c r="CB211" s="195"/>
      <c r="CC211" s="176"/>
      <c r="CD211" s="195"/>
      <c r="CE211" s="195"/>
      <c r="CF211" s="195"/>
      <c r="CG211" s="195"/>
      <c r="CH211" s="176"/>
      <c r="CI211" s="176"/>
      <c r="CJ211" s="195"/>
      <c r="CK211" s="195"/>
      <c r="CL211" s="195"/>
      <c r="CM211" s="273"/>
      <c r="CN211" s="195"/>
      <c r="CO211" s="176"/>
      <c r="CP211" s="195"/>
      <c r="CQ211" s="176"/>
      <c r="CR211" s="195"/>
      <c r="CS211" s="195"/>
      <c r="CT211" s="195"/>
      <c r="CU211" s="176"/>
      <c r="CV211" s="176"/>
      <c r="CW211" s="195"/>
      <c r="CX211" s="1114"/>
      <c r="CY211" s="176"/>
      <c r="CZ211" s="195"/>
      <c r="DA211" s="1116"/>
      <c r="DB211" s="1116"/>
      <c r="DC211" s="195"/>
      <c r="DP211" s="637"/>
      <c r="DW211" s="497"/>
      <c r="EA211" s="195"/>
    </row>
    <row r="212" spans="1:131" s="491" customFormat="1" ht="15.75" customHeight="1" x14ac:dyDescent="0.45">
      <c r="A212" s="738"/>
      <c r="B212" s="655"/>
      <c r="C212" s="201"/>
      <c r="D212" s="738"/>
      <c r="E212" s="201"/>
      <c r="F212" s="658"/>
      <c r="G212" s="195"/>
      <c r="H212" s="742"/>
      <c r="I212" s="195"/>
      <c r="J212" s="655"/>
      <c r="K212" s="655"/>
      <c r="L212" s="655"/>
      <c r="M212" s="655"/>
      <c r="N212" s="655"/>
      <c r="O212" s="655"/>
      <c r="P212" s="176"/>
      <c r="Q212" s="195"/>
      <c r="R212" s="655"/>
      <c r="S212" s="655"/>
      <c r="T212" s="655"/>
      <c r="U212" s="195"/>
      <c r="V212" s="195"/>
      <c r="W212" s="655"/>
      <c r="X212" s="195"/>
      <c r="Y212" s="538"/>
      <c r="Z212" s="195"/>
      <c r="AA212" s="538"/>
      <c r="AB212" s="538"/>
      <c r="AC212" s="743"/>
      <c r="AD212" s="743"/>
      <c r="AE212" s="744"/>
      <c r="AF212" s="743"/>
      <c r="AG212" s="743"/>
      <c r="AH212" s="273"/>
      <c r="AI212" s="743"/>
      <c r="AJ212" s="195"/>
      <c r="AK212" s="655"/>
      <c r="AL212" s="655"/>
      <c r="AM212" s="195"/>
      <c r="AN212" s="7"/>
      <c r="AO212" s="655"/>
      <c r="AP212" s="195"/>
      <c r="AQ212" s="195"/>
      <c r="AR212" s="195"/>
      <c r="AS212" s="195"/>
      <c r="AT212" s="195"/>
      <c r="AU212" s="195"/>
      <c r="AV212" s="195"/>
      <c r="AW212" s="195"/>
      <c r="AX212" s="195"/>
      <c r="AY212" s="195"/>
      <c r="AZ212" s="657"/>
      <c r="BA212" s="655"/>
      <c r="BB212" s="195"/>
      <c r="BC212" s="655"/>
      <c r="BD212" s="655"/>
      <c r="BE212" s="195"/>
      <c r="BF212" s="655"/>
      <c r="BG212" s="655"/>
      <c r="BH212" s="655"/>
      <c r="BI212" s="655"/>
      <c r="BJ212" s="195"/>
      <c r="BK212" s="195"/>
      <c r="BL212" s="195"/>
      <c r="BM212" s="655"/>
      <c r="BN212" s="195"/>
      <c r="BO212" s="655"/>
      <c r="BP212" s="655"/>
      <c r="BQ212" s="195"/>
      <c r="BR212" s="195"/>
      <c r="BS212" s="195"/>
      <c r="BT212" s="655"/>
      <c r="BU212" s="176"/>
      <c r="BV212" s="176"/>
      <c r="BW212" s="176"/>
      <c r="BX212" s="743"/>
      <c r="BY212" s="195"/>
      <c r="BZ212" s="176"/>
      <c r="CA212" s="195"/>
      <c r="CB212" s="195"/>
      <c r="CC212" s="176"/>
      <c r="CD212" s="195"/>
      <c r="CE212" s="195"/>
      <c r="CF212" s="195"/>
      <c r="CG212" s="195"/>
      <c r="CH212" s="176"/>
      <c r="CI212" s="176"/>
      <c r="CJ212" s="195"/>
      <c r="CK212" s="195"/>
      <c r="CL212" s="195"/>
      <c r="CM212" s="273"/>
      <c r="CN212" s="195"/>
      <c r="CO212" s="176"/>
      <c r="CP212" s="195"/>
      <c r="CQ212" s="176"/>
      <c r="CR212" s="195"/>
      <c r="CS212" s="195"/>
      <c r="CT212" s="195"/>
      <c r="CU212" s="176"/>
      <c r="CV212" s="176"/>
      <c r="CW212" s="195"/>
      <c r="CX212" s="655"/>
      <c r="CY212" s="176"/>
      <c r="CZ212" s="195"/>
      <c r="DA212" s="657"/>
      <c r="DB212" s="657"/>
      <c r="DC212" s="195"/>
      <c r="DP212" s="637"/>
      <c r="DW212" s="497"/>
      <c r="EA212" s="195"/>
    </row>
  </sheetData>
  <mergeCells count="137">
    <mergeCell ref="AJ96:AN96"/>
    <mergeCell ref="AC164:AJ164"/>
    <mergeCell ref="AK164:AO164"/>
    <mergeCell ref="B133:B134"/>
    <mergeCell ref="F3:G3"/>
    <mergeCell ref="H165:H166"/>
    <mergeCell ref="B151:B152"/>
    <mergeCell ref="J165:K165"/>
    <mergeCell ref="C43:C44"/>
    <mergeCell ref="E43:E44"/>
    <mergeCell ref="B53:B60"/>
    <mergeCell ref="C97:C98"/>
    <mergeCell ref="E97:E98"/>
    <mergeCell ref="I165:I166"/>
    <mergeCell ref="E165:E166"/>
    <mergeCell ref="B165:B166"/>
    <mergeCell ref="AC96:AI96"/>
    <mergeCell ref="X97:Z97"/>
    <mergeCell ref="AB97:AB98"/>
    <mergeCell ref="J96:AB96"/>
    <mergeCell ref="B61:B63"/>
    <mergeCell ref="B65:B68"/>
    <mergeCell ref="B69:B75"/>
    <mergeCell ref="B149:B150"/>
    <mergeCell ref="I43:I44"/>
    <mergeCell ref="N42:T42"/>
    <mergeCell ref="J42:M42"/>
    <mergeCell ref="H97:H98"/>
    <mergeCell ref="F43:F44"/>
    <mergeCell ref="H43:H44"/>
    <mergeCell ref="G43:G44"/>
    <mergeCell ref="L97:R97"/>
    <mergeCell ref="S97:W97"/>
    <mergeCell ref="U42:Y42"/>
    <mergeCell ref="A43:A44"/>
    <mergeCell ref="B43:B44"/>
    <mergeCell ref="A45:A52"/>
    <mergeCell ref="A53:A60"/>
    <mergeCell ref="A65:A68"/>
    <mergeCell ref="A149:A152"/>
    <mergeCell ref="A129:A134"/>
    <mergeCell ref="B129:B132"/>
    <mergeCell ref="A135:A138"/>
    <mergeCell ref="B135:B138"/>
    <mergeCell ref="A139:A142"/>
    <mergeCell ref="B139:B142"/>
    <mergeCell ref="B99:B113"/>
    <mergeCell ref="B123:B128"/>
    <mergeCell ref="B76:B85"/>
    <mergeCell ref="B86:B90"/>
    <mergeCell ref="A76:A90"/>
    <mergeCell ref="A69:A75"/>
    <mergeCell ref="A61:A64"/>
    <mergeCell ref="B97:B98"/>
    <mergeCell ref="B115:B116"/>
    <mergeCell ref="B117:B122"/>
    <mergeCell ref="B45:B52"/>
    <mergeCell ref="A5:A6"/>
    <mergeCell ref="A13:A18"/>
    <mergeCell ref="B13:B18"/>
    <mergeCell ref="B5:B6"/>
    <mergeCell ref="A7:A12"/>
    <mergeCell ref="B32:B36"/>
    <mergeCell ref="G5:G6"/>
    <mergeCell ref="L24:R24"/>
    <mergeCell ref="J23:AB23"/>
    <mergeCell ref="J24:K24"/>
    <mergeCell ref="C5:C6"/>
    <mergeCell ref="G24:G25"/>
    <mergeCell ref="A24:A25"/>
    <mergeCell ref="B24:B25"/>
    <mergeCell ref="C24:C25"/>
    <mergeCell ref="E24:E25"/>
    <mergeCell ref="F24:F25"/>
    <mergeCell ref="S24:W24"/>
    <mergeCell ref="H24:H25"/>
    <mergeCell ref="AB24:AB25"/>
    <mergeCell ref="A32:A36"/>
    <mergeCell ref="A26:A31"/>
    <mergeCell ref="B26:B31"/>
    <mergeCell ref="J4:AB4"/>
    <mergeCell ref="AC4:AJ4"/>
    <mergeCell ref="AB5:AB6"/>
    <mergeCell ref="X24:Z24"/>
    <mergeCell ref="AK4:AN4"/>
    <mergeCell ref="X5:Z5"/>
    <mergeCell ref="AC23:AJ23"/>
    <mergeCell ref="AK23:AN23"/>
    <mergeCell ref="B209:B211"/>
    <mergeCell ref="I24:I25"/>
    <mergeCell ref="H5:H6"/>
    <mergeCell ref="I5:I6"/>
    <mergeCell ref="S5:W5"/>
    <mergeCell ref="J5:K5"/>
    <mergeCell ref="L5:R5"/>
    <mergeCell ref="D5:D6"/>
    <mergeCell ref="E5:E6"/>
    <mergeCell ref="F5:F6"/>
    <mergeCell ref="B7:B12"/>
    <mergeCell ref="G97:G98"/>
    <mergeCell ref="G165:G166"/>
    <mergeCell ref="B143:B148"/>
    <mergeCell ref="B153:B156"/>
    <mergeCell ref="B157:B159"/>
    <mergeCell ref="AO165:AO166"/>
    <mergeCell ref="AB165:AB166"/>
    <mergeCell ref="X165:Z165"/>
    <mergeCell ref="F97:F98"/>
    <mergeCell ref="A202:A205"/>
    <mergeCell ref="B202:B205"/>
    <mergeCell ref="J164:AB164"/>
    <mergeCell ref="A200:A201"/>
    <mergeCell ref="C165:C166"/>
    <mergeCell ref="L165:R165"/>
    <mergeCell ref="S165:W165"/>
    <mergeCell ref="B200:B201"/>
    <mergeCell ref="A167:A182"/>
    <mergeCell ref="B167:B182"/>
    <mergeCell ref="A165:A166"/>
    <mergeCell ref="A97:A98"/>
    <mergeCell ref="A183:A184"/>
    <mergeCell ref="A115:A116"/>
    <mergeCell ref="A117:A128"/>
    <mergeCell ref="A99:A113"/>
    <mergeCell ref="A153:A159"/>
    <mergeCell ref="A143:A148"/>
    <mergeCell ref="I97:I98"/>
    <mergeCell ref="J97:K97"/>
    <mergeCell ref="A206:A211"/>
    <mergeCell ref="B206:B208"/>
    <mergeCell ref="A196:A199"/>
    <mergeCell ref="B196:B199"/>
    <mergeCell ref="A188:A195"/>
    <mergeCell ref="B188:B195"/>
    <mergeCell ref="A185:A187"/>
    <mergeCell ref="B185:B186"/>
    <mergeCell ref="B183:B184"/>
  </mergeCells>
  <conditionalFormatting sqref="BK167:BK212 BR167:BR212 AT91:AT92 BA91:BA92 BF7:BF18 AU45:AU90 BB45:BB90">
    <cfRule type="cellIs" dxfId="2" priority="13" operator="lessThan">
      <formula>0</formula>
    </cfRule>
  </conditionalFormatting>
  <conditionalFormatting sqref="DC167:DC212 CZ167:CZ212 CZ99:CZ161 CZ26:CZ36 DC26:DC36 CB45:CB90 CO7:CO18 CE45:CE92 CH91:CH92">
    <cfRule type="cellIs" dxfId="1" priority="8" operator="greaterThan">
      <formula>0.1</formula>
    </cfRule>
  </conditionalFormatting>
  <pageMargins left="0.7" right="0.7" top="0.75" bottom="0.75" header="0.3" footer="0.3"/>
  <pageSetup paperSize="9" orientation="portrait" r:id="rId1"/>
  <ignoredErrors>
    <ignoredError sqref="X114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EX660"/>
  <sheetViews>
    <sheetView tabSelected="1" topLeftCell="Z86" zoomScale="70" zoomScaleNormal="70" workbookViewId="0">
      <selection activeCell="AX104" sqref="AX104"/>
    </sheetView>
  </sheetViews>
  <sheetFormatPr defaultColWidth="9.06640625" defaultRowHeight="13.5" x14ac:dyDescent="0.35"/>
  <cols>
    <col min="1" max="1" width="9.06640625" style="331"/>
    <col min="2" max="2" width="33.796875" style="331" bestFit="1" customWidth="1"/>
    <col min="3" max="3" width="55.796875" style="331" bestFit="1" customWidth="1"/>
    <col min="4" max="4" width="55.796875" style="331" customWidth="1"/>
    <col min="5" max="5" width="25.73046875" style="331" customWidth="1"/>
    <col min="6" max="6" width="28.06640625" style="331" bestFit="1" customWidth="1"/>
    <col min="7" max="9" width="20.06640625" style="331" customWidth="1"/>
    <col min="10" max="10" width="20.265625" style="331" customWidth="1"/>
    <col min="11" max="12" width="10.73046875" style="331" bestFit="1" customWidth="1"/>
    <col min="13" max="13" width="12" style="331" bestFit="1" customWidth="1"/>
    <col min="14" max="14" width="12.59765625" style="331" bestFit="1" customWidth="1"/>
    <col min="15" max="15" width="15.59765625" style="331" customWidth="1"/>
    <col min="16" max="16" width="12.59765625" style="331" bestFit="1" customWidth="1"/>
    <col min="17" max="17" width="9.796875" style="331" customWidth="1"/>
    <col min="18" max="18" width="13.3984375" style="331" customWidth="1"/>
    <col min="19" max="19" width="17.59765625" style="331" bestFit="1" customWidth="1"/>
    <col min="20" max="20" width="18.06640625" style="331" bestFit="1" customWidth="1"/>
    <col min="21" max="21" width="18.73046875" style="331" bestFit="1" customWidth="1"/>
    <col min="22" max="22" width="19.06640625" style="331" bestFit="1" customWidth="1"/>
    <col min="23" max="23" width="9.06640625" style="331"/>
    <col min="24" max="24" width="11.59765625" style="331" bestFit="1" customWidth="1"/>
    <col min="25" max="25" width="11.73046875" style="331" customWidth="1"/>
    <col min="26" max="26" width="10" style="331" customWidth="1"/>
    <col min="27" max="27" width="9.796875" style="331" customWidth="1"/>
    <col min="28" max="29" width="9.06640625" style="331"/>
    <col min="30" max="30" width="11.73046875" style="331" customWidth="1"/>
    <col min="31" max="31" width="9.06640625" style="331"/>
    <col min="32" max="32" width="10.33203125" style="331" customWidth="1"/>
    <col min="33" max="33" width="11.46484375" style="331" customWidth="1"/>
    <col min="34" max="34" width="10.73046875" style="331" customWidth="1"/>
    <col min="35" max="36" width="9.06640625" style="331"/>
    <col min="37" max="37" width="13.06640625" style="331" customWidth="1"/>
    <col min="38" max="38" width="9.06640625" style="331"/>
    <col min="39" max="39" width="12.265625" style="331" customWidth="1"/>
    <col min="40" max="40" width="14.3984375" style="331" customWidth="1"/>
    <col min="41" max="41" width="11.59765625" style="331" customWidth="1"/>
    <col min="42" max="42" width="13.59765625" style="331" customWidth="1"/>
    <col min="43" max="43" width="15" style="331" customWidth="1"/>
    <col min="44" max="44" width="11.59765625" style="331" bestFit="1" customWidth="1"/>
    <col min="45" max="45" width="13.265625" style="331" bestFit="1" customWidth="1"/>
    <col min="46" max="46" width="13.265625" style="331" customWidth="1"/>
    <col min="47" max="47" width="10" style="331" customWidth="1"/>
    <col min="48" max="49" width="13" style="331" customWidth="1"/>
    <col min="50" max="50" width="20.73046875" style="331" bestFit="1" customWidth="1"/>
    <col min="51" max="53" width="20.73046875" style="331" customWidth="1"/>
    <col min="54" max="54" width="18.796875" style="331" bestFit="1" customWidth="1"/>
    <col min="55" max="55" width="10.06640625" style="331" customWidth="1"/>
    <col min="56" max="56" width="9.265625" style="331" bestFit="1" customWidth="1"/>
    <col min="57" max="57" width="9.59765625" style="331" bestFit="1" customWidth="1"/>
    <col min="58" max="58" width="9.59765625" style="331" customWidth="1"/>
    <col min="59" max="59" width="10" style="331" bestFit="1" customWidth="1"/>
    <col min="60" max="60" width="9.265625" style="331" bestFit="1" customWidth="1"/>
    <col min="61" max="61" width="11.59765625" style="331" bestFit="1" customWidth="1"/>
    <col min="62" max="62" width="12.796875" style="331" bestFit="1" customWidth="1"/>
    <col min="63" max="63" width="11.59765625" style="331" bestFit="1" customWidth="1"/>
    <col min="64" max="64" width="18.265625" style="331" bestFit="1" customWidth="1"/>
    <col min="65" max="65" width="13.33203125" style="331" bestFit="1" customWidth="1"/>
    <col min="66" max="67" width="14.33203125" style="331" bestFit="1" customWidth="1"/>
    <col min="68" max="68" width="12.73046875" style="331" customWidth="1"/>
    <col min="69" max="69" width="11.73046875" style="331" bestFit="1" customWidth="1"/>
    <col min="70" max="70" width="11.59765625" style="331" bestFit="1" customWidth="1"/>
    <col min="71" max="71" width="18.33203125" style="331" bestFit="1" customWidth="1"/>
    <col min="72" max="72" width="14.73046875" style="331" bestFit="1" customWidth="1"/>
    <col min="73" max="73" width="12" style="331" bestFit="1" customWidth="1"/>
    <col min="74" max="75" width="13.73046875" style="331" bestFit="1" customWidth="1"/>
    <col min="76" max="77" width="13.73046875" style="331" customWidth="1"/>
    <col min="78" max="79" width="13.796875" style="331" bestFit="1" customWidth="1"/>
    <col min="80" max="80" width="12.06640625" style="331" bestFit="1" customWidth="1"/>
    <col min="81" max="81" width="9.06640625" style="331"/>
    <col min="82" max="82" width="12" style="331" bestFit="1" customWidth="1"/>
    <col min="83" max="83" width="13.73046875" style="331" bestFit="1" customWidth="1"/>
    <col min="84" max="85" width="14.33203125" style="331" bestFit="1" customWidth="1"/>
    <col min="86" max="87" width="11.73046875" style="331" bestFit="1" customWidth="1"/>
    <col min="88" max="88" width="12.73046875" style="331" bestFit="1" customWidth="1"/>
    <col min="89" max="89" width="10.33203125" style="331" bestFit="1" customWidth="1"/>
    <col min="90" max="90" width="9.06640625" style="331"/>
    <col min="91" max="91" width="12.33203125" style="331" bestFit="1" customWidth="1"/>
    <col min="92" max="92" width="12.59765625" style="331" bestFit="1" customWidth="1"/>
    <col min="93" max="93" width="13.73046875" style="331" bestFit="1" customWidth="1"/>
    <col min="94" max="94" width="11.06640625" style="331" bestFit="1" customWidth="1"/>
    <col min="95" max="95" width="10.59765625" style="331" bestFit="1" customWidth="1"/>
    <col min="96" max="96" width="13.73046875" style="331" bestFit="1" customWidth="1"/>
    <col min="97" max="98" width="13.73046875" style="331" customWidth="1"/>
    <col min="99" max="99" width="15.06640625" style="331" bestFit="1" customWidth="1"/>
    <col min="100" max="100" width="12.33203125" style="331" bestFit="1" customWidth="1"/>
    <col min="101" max="101" width="11.796875" style="331" bestFit="1" customWidth="1"/>
    <col min="102" max="102" width="12" style="331" bestFit="1" customWidth="1"/>
    <col min="103" max="108" width="12" style="331" customWidth="1"/>
    <col min="109" max="109" width="9.06640625" style="331"/>
    <col min="110" max="110" width="14.796875" style="331" bestFit="1" customWidth="1"/>
    <col min="111" max="111" width="9.06640625" style="331"/>
    <col min="112" max="112" width="12.33203125" style="331" bestFit="1" customWidth="1"/>
    <col min="113" max="113" width="11.59765625" style="331" bestFit="1" customWidth="1"/>
    <col min="114" max="114" width="11.59765625" style="331" customWidth="1"/>
    <col min="115" max="115" width="12.06640625" style="331" bestFit="1" customWidth="1"/>
    <col min="116" max="119" width="9.06640625" style="331"/>
    <col min="120" max="121" width="13.59765625" style="331" customWidth="1"/>
    <col min="122" max="122" width="9.06640625" style="331"/>
    <col min="123" max="123" width="10" style="331" bestFit="1" customWidth="1"/>
    <col min="124" max="124" width="9.06640625" style="331"/>
    <col min="125" max="125" width="11.59765625" style="331" bestFit="1" customWidth="1"/>
    <col min="126" max="126" width="11.796875" style="331" bestFit="1" customWidth="1"/>
    <col min="127" max="129" width="11.796875" style="331" customWidth="1"/>
    <col min="130" max="130" width="17.06640625" style="331" bestFit="1" customWidth="1"/>
    <col min="131" max="131" width="12.06640625" style="331" customWidth="1"/>
    <col min="132" max="132" width="10.265625" style="335" customWidth="1"/>
    <col min="133" max="133" width="12.73046875" style="335" bestFit="1" customWidth="1"/>
    <col min="134" max="134" width="17.59765625" style="335" bestFit="1" customWidth="1"/>
    <col min="135" max="135" width="12.73046875" style="335" customWidth="1"/>
    <col min="136" max="136" width="10.33203125" style="331" bestFit="1" customWidth="1"/>
    <col min="137" max="137" width="9.06640625" style="331"/>
    <col min="138" max="138" width="19.59765625" style="335" bestFit="1" customWidth="1"/>
    <col min="139" max="139" width="12.59765625" style="331" customWidth="1"/>
    <col min="140" max="140" width="9.06640625" style="331"/>
    <col min="141" max="141" width="8.796875" style="331" bestFit="1" customWidth="1"/>
    <col min="142" max="147" width="9.06640625" style="331"/>
    <col min="148" max="149" width="13.46484375" style="331" bestFit="1" customWidth="1"/>
    <col min="150" max="150" width="13.265625" style="331" bestFit="1" customWidth="1"/>
    <col min="151" max="151" width="11" style="331" bestFit="1" customWidth="1"/>
    <col min="152" max="152" width="13.796875" style="331" bestFit="1" customWidth="1"/>
    <col min="153" max="153" width="13.06640625" style="331" bestFit="1" customWidth="1"/>
    <col min="154" max="16384" width="9.06640625" style="331"/>
  </cols>
  <sheetData>
    <row r="1" spans="1:138" x14ac:dyDescent="0.35">
      <c r="AO1" s="342"/>
      <c r="AP1" s="1171"/>
      <c r="AQ1" s="1171"/>
      <c r="AR1" s="342"/>
      <c r="AS1" s="342"/>
      <c r="AT1" s="342"/>
      <c r="AU1" s="342"/>
      <c r="AV1" s="342"/>
      <c r="AW1" s="342"/>
      <c r="AX1" s="342"/>
      <c r="AY1" s="342"/>
      <c r="AZ1" s="342"/>
      <c r="BA1" s="342"/>
      <c r="BB1" s="342"/>
      <c r="BC1" s="342"/>
    </row>
    <row r="2" spans="1:138" x14ac:dyDescent="0.35">
      <c r="F2" s="332"/>
      <c r="AO2" s="342"/>
      <c r="AP2" s="1171"/>
      <c r="AQ2" s="1171"/>
      <c r="AR2" s="342"/>
      <c r="AS2" s="345"/>
      <c r="AT2" s="345"/>
      <c r="AU2" s="345"/>
      <c r="AV2" s="345"/>
      <c r="AW2" s="345"/>
      <c r="AX2" s="342"/>
      <c r="AY2" s="342"/>
      <c r="AZ2" s="342"/>
      <c r="BA2" s="342"/>
      <c r="BB2" s="342"/>
      <c r="BC2" s="342"/>
      <c r="BH2" s="333"/>
      <c r="BI2" s="334"/>
      <c r="BJ2" s="334"/>
      <c r="BQ2" s="332"/>
    </row>
    <row r="3" spans="1:138" ht="13.9" x14ac:dyDescent="0.35">
      <c r="B3" s="336" t="s">
        <v>223</v>
      </c>
      <c r="C3" s="336"/>
      <c r="D3" s="336"/>
      <c r="E3" s="336"/>
      <c r="F3" s="337"/>
      <c r="AO3" s="1172"/>
      <c r="AP3" s="1172"/>
      <c r="AQ3" s="1172"/>
      <c r="AR3" s="342"/>
      <c r="AS3" s="345"/>
      <c r="AT3" s="345"/>
      <c r="AU3" s="1173"/>
      <c r="AV3" s="1174"/>
      <c r="AW3" s="1174"/>
      <c r="AX3" s="340"/>
      <c r="AY3" s="340"/>
      <c r="AZ3" s="340"/>
      <c r="BA3" s="340"/>
      <c r="BB3" s="341"/>
      <c r="BC3" s="342"/>
      <c r="BI3" s="338"/>
      <c r="BJ3" s="338"/>
      <c r="BQ3" s="332"/>
    </row>
    <row r="4" spans="1:138" ht="13.9" thickBot="1" x14ac:dyDescent="0.4">
      <c r="AS4" s="335"/>
      <c r="AT4" s="335"/>
      <c r="DV4" s="818"/>
      <c r="DW4" s="818"/>
    </row>
    <row r="5" spans="1:138" s="342" customFormat="1" ht="14.25" thickBot="1" x14ac:dyDescent="0.45">
      <c r="A5" s="331"/>
      <c r="B5" s="1776" t="s">
        <v>224</v>
      </c>
      <c r="C5" s="1746" t="s">
        <v>225</v>
      </c>
      <c r="D5" s="1268"/>
      <c r="E5" s="1746" t="s">
        <v>226</v>
      </c>
      <c r="F5" s="1746" t="s">
        <v>3</v>
      </c>
      <c r="G5" s="1779" t="s">
        <v>227</v>
      </c>
      <c r="H5" s="1752" t="s">
        <v>398</v>
      </c>
      <c r="I5" s="1752" t="s">
        <v>391</v>
      </c>
      <c r="J5" s="1752" t="s">
        <v>354</v>
      </c>
      <c r="K5" s="1773" t="s">
        <v>20</v>
      </c>
      <c r="L5" s="1774"/>
      <c r="M5" s="1774"/>
      <c r="N5" s="1774"/>
      <c r="O5" s="1774"/>
      <c r="P5" s="1774"/>
      <c r="Q5" s="1774"/>
      <c r="R5" s="1774"/>
      <c r="S5" s="1774"/>
      <c r="T5" s="1774"/>
      <c r="U5" s="1774"/>
      <c r="V5" s="1774"/>
      <c r="W5" s="1774"/>
      <c r="X5" s="1774"/>
      <c r="Y5" s="1774"/>
      <c r="Z5" s="1774"/>
      <c r="AA5" s="1774"/>
      <c r="AB5" s="1774"/>
      <c r="AC5" s="1775"/>
      <c r="AD5" s="1782" t="s">
        <v>228</v>
      </c>
      <c r="AE5" s="1782"/>
      <c r="AF5" s="1782"/>
      <c r="AG5" s="1782"/>
      <c r="AH5" s="1782"/>
      <c r="AI5" s="1782"/>
      <c r="AJ5" s="1782"/>
      <c r="AK5" s="1782"/>
      <c r="AL5" s="1782"/>
      <c r="AM5" s="1767" t="s">
        <v>229</v>
      </c>
      <c r="AN5" s="1768"/>
      <c r="AO5" s="1768"/>
      <c r="AP5" s="1768"/>
      <c r="AQ5" s="1769"/>
      <c r="AR5" s="1170"/>
      <c r="AS5" s="1170"/>
      <c r="AT5" s="1170"/>
      <c r="AU5" s="1170"/>
      <c r="AV5" s="1170"/>
      <c r="AW5" s="1170"/>
      <c r="AX5" s="1170"/>
      <c r="AY5" s="1170"/>
      <c r="AZ5" s="1170"/>
      <c r="BA5" s="1170"/>
      <c r="BB5" s="1170"/>
      <c r="BC5" s="286"/>
      <c r="BD5" s="286"/>
      <c r="BE5" s="286"/>
      <c r="BF5" s="286"/>
      <c r="BG5" s="286"/>
      <c r="BH5" s="286"/>
      <c r="BI5" s="286"/>
      <c r="BJ5" s="286"/>
      <c r="BK5" s="286"/>
      <c r="BL5" s="286"/>
      <c r="BM5" s="286"/>
      <c r="BN5" s="286"/>
      <c r="BO5" s="286"/>
      <c r="BP5" s="286"/>
      <c r="BQ5" s="286"/>
      <c r="BR5" s="286"/>
      <c r="BS5" s="286"/>
      <c r="BT5" s="286"/>
      <c r="BU5" s="286"/>
      <c r="BV5" s="286"/>
      <c r="BW5" s="286"/>
      <c r="BX5" s="286"/>
      <c r="BY5" s="286"/>
      <c r="BZ5" s="286"/>
      <c r="CA5" s="286"/>
      <c r="CB5" s="286"/>
      <c r="CC5" s="1097"/>
      <c r="CD5" s="1097"/>
      <c r="CE5" s="1097"/>
      <c r="CF5" s="1097"/>
      <c r="CG5" s="1097"/>
      <c r="CH5" s="1097"/>
      <c r="CI5" s="1097"/>
      <c r="CJ5" s="1097"/>
      <c r="CK5" s="1097"/>
      <c r="CL5" s="1097"/>
      <c r="CM5" s="1097"/>
      <c r="CN5" s="1097"/>
      <c r="CO5" s="1097"/>
      <c r="CP5" s="1097"/>
      <c r="CQ5" s="325"/>
      <c r="CR5" s="325"/>
      <c r="CS5" s="286"/>
      <c r="CT5" s="286"/>
      <c r="CU5" s="286"/>
      <c r="CV5" s="286"/>
      <c r="CW5" s="286"/>
      <c r="CX5" s="286"/>
      <c r="CY5" s="286"/>
      <c r="CZ5" s="286"/>
      <c r="DA5" s="286"/>
      <c r="DB5" s="286"/>
      <c r="DC5" s="286"/>
      <c r="DD5" s="286"/>
      <c r="DE5" s="286"/>
      <c r="DF5" s="286"/>
      <c r="DG5" s="286"/>
      <c r="DH5" s="286"/>
      <c r="DI5" s="286"/>
      <c r="DJ5" s="286"/>
      <c r="DK5" s="286"/>
      <c r="DL5" s="286"/>
      <c r="DM5" s="286"/>
      <c r="DN5" s="286"/>
      <c r="DO5" s="286"/>
      <c r="DP5" s="286"/>
      <c r="DQ5" s="286"/>
      <c r="DR5" s="286"/>
      <c r="DS5" s="286"/>
      <c r="DT5" s="286"/>
      <c r="DU5" s="286"/>
      <c r="DV5" s="286"/>
      <c r="DW5" s="286"/>
      <c r="DX5" s="1097"/>
      <c r="DY5" s="1097"/>
      <c r="DZ5" s="1097"/>
      <c r="EA5" s="1097"/>
      <c r="EB5" s="1116"/>
      <c r="EC5" s="289"/>
      <c r="ED5" s="1171"/>
      <c r="EE5" s="1171"/>
      <c r="EF5" s="1171"/>
      <c r="EG5" s="1171"/>
      <c r="EH5" s="1171"/>
    </row>
    <row r="6" spans="1:138" s="342" customFormat="1" ht="15" x14ac:dyDescent="0.35">
      <c r="A6" s="331"/>
      <c r="B6" s="1777"/>
      <c r="C6" s="1747"/>
      <c r="D6" s="1269"/>
      <c r="E6" s="1747"/>
      <c r="F6" s="1747"/>
      <c r="G6" s="1780"/>
      <c r="H6" s="1753"/>
      <c r="I6" s="1753"/>
      <c r="J6" s="1753"/>
      <c r="K6" s="1770" t="s">
        <v>17</v>
      </c>
      <c r="L6" s="1562"/>
      <c r="M6" s="1548" t="s">
        <v>146</v>
      </c>
      <c r="N6" s="1549"/>
      <c r="O6" s="1549"/>
      <c r="P6" s="1549"/>
      <c r="Q6" s="1549"/>
      <c r="R6" s="1549"/>
      <c r="S6" s="1562"/>
      <c r="T6" s="1548" t="s">
        <v>147</v>
      </c>
      <c r="U6" s="1549"/>
      <c r="V6" s="1549"/>
      <c r="W6" s="1549"/>
      <c r="X6" s="1562"/>
      <c r="Y6" s="1771" t="s">
        <v>20</v>
      </c>
      <c r="Z6" s="1549"/>
      <c r="AA6" s="1562"/>
      <c r="AB6" s="290" t="s">
        <v>197</v>
      </c>
      <c r="AC6" s="1546"/>
      <c r="AD6" s="820" t="s">
        <v>8</v>
      </c>
      <c r="AE6" s="821" t="s">
        <v>230</v>
      </c>
      <c r="AF6" s="821" t="s">
        <v>9</v>
      </c>
      <c r="AG6" s="822" t="s">
        <v>10</v>
      </c>
      <c r="AH6" s="821" t="s">
        <v>355</v>
      </c>
      <c r="AI6" s="821" t="s">
        <v>231</v>
      </c>
      <c r="AJ6" s="821" t="s">
        <v>11</v>
      </c>
      <c r="AK6" s="821" t="s">
        <v>356</v>
      </c>
      <c r="AL6" s="823" t="s">
        <v>15</v>
      </c>
      <c r="AM6" s="824" t="s">
        <v>357</v>
      </c>
      <c r="AN6" s="290" t="s">
        <v>197</v>
      </c>
      <c r="AO6" s="825" t="s">
        <v>358</v>
      </c>
      <c r="AP6" s="826" t="s">
        <v>359</v>
      </c>
      <c r="AQ6" s="1546" t="s">
        <v>392</v>
      </c>
      <c r="AR6" s="1114"/>
      <c r="AS6" s="1193" t="s">
        <v>395</v>
      </c>
      <c r="AT6" s="1193" t="s">
        <v>396</v>
      </c>
      <c r="AU6" s="1116"/>
      <c r="AV6" s="1116"/>
      <c r="AW6" s="1116"/>
      <c r="AX6" s="1116"/>
      <c r="AY6" s="1116"/>
      <c r="AZ6" s="1116"/>
      <c r="BA6" s="1116"/>
      <c r="BB6" s="1116"/>
      <c r="BC6" s="1116"/>
      <c r="BD6" s="1116"/>
      <c r="BE6" s="1116"/>
      <c r="BF6" s="1116"/>
      <c r="BG6" s="1116"/>
      <c r="BH6" s="1116"/>
      <c r="BI6" s="1116"/>
      <c r="BJ6" s="1116"/>
      <c r="BK6" s="1116"/>
      <c r="BL6" s="1116"/>
      <c r="BM6" s="1116"/>
      <c r="BN6" s="1116"/>
      <c r="BO6" s="1097"/>
      <c r="BP6" s="1097"/>
      <c r="BQ6" s="1097"/>
      <c r="BR6" s="1097"/>
      <c r="BS6" s="1097"/>
      <c r="BT6" s="1097"/>
      <c r="BU6" s="1097"/>
      <c r="BV6" s="1097"/>
      <c r="BW6" s="1097"/>
      <c r="BX6" s="1097"/>
      <c r="BY6" s="1097"/>
      <c r="BZ6" s="1097"/>
      <c r="CA6" s="1097"/>
      <c r="CB6" s="1097"/>
      <c r="CC6" s="1116"/>
      <c r="CD6" s="1114"/>
      <c r="CE6" s="1114"/>
      <c r="CF6" s="1114"/>
      <c r="CG6" s="1114"/>
      <c r="CH6" s="114"/>
      <c r="CI6" s="1114"/>
      <c r="CJ6" s="1114"/>
      <c r="CK6" s="325"/>
      <c r="CL6" s="325"/>
      <c r="CM6" s="325"/>
      <c r="CN6" s="325"/>
      <c r="CO6" s="325"/>
      <c r="CP6" s="325"/>
      <c r="CQ6" s="325"/>
      <c r="CR6" s="325"/>
      <c r="CS6" s="1114"/>
      <c r="CT6" s="1114"/>
      <c r="CU6" s="1114"/>
      <c r="CV6" s="1114"/>
      <c r="CW6" s="1114"/>
      <c r="CX6" s="1114"/>
      <c r="CY6" s="1114"/>
      <c r="CZ6" s="1114"/>
      <c r="DA6" s="1114"/>
      <c r="DB6" s="1114"/>
      <c r="DC6" s="114"/>
      <c r="DD6" s="1114"/>
      <c r="DE6" s="1114"/>
      <c r="DF6" s="1114"/>
      <c r="DG6" s="1114"/>
      <c r="DH6" s="1114"/>
      <c r="DI6" s="1114"/>
      <c r="DJ6" s="1114"/>
      <c r="DK6" s="1114"/>
      <c r="DL6" s="1114"/>
      <c r="DM6" s="1114"/>
      <c r="DN6" s="1114"/>
      <c r="DO6" s="1114"/>
      <c r="DP6" s="114"/>
      <c r="DQ6" s="1114"/>
      <c r="DR6" s="1114"/>
      <c r="DS6" s="1114"/>
      <c r="DT6" s="1114"/>
      <c r="DU6" s="1114"/>
      <c r="DV6" s="1114"/>
      <c r="DW6" s="1114"/>
      <c r="DX6" s="1114"/>
      <c r="DY6" s="1114"/>
      <c r="DZ6" s="1114"/>
      <c r="EA6" s="1114"/>
      <c r="EB6" s="1116"/>
      <c r="EC6" s="289"/>
      <c r="ED6" s="113"/>
      <c r="EE6" s="113"/>
      <c r="EF6" s="113"/>
      <c r="EG6" s="113"/>
      <c r="EH6" s="340"/>
    </row>
    <row r="7" spans="1:138" s="342" customFormat="1" ht="14.25" customHeight="1" thickBot="1" x14ac:dyDescent="0.4">
      <c r="A7" s="331"/>
      <c r="B7" s="1778"/>
      <c r="C7" s="1748"/>
      <c r="D7" s="1270"/>
      <c r="E7" s="1748"/>
      <c r="F7" s="1748"/>
      <c r="G7" s="1781"/>
      <c r="H7" s="829" t="s">
        <v>232</v>
      </c>
      <c r="I7" s="829" t="s">
        <v>232</v>
      </c>
      <c r="J7" s="829" t="s">
        <v>232</v>
      </c>
      <c r="K7" s="830" t="s">
        <v>26</v>
      </c>
      <c r="L7" s="831" t="s">
        <v>185</v>
      </c>
      <c r="M7" s="832" t="s">
        <v>27</v>
      </c>
      <c r="N7" s="833" t="s">
        <v>186</v>
      </c>
      <c r="O7" s="833" t="s">
        <v>28</v>
      </c>
      <c r="P7" s="833" t="s">
        <v>187</v>
      </c>
      <c r="Q7" s="833" t="s">
        <v>213</v>
      </c>
      <c r="R7" s="833" t="s">
        <v>189</v>
      </c>
      <c r="S7" s="831" t="s">
        <v>190</v>
      </c>
      <c r="T7" s="834" t="s">
        <v>27</v>
      </c>
      <c r="U7" s="722" t="s">
        <v>32</v>
      </c>
      <c r="V7" s="722" t="s">
        <v>33</v>
      </c>
      <c r="W7" s="833" t="s">
        <v>34</v>
      </c>
      <c r="X7" s="835" t="s">
        <v>31</v>
      </c>
      <c r="Y7" s="831" t="s">
        <v>35</v>
      </c>
      <c r="Z7" s="831" t="s">
        <v>36</v>
      </c>
      <c r="AA7" s="836" t="s">
        <v>180</v>
      </c>
      <c r="AB7" s="837" t="s">
        <v>23</v>
      </c>
      <c r="AC7" s="1772"/>
      <c r="AD7" s="838" t="s">
        <v>21</v>
      </c>
      <c r="AE7" s="839" t="s">
        <v>21</v>
      </c>
      <c r="AF7" s="839" t="s">
        <v>21</v>
      </c>
      <c r="AG7" s="840" t="s">
        <v>21</v>
      </c>
      <c r="AH7" s="839" t="s">
        <v>21</v>
      </c>
      <c r="AI7" s="839" t="s">
        <v>21</v>
      </c>
      <c r="AJ7" s="839" t="s">
        <v>21</v>
      </c>
      <c r="AK7" s="839" t="s">
        <v>360</v>
      </c>
      <c r="AL7" s="839" t="s">
        <v>22</v>
      </c>
      <c r="AM7" s="841" t="s">
        <v>361</v>
      </c>
      <c r="AN7" s="842" t="s">
        <v>361</v>
      </c>
      <c r="AO7" s="114" t="s">
        <v>362</v>
      </c>
      <c r="AP7" s="843" t="s">
        <v>361</v>
      </c>
      <c r="AQ7" s="1547"/>
      <c r="AR7" s="1165"/>
      <c r="AS7" s="1163" t="s">
        <v>397</v>
      </c>
      <c r="AT7" s="1163" t="s">
        <v>397</v>
      </c>
      <c r="AU7" s="1163"/>
      <c r="AV7" s="1163"/>
      <c r="AW7" s="1163"/>
      <c r="AX7" s="1163"/>
      <c r="AY7" s="1163"/>
      <c r="AZ7" s="1163"/>
      <c r="BA7" s="1163"/>
      <c r="BB7" s="1163"/>
      <c r="BC7" s="1114"/>
      <c r="BD7" s="1114"/>
      <c r="BE7" s="1114"/>
      <c r="BF7" s="1114"/>
      <c r="BG7" s="1114"/>
      <c r="BH7" s="1114"/>
      <c r="BI7" s="1114"/>
      <c r="BJ7" s="1114"/>
      <c r="BK7" s="1114"/>
      <c r="BL7" s="1114"/>
      <c r="BM7" s="1114"/>
      <c r="BN7" s="1114"/>
      <c r="BO7" s="1114"/>
      <c r="BP7" s="1114"/>
      <c r="BQ7" s="1114"/>
      <c r="BR7" s="1114"/>
      <c r="BS7" s="1114"/>
      <c r="BT7" s="1114"/>
      <c r="BU7" s="1114"/>
      <c r="BV7" s="1114"/>
      <c r="BW7" s="1114"/>
      <c r="BX7" s="1114"/>
      <c r="BY7" s="1114"/>
      <c r="BZ7" s="1114"/>
      <c r="CA7" s="1114"/>
      <c r="CB7" s="1114"/>
      <c r="CC7" s="1116"/>
      <c r="CD7" s="1163"/>
      <c r="CE7" s="1163"/>
      <c r="CF7" s="1163"/>
      <c r="CG7" s="1163"/>
      <c r="CH7" s="1163"/>
      <c r="CI7" s="1163"/>
      <c r="CJ7" s="1163"/>
      <c r="CK7" s="844"/>
      <c r="CL7" s="844"/>
      <c r="CM7" s="844"/>
      <c r="CN7" s="844"/>
      <c r="CO7" s="844"/>
      <c r="CP7" s="844"/>
      <c r="CQ7" s="1163"/>
      <c r="CR7" s="1163"/>
      <c r="CS7" s="1114"/>
      <c r="CT7" s="1114"/>
      <c r="CU7" s="1114"/>
      <c r="CV7" s="1114"/>
      <c r="CW7" s="1114"/>
      <c r="CX7" s="1114"/>
      <c r="CY7" s="1114"/>
      <c r="CZ7" s="1114"/>
      <c r="DA7" s="1114"/>
      <c r="DB7" s="1114"/>
      <c r="DC7" s="1116"/>
      <c r="DD7" s="1114"/>
      <c r="DE7" s="1114"/>
      <c r="DF7" s="1114"/>
      <c r="DG7" s="1114"/>
      <c r="DH7" s="1114"/>
      <c r="DI7" s="1114"/>
      <c r="DJ7" s="1114"/>
      <c r="DK7" s="1114"/>
      <c r="DL7" s="1114"/>
      <c r="DM7" s="1114"/>
      <c r="DN7" s="1114"/>
      <c r="DO7" s="1114"/>
      <c r="DP7" s="1116"/>
      <c r="DQ7" s="1114"/>
      <c r="DR7" s="1114"/>
      <c r="DS7" s="1114"/>
      <c r="DT7" s="1114"/>
      <c r="DU7" s="1114"/>
      <c r="DV7" s="1114"/>
      <c r="DW7" s="1114"/>
      <c r="DX7" s="1114"/>
      <c r="DY7" s="1114"/>
      <c r="DZ7" s="1114"/>
      <c r="EA7" s="1114"/>
      <c r="EB7" s="1116"/>
      <c r="EC7" s="289"/>
      <c r="ED7" s="113"/>
      <c r="EE7" s="113"/>
      <c r="EF7" s="113"/>
      <c r="EG7" s="113"/>
      <c r="EH7" s="340"/>
    </row>
    <row r="8" spans="1:138" s="342" customFormat="1" ht="14.25" customHeight="1" x14ac:dyDescent="0.35">
      <c r="A8" s="331"/>
      <c r="B8" s="1693" t="s">
        <v>363</v>
      </c>
      <c r="C8" s="1783" t="s">
        <v>364</v>
      </c>
      <c r="D8" s="1258"/>
      <c r="E8" s="1783"/>
      <c r="F8" s="1784">
        <v>1.4300999999999999</v>
      </c>
      <c r="G8" s="971" t="s">
        <v>235</v>
      </c>
      <c r="H8" s="971"/>
      <c r="I8" s="1206"/>
      <c r="J8" s="845">
        <v>31.85</v>
      </c>
      <c r="K8" s="846"/>
      <c r="L8" s="847"/>
      <c r="M8" s="848">
        <v>442</v>
      </c>
      <c r="N8" s="325">
        <v>661</v>
      </c>
      <c r="O8" s="325" t="s">
        <v>41</v>
      </c>
      <c r="P8" s="325" t="s">
        <v>41</v>
      </c>
      <c r="Q8" s="243">
        <f>AK8-AL8</f>
        <v>1375.9998938564081</v>
      </c>
      <c r="R8" s="243">
        <f>Q8-8*(2*AG8*AG8)</f>
        <v>1119.9998938564081</v>
      </c>
      <c r="S8" s="266">
        <v>161160</v>
      </c>
      <c r="T8" s="848" t="s">
        <v>41</v>
      </c>
      <c r="U8" s="325">
        <f>0.83*N8</f>
        <v>548.63</v>
      </c>
      <c r="V8" s="243">
        <f t="shared" ref="V8:V19" si="0">AL8</f>
        <v>125.66370614359171</v>
      </c>
      <c r="W8" s="325">
        <f>V8+8*(2*AG8*AG8)</f>
        <v>381.6637061435917</v>
      </c>
      <c r="X8" s="266">
        <v>161160</v>
      </c>
      <c r="Y8" s="282">
        <f>((M8*R8)+(U8*W8))/(R8+W8)</f>
        <v>469.10114368230757</v>
      </c>
      <c r="Z8" s="325">
        <f>S8</f>
        <v>161160</v>
      </c>
      <c r="AA8" s="325">
        <f>Y8/Z8</f>
        <v>2.9107790002625192E-3</v>
      </c>
      <c r="AB8" s="325">
        <f>N8</f>
        <v>661</v>
      </c>
      <c r="AC8" s="849"/>
      <c r="AD8" s="850">
        <v>2800</v>
      </c>
      <c r="AE8" s="851">
        <v>120</v>
      </c>
      <c r="AF8" s="851">
        <v>80</v>
      </c>
      <c r="AG8" s="852">
        <v>4</v>
      </c>
      <c r="AH8" s="851">
        <v>3</v>
      </c>
      <c r="AI8" s="851">
        <f>AE8-2*(AG8+AH8)</f>
        <v>106</v>
      </c>
      <c r="AJ8" s="851">
        <f>AF8-2*(AG8+AH8)</f>
        <v>66</v>
      </c>
      <c r="AK8" s="853">
        <f t="shared" ref="AK8:AK15" si="1">3.14159*(((AH8+AG8)^2)-(AH8^2))+2*AG8*(AE8-2*(AG8+AH8))+2*AG8*(AF8-2*(AG8+AH8))</f>
        <v>1501.6635999999999</v>
      </c>
      <c r="AL8" s="853">
        <f>PI()*(AH8+AG8)^2-PI()*(AH8^2)</f>
        <v>125.66370614359171</v>
      </c>
      <c r="AM8" s="854">
        <f>M8</f>
        <v>442</v>
      </c>
      <c r="AN8" s="855">
        <f>N8</f>
        <v>661</v>
      </c>
      <c r="AO8" s="856">
        <f>AM8/AP8</f>
        <v>2.7426160337552744E-3</v>
      </c>
      <c r="AP8" s="857">
        <v>161160</v>
      </c>
      <c r="AQ8" s="858">
        <v>7</v>
      </c>
      <c r="AR8" s="151"/>
      <c r="AS8" s="1163" t="s">
        <v>397</v>
      </c>
      <c r="AT8" s="1163" t="s">
        <v>397</v>
      </c>
      <c r="AU8" s="886"/>
      <c r="AV8" s="888"/>
      <c r="AW8" s="888"/>
      <c r="AX8" s="888"/>
      <c r="AY8" s="888"/>
      <c r="AZ8" s="888"/>
      <c r="BA8" s="888"/>
      <c r="BB8" s="887"/>
      <c r="BC8" s="862"/>
      <c r="BD8" s="325"/>
      <c r="BE8" s="151"/>
      <c r="BF8" s="325"/>
      <c r="BG8" s="151"/>
      <c r="BH8" s="151"/>
      <c r="BI8" s="151"/>
      <c r="BJ8" s="151"/>
      <c r="BK8" s="243"/>
      <c r="BL8" s="243"/>
      <c r="BM8" s="862"/>
      <c r="BN8" s="862"/>
      <c r="BO8" s="862"/>
      <c r="BP8" s="862"/>
      <c r="BQ8" s="151"/>
      <c r="BR8" s="325"/>
      <c r="BS8" s="889"/>
      <c r="BT8" s="151"/>
      <c r="BU8" s="151"/>
      <c r="BV8" s="325"/>
      <c r="BW8" s="151"/>
      <c r="BX8" s="151"/>
      <c r="BY8" s="151"/>
      <c r="BZ8" s="862"/>
      <c r="CA8" s="862"/>
      <c r="CB8" s="151"/>
      <c r="CC8" s="325"/>
      <c r="CD8" s="862"/>
      <c r="CE8" s="862"/>
      <c r="CF8" s="862"/>
      <c r="CG8" s="890"/>
      <c r="CH8" s="862"/>
      <c r="CI8" s="862"/>
      <c r="CJ8" s="862"/>
      <c r="CK8" s="151"/>
      <c r="CL8" s="862"/>
      <c r="CM8" s="151"/>
      <c r="CN8" s="151"/>
      <c r="CO8" s="151"/>
      <c r="CP8" s="151"/>
      <c r="CQ8" s="862"/>
      <c r="CR8" s="862"/>
      <c r="CS8" s="862"/>
      <c r="CT8" s="862"/>
      <c r="CU8" s="151"/>
      <c r="CV8" s="151"/>
      <c r="CW8" s="151"/>
      <c r="CX8" s="862"/>
      <c r="CY8" s="862"/>
      <c r="CZ8" s="862"/>
      <c r="DA8" s="151"/>
      <c r="DB8" s="862"/>
      <c r="DC8" s="151"/>
      <c r="DD8" s="151"/>
      <c r="DE8" s="151"/>
      <c r="DF8" s="862"/>
      <c r="DG8" s="243"/>
      <c r="DH8" s="862"/>
      <c r="DI8" s="862"/>
      <c r="DJ8" s="151"/>
      <c r="DK8" s="151"/>
      <c r="DL8" s="151"/>
      <c r="DM8" s="862"/>
      <c r="DN8" s="151"/>
      <c r="DO8" s="1002"/>
      <c r="DP8" s="151"/>
      <c r="DQ8" s="151"/>
      <c r="DR8" s="862"/>
      <c r="DS8" s="151"/>
      <c r="DT8" s="862"/>
      <c r="DU8" s="862"/>
      <c r="DV8" s="862"/>
      <c r="DW8" s="862"/>
      <c r="DX8" s="151"/>
      <c r="DY8" s="862"/>
      <c r="DZ8" s="862"/>
      <c r="EA8" s="862"/>
      <c r="EB8" s="151"/>
      <c r="EC8" s="151"/>
      <c r="ED8" s="1166"/>
      <c r="EE8" s="958"/>
      <c r="EF8" s="341"/>
      <c r="EG8" s="819"/>
      <c r="EH8" s="341"/>
    </row>
    <row r="9" spans="1:138" s="342" customFormat="1" ht="14.25" customHeight="1" thickBot="1" x14ac:dyDescent="0.4">
      <c r="A9" s="331"/>
      <c r="B9" s="1695"/>
      <c r="C9" s="1788"/>
      <c r="D9" s="1265"/>
      <c r="E9" s="1785"/>
      <c r="F9" s="1785"/>
      <c r="G9" s="1183" t="s">
        <v>235</v>
      </c>
      <c r="H9" s="1183"/>
      <c r="I9" s="1207"/>
      <c r="J9" s="863">
        <v>31.5</v>
      </c>
      <c r="K9" s="864"/>
      <c r="L9" s="865"/>
      <c r="M9" s="866">
        <v>442</v>
      </c>
      <c r="N9" s="235">
        <v>661</v>
      </c>
      <c r="O9" s="235" t="s">
        <v>41</v>
      </c>
      <c r="P9" s="235" t="s">
        <v>41</v>
      </c>
      <c r="Q9" s="299">
        <f t="shared" ref="Q9:Q26" si="2">AK9-AL9</f>
        <v>1376</v>
      </c>
      <c r="R9" s="299">
        <f t="shared" ref="R9:R19" si="3">Q9-8*(2*AG9*AG9)</f>
        <v>1120</v>
      </c>
      <c r="S9" s="275">
        <v>161160</v>
      </c>
      <c r="T9" s="866" t="s">
        <v>41</v>
      </c>
      <c r="U9" s="235">
        <f>0.83*N9</f>
        <v>548.63</v>
      </c>
      <c r="V9" s="299">
        <f t="shared" si="0"/>
        <v>125.66359999999986</v>
      </c>
      <c r="W9" s="235">
        <f>V9+8*(2*AG9*AG9)</f>
        <v>381.66359999999986</v>
      </c>
      <c r="X9" s="275">
        <v>161160</v>
      </c>
      <c r="Y9" s="293">
        <f>((M9*R9)+(U9*W9))/(R9+W9)</f>
        <v>469.10113614527251</v>
      </c>
      <c r="Z9" s="235">
        <f t="shared" ref="Z9:Z71" si="4">S9</f>
        <v>161160</v>
      </c>
      <c r="AA9" s="235">
        <f t="shared" ref="AA9:AA19" si="5">Y9/Z9</f>
        <v>2.9107789534951137E-3</v>
      </c>
      <c r="AB9" s="235">
        <f t="shared" ref="AB9:AB71" si="6">N9</f>
        <v>661</v>
      </c>
      <c r="AC9" s="867"/>
      <c r="AD9" s="868">
        <v>2800</v>
      </c>
      <c r="AE9" s="869">
        <v>120</v>
      </c>
      <c r="AF9" s="869">
        <v>80</v>
      </c>
      <c r="AG9" s="870">
        <v>4</v>
      </c>
      <c r="AH9" s="869">
        <v>3</v>
      </c>
      <c r="AI9" s="869">
        <f t="shared" ref="AI9:AI71" si="7">AE9-2*(AG9+AH9)</f>
        <v>106</v>
      </c>
      <c r="AJ9" s="869">
        <f t="shared" ref="AJ9:AJ71" si="8">AF9-2*(AG9+AH9)</f>
        <v>66</v>
      </c>
      <c r="AK9" s="871">
        <f t="shared" si="1"/>
        <v>1501.6635999999999</v>
      </c>
      <c r="AL9" s="871">
        <f t="shared" ref="AL9:AL71" si="9">AK9-2*AG9*(AF9-2*(AG9+AH9))-2*AG9*(AE9-2*(AG9+AH9))</f>
        <v>125.66359999999986</v>
      </c>
      <c r="AM9" s="872">
        <f t="shared" ref="AM9:AN71" si="10">M9</f>
        <v>442</v>
      </c>
      <c r="AN9" s="873">
        <f t="shared" si="10"/>
        <v>661</v>
      </c>
      <c r="AO9" s="874">
        <f t="shared" ref="AO9:AO71" si="11">AM9/AP9</f>
        <v>2.7426160337552744E-3</v>
      </c>
      <c r="AP9" s="875">
        <v>161160</v>
      </c>
      <c r="AQ9" s="876">
        <v>7</v>
      </c>
      <c r="AR9" s="151"/>
      <c r="AS9" s="1163" t="s">
        <v>397</v>
      </c>
      <c r="AT9" s="1163" t="s">
        <v>397</v>
      </c>
      <c r="AU9" s="886"/>
      <c r="AV9" s="888"/>
      <c r="AW9" s="888"/>
      <c r="AX9" s="888"/>
      <c r="AY9" s="888"/>
      <c r="AZ9" s="888"/>
      <c r="BA9" s="888"/>
      <c r="BB9" s="887"/>
      <c r="BC9" s="862"/>
      <c r="BD9" s="325"/>
      <c r="BE9" s="151"/>
      <c r="BF9" s="325"/>
      <c r="BG9" s="151"/>
      <c r="BH9" s="151"/>
      <c r="BI9" s="151"/>
      <c r="BJ9" s="151"/>
      <c r="BK9" s="243"/>
      <c r="BL9" s="243"/>
      <c r="BM9" s="862"/>
      <c r="BN9" s="862"/>
      <c r="BO9" s="862"/>
      <c r="BP9" s="862"/>
      <c r="BQ9" s="151"/>
      <c r="BR9" s="325"/>
      <c r="BS9" s="889"/>
      <c r="BT9" s="151"/>
      <c r="BU9" s="151"/>
      <c r="BV9" s="325"/>
      <c r="BW9" s="151"/>
      <c r="BX9" s="151"/>
      <c r="BY9" s="151"/>
      <c r="BZ9" s="862"/>
      <c r="CA9" s="862"/>
      <c r="CB9" s="151"/>
      <c r="CC9" s="325"/>
      <c r="CD9" s="862"/>
      <c r="CE9" s="862"/>
      <c r="CF9" s="862"/>
      <c r="CG9" s="890"/>
      <c r="CH9" s="862"/>
      <c r="CI9" s="862"/>
      <c r="CJ9" s="862"/>
      <c r="CK9" s="151"/>
      <c r="CL9" s="862"/>
      <c r="CM9" s="151"/>
      <c r="CN9" s="151"/>
      <c r="CO9" s="151"/>
      <c r="CP9" s="151"/>
      <c r="CQ9" s="862"/>
      <c r="CR9" s="862"/>
      <c r="CS9" s="862"/>
      <c r="CT9" s="862"/>
      <c r="CU9" s="151"/>
      <c r="CV9" s="151"/>
      <c r="CW9" s="151"/>
      <c r="CX9" s="862"/>
      <c r="CY9" s="862"/>
      <c r="CZ9" s="862"/>
      <c r="DA9" s="151"/>
      <c r="DB9" s="862"/>
      <c r="DC9" s="151"/>
      <c r="DD9" s="151"/>
      <c r="DE9" s="151"/>
      <c r="DF9" s="862"/>
      <c r="DG9" s="243"/>
      <c r="DH9" s="862"/>
      <c r="DI9" s="862"/>
      <c r="DJ9" s="151"/>
      <c r="DK9" s="151"/>
      <c r="DL9" s="151"/>
      <c r="DM9" s="862"/>
      <c r="DN9" s="151"/>
      <c r="DO9" s="1002"/>
      <c r="DP9" s="151"/>
      <c r="DQ9" s="151"/>
      <c r="DR9" s="862"/>
      <c r="DS9" s="151"/>
      <c r="DT9" s="862"/>
      <c r="DU9" s="862"/>
      <c r="DV9" s="862"/>
      <c r="DW9" s="862"/>
      <c r="DX9" s="151"/>
      <c r="DY9" s="862"/>
      <c r="DZ9" s="862"/>
      <c r="EA9" s="862"/>
      <c r="EB9" s="151"/>
      <c r="EC9" s="151"/>
      <c r="ED9" s="1166"/>
      <c r="EE9" s="958"/>
      <c r="EF9" s="341"/>
      <c r="EG9" s="819"/>
      <c r="EH9" s="341"/>
    </row>
    <row r="10" spans="1:138" s="342" customFormat="1" ht="14.25" customHeight="1" x14ac:dyDescent="0.35">
      <c r="A10" s="331"/>
      <c r="B10" s="1696" t="s">
        <v>236</v>
      </c>
      <c r="C10" s="1784" t="s">
        <v>365</v>
      </c>
      <c r="D10" s="1259"/>
      <c r="E10" s="1784" t="s">
        <v>237</v>
      </c>
      <c r="F10" s="1784">
        <v>1.4300999999999999</v>
      </c>
      <c r="G10" s="973" t="s">
        <v>238</v>
      </c>
      <c r="H10" s="973">
        <v>19.889893579483573</v>
      </c>
      <c r="I10" s="1206"/>
      <c r="J10" s="879">
        <v>26.25</v>
      </c>
      <c r="K10" s="149">
        <v>287</v>
      </c>
      <c r="L10" s="266">
        <v>620</v>
      </c>
      <c r="M10" s="325">
        <v>296</v>
      </c>
      <c r="N10" s="325">
        <v>627</v>
      </c>
      <c r="O10" s="325" t="s">
        <v>41</v>
      </c>
      <c r="P10" s="325" t="s">
        <v>41</v>
      </c>
      <c r="Q10" s="243">
        <f t="shared" si="2"/>
        <v>1313.4472000000001</v>
      </c>
      <c r="R10" s="243">
        <f t="shared" si="3"/>
        <v>1179.8136</v>
      </c>
      <c r="S10" s="266">
        <v>196750</v>
      </c>
      <c r="T10" s="848" t="s">
        <v>41</v>
      </c>
      <c r="U10" s="151">
        <f t="shared" ref="U10:U15" si="12">(1.673*K10)/((AH10/AG10)^0.126)</f>
        <v>477.89632165402378</v>
      </c>
      <c r="V10" s="243">
        <f t="shared" si="0"/>
        <v>80.714044438999963</v>
      </c>
      <c r="W10" s="325">
        <f>V10+8*(2*AG10*AG10)</f>
        <v>214.34764443899996</v>
      </c>
      <c r="X10" s="266">
        <v>196750</v>
      </c>
      <c r="Y10" s="151">
        <f t="shared" ref="Y10:Y15" si="13">((M10*Q10)+(U10*V10))/(Q10+V10)</f>
        <v>306.53076740429782</v>
      </c>
      <c r="Z10" s="325">
        <f t="shared" si="4"/>
        <v>196750</v>
      </c>
      <c r="AA10" s="325">
        <f t="shared" si="5"/>
        <v>1.5579708635542456E-3</v>
      </c>
      <c r="AB10" s="325">
        <f t="shared" si="6"/>
        <v>627</v>
      </c>
      <c r="AC10" s="849"/>
      <c r="AD10" s="850">
        <v>4000</v>
      </c>
      <c r="AE10" s="853">
        <v>150.6</v>
      </c>
      <c r="AF10" s="853">
        <v>100.2</v>
      </c>
      <c r="AG10" s="880">
        <v>2.89</v>
      </c>
      <c r="AH10" s="853">
        <v>3</v>
      </c>
      <c r="AI10" s="851">
        <f t="shared" si="7"/>
        <v>138.82</v>
      </c>
      <c r="AJ10" s="851">
        <f t="shared" si="8"/>
        <v>88.42</v>
      </c>
      <c r="AK10" s="853">
        <f t="shared" si="1"/>
        <v>1394.161244439</v>
      </c>
      <c r="AL10" s="853">
        <f t="shared" si="9"/>
        <v>80.714044438999963</v>
      </c>
      <c r="AM10" s="881">
        <f t="shared" si="10"/>
        <v>296</v>
      </c>
      <c r="AN10" s="882">
        <f t="shared" si="10"/>
        <v>627</v>
      </c>
      <c r="AO10" s="883">
        <f t="shared" si="11"/>
        <v>1.5044472681067344E-3</v>
      </c>
      <c r="AP10" s="884">
        <v>196750</v>
      </c>
      <c r="AQ10" s="885">
        <v>7</v>
      </c>
      <c r="AR10" s="151"/>
      <c r="AS10" s="1163" t="s">
        <v>397</v>
      </c>
      <c r="AT10" s="1163" t="s">
        <v>397</v>
      </c>
      <c r="AU10" s="886"/>
      <c r="AV10" s="888"/>
      <c r="AW10" s="888"/>
      <c r="AX10" s="888"/>
      <c r="AY10" s="888"/>
      <c r="AZ10" s="888"/>
      <c r="BA10" s="888"/>
      <c r="BB10" s="887"/>
      <c r="BC10" s="862"/>
      <c r="BD10" s="325"/>
      <c r="BE10" s="151"/>
      <c r="BF10" s="325"/>
      <c r="BG10" s="151"/>
      <c r="BH10" s="151"/>
      <c r="BI10" s="151"/>
      <c r="BJ10" s="151"/>
      <c r="BK10" s="243"/>
      <c r="BL10" s="243"/>
      <c r="BM10" s="862"/>
      <c r="BN10" s="862"/>
      <c r="BO10" s="862"/>
      <c r="BP10" s="862"/>
      <c r="BQ10" s="151"/>
      <c r="BR10" s="325"/>
      <c r="BS10" s="889"/>
      <c r="BT10" s="151"/>
      <c r="BU10" s="151"/>
      <c r="BV10" s="325"/>
      <c r="BW10" s="151"/>
      <c r="BX10" s="151"/>
      <c r="BY10" s="151"/>
      <c r="BZ10" s="862"/>
      <c r="CA10" s="862"/>
      <c r="CB10" s="151"/>
      <c r="CC10" s="325"/>
      <c r="CD10" s="862"/>
      <c r="CE10" s="862"/>
      <c r="CF10" s="862"/>
      <c r="CG10" s="890"/>
      <c r="CH10" s="862"/>
      <c r="CI10" s="862"/>
      <c r="CJ10" s="862"/>
      <c r="CK10" s="151"/>
      <c r="CL10" s="862"/>
      <c r="CM10" s="151"/>
      <c r="CN10" s="151"/>
      <c r="CO10" s="151"/>
      <c r="CP10" s="151"/>
      <c r="CQ10" s="862"/>
      <c r="CR10" s="862"/>
      <c r="CS10" s="862"/>
      <c r="CT10" s="862"/>
      <c r="CU10" s="151"/>
      <c r="CV10" s="151"/>
      <c r="CW10" s="151"/>
      <c r="CX10" s="862"/>
      <c r="CY10" s="862"/>
      <c r="CZ10" s="862"/>
      <c r="DA10" s="151"/>
      <c r="DB10" s="862"/>
      <c r="DC10" s="151"/>
      <c r="DD10" s="151"/>
      <c r="DE10" s="151"/>
      <c r="DF10" s="862"/>
      <c r="DG10" s="243"/>
      <c r="DH10" s="862"/>
      <c r="DI10" s="862"/>
      <c r="DJ10" s="151"/>
      <c r="DK10" s="151"/>
      <c r="DL10" s="151"/>
      <c r="DM10" s="862"/>
      <c r="DN10" s="151"/>
      <c r="DO10" s="1002"/>
      <c r="DP10" s="151"/>
      <c r="DQ10" s="151"/>
      <c r="DR10" s="862"/>
      <c r="DS10" s="151"/>
      <c r="DT10" s="862"/>
      <c r="DU10" s="862"/>
      <c r="DV10" s="862"/>
      <c r="DW10" s="862"/>
      <c r="DX10" s="151"/>
      <c r="DY10" s="862"/>
      <c r="DZ10" s="862"/>
      <c r="EA10" s="862"/>
      <c r="EB10" s="151"/>
      <c r="EC10" s="151"/>
      <c r="ED10" s="341"/>
      <c r="EE10" s="958"/>
      <c r="EF10" s="341"/>
      <c r="EG10" s="819"/>
      <c r="EH10" s="341"/>
    </row>
    <row r="11" spans="1:138" s="342" customFormat="1" ht="14.25" customHeight="1" x14ac:dyDescent="0.35">
      <c r="A11" s="331"/>
      <c r="B11" s="1696"/>
      <c r="C11" s="1784"/>
      <c r="D11" s="1259"/>
      <c r="E11" s="1784"/>
      <c r="F11" s="1739"/>
      <c r="G11" s="973" t="s">
        <v>238</v>
      </c>
      <c r="H11" s="973">
        <v>19.851156045975834</v>
      </c>
      <c r="I11" s="1206"/>
      <c r="J11" s="879">
        <v>26.25</v>
      </c>
      <c r="K11" s="149">
        <v>287</v>
      </c>
      <c r="L11" s="150">
        <v>620</v>
      </c>
      <c r="M11" s="325">
        <v>296</v>
      </c>
      <c r="N11" s="325">
        <v>627</v>
      </c>
      <c r="O11" s="325" t="s">
        <v>41</v>
      </c>
      <c r="P11" s="325" t="s">
        <v>41</v>
      </c>
      <c r="Q11" s="243">
        <f t="shared" si="2"/>
        <v>1312.8692000000001</v>
      </c>
      <c r="R11" s="243">
        <f t="shared" si="3"/>
        <v>1179.2356</v>
      </c>
      <c r="S11" s="266">
        <v>196750</v>
      </c>
      <c r="T11" s="848" t="s">
        <v>41</v>
      </c>
      <c r="U11" s="151">
        <f t="shared" si="12"/>
        <v>477.89632165402378</v>
      </c>
      <c r="V11" s="243">
        <f t="shared" si="0"/>
        <v>80.714044438999963</v>
      </c>
      <c r="W11" s="325">
        <f>V11+8*(2*AG11*AG11)</f>
        <v>214.34764443899996</v>
      </c>
      <c r="X11" s="325">
        <v>196750</v>
      </c>
      <c r="Y11" s="282">
        <f t="shared" si="13"/>
        <v>306.53513512584152</v>
      </c>
      <c r="Z11" s="325">
        <f t="shared" si="4"/>
        <v>196750</v>
      </c>
      <c r="AA11" s="325">
        <f t="shared" si="5"/>
        <v>1.5579930629013546E-3</v>
      </c>
      <c r="AB11" s="325">
        <f t="shared" si="6"/>
        <v>627</v>
      </c>
      <c r="AC11" s="849"/>
      <c r="AD11" s="850">
        <v>4000</v>
      </c>
      <c r="AE11" s="853">
        <v>150.4</v>
      </c>
      <c r="AF11" s="853">
        <v>100.3</v>
      </c>
      <c r="AG11" s="880">
        <v>2.89</v>
      </c>
      <c r="AH11" s="853">
        <v>3</v>
      </c>
      <c r="AI11" s="851">
        <f t="shared" si="7"/>
        <v>138.62</v>
      </c>
      <c r="AJ11" s="851">
        <f t="shared" si="8"/>
        <v>88.52</v>
      </c>
      <c r="AK11" s="853">
        <f t="shared" si="1"/>
        <v>1393.5832444390001</v>
      </c>
      <c r="AL11" s="853">
        <f t="shared" si="9"/>
        <v>80.714044438999963</v>
      </c>
      <c r="AM11" s="881">
        <f t="shared" si="10"/>
        <v>296</v>
      </c>
      <c r="AN11" s="882">
        <f t="shared" si="10"/>
        <v>627</v>
      </c>
      <c r="AO11" s="883">
        <f t="shared" si="11"/>
        <v>1.5044472681067344E-3</v>
      </c>
      <c r="AP11" s="884">
        <v>196750</v>
      </c>
      <c r="AQ11" s="885">
        <v>7</v>
      </c>
      <c r="AR11" s="151"/>
      <c r="AS11" s="1163" t="s">
        <v>397</v>
      </c>
      <c r="AT11" s="1163" t="s">
        <v>397</v>
      </c>
      <c r="AU11" s="886"/>
      <c r="AV11" s="888"/>
      <c r="AW11" s="888"/>
      <c r="AX11" s="888"/>
      <c r="AY11" s="888"/>
      <c r="AZ11" s="888"/>
      <c r="BA11" s="888"/>
      <c r="BB11" s="887"/>
      <c r="BC11" s="862"/>
      <c r="BD11" s="325"/>
      <c r="BE11" s="151"/>
      <c r="BF11" s="325"/>
      <c r="BG11" s="151"/>
      <c r="BH11" s="151"/>
      <c r="BI11" s="151"/>
      <c r="BJ11" s="151"/>
      <c r="BK11" s="243"/>
      <c r="BL11" s="243"/>
      <c r="BM11" s="862"/>
      <c r="BN11" s="862"/>
      <c r="BO11" s="862"/>
      <c r="BP11" s="862"/>
      <c r="BQ11" s="151"/>
      <c r="BR11" s="325"/>
      <c r="BS11" s="889"/>
      <c r="BT11" s="151"/>
      <c r="BU11" s="151"/>
      <c r="BV11" s="325"/>
      <c r="BW11" s="151"/>
      <c r="BX11" s="151"/>
      <c r="BY11" s="151"/>
      <c r="BZ11" s="862"/>
      <c r="CA11" s="862"/>
      <c r="CB11" s="151"/>
      <c r="CC11" s="325"/>
      <c r="CD11" s="862"/>
      <c r="CE11" s="862"/>
      <c r="CF11" s="862"/>
      <c r="CG11" s="890"/>
      <c r="CH11" s="862"/>
      <c r="CI11" s="862"/>
      <c r="CJ11" s="862"/>
      <c r="CK11" s="151"/>
      <c r="CL11" s="862"/>
      <c r="CM11" s="151"/>
      <c r="CN11" s="151"/>
      <c r="CO11" s="151"/>
      <c r="CP11" s="151"/>
      <c r="CQ11" s="862"/>
      <c r="CR11" s="862"/>
      <c r="CS11" s="862"/>
      <c r="CT11" s="862"/>
      <c r="CU11" s="151"/>
      <c r="CV11" s="151"/>
      <c r="CW11" s="151"/>
      <c r="CX11" s="862"/>
      <c r="CY11" s="862"/>
      <c r="CZ11" s="862"/>
      <c r="DA11" s="151"/>
      <c r="DB11" s="862"/>
      <c r="DC11" s="151"/>
      <c r="DD11" s="151"/>
      <c r="DE11" s="151"/>
      <c r="DF11" s="862"/>
      <c r="DG11" s="243"/>
      <c r="DH11" s="862"/>
      <c r="DI11" s="862"/>
      <c r="DJ11" s="151"/>
      <c r="DK11" s="151"/>
      <c r="DL11" s="151"/>
      <c r="DM11" s="862"/>
      <c r="DN11" s="151"/>
      <c r="DO11" s="1002"/>
      <c r="DP11" s="151"/>
      <c r="DQ11" s="151"/>
      <c r="DR11" s="862"/>
      <c r="DS11" s="151"/>
      <c r="DT11" s="862"/>
      <c r="DU11" s="862"/>
      <c r="DV11" s="862"/>
      <c r="DW11" s="862"/>
      <c r="DX11" s="151"/>
      <c r="DY11" s="862"/>
      <c r="DZ11" s="862"/>
      <c r="EA11" s="862"/>
      <c r="EB11" s="151"/>
      <c r="EC11" s="151"/>
      <c r="ED11" s="341"/>
      <c r="EE11" s="958"/>
      <c r="EF11" s="341"/>
      <c r="EG11" s="819"/>
      <c r="EH11" s="341"/>
    </row>
    <row r="12" spans="1:138" s="342" customFormat="1" ht="14.25" customHeight="1" x14ac:dyDescent="0.35">
      <c r="A12" s="331"/>
      <c r="B12" s="1696"/>
      <c r="C12" s="1784"/>
      <c r="D12" s="1259"/>
      <c r="E12" s="1784"/>
      <c r="F12" s="1739"/>
      <c r="G12" s="973" t="s">
        <v>238</v>
      </c>
      <c r="H12" s="973">
        <v>19.889893579483573</v>
      </c>
      <c r="I12" s="1206"/>
      <c r="J12" s="879">
        <v>26.25</v>
      </c>
      <c r="K12" s="232">
        <v>287</v>
      </c>
      <c r="L12" s="266">
        <v>620</v>
      </c>
      <c r="M12" s="325">
        <v>296</v>
      </c>
      <c r="N12" s="325">
        <v>627</v>
      </c>
      <c r="O12" s="325" t="s">
        <v>41</v>
      </c>
      <c r="P12" s="325" t="s">
        <v>41</v>
      </c>
      <c r="Q12" s="243">
        <f t="shared" si="2"/>
        <v>1313.4472000000001</v>
      </c>
      <c r="R12" s="243">
        <f t="shared" si="3"/>
        <v>1179.8136</v>
      </c>
      <c r="S12" s="266">
        <v>196750</v>
      </c>
      <c r="T12" s="848" t="s">
        <v>41</v>
      </c>
      <c r="U12" s="151">
        <f t="shared" si="12"/>
        <v>477.89632165402378</v>
      </c>
      <c r="V12" s="243">
        <f t="shared" si="0"/>
        <v>80.714044438999963</v>
      </c>
      <c r="W12" s="325">
        <f t="shared" ref="W12:W26" si="14">V12+8*(2*AG12*AG12)</f>
        <v>214.34764443899996</v>
      </c>
      <c r="X12" s="325">
        <v>196750</v>
      </c>
      <c r="Y12" s="282">
        <f t="shared" si="13"/>
        <v>306.53076740429782</v>
      </c>
      <c r="Z12" s="325">
        <f t="shared" si="4"/>
        <v>196750</v>
      </c>
      <c r="AA12" s="325">
        <f t="shared" si="5"/>
        <v>1.5579708635542456E-3</v>
      </c>
      <c r="AB12" s="325">
        <f t="shared" si="6"/>
        <v>627</v>
      </c>
      <c r="AC12" s="849"/>
      <c r="AD12" s="850">
        <v>4000</v>
      </c>
      <c r="AE12" s="853">
        <v>150.6</v>
      </c>
      <c r="AF12" s="853">
        <v>100.2</v>
      </c>
      <c r="AG12" s="880">
        <v>2.89</v>
      </c>
      <c r="AH12" s="853">
        <v>3</v>
      </c>
      <c r="AI12" s="851">
        <f t="shared" si="7"/>
        <v>138.82</v>
      </c>
      <c r="AJ12" s="851">
        <f t="shared" si="8"/>
        <v>88.42</v>
      </c>
      <c r="AK12" s="853">
        <f t="shared" si="1"/>
        <v>1394.161244439</v>
      </c>
      <c r="AL12" s="853">
        <f t="shared" si="9"/>
        <v>80.714044438999963</v>
      </c>
      <c r="AM12" s="881">
        <f t="shared" si="10"/>
        <v>296</v>
      </c>
      <c r="AN12" s="882">
        <f t="shared" si="10"/>
        <v>627</v>
      </c>
      <c r="AO12" s="883">
        <f t="shared" si="11"/>
        <v>1.5044472681067344E-3</v>
      </c>
      <c r="AP12" s="884">
        <v>196750</v>
      </c>
      <c r="AQ12" s="885">
        <v>7</v>
      </c>
      <c r="AR12" s="151"/>
      <c r="AS12" s="1163" t="s">
        <v>397</v>
      </c>
      <c r="AT12" s="1163" t="s">
        <v>397</v>
      </c>
      <c r="AU12" s="886"/>
      <c r="AV12" s="888"/>
      <c r="AW12" s="888"/>
      <c r="AX12" s="888"/>
      <c r="AY12" s="888"/>
      <c r="AZ12" s="888"/>
      <c r="BA12" s="888"/>
      <c r="BB12" s="887"/>
      <c r="BC12" s="862"/>
      <c r="BD12" s="325"/>
      <c r="BE12" s="151"/>
      <c r="BF12" s="325"/>
      <c r="BG12" s="151"/>
      <c r="BH12" s="151"/>
      <c r="BI12" s="151"/>
      <c r="BJ12" s="151"/>
      <c r="BK12" s="243"/>
      <c r="BL12" s="243"/>
      <c r="BM12" s="862"/>
      <c r="BN12" s="862"/>
      <c r="BO12" s="862"/>
      <c r="BP12" s="862"/>
      <c r="BQ12" s="151"/>
      <c r="BR12" s="325"/>
      <c r="BS12" s="889"/>
      <c r="BT12" s="151"/>
      <c r="BU12" s="151"/>
      <c r="BV12" s="325"/>
      <c r="BW12" s="151"/>
      <c r="BX12" s="151"/>
      <c r="BY12" s="151"/>
      <c r="BZ12" s="862"/>
      <c r="CA12" s="862"/>
      <c r="CB12" s="151"/>
      <c r="CC12" s="325"/>
      <c r="CD12" s="862"/>
      <c r="CE12" s="862"/>
      <c r="CF12" s="862"/>
      <c r="CG12" s="890"/>
      <c r="CH12" s="862"/>
      <c r="CI12" s="862"/>
      <c r="CJ12" s="862"/>
      <c r="CK12" s="151"/>
      <c r="CL12" s="862"/>
      <c r="CM12" s="151"/>
      <c r="CN12" s="151"/>
      <c r="CO12" s="151"/>
      <c r="CP12" s="151"/>
      <c r="CQ12" s="862"/>
      <c r="CR12" s="862"/>
      <c r="CS12" s="862"/>
      <c r="CT12" s="862"/>
      <c r="CU12" s="151"/>
      <c r="CV12" s="151"/>
      <c r="CW12" s="151"/>
      <c r="CX12" s="862"/>
      <c r="CY12" s="862"/>
      <c r="CZ12" s="862"/>
      <c r="DA12" s="151"/>
      <c r="DB12" s="862"/>
      <c r="DC12" s="151"/>
      <c r="DD12" s="151"/>
      <c r="DE12" s="151"/>
      <c r="DF12" s="862"/>
      <c r="DG12" s="243"/>
      <c r="DH12" s="862"/>
      <c r="DI12" s="862"/>
      <c r="DJ12" s="151"/>
      <c r="DK12" s="151"/>
      <c r="DL12" s="151"/>
      <c r="DM12" s="862"/>
      <c r="DN12" s="151"/>
      <c r="DO12" s="1002"/>
      <c r="DP12" s="151"/>
      <c r="DQ12" s="151"/>
      <c r="DR12" s="862"/>
      <c r="DS12" s="151"/>
      <c r="DT12" s="862"/>
      <c r="DU12" s="862"/>
      <c r="DV12" s="862"/>
      <c r="DW12" s="862"/>
      <c r="DX12" s="151"/>
      <c r="DY12" s="862"/>
      <c r="DZ12" s="862"/>
      <c r="EA12" s="862"/>
      <c r="EB12" s="151"/>
      <c r="EC12" s="151"/>
      <c r="ED12" s="341"/>
      <c r="EE12" s="958"/>
      <c r="EF12" s="341"/>
      <c r="EG12" s="819"/>
      <c r="EH12" s="341"/>
    </row>
    <row r="13" spans="1:138" s="342" customFormat="1" ht="14.25" customHeight="1" x14ac:dyDescent="0.35">
      <c r="A13" s="331"/>
      <c r="B13" s="1696"/>
      <c r="C13" s="1784"/>
      <c r="D13" s="1259"/>
      <c r="E13" s="1784"/>
      <c r="F13" s="1739"/>
      <c r="G13" s="973" t="s">
        <v>239</v>
      </c>
      <c r="H13" s="973">
        <v>55.924217774591497</v>
      </c>
      <c r="I13" s="1206"/>
      <c r="J13" s="879">
        <v>70.540000000000006</v>
      </c>
      <c r="K13" s="149">
        <v>300</v>
      </c>
      <c r="L13" s="266">
        <v>612</v>
      </c>
      <c r="M13" s="325">
        <v>349.5</v>
      </c>
      <c r="N13" s="325">
        <v>653.5</v>
      </c>
      <c r="O13" s="325" t="s">
        <v>41</v>
      </c>
      <c r="P13" s="325" t="s">
        <v>41</v>
      </c>
      <c r="Q13" s="243">
        <f t="shared" si="2"/>
        <v>2441.79</v>
      </c>
      <c r="R13" s="243">
        <f t="shared" si="3"/>
        <v>1894.23</v>
      </c>
      <c r="S13" s="266">
        <v>193000</v>
      </c>
      <c r="T13" s="848" t="s">
        <v>41</v>
      </c>
      <c r="U13" s="151">
        <f t="shared" si="12"/>
        <v>518.76905011495217</v>
      </c>
      <c r="V13" s="243">
        <f t="shared" si="0"/>
        <v>272.91777727499971</v>
      </c>
      <c r="W13" s="325">
        <f t="shared" si="14"/>
        <v>820.47777727499965</v>
      </c>
      <c r="X13" s="325">
        <v>196750</v>
      </c>
      <c r="Y13" s="282">
        <f t="shared" si="13"/>
        <v>366.51712917520535</v>
      </c>
      <c r="Z13" s="325">
        <f t="shared" si="4"/>
        <v>193000</v>
      </c>
      <c r="AA13" s="325">
        <f t="shared" si="5"/>
        <v>1.8990524827730848E-3</v>
      </c>
      <c r="AB13" s="325">
        <f t="shared" si="6"/>
        <v>653.5</v>
      </c>
      <c r="AC13" s="849"/>
      <c r="AD13" s="850">
        <v>2200</v>
      </c>
      <c r="AE13" s="853">
        <v>149.9</v>
      </c>
      <c r="AF13" s="853">
        <v>100.2</v>
      </c>
      <c r="AG13" s="880">
        <v>5.85</v>
      </c>
      <c r="AH13" s="853">
        <v>4.5</v>
      </c>
      <c r="AI13" s="851">
        <f t="shared" si="7"/>
        <v>129.20000000000002</v>
      </c>
      <c r="AJ13" s="851">
        <f t="shared" si="8"/>
        <v>79.5</v>
      </c>
      <c r="AK13" s="853">
        <f t="shared" si="1"/>
        <v>2714.7077772749999</v>
      </c>
      <c r="AL13" s="853">
        <f t="shared" si="9"/>
        <v>272.91777727499971</v>
      </c>
      <c r="AM13" s="881">
        <f t="shared" si="10"/>
        <v>349.5</v>
      </c>
      <c r="AN13" s="882">
        <f t="shared" si="10"/>
        <v>653.5</v>
      </c>
      <c r="AO13" s="883">
        <f t="shared" si="11"/>
        <v>1.8108808290155441E-3</v>
      </c>
      <c r="AP13" s="884">
        <v>193000</v>
      </c>
      <c r="AQ13" s="885">
        <v>7</v>
      </c>
      <c r="AR13" s="151"/>
      <c r="AS13" s="1163" t="s">
        <v>397</v>
      </c>
      <c r="AT13" s="1163" t="s">
        <v>397</v>
      </c>
      <c r="AU13" s="886"/>
      <c r="AV13" s="888"/>
      <c r="AW13" s="888"/>
      <c r="AX13" s="888"/>
      <c r="AY13" s="888"/>
      <c r="AZ13" s="888"/>
      <c r="BA13" s="888"/>
      <c r="BB13" s="887"/>
      <c r="BC13" s="862"/>
      <c r="BD13" s="325"/>
      <c r="BE13" s="151"/>
      <c r="BF13" s="325"/>
      <c r="BG13" s="151"/>
      <c r="BH13" s="151"/>
      <c r="BI13" s="151"/>
      <c r="BJ13" s="151"/>
      <c r="BK13" s="243"/>
      <c r="BL13" s="243"/>
      <c r="BM13" s="862"/>
      <c r="BN13" s="862"/>
      <c r="BO13" s="862"/>
      <c r="BP13" s="862"/>
      <c r="BQ13" s="151"/>
      <c r="BR13" s="325"/>
      <c r="BS13" s="889"/>
      <c r="BT13" s="151"/>
      <c r="BU13" s="151"/>
      <c r="BV13" s="325"/>
      <c r="BW13" s="151"/>
      <c r="BX13" s="151"/>
      <c r="BY13" s="151"/>
      <c r="BZ13" s="862"/>
      <c r="CA13" s="862"/>
      <c r="CB13" s="151"/>
      <c r="CC13" s="325"/>
      <c r="CD13" s="862"/>
      <c r="CE13" s="862"/>
      <c r="CF13" s="862"/>
      <c r="CG13" s="890"/>
      <c r="CH13" s="862"/>
      <c r="CI13" s="862"/>
      <c r="CJ13" s="862"/>
      <c r="CK13" s="151"/>
      <c r="CL13" s="862"/>
      <c r="CM13" s="151"/>
      <c r="CN13" s="151"/>
      <c r="CO13" s="151"/>
      <c r="CP13" s="151"/>
      <c r="CQ13" s="862"/>
      <c r="CR13" s="862"/>
      <c r="CS13" s="862"/>
      <c r="CT13" s="862"/>
      <c r="CU13" s="151"/>
      <c r="CV13" s="151"/>
      <c r="CW13" s="151"/>
      <c r="CX13" s="862"/>
      <c r="CY13" s="862"/>
      <c r="CZ13" s="862"/>
      <c r="DA13" s="151"/>
      <c r="DB13" s="862"/>
      <c r="DC13" s="151"/>
      <c r="DD13" s="151"/>
      <c r="DE13" s="151"/>
      <c r="DF13" s="862"/>
      <c r="DG13" s="243"/>
      <c r="DH13" s="862"/>
      <c r="DI13" s="862"/>
      <c r="DJ13" s="151"/>
      <c r="DK13" s="151"/>
      <c r="DL13" s="151"/>
      <c r="DM13" s="862"/>
      <c r="DN13" s="151"/>
      <c r="DO13" s="1002"/>
      <c r="DP13" s="151"/>
      <c r="DQ13" s="151"/>
      <c r="DR13" s="862"/>
      <c r="DS13" s="151"/>
      <c r="DT13" s="862"/>
      <c r="DU13" s="862"/>
      <c r="DV13" s="862"/>
      <c r="DW13" s="862"/>
      <c r="DX13" s="151"/>
      <c r="DY13" s="862"/>
      <c r="DZ13" s="862"/>
      <c r="EA13" s="862"/>
      <c r="EB13" s="151"/>
      <c r="EC13" s="151"/>
      <c r="ED13" s="341"/>
      <c r="EE13" s="958"/>
      <c r="EF13" s="341"/>
      <c r="EG13" s="819"/>
      <c r="EH13" s="341"/>
    </row>
    <row r="14" spans="1:138" s="342" customFormat="1" ht="14.25" customHeight="1" x14ac:dyDescent="0.35">
      <c r="A14" s="331"/>
      <c r="B14" s="1696"/>
      <c r="C14" s="1784"/>
      <c r="D14" s="1259"/>
      <c r="E14" s="1784"/>
      <c r="F14" s="1739"/>
      <c r="G14" s="973" t="s">
        <v>239</v>
      </c>
      <c r="H14" s="973">
        <v>55.924217774591497</v>
      </c>
      <c r="I14" s="1206"/>
      <c r="J14" s="879">
        <v>70.37</v>
      </c>
      <c r="K14" s="232">
        <v>300</v>
      </c>
      <c r="L14" s="266">
        <v>612</v>
      </c>
      <c r="M14" s="325">
        <v>349.5</v>
      </c>
      <c r="N14" s="325">
        <v>653.5</v>
      </c>
      <c r="O14" s="325" t="s">
        <v>41</v>
      </c>
      <c r="P14" s="325" t="s">
        <v>41</v>
      </c>
      <c r="Q14" s="243">
        <f t="shared" si="2"/>
        <v>2441.79</v>
      </c>
      <c r="R14" s="243">
        <f t="shared" si="3"/>
        <v>1894.23</v>
      </c>
      <c r="S14" s="266">
        <v>193000</v>
      </c>
      <c r="T14" s="848" t="s">
        <v>41</v>
      </c>
      <c r="U14" s="151">
        <f t="shared" si="12"/>
        <v>518.76905011495217</v>
      </c>
      <c r="V14" s="243">
        <f t="shared" si="0"/>
        <v>272.91777727499971</v>
      </c>
      <c r="W14" s="325">
        <f t="shared" si="14"/>
        <v>820.47777727499965</v>
      </c>
      <c r="X14" s="325">
        <v>196750</v>
      </c>
      <c r="Y14" s="282">
        <f t="shared" si="13"/>
        <v>366.51712917520535</v>
      </c>
      <c r="Z14" s="325">
        <f t="shared" si="4"/>
        <v>193000</v>
      </c>
      <c r="AA14" s="325">
        <f t="shared" si="5"/>
        <v>1.8990524827730848E-3</v>
      </c>
      <c r="AB14" s="325">
        <f t="shared" si="6"/>
        <v>653.5</v>
      </c>
      <c r="AC14" s="849"/>
      <c r="AD14" s="850">
        <v>2200</v>
      </c>
      <c r="AE14" s="853">
        <v>149.9</v>
      </c>
      <c r="AF14" s="853">
        <v>100.2</v>
      </c>
      <c r="AG14" s="880">
        <v>5.85</v>
      </c>
      <c r="AH14" s="853">
        <v>4.5</v>
      </c>
      <c r="AI14" s="851">
        <f t="shared" si="7"/>
        <v>129.20000000000002</v>
      </c>
      <c r="AJ14" s="851">
        <f t="shared" si="8"/>
        <v>79.5</v>
      </c>
      <c r="AK14" s="853">
        <f t="shared" si="1"/>
        <v>2714.7077772749999</v>
      </c>
      <c r="AL14" s="853">
        <f t="shared" si="9"/>
        <v>272.91777727499971</v>
      </c>
      <c r="AM14" s="881">
        <f t="shared" si="10"/>
        <v>349.5</v>
      </c>
      <c r="AN14" s="882">
        <f t="shared" si="10"/>
        <v>653.5</v>
      </c>
      <c r="AO14" s="883">
        <f t="shared" si="11"/>
        <v>1.8108808290155441E-3</v>
      </c>
      <c r="AP14" s="884">
        <v>193000</v>
      </c>
      <c r="AQ14" s="885">
        <v>7</v>
      </c>
      <c r="AR14" s="151"/>
      <c r="AS14" s="1163" t="s">
        <v>397</v>
      </c>
      <c r="AT14" s="1163" t="s">
        <v>397</v>
      </c>
      <c r="AU14" s="886"/>
      <c r="AV14" s="888"/>
      <c r="AW14" s="888"/>
      <c r="AX14" s="888"/>
      <c r="AY14" s="888"/>
      <c r="AZ14" s="888"/>
      <c r="BA14" s="888"/>
      <c r="BB14" s="887"/>
      <c r="BC14" s="862"/>
      <c r="BD14" s="325"/>
      <c r="BE14" s="151"/>
      <c r="BF14" s="325"/>
      <c r="BG14" s="151"/>
      <c r="BH14" s="151"/>
      <c r="BI14" s="151"/>
      <c r="BJ14" s="151"/>
      <c r="BK14" s="243"/>
      <c r="BL14" s="243"/>
      <c r="BM14" s="862"/>
      <c r="BN14" s="862"/>
      <c r="BO14" s="862"/>
      <c r="BP14" s="862"/>
      <c r="BQ14" s="151"/>
      <c r="BR14" s="325"/>
      <c r="BS14" s="889"/>
      <c r="BT14" s="151"/>
      <c r="BU14" s="151"/>
      <c r="BV14" s="325"/>
      <c r="BW14" s="151"/>
      <c r="BX14" s="151"/>
      <c r="BY14" s="151"/>
      <c r="BZ14" s="862"/>
      <c r="CA14" s="862"/>
      <c r="CB14" s="151"/>
      <c r="CC14" s="325"/>
      <c r="CD14" s="862"/>
      <c r="CE14" s="862"/>
      <c r="CF14" s="862"/>
      <c r="CG14" s="890"/>
      <c r="CH14" s="862"/>
      <c r="CI14" s="862"/>
      <c r="CJ14" s="862"/>
      <c r="CK14" s="151"/>
      <c r="CL14" s="862"/>
      <c r="CM14" s="151"/>
      <c r="CN14" s="151"/>
      <c r="CO14" s="151"/>
      <c r="CP14" s="151"/>
      <c r="CQ14" s="862"/>
      <c r="CR14" s="862"/>
      <c r="CS14" s="862"/>
      <c r="CT14" s="862"/>
      <c r="CU14" s="151"/>
      <c r="CV14" s="151"/>
      <c r="CW14" s="151"/>
      <c r="CX14" s="862"/>
      <c r="CY14" s="862"/>
      <c r="CZ14" s="862"/>
      <c r="DA14" s="151"/>
      <c r="DB14" s="862"/>
      <c r="DC14" s="151"/>
      <c r="DD14" s="151"/>
      <c r="DE14" s="151"/>
      <c r="DF14" s="862"/>
      <c r="DG14" s="243"/>
      <c r="DH14" s="862"/>
      <c r="DI14" s="862"/>
      <c r="DJ14" s="151"/>
      <c r="DK14" s="151"/>
      <c r="DL14" s="151"/>
      <c r="DM14" s="862"/>
      <c r="DN14" s="151"/>
      <c r="DO14" s="1002"/>
      <c r="DP14" s="151"/>
      <c r="DQ14" s="151"/>
      <c r="DR14" s="862"/>
      <c r="DS14" s="151"/>
      <c r="DT14" s="862"/>
      <c r="DU14" s="862"/>
      <c r="DV14" s="862"/>
      <c r="DW14" s="862"/>
      <c r="DX14" s="151"/>
      <c r="DY14" s="862"/>
      <c r="DZ14" s="862"/>
      <c r="EA14" s="862"/>
      <c r="EB14" s="151"/>
      <c r="EC14" s="151"/>
      <c r="ED14" s="341"/>
      <c r="EE14" s="958"/>
      <c r="EF14" s="341"/>
      <c r="EG14" s="819"/>
      <c r="EH14" s="341"/>
    </row>
    <row r="15" spans="1:138" s="342" customFormat="1" ht="14.25" customHeight="1" thickBot="1" x14ac:dyDescent="0.4">
      <c r="A15" s="331"/>
      <c r="B15" s="1696"/>
      <c r="C15" s="1784"/>
      <c r="D15" s="1259"/>
      <c r="E15" s="1784"/>
      <c r="F15" s="1739"/>
      <c r="G15" s="973" t="s">
        <v>239</v>
      </c>
      <c r="H15" s="973">
        <v>55.828829340240787</v>
      </c>
      <c r="I15" s="1206"/>
      <c r="J15" s="879">
        <v>70.209999999999994</v>
      </c>
      <c r="K15" s="234">
        <v>300</v>
      </c>
      <c r="L15" s="275">
        <v>612</v>
      </c>
      <c r="M15" s="235">
        <v>349.5</v>
      </c>
      <c r="N15" s="235">
        <v>653.5</v>
      </c>
      <c r="O15" s="235" t="s">
        <v>41</v>
      </c>
      <c r="P15" s="235" t="s">
        <v>41</v>
      </c>
      <c r="Q15" s="299">
        <f t="shared" si="2"/>
        <v>2439.4499999999998</v>
      </c>
      <c r="R15" s="299">
        <f t="shared" si="3"/>
        <v>1891.8899999999999</v>
      </c>
      <c r="S15" s="275">
        <v>193000</v>
      </c>
      <c r="T15" s="866" t="s">
        <v>41</v>
      </c>
      <c r="U15" s="293">
        <f t="shared" si="12"/>
        <v>518.76905011495217</v>
      </c>
      <c r="V15" s="299">
        <f t="shared" si="0"/>
        <v>272.91777727499971</v>
      </c>
      <c r="W15" s="235">
        <f t="shared" si="14"/>
        <v>820.47777727499965</v>
      </c>
      <c r="X15" s="275">
        <v>196750</v>
      </c>
      <c r="Y15" s="293">
        <f t="shared" si="13"/>
        <v>366.53181010549935</v>
      </c>
      <c r="Z15" s="235">
        <f t="shared" si="4"/>
        <v>193000</v>
      </c>
      <c r="AA15" s="235">
        <f t="shared" si="5"/>
        <v>1.8991285497694267E-3</v>
      </c>
      <c r="AB15" s="235">
        <f t="shared" si="6"/>
        <v>653.5</v>
      </c>
      <c r="AC15" s="867"/>
      <c r="AD15" s="850">
        <v>2200</v>
      </c>
      <c r="AE15" s="853">
        <v>149.80000000000001</v>
      </c>
      <c r="AF15" s="853">
        <v>100.1</v>
      </c>
      <c r="AG15" s="880">
        <v>5.85</v>
      </c>
      <c r="AH15" s="853">
        <v>4.5</v>
      </c>
      <c r="AI15" s="851">
        <f t="shared" si="7"/>
        <v>129.10000000000002</v>
      </c>
      <c r="AJ15" s="851">
        <f t="shared" si="8"/>
        <v>79.399999999999991</v>
      </c>
      <c r="AK15" s="853">
        <f t="shared" si="1"/>
        <v>2712.3677772749998</v>
      </c>
      <c r="AL15" s="853">
        <f t="shared" si="9"/>
        <v>272.91777727499971</v>
      </c>
      <c r="AM15" s="881">
        <f t="shared" si="10"/>
        <v>349.5</v>
      </c>
      <c r="AN15" s="882">
        <f t="shared" si="10"/>
        <v>653.5</v>
      </c>
      <c r="AO15" s="883">
        <f t="shared" si="11"/>
        <v>1.8108808290155441E-3</v>
      </c>
      <c r="AP15" s="884">
        <v>193000</v>
      </c>
      <c r="AQ15" s="885">
        <v>7</v>
      </c>
      <c r="AR15" s="151"/>
      <c r="AS15" s="1163" t="s">
        <v>397</v>
      </c>
      <c r="AT15" s="1163" t="s">
        <v>397</v>
      </c>
      <c r="AU15" s="886"/>
      <c r="AV15" s="888"/>
      <c r="AW15" s="888"/>
      <c r="AX15" s="888"/>
      <c r="AY15" s="888"/>
      <c r="AZ15" s="888"/>
      <c r="BA15" s="888"/>
      <c r="BB15" s="887"/>
      <c r="BC15" s="862"/>
      <c r="BD15" s="325"/>
      <c r="BE15" s="151"/>
      <c r="BF15" s="325"/>
      <c r="BG15" s="151"/>
      <c r="BH15" s="151"/>
      <c r="BI15" s="151"/>
      <c r="BJ15" s="151"/>
      <c r="BK15" s="243"/>
      <c r="BL15" s="243"/>
      <c r="BM15" s="862"/>
      <c r="BN15" s="862"/>
      <c r="BO15" s="862"/>
      <c r="BP15" s="862"/>
      <c r="BQ15" s="151"/>
      <c r="BR15" s="325"/>
      <c r="BS15" s="889"/>
      <c r="BT15" s="151"/>
      <c r="BU15" s="151"/>
      <c r="BV15" s="325"/>
      <c r="BW15" s="151"/>
      <c r="BX15" s="151"/>
      <c r="BY15" s="151"/>
      <c r="BZ15" s="862"/>
      <c r="CA15" s="862"/>
      <c r="CB15" s="151"/>
      <c r="CC15" s="325"/>
      <c r="CD15" s="862"/>
      <c r="CE15" s="862"/>
      <c r="CF15" s="862"/>
      <c r="CG15" s="890"/>
      <c r="CH15" s="862"/>
      <c r="CI15" s="862"/>
      <c r="CJ15" s="862"/>
      <c r="CK15" s="151"/>
      <c r="CL15" s="862"/>
      <c r="CM15" s="151"/>
      <c r="CN15" s="151"/>
      <c r="CO15" s="151"/>
      <c r="CP15" s="151"/>
      <c r="CQ15" s="862"/>
      <c r="CR15" s="862"/>
      <c r="CS15" s="862"/>
      <c r="CT15" s="862"/>
      <c r="CU15" s="151"/>
      <c r="CV15" s="151"/>
      <c r="CW15" s="151"/>
      <c r="CX15" s="862"/>
      <c r="CY15" s="862"/>
      <c r="CZ15" s="862"/>
      <c r="DA15" s="151"/>
      <c r="DB15" s="862"/>
      <c r="DC15" s="151"/>
      <c r="DD15" s="151"/>
      <c r="DE15" s="151"/>
      <c r="DF15" s="862"/>
      <c r="DG15" s="243"/>
      <c r="DH15" s="862"/>
      <c r="DI15" s="862"/>
      <c r="DJ15" s="151"/>
      <c r="DK15" s="151"/>
      <c r="DL15" s="151"/>
      <c r="DM15" s="862"/>
      <c r="DN15" s="151"/>
      <c r="DO15" s="1002"/>
      <c r="DP15" s="151"/>
      <c r="DQ15" s="151"/>
      <c r="DR15" s="862"/>
      <c r="DS15" s="151"/>
      <c r="DT15" s="862"/>
      <c r="DU15" s="862"/>
      <c r="DV15" s="862"/>
      <c r="DW15" s="862"/>
      <c r="DX15" s="151"/>
      <c r="DY15" s="862"/>
      <c r="DZ15" s="862"/>
      <c r="EA15" s="862"/>
      <c r="EB15" s="151"/>
      <c r="EC15" s="151"/>
      <c r="ED15" s="341"/>
      <c r="EE15" s="958"/>
      <c r="EF15" s="341"/>
      <c r="EG15" s="819"/>
      <c r="EH15" s="341"/>
    </row>
    <row r="16" spans="1:138" s="342" customFormat="1" ht="14.25" customHeight="1" x14ac:dyDescent="0.35">
      <c r="A16" s="331">
        <v>3</v>
      </c>
      <c r="B16" s="1693" t="s">
        <v>366</v>
      </c>
      <c r="C16" s="1740" t="s">
        <v>364</v>
      </c>
      <c r="D16" s="1266"/>
      <c r="E16" s="1740" t="s">
        <v>240</v>
      </c>
      <c r="F16" s="1783">
        <v>1.4300999999999999</v>
      </c>
      <c r="G16" s="971" t="s">
        <v>241</v>
      </c>
      <c r="H16" s="971"/>
      <c r="I16" s="1208"/>
      <c r="J16" s="891">
        <v>10.5</v>
      </c>
      <c r="K16" s="846"/>
      <c r="L16" s="327"/>
      <c r="M16" s="848">
        <v>489</v>
      </c>
      <c r="N16" s="325">
        <v>705</v>
      </c>
      <c r="O16" s="325" t="s">
        <v>41</v>
      </c>
      <c r="P16" s="325" t="s">
        <v>41</v>
      </c>
      <c r="Q16" s="243">
        <f t="shared" si="2"/>
        <v>553.64319999999998</v>
      </c>
      <c r="R16" s="243">
        <f t="shared" si="3"/>
        <v>323.81759999999997</v>
      </c>
      <c r="S16" s="325">
        <v>192800</v>
      </c>
      <c r="T16" s="848" t="s">
        <v>41</v>
      </c>
      <c r="U16" s="325">
        <f>0.83*N16</f>
        <v>585.15</v>
      </c>
      <c r="V16" s="243">
        <f t="shared" si="0"/>
        <v>115.35679999999996</v>
      </c>
      <c r="W16" s="325">
        <f t="shared" si="14"/>
        <v>345.18239999999997</v>
      </c>
      <c r="X16" s="325">
        <v>192800</v>
      </c>
      <c r="Y16" s="282">
        <f>((M16*R16)+(U16*W16))/(R16+W16)</f>
        <v>538.61029560538111</v>
      </c>
      <c r="Z16" s="325">
        <f t="shared" si="4"/>
        <v>192800</v>
      </c>
      <c r="AA16" s="325">
        <f t="shared" si="5"/>
        <v>2.7936218651731385E-3</v>
      </c>
      <c r="AB16" s="325">
        <f t="shared" si="6"/>
        <v>705</v>
      </c>
      <c r="AC16" s="849"/>
      <c r="AD16" s="892">
        <v>1100</v>
      </c>
      <c r="AE16" s="893">
        <v>59.9</v>
      </c>
      <c r="AF16" s="893">
        <v>39.9</v>
      </c>
      <c r="AG16" s="894">
        <v>3.79</v>
      </c>
      <c r="AH16" s="893">
        <v>2.9</v>
      </c>
      <c r="AI16" s="895">
        <f t="shared" si="7"/>
        <v>46.519999999999996</v>
      </c>
      <c r="AJ16" s="895">
        <f t="shared" si="8"/>
        <v>26.52</v>
      </c>
      <c r="AK16" s="893">
        <v>669</v>
      </c>
      <c r="AL16" s="893">
        <f t="shared" si="9"/>
        <v>115.35679999999996</v>
      </c>
      <c r="AM16" s="854">
        <f t="shared" si="10"/>
        <v>489</v>
      </c>
      <c r="AN16" s="855">
        <f t="shared" si="10"/>
        <v>705</v>
      </c>
      <c r="AO16" s="856">
        <f t="shared" si="11"/>
        <v>2.5363070539419089E-3</v>
      </c>
      <c r="AP16" s="896">
        <v>192800</v>
      </c>
      <c r="AQ16" s="858">
        <v>7</v>
      </c>
      <c r="AR16" s="151"/>
      <c r="AS16" s="1163" t="s">
        <v>397</v>
      </c>
      <c r="AT16" s="1163" t="s">
        <v>397</v>
      </c>
      <c r="AU16" s="886"/>
      <c r="AV16" s="888"/>
      <c r="AW16" s="888"/>
      <c r="AX16" s="888"/>
      <c r="AY16" s="888"/>
      <c r="AZ16" s="888"/>
      <c r="BA16" s="888"/>
      <c r="BB16" s="887"/>
      <c r="BC16" s="862"/>
      <c r="BD16" s="325"/>
      <c r="BE16" s="151"/>
      <c r="BF16" s="325"/>
      <c r="BG16" s="151"/>
      <c r="BH16" s="151"/>
      <c r="BI16" s="151"/>
      <c r="BJ16" s="151"/>
      <c r="BK16" s="243"/>
      <c r="BL16" s="243"/>
      <c r="BM16" s="862"/>
      <c r="BN16" s="862"/>
      <c r="BO16" s="862"/>
      <c r="BP16" s="862"/>
      <c r="BQ16" s="151"/>
      <c r="BR16" s="325"/>
      <c r="BS16" s="889"/>
      <c r="BT16" s="151"/>
      <c r="BU16" s="151"/>
      <c r="BV16" s="325"/>
      <c r="BW16" s="151"/>
      <c r="BX16" s="151"/>
      <c r="BY16" s="151"/>
      <c r="BZ16" s="862"/>
      <c r="CA16" s="862"/>
      <c r="CB16" s="151"/>
      <c r="CC16" s="325"/>
      <c r="CD16" s="862"/>
      <c r="CE16" s="862"/>
      <c r="CF16" s="862"/>
      <c r="CG16" s="890"/>
      <c r="CH16" s="862"/>
      <c r="CI16" s="862"/>
      <c r="CJ16" s="862"/>
      <c r="CK16" s="151"/>
      <c r="CL16" s="862"/>
      <c r="CM16" s="151"/>
      <c r="CN16" s="151"/>
      <c r="CO16" s="151"/>
      <c r="CP16" s="151"/>
      <c r="CQ16" s="862"/>
      <c r="CR16" s="862"/>
      <c r="CS16" s="862"/>
      <c r="CT16" s="862"/>
      <c r="CU16" s="151"/>
      <c r="CV16" s="151"/>
      <c r="CW16" s="151"/>
      <c r="CX16" s="862"/>
      <c r="CY16" s="862"/>
      <c r="CZ16" s="862"/>
      <c r="DA16" s="151"/>
      <c r="DB16" s="862"/>
      <c r="DC16" s="151"/>
      <c r="DD16" s="151"/>
      <c r="DE16" s="151"/>
      <c r="DF16" s="862"/>
      <c r="DG16" s="243"/>
      <c r="DH16" s="862"/>
      <c r="DI16" s="862"/>
      <c r="DJ16" s="151"/>
      <c r="DK16" s="151"/>
      <c r="DL16" s="151"/>
      <c r="DM16" s="862"/>
      <c r="DN16" s="151"/>
      <c r="DO16" s="1002"/>
      <c r="DP16" s="151"/>
      <c r="DQ16" s="151"/>
      <c r="DR16" s="862"/>
      <c r="DS16" s="151"/>
      <c r="DT16" s="862"/>
      <c r="DU16" s="862"/>
      <c r="DV16" s="862"/>
      <c r="DW16" s="862"/>
      <c r="DX16" s="151"/>
      <c r="DY16" s="862"/>
      <c r="DZ16" s="862"/>
      <c r="EA16" s="862"/>
      <c r="EB16" s="151"/>
      <c r="EC16" s="151"/>
      <c r="ED16" s="341"/>
      <c r="EE16" s="958"/>
      <c r="EF16" s="341"/>
      <c r="EG16" s="819"/>
      <c r="EH16" s="341"/>
    </row>
    <row r="17" spans="1:138" s="342" customFormat="1" ht="14.25" customHeight="1" x14ac:dyDescent="0.35">
      <c r="A17" s="331"/>
      <c r="B17" s="1694"/>
      <c r="C17" s="1789"/>
      <c r="D17" s="1267"/>
      <c r="E17" s="1741"/>
      <c r="F17" s="1784"/>
      <c r="G17" s="973" t="s">
        <v>242</v>
      </c>
      <c r="H17" s="973"/>
      <c r="I17" s="1206"/>
      <c r="J17" s="897">
        <v>7.1</v>
      </c>
      <c r="K17" s="846"/>
      <c r="L17" s="327"/>
      <c r="M17" s="848">
        <v>403</v>
      </c>
      <c r="N17" s="325">
        <v>707</v>
      </c>
      <c r="O17" s="325" t="s">
        <v>41</v>
      </c>
      <c r="P17" s="325" t="s">
        <v>41</v>
      </c>
      <c r="Q17" s="243">
        <f t="shared" si="2"/>
        <v>476.64120000000003</v>
      </c>
      <c r="R17" s="243">
        <f t="shared" si="3"/>
        <v>425.37560000000002</v>
      </c>
      <c r="S17" s="325">
        <v>208000</v>
      </c>
      <c r="T17" s="848" t="s">
        <v>41</v>
      </c>
      <c r="U17" s="325">
        <f>0.83*N17</f>
        <v>586.80999999999995</v>
      </c>
      <c r="V17" s="243">
        <f t="shared" si="0"/>
        <v>37.358799999999974</v>
      </c>
      <c r="W17" s="325">
        <f t="shared" si="14"/>
        <v>88.62439999999998</v>
      </c>
      <c r="X17" s="325">
        <v>208000</v>
      </c>
      <c r="Y17" s="282">
        <f>((M17*R17)+(U17*W17))/(R17+W17)</f>
        <v>434.69270615564199</v>
      </c>
      <c r="Z17" s="325">
        <f t="shared" si="4"/>
        <v>208000</v>
      </c>
      <c r="AA17" s="325">
        <f t="shared" si="5"/>
        <v>2.0898687795944328E-3</v>
      </c>
      <c r="AB17" s="325">
        <f t="shared" si="6"/>
        <v>707</v>
      </c>
      <c r="AC17" s="849"/>
      <c r="AD17" s="850">
        <v>1000</v>
      </c>
      <c r="AE17" s="853">
        <v>99.7</v>
      </c>
      <c r="AF17" s="853">
        <v>49.8</v>
      </c>
      <c r="AG17" s="880">
        <v>1.79</v>
      </c>
      <c r="AH17" s="853">
        <v>2.2999999999999998</v>
      </c>
      <c r="AI17" s="851">
        <f t="shared" si="7"/>
        <v>91.52000000000001</v>
      </c>
      <c r="AJ17" s="851">
        <f t="shared" si="8"/>
        <v>41.62</v>
      </c>
      <c r="AK17" s="853">
        <v>514</v>
      </c>
      <c r="AL17" s="853">
        <f t="shared" si="9"/>
        <v>37.358799999999974</v>
      </c>
      <c r="AM17" s="881">
        <f t="shared" si="10"/>
        <v>403</v>
      </c>
      <c r="AN17" s="882">
        <f t="shared" si="10"/>
        <v>707</v>
      </c>
      <c r="AO17" s="883">
        <f t="shared" si="11"/>
        <v>1.9375E-3</v>
      </c>
      <c r="AP17" s="884">
        <v>208000</v>
      </c>
      <c r="AQ17" s="885">
        <v>7</v>
      </c>
      <c r="AR17" s="151"/>
      <c r="AS17" s="1163" t="s">
        <v>397</v>
      </c>
      <c r="AT17" s="1163" t="s">
        <v>397</v>
      </c>
      <c r="AU17" s="886"/>
      <c r="AV17" s="888"/>
      <c r="AW17" s="888"/>
      <c r="AX17" s="888"/>
      <c r="AY17" s="888"/>
      <c r="AZ17" s="888"/>
      <c r="BA17" s="888"/>
      <c r="BB17" s="887"/>
      <c r="BC17" s="862"/>
      <c r="BD17" s="325"/>
      <c r="BE17" s="151"/>
      <c r="BF17" s="325"/>
      <c r="BG17" s="151"/>
      <c r="BH17" s="151"/>
      <c r="BI17" s="151"/>
      <c r="BJ17" s="151"/>
      <c r="BK17" s="243"/>
      <c r="BL17" s="243"/>
      <c r="BM17" s="862"/>
      <c r="BN17" s="862"/>
      <c r="BO17" s="862"/>
      <c r="BP17" s="862"/>
      <c r="BQ17" s="151"/>
      <c r="BR17" s="325"/>
      <c r="BS17" s="889"/>
      <c r="BT17" s="151"/>
      <c r="BU17" s="151"/>
      <c r="BV17" s="325"/>
      <c r="BW17" s="151"/>
      <c r="BX17" s="151"/>
      <c r="BY17" s="151"/>
      <c r="BZ17" s="862"/>
      <c r="CA17" s="862"/>
      <c r="CB17" s="151"/>
      <c r="CC17" s="325"/>
      <c r="CD17" s="862"/>
      <c r="CE17" s="862"/>
      <c r="CF17" s="862"/>
      <c r="CG17" s="890"/>
      <c r="CH17" s="862"/>
      <c r="CI17" s="862"/>
      <c r="CJ17" s="862"/>
      <c r="CK17" s="151"/>
      <c r="CL17" s="862"/>
      <c r="CM17" s="151"/>
      <c r="CN17" s="151"/>
      <c r="CO17" s="151"/>
      <c r="CP17" s="151"/>
      <c r="CQ17" s="862"/>
      <c r="CR17" s="862"/>
      <c r="CS17" s="862"/>
      <c r="CT17" s="862"/>
      <c r="CU17" s="151"/>
      <c r="CV17" s="151"/>
      <c r="CW17" s="151"/>
      <c r="CX17" s="862"/>
      <c r="CY17" s="862"/>
      <c r="CZ17" s="862"/>
      <c r="DA17" s="151"/>
      <c r="DB17" s="862"/>
      <c r="DC17" s="151"/>
      <c r="DD17" s="151"/>
      <c r="DE17" s="151"/>
      <c r="DF17" s="862"/>
      <c r="DG17" s="243"/>
      <c r="DH17" s="862"/>
      <c r="DI17" s="862"/>
      <c r="DJ17" s="151"/>
      <c r="DK17" s="151"/>
      <c r="DL17" s="151"/>
      <c r="DM17" s="862"/>
      <c r="DN17" s="151"/>
      <c r="DO17" s="1002"/>
      <c r="DP17" s="151"/>
      <c r="DQ17" s="151"/>
      <c r="DR17" s="862"/>
      <c r="DS17" s="151"/>
      <c r="DT17" s="862"/>
      <c r="DU17" s="862"/>
      <c r="DV17" s="862"/>
      <c r="DW17" s="862"/>
      <c r="DX17" s="151"/>
      <c r="DY17" s="862"/>
      <c r="DZ17" s="862"/>
      <c r="EA17" s="862"/>
      <c r="EB17" s="151"/>
      <c r="EC17" s="151"/>
      <c r="ED17" s="341"/>
      <c r="EE17" s="958"/>
      <c r="EF17" s="341"/>
      <c r="EG17" s="819"/>
      <c r="EH17" s="341"/>
    </row>
    <row r="18" spans="1:138" s="342" customFormat="1" ht="14.25" customHeight="1" x14ac:dyDescent="0.35">
      <c r="A18" s="331"/>
      <c r="B18" s="1694"/>
      <c r="C18" s="1789"/>
      <c r="D18" s="1267"/>
      <c r="E18" s="1741"/>
      <c r="F18" s="1784"/>
      <c r="G18" s="973" t="s">
        <v>243</v>
      </c>
      <c r="H18" s="973"/>
      <c r="I18" s="1206"/>
      <c r="J18" s="897">
        <v>15.4</v>
      </c>
      <c r="K18" s="846"/>
      <c r="L18" s="327"/>
      <c r="M18" s="848">
        <v>479</v>
      </c>
      <c r="N18" s="325">
        <v>716</v>
      </c>
      <c r="O18" s="325" t="s">
        <v>41</v>
      </c>
      <c r="P18" s="325" t="s">
        <v>41</v>
      </c>
      <c r="Q18" s="243">
        <f t="shared" si="2"/>
        <v>724.49279999999999</v>
      </c>
      <c r="R18" s="243">
        <f t="shared" si="3"/>
        <v>591.78240000000005</v>
      </c>
      <c r="S18" s="325">
        <v>203600</v>
      </c>
      <c r="T18" s="848" t="s">
        <v>41</v>
      </c>
      <c r="U18" s="325">
        <f>0.83*N18</f>
        <v>594.28</v>
      </c>
      <c r="V18" s="243">
        <f t="shared" si="0"/>
        <v>85.507200000000068</v>
      </c>
      <c r="W18" s="325">
        <f t="shared" si="14"/>
        <v>218.21760000000006</v>
      </c>
      <c r="X18" s="325">
        <v>203600</v>
      </c>
      <c r="Y18" s="282">
        <f>((M18*R18)+(U18*W18))/(R18+W18)</f>
        <v>510.05694435555552</v>
      </c>
      <c r="Z18" s="325">
        <f t="shared" si="4"/>
        <v>203600</v>
      </c>
      <c r="AA18" s="325">
        <f t="shared" si="5"/>
        <v>2.5051912787600957E-3</v>
      </c>
      <c r="AB18" s="325">
        <f t="shared" si="6"/>
        <v>716</v>
      </c>
      <c r="AC18" s="849"/>
      <c r="AD18" s="850">
        <v>1100</v>
      </c>
      <c r="AE18" s="853">
        <v>100.1</v>
      </c>
      <c r="AF18" s="853">
        <v>50</v>
      </c>
      <c r="AG18" s="880">
        <v>2.88</v>
      </c>
      <c r="AH18" s="853">
        <v>3.2</v>
      </c>
      <c r="AI18" s="851">
        <f t="shared" si="7"/>
        <v>87.94</v>
      </c>
      <c r="AJ18" s="851">
        <f t="shared" si="8"/>
        <v>37.840000000000003</v>
      </c>
      <c r="AK18" s="853">
        <v>810</v>
      </c>
      <c r="AL18" s="853">
        <f t="shared" si="9"/>
        <v>85.507200000000068</v>
      </c>
      <c r="AM18" s="881">
        <f t="shared" si="10"/>
        <v>479</v>
      </c>
      <c r="AN18" s="882">
        <f t="shared" si="10"/>
        <v>716</v>
      </c>
      <c r="AO18" s="883">
        <f t="shared" si="11"/>
        <v>2.3526522593320235E-3</v>
      </c>
      <c r="AP18" s="884">
        <v>203600</v>
      </c>
      <c r="AQ18" s="885">
        <v>7</v>
      </c>
      <c r="AR18" s="151"/>
      <c r="AS18" s="1163" t="s">
        <v>397</v>
      </c>
      <c r="AT18" s="1163" t="s">
        <v>397</v>
      </c>
      <c r="AU18" s="886"/>
      <c r="AV18" s="888"/>
      <c r="AW18" s="888"/>
      <c r="AX18" s="888"/>
      <c r="AY18" s="888"/>
      <c r="AZ18" s="888"/>
      <c r="BA18" s="888"/>
      <c r="BB18" s="887"/>
      <c r="BC18" s="862"/>
      <c r="BD18" s="325"/>
      <c r="BE18" s="151"/>
      <c r="BF18" s="325"/>
      <c r="BG18" s="151"/>
      <c r="BH18" s="151"/>
      <c r="BI18" s="151"/>
      <c r="BJ18" s="151"/>
      <c r="BK18" s="243"/>
      <c r="BL18" s="243"/>
      <c r="BM18" s="862"/>
      <c r="BN18" s="862"/>
      <c r="BO18" s="862"/>
      <c r="BP18" s="862"/>
      <c r="BQ18" s="151"/>
      <c r="BR18" s="325"/>
      <c r="BS18" s="889"/>
      <c r="BT18" s="151"/>
      <c r="BU18" s="151"/>
      <c r="BV18" s="325"/>
      <c r="BW18" s="151"/>
      <c r="BX18" s="151"/>
      <c r="BY18" s="151"/>
      <c r="BZ18" s="862"/>
      <c r="CA18" s="862"/>
      <c r="CB18" s="151"/>
      <c r="CC18" s="325"/>
      <c r="CD18" s="862"/>
      <c r="CE18" s="862"/>
      <c r="CF18" s="862"/>
      <c r="CG18" s="890"/>
      <c r="CH18" s="862"/>
      <c r="CI18" s="862"/>
      <c r="CJ18" s="862"/>
      <c r="CK18" s="151"/>
      <c r="CL18" s="862"/>
      <c r="CM18" s="151"/>
      <c r="CN18" s="151"/>
      <c r="CO18" s="151"/>
      <c r="CP18" s="151"/>
      <c r="CQ18" s="862"/>
      <c r="CR18" s="862"/>
      <c r="CS18" s="862"/>
      <c r="CT18" s="862"/>
      <c r="CU18" s="151"/>
      <c r="CV18" s="151"/>
      <c r="CW18" s="151"/>
      <c r="CX18" s="862"/>
      <c r="CY18" s="862"/>
      <c r="CZ18" s="862"/>
      <c r="DA18" s="151"/>
      <c r="DB18" s="862"/>
      <c r="DC18" s="151"/>
      <c r="DD18" s="151"/>
      <c r="DE18" s="151"/>
      <c r="DF18" s="862"/>
      <c r="DG18" s="243"/>
      <c r="DH18" s="862"/>
      <c r="DI18" s="862"/>
      <c r="DJ18" s="151"/>
      <c r="DK18" s="151"/>
      <c r="DL18" s="151"/>
      <c r="DM18" s="862"/>
      <c r="DN18" s="151"/>
      <c r="DO18" s="1002"/>
      <c r="DP18" s="151"/>
      <c r="DQ18" s="151"/>
      <c r="DR18" s="862"/>
      <c r="DS18" s="151"/>
      <c r="DT18" s="862"/>
      <c r="DU18" s="862"/>
      <c r="DV18" s="862"/>
      <c r="DW18" s="862"/>
      <c r="DX18" s="151"/>
      <c r="DY18" s="862"/>
      <c r="DZ18" s="862"/>
      <c r="EA18" s="862"/>
      <c r="EB18" s="151"/>
      <c r="EC18" s="151"/>
      <c r="ED18" s="341"/>
      <c r="EE18" s="958"/>
      <c r="EF18" s="341"/>
      <c r="EG18" s="819"/>
      <c r="EH18" s="341"/>
    </row>
    <row r="19" spans="1:138" s="342" customFormat="1" ht="14.25" customHeight="1" thickBot="1" x14ac:dyDescent="0.4">
      <c r="A19" s="331"/>
      <c r="B19" s="1695"/>
      <c r="C19" s="1788"/>
      <c r="D19" s="1265"/>
      <c r="E19" s="1742"/>
      <c r="F19" s="1785"/>
      <c r="G19" s="1183" t="s">
        <v>244</v>
      </c>
      <c r="H19" s="1183"/>
      <c r="I19" s="1207"/>
      <c r="J19" s="898">
        <v>21.6</v>
      </c>
      <c r="K19" s="864"/>
      <c r="L19" s="302"/>
      <c r="M19" s="866">
        <v>471</v>
      </c>
      <c r="N19" s="235">
        <v>702</v>
      </c>
      <c r="O19" s="235" t="s">
        <v>41</v>
      </c>
      <c r="P19" s="235" t="s">
        <v>41</v>
      </c>
      <c r="Q19" s="299">
        <f t="shared" si="2"/>
        <v>886.7328</v>
      </c>
      <c r="R19" s="299">
        <f t="shared" si="3"/>
        <v>670.05439999999999</v>
      </c>
      <c r="S19" s="235">
        <v>208000</v>
      </c>
      <c r="T19" s="866" t="s">
        <v>41</v>
      </c>
      <c r="U19" s="235">
        <f>0.83*N19</f>
        <v>582.66</v>
      </c>
      <c r="V19" s="299">
        <f t="shared" si="0"/>
        <v>127.2672</v>
      </c>
      <c r="W19" s="235">
        <f t="shared" si="14"/>
        <v>343.94560000000001</v>
      </c>
      <c r="X19" s="235">
        <v>208000</v>
      </c>
      <c r="Y19" s="303">
        <f>((M19*R19)+(U19*W19))/(R19+W19)</f>
        <v>508.87471962130178</v>
      </c>
      <c r="Z19" s="235">
        <f t="shared" si="4"/>
        <v>208000</v>
      </c>
      <c r="AA19" s="235">
        <f t="shared" si="5"/>
        <v>2.4465130751024126E-3</v>
      </c>
      <c r="AB19" s="235">
        <f t="shared" si="6"/>
        <v>702</v>
      </c>
      <c r="AC19" s="867"/>
      <c r="AD19" s="868">
        <v>1100</v>
      </c>
      <c r="AE19" s="871">
        <v>99.7</v>
      </c>
      <c r="AF19" s="871">
        <v>49.9</v>
      </c>
      <c r="AG19" s="899">
        <v>3.68</v>
      </c>
      <c r="AH19" s="871">
        <v>3.6</v>
      </c>
      <c r="AI19" s="869">
        <f t="shared" si="7"/>
        <v>85.14</v>
      </c>
      <c r="AJ19" s="869">
        <f t="shared" si="8"/>
        <v>35.339999999999996</v>
      </c>
      <c r="AK19" s="871">
        <v>1014</v>
      </c>
      <c r="AL19" s="871">
        <f t="shared" si="9"/>
        <v>127.2672</v>
      </c>
      <c r="AM19" s="872">
        <f t="shared" si="10"/>
        <v>471</v>
      </c>
      <c r="AN19" s="873">
        <f t="shared" si="10"/>
        <v>702</v>
      </c>
      <c r="AO19" s="874">
        <f t="shared" si="11"/>
        <v>2.2644230769230771E-3</v>
      </c>
      <c r="AP19" s="900">
        <v>208000</v>
      </c>
      <c r="AQ19" s="876">
        <v>7</v>
      </c>
      <c r="AR19" s="151"/>
      <c r="AS19" s="1163" t="s">
        <v>397</v>
      </c>
      <c r="AT19" s="1163" t="s">
        <v>397</v>
      </c>
      <c r="AU19" s="886"/>
      <c r="AV19" s="888"/>
      <c r="AW19" s="888"/>
      <c r="AX19" s="888"/>
      <c r="AY19" s="888"/>
      <c r="AZ19" s="888"/>
      <c r="BA19" s="888"/>
      <c r="BB19" s="887"/>
      <c r="BC19" s="862"/>
      <c r="BD19" s="325"/>
      <c r="BE19" s="151"/>
      <c r="BF19" s="325"/>
      <c r="BG19" s="151"/>
      <c r="BH19" s="151"/>
      <c r="BI19" s="151"/>
      <c r="BJ19" s="151"/>
      <c r="BK19" s="243"/>
      <c r="BL19" s="243"/>
      <c r="BM19" s="862"/>
      <c r="BN19" s="862"/>
      <c r="BO19" s="862"/>
      <c r="BP19" s="862"/>
      <c r="BQ19" s="151"/>
      <c r="BR19" s="325"/>
      <c r="BS19" s="889"/>
      <c r="BT19" s="151"/>
      <c r="BU19" s="151"/>
      <c r="BV19" s="325"/>
      <c r="BW19" s="151"/>
      <c r="BX19" s="151"/>
      <c r="BY19" s="151"/>
      <c r="BZ19" s="862"/>
      <c r="CA19" s="862"/>
      <c r="CB19" s="151"/>
      <c r="CC19" s="325"/>
      <c r="CD19" s="862"/>
      <c r="CE19" s="862"/>
      <c r="CF19" s="862"/>
      <c r="CG19" s="890"/>
      <c r="CH19" s="862"/>
      <c r="CI19" s="862"/>
      <c r="CJ19" s="862"/>
      <c r="CK19" s="151"/>
      <c r="CL19" s="862"/>
      <c r="CM19" s="151"/>
      <c r="CN19" s="151"/>
      <c r="CO19" s="151"/>
      <c r="CP19" s="151"/>
      <c r="CQ19" s="862"/>
      <c r="CR19" s="862"/>
      <c r="CS19" s="862"/>
      <c r="CT19" s="862"/>
      <c r="CU19" s="151"/>
      <c r="CV19" s="151"/>
      <c r="CW19" s="151"/>
      <c r="CX19" s="862"/>
      <c r="CY19" s="862"/>
      <c r="CZ19" s="862"/>
      <c r="DA19" s="151"/>
      <c r="DB19" s="862"/>
      <c r="DC19" s="151"/>
      <c r="DD19" s="151"/>
      <c r="DE19" s="151"/>
      <c r="DF19" s="862"/>
      <c r="DG19" s="243"/>
      <c r="DH19" s="862"/>
      <c r="DI19" s="862"/>
      <c r="DJ19" s="151"/>
      <c r="DK19" s="151"/>
      <c r="DL19" s="151"/>
      <c r="DM19" s="862"/>
      <c r="DN19" s="151"/>
      <c r="DO19" s="1002"/>
      <c r="DP19" s="151"/>
      <c r="DQ19" s="151"/>
      <c r="DR19" s="862"/>
      <c r="DS19" s="151"/>
      <c r="DT19" s="862"/>
      <c r="DU19" s="862"/>
      <c r="DV19" s="862"/>
      <c r="DW19" s="862"/>
      <c r="DX19" s="151"/>
      <c r="DY19" s="862"/>
      <c r="DZ19" s="862"/>
      <c r="EA19" s="862"/>
      <c r="EB19" s="151"/>
      <c r="EC19" s="151"/>
      <c r="ED19" s="341"/>
      <c r="EE19" s="958"/>
      <c r="EF19" s="341"/>
      <c r="EG19" s="819"/>
      <c r="EH19" s="341"/>
    </row>
    <row r="20" spans="1:138" s="342" customFormat="1" ht="14.25" customHeight="1" x14ac:dyDescent="0.35">
      <c r="A20" s="331"/>
      <c r="B20" s="1701" t="s">
        <v>245</v>
      </c>
      <c r="C20" s="1741" t="s">
        <v>365</v>
      </c>
      <c r="D20" s="1260"/>
      <c r="E20" s="1741" t="s">
        <v>240</v>
      </c>
      <c r="F20" s="1784">
        <v>1.4300999999999999</v>
      </c>
      <c r="G20" s="973" t="s">
        <v>246</v>
      </c>
      <c r="H20" s="973">
        <v>6.3237199579274899</v>
      </c>
      <c r="I20" s="1206">
        <v>7.9</v>
      </c>
      <c r="J20" s="897">
        <v>8.81</v>
      </c>
      <c r="K20" s="846"/>
      <c r="L20" s="327"/>
      <c r="M20" s="848">
        <v>320</v>
      </c>
      <c r="N20" s="325">
        <v>635</v>
      </c>
      <c r="O20" s="325" t="s">
        <v>41</v>
      </c>
      <c r="P20" s="325" t="s">
        <v>41</v>
      </c>
      <c r="Q20" s="243">
        <f t="shared" si="2"/>
        <v>527.25080000000003</v>
      </c>
      <c r="R20" s="243">
        <f>Q20-8*(2*AG20*AG20)</f>
        <v>465.15640000000002</v>
      </c>
      <c r="S20" s="325">
        <v>198000</v>
      </c>
      <c r="T20" s="848" t="s">
        <v>41</v>
      </c>
      <c r="U20" s="325">
        <f>0.83*N20</f>
        <v>527.04999999999995</v>
      </c>
      <c r="V20" s="243">
        <f>AL20</f>
        <v>36.94792583100002</v>
      </c>
      <c r="W20" s="325">
        <f t="shared" si="14"/>
        <v>99.042325831000028</v>
      </c>
      <c r="X20" s="266">
        <v>198000</v>
      </c>
      <c r="Y20" s="151">
        <f>((M20*R20)+(U20*W20))/(R20+W20)</f>
        <v>356.34661445416157</v>
      </c>
      <c r="Z20" s="325">
        <f t="shared" si="4"/>
        <v>198000</v>
      </c>
      <c r="AA20" s="325">
        <f>Y20/Z20</f>
        <v>1.799730376031119E-3</v>
      </c>
      <c r="AB20" s="325">
        <f t="shared" si="6"/>
        <v>635</v>
      </c>
      <c r="AC20" s="849"/>
      <c r="AD20" s="850">
        <v>1440</v>
      </c>
      <c r="AE20" s="901">
        <v>99.9</v>
      </c>
      <c r="AF20" s="853">
        <v>49.8</v>
      </c>
      <c r="AG20" s="886">
        <v>1.97</v>
      </c>
      <c r="AH20" s="853">
        <v>2</v>
      </c>
      <c r="AI20" s="851">
        <f t="shared" si="7"/>
        <v>91.960000000000008</v>
      </c>
      <c r="AJ20" s="851">
        <f t="shared" si="8"/>
        <v>41.86</v>
      </c>
      <c r="AK20" s="853">
        <f t="shared" ref="AK20:AK30" si="15">3.14159*(((AH20+AG20)^2)-(AH20^2))+2*AG20*(AE20-2*(AG20+AH20))+2*AG20*(AF20-2*(AG20+AH20))</f>
        <v>564.19872583100005</v>
      </c>
      <c r="AL20" s="853">
        <f t="shared" si="9"/>
        <v>36.94792583100002</v>
      </c>
      <c r="AM20" s="881">
        <f t="shared" si="10"/>
        <v>320</v>
      </c>
      <c r="AN20" s="882">
        <f t="shared" si="10"/>
        <v>635</v>
      </c>
      <c r="AO20" s="883">
        <f t="shared" si="11"/>
        <v>1.6161616161616162E-3</v>
      </c>
      <c r="AP20" s="884">
        <v>198000</v>
      </c>
      <c r="AQ20" s="849">
        <v>5.3</v>
      </c>
      <c r="AR20" s="151"/>
      <c r="AS20" s="1163">
        <v>1</v>
      </c>
      <c r="AT20" s="1163">
        <v>1</v>
      </c>
      <c r="AU20" s="886"/>
      <c r="AV20" s="888"/>
      <c r="AW20" s="888"/>
      <c r="AX20" s="888"/>
      <c r="AY20" s="888"/>
      <c r="AZ20" s="888"/>
      <c r="BA20" s="888"/>
      <c r="BB20" s="887"/>
      <c r="BC20" s="862"/>
      <c r="BD20" s="325"/>
      <c r="BE20" s="151"/>
      <c r="BF20" s="325"/>
      <c r="BG20" s="151"/>
      <c r="BH20" s="151"/>
      <c r="BI20" s="151"/>
      <c r="BJ20" s="151"/>
      <c r="BK20" s="243"/>
      <c r="BL20" s="243"/>
      <c r="BM20" s="862"/>
      <c r="BN20" s="862"/>
      <c r="BO20" s="862"/>
      <c r="BP20" s="862"/>
      <c r="BQ20" s="151"/>
      <c r="BR20" s="325"/>
      <c r="BS20" s="889"/>
      <c r="BT20" s="151"/>
      <c r="BU20" s="151"/>
      <c r="BV20" s="325"/>
      <c r="BW20" s="151"/>
      <c r="BX20" s="151"/>
      <c r="BY20" s="151"/>
      <c r="BZ20" s="862"/>
      <c r="CA20" s="862"/>
      <c r="CB20" s="151"/>
      <c r="CC20" s="325"/>
      <c r="CD20" s="862"/>
      <c r="CE20" s="862"/>
      <c r="CF20" s="862"/>
      <c r="CG20" s="890"/>
      <c r="CH20" s="862"/>
      <c r="CI20" s="862"/>
      <c r="CJ20" s="862"/>
      <c r="CK20" s="151"/>
      <c r="CL20" s="862"/>
      <c r="CM20" s="151"/>
      <c r="CN20" s="151"/>
      <c r="CO20" s="151"/>
      <c r="CP20" s="151"/>
      <c r="CQ20" s="862"/>
      <c r="CR20" s="862"/>
      <c r="CS20" s="862"/>
      <c r="CT20" s="862"/>
      <c r="CU20" s="151"/>
      <c r="CV20" s="151"/>
      <c r="CW20" s="151"/>
      <c r="CX20" s="862"/>
      <c r="CY20" s="862"/>
      <c r="CZ20" s="862"/>
      <c r="DA20" s="151"/>
      <c r="DB20" s="862"/>
      <c r="DC20" s="151"/>
      <c r="DD20" s="151"/>
      <c r="DE20" s="151"/>
      <c r="DF20" s="862"/>
      <c r="DG20" s="243"/>
      <c r="DH20" s="862"/>
      <c r="DI20" s="862"/>
      <c r="DJ20" s="151"/>
      <c r="DK20" s="151"/>
      <c r="DL20" s="151"/>
      <c r="DM20" s="862"/>
      <c r="DN20" s="151"/>
      <c r="DO20" s="1002"/>
      <c r="DP20" s="151"/>
      <c r="DQ20" s="151"/>
      <c r="DR20" s="862"/>
      <c r="DS20" s="151"/>
      <c r="DT20" s="862"/>
      <c r="DU20" s="862"/>
      <c r="DV20" s="862"/>
      <c r="DW20" s="862"/>
      <c r="DX20" s="151"/>
      <c r="DY20" s="862"/>
      <c r="DZ20" s="862"/>
      <c r="EA20" s="862"/>
      <c r="EB20" s="151"/>
      <c r="EC20" s="151"/>
      <c r="ED20" s="1164"/>
      <c r="EE20" s="958"/>
      <c r="EF20" s="341"/>
      <c r="EG20" s="819"/>
      <c r="EH20" s="341"/>
    </row>
    <row r="21" spans="1:138" s="342" customFormat="1" ht="14.25" customHeight="1" x14ac:dyDescent="0.35">
      <c r="A21" s="331"/>
      <c r="B21" s="1702"/>
      <c r="C21" s="1789"/>
      <c r="D21" s="1267"/>
      <c r="E21" s="1741"/>
      <c r="F21" s="1784"/>
      <c r="G21" s="973" t="s">
        <v>247</v>
      </c>
      <c r="H21" s="973">
        <v>14.086411020717325</v>
      </c>
      <c r="I21" s="1206">
        <v>19</v>
      </c>
      <c r="J21" s="897">
        <v>21.28</v>
      </c>
      <c r="K21" s="846"/>
      <c r="L21" s="327"/>
      <c r="M21" s="848">
        <v>378</v>
      </c>
      <c r="N21" s="325">
        <v>603</v>
      </c>
      <c r="O21" s="325" t="s">
        <v>41</v>
      </c>
      <c r="P21" s="325" t="s">
        <v>41</v>
      </c>
      <c r="Q21" s="243">
        <f t="shared" si="2"/>
        <v>914.17731200000003</v>
      </c>
      <c r="R21" s="243">
        <f t="shared" ref="R21:R26" si="16">Q21-8*(2*AG21*AG21)</f>
        <v>673.18273600000009</v>
      </c>
      <c r="S21" s="325">
        <v>195000</v>
      </c>
      <c r="T21" s="848" t="s">
        <v>41</v>
      </c>
      <c r="U21" s="325">
        <f t="shared" ref="U21:U36" si="17">0.83*N21</f>
        <v>500.48999999999995</v>
      </c>
      <c r="V21" s="243">
        <f t="shared" ref="V21:V26" si="18">AL21</f>
        <v>144.85922069598996</v>
      </c>
      <c r="W21" s="325">
        <f t="shared" si="14"/>
        <v>385.8537966959899</v>
      </c>
      <c r="X21" s="266">
        <v>195000</v>
      </c>
      <c r="Y21" s="151">
        <f t="shared" ref="Y21:Y26" si="19">((M21*R21)+(U21*W21))/(R21+W21)</f>
        <v>422.62851856203082</v>
      </c>
      <c r="Z21" s="325">
        <f t="shared" si="4"/>
        <v>195000</v>
      </c>
      <c r="AA21" s="325">
        <f t="shared" ref="AA21:AA26" si="20">Y21/Z21</f>
        <v>2.1673257362155429E-3</v>
      </c>
      <c r="AB21" s="325">
        <f t="shared" si="6"/>
        <v>603</v>
      </c>
      <c r="AC21" s="849"/>
      <c r="AD21" s="850">
        <v>1439</v>
      </c>
      <c r="AE21" s="901">
        <v>99.7</v>
      </c>
      <c r="AF21" s="853">
        <v>49.6</v>
      </c>
      <c r="AG21" s="886">
        <v>3.8809999999999998</v>
      </c>
      <c r="AH21" s="853">
        <v>4</v>
      </c>
      <c r="AI21" s="851">
        <f t="shared" si="7"/>
        <v>83.938000000000002</v>
      </c>
      <c r="AJ21" s="851">
        <f t="shared" si="8"/>
        <v>33.838000000000001</v>
      </c>
      <c r="AK21" s="853">
        <f t="shared" si="15"/>
        <v>1059.03653269599</v>
      </c>
      <c r="AL21" s="853">
        <f t="shared" si="9"/>
        <v>144.85922069598996</v>
      </c>
      <c r="AM21" s="881">
        <f t="shared" si="10"/>
        <v>378</v>
      </c>
      <c r="AN21" s="882">
        <f t="shared" si="10"/>
        <v>603</v>
      </c>
      <c r="AO21" s="883">
        <f t="shared" si="11"/>
        <v>1.9384615384615384E-3</v>
      </c>
      <c r="AP21" s="884">
        <v>195000</v>
      </c>
      <c r="AQ21" s="849">
        <v>7.9</v>
      </c>
      <c r="AR21" s="151"/>
      <c r="AS21" s="1163">
        <v>1</v>
      </c>
      <c r="AT21" s="1163">
        <v>1</v>
      </c>
      <c r="AU21" s="886"/>
      <c r="AV21" s="888"/>
      <c r="AW21" s="888"/>
      <c r="AX21" s="888"/>
      <c r="AY21" s="888"/>
      <c r="AZ21" s="888"/>
      <c r="BA21" s="888"/>
      <c r="BB21" s="887"/>
      <c r="BC21" s="862"/>
      <c r="BD21" s="325"/>
      <c r="BE21" s="151"/>
      <c r="BF21" s="325"/>
      <c r="BG21" s="151"/>
      <c r="BH21" s="151"/>
      <c r="BI21" s="151"/>
      <c r="BJ21" s="151"/>
      <c r="BK21" s="243"/>
      <c r="BL21" s="243"/>
      <c r="BM21" s="862"/>
      <c r="BN21" s="862"/>
      <c r="BO21" s="862"/>
      <c r="BP21" s="862"/>
      <c r="BQ21" s="151"/>
      <c r="BR21" s="325"/>
      <c r="BS21" s="889"/>
      <c r="BT21" s="151"/>
      <c r="BU21" s="151"/>
      <c r="BV21" s="325"/>
      <c r="BW21" s="151"/>
      <c r="BX21" s="151"/>
      <c r="BY21" s="151"/>
      <c r="BZ21" s="862"/>
      <c r="CA21" s="862"/>
      <c r="CB21" s="151"/>
      <c r="CC21" s="325"/>
      <c r="CD21" s="862"/>
      <c r="CE21" s="862"/>
      <c r="CF21" s="862"/>
      <c r="CG21" s="890"/>
      <c r="CH21" s="862"/>
      <c r="CI21" s="862"/>
      <c r="CJ21" s="862"/>
      <c r="CK21" s="151"/>
      <c r="CL21" s="862"/>
      <c r="CM21" s="151"/>
      <c r="CN21" s="151"/>
      <c r="CO21" s="151"/>
      <c r="CP21" s="151"/>
      <c r="CQ21" s="862"/>
      <c r="CR21" s="862"/>
      <c r="CS21" s="862"/>
      <c r="CT21" s="862"/>
      <c r="CU21" s="151"/>
      <c r="CV21" s="151"/>
      <c r="CW21" s="151"/>
      <c r="CX21" s="862"/>
      <c r="CY21" s="862"/>
      <c r="CZ21" s="862"/>
      <c r="DA21" s="151"/>
      <c r="DB21" s="862"/>
      <c r="DC21" s="151"/>
      <c r="DD21" s="151"/>
      <c r="DE21" s="151"/>
      <c r="DF21" s="862"/>
      <c r="DG21" s="243"/>
      <c r="DH21" s="862"/>
      <c r="DI21" s="862"/>
      <c r="DJ21" s="151"/>
      <c r="DK21" s="151"/>
      <c r="DL21" s="151"/>
      <c r="DM21" s="862"/>
      <c r="DN21" s="151"/>
      <c r="DO21" s="1002"/>
      <c r="DP21" s="151"/>
      <c r="DQ21" s="151"/>
      <c r="DR21" s="862"/>
      <c r="DS21" s="151"/>
      <c r="DT21" s="862"/>
      <c r="DU21" s="862"/>
      <c r="DV21" s="862"/>
      <c r="DW21" s="862"/>
      <c r="DX21" s="151"/>
      <c r="DY21" s="862"/>
      <c r="DZ21" s="862"/>
      <c r="EA21" s="862"/>
      <c r="EB21" s="151"/>
      <c r="EC21" s="151"/>
      <c r="ED21" s="1164"/>
      <c r="EE21" s="958"/>
      <c r="EF21" s="341"/>
      <c r="EG21" s="819"/>
      <c r="EH21" s="341"/>
    </row>
    <row r="22" spans="1:138" s="342" customFormat="1" ht="14.25" customHeight="1" x14ac:dyDescent="0.35">
      <c r="A22" s="331"/>
      <c r="B22" s="1702"/>
      <c r="C22" s="1789"/>
      <c r="D22" s="1267"/>
      <c r="E22" s="1741"/>
      <c r="F22" s="1784"/>
      <c r="G22" s="1199" t="s">
        <v>248</v>
      </c>
      <c r="H22" s="1204">
        <v>8.3759973970421022</v>
      </c>
      <c r="I22" s="1206">
        <v>8.6999999999999993</v>
      </c>
      <c r="J22" s="897">
        <v>10.25</v>
      </c>
      <c r="K22" s="846"/>
      <c r="L22" s="327"/>
      <c r="M22" s="848">
        <v>361</v>
      </c>
      <c r="N22" s="325">
        <v>646</v>
      </c>
      <c r="O22" s="325" t="s">
        <v>41</v>
      </c>
      <c r="P22" s="325" t="s">
        <v>41</v>
      </c>
      <c r="Q22" s="243">
        <f t="shared" si="2"/>
        <v>598.26164800000004</v>
      </c>
      <c r="R22" s="243">
        <f t="shared" si="16"/>
        <v>544.209744</v>
      </c>
      <c r="S22" s="325">
        <v>200000</v>
      </c>
      <c r="T22" s="848" t="s">
        <v>41</v>
      </c>
      <c r="U22" s="325">
        <f t="shared" si="17"/>
        <v>536.17999999999995</v>
      </c>
      <c r="V22" s="243">
        <f t="shared" si="18"/>
        <v>39.484269667960007</v>
      </c>
      <c r="W22" s="325">
        <f t="shared" si="14"/>
        <v>93.536173667960014</v>
      </c>
      <c r="X22" s="266">
        <v>200000</v>
      </c>
      <c r="Y22" s="151">
        <f t="shared" si="19"/>
        <v>386.69309571289858</v>
      </c>
      <c r="Z22" s="325">
        <f t="shared" si="4"/>
        <v>200000</v>
      </c>
      <c r="AA22" s="325">
        <f t="shared" si="20"/>
        <v>1.9334654785644928E-3</v>
      </c>
      <c r="AB22" s="325">
        <f t="shared" si="6"/>
        <v>646</v>
      </c>
      <c r="AC22" s="849"/>
      <c r="AD22" s="850">
        <v>1442</v>
      </c>
      <c r="AE22" s="901">
        <v>120.2</v>
      </c>
      <c r="AF22" s="853">
        <v>59.9</v>
      </c>
      <c r="AG22" s="886">
        <v>1.8380000000000001</v>
      </c>
      <c r="AH22" s="853">
        <v>2.5</v>
      </c>
      <c r="AI22" s="851">
        <f t="shared" si="7"/>
        <v>111.524</v>
      </c>
      <c r="AJ22" s="851">
        <f t="shared" si="8"/>
        <v>51.223999999999997</v>
      </c>
      <c r="AK22" s="853">
        <f t="shared" si="15"/>
        <v>637.74591766796004</v>
      </c>
      <c r="AL22" s="853">
        <f t="shared" si="9"/>
        <v>39.484269667960007</v>
      </c>
      <c r="AM22" s="881">
        <f t="shared" si="10"/>
        <v>361</v>
      </c>
      <c r="AN22" s="882">
        <f t="shared" si="10"/>
        <v>646</v>
      </c>
      <c r="AO22" s="883">
        <f t="shared" si="11"/>
        <v>1.805E-3</v>
      </c>
      <c r="AP22" s="884">
        <v>200000</v>
      </c>
      <c r="AQ22" s="849">
        <v>6.2</v>
      </c>
      <c r="AR22" s="151"/>
      <c r="AS22" s="1163">
        <v>1</v>
      </c>
      <c r="AT22" s="1163">
        <v>1</v>
      </c>
      <c r="AU22" s="886"/>
      <c r="AV22" s="888"/>
      <c r="AW22" s="888"/>
      <c r="AX22" s="888"/>
      <c r="AY22" s="888"/>
      <c r="AZ22" s="888"/>
      <c r="BA22" s="888"/>
      <c r="BB22" s="887"/>
      <c r="BC22" s="862"/>
      <c r="BD22" s="325"/>
      <c r="BE22" s="151"/>
      <c r="BF22" s="325"/>
      <c r="BG22" s="151"/>
      <c r="BH22" s="151"/>
      <c r="BI22" s="151"/>
      <c r="BJ22" s="151"/>
      <c r="BK22" s="243"/>
      <c r="BL22" s="243"/>
      <c r="BM22" s="862"/>
      <c r="BN22" s="862"/>
      <c r="BO22" s="862"/>
      <c r="BP22" s="862"/>
      <c r="BQ22" s="151"/>
      <c r="BR22" s="325"/>
      <c r="BS22" s="889"/>
      <c r="BT22" s="151"/>
      <c r="BU22" s="151"/>
      <c r="BV22" s="325"/>
      <c r="BW22" s="151"/>
      <c r="BX22" s="151"/>
      <c r="BY22" s="151"/>
      <c r="BZ22" s="862"/>
      <c r="CA22" s="862"/>
      <c r="CB22" s="151"/>
      <c r="CC22" s="325"/>
      <c r="CD22" s="862"/>
      <c r="CE22" s="862"/>
      <c r="CF22" s="862"/>
      <c r="CG22" s="890"/>
      <c r="CH22" s="862"/>
      <c r="CI22" s="862"/>
      <c r="CJ22" s="862"/>
      <c r="CK22" s="151"/>
      <c r="CL22" s="862"/>
      <c r="CM22" s="151"/>
      <c r="CN22" s="151"/>
      <c r="CO22" s="151"/>
      <c r="CP22" s="151"/>
      <c r="CQ22" s="862"/>
      <c r="CR22" s="862"/>
      <c r="CS22" s="862"/>
      <c r="CT22" s="862"/>
      <c r="CU22" s="151"/>
      <c r="CV22" s="151"/>
      <c r="CW22" s="151"/>
      <c r="CX22" s="862"/>
      <c r="CY22" s="862"/>
      <c r="CZ22" s="862"/>
      <c r="DA22" s="151"/>
      <c r="DB22" s="862"/>
      <c r="DC22" s="151"/>
      <c r="DD22" s="151"/>
      <c r="DE22" s="151"/>
      <c r="DF22" s="862"/>
      <c r="DG22" s="243"/>
      <c r="DH22" s="862"/>
      <c r="DI22" s="862"/>
      <c r="DJ22" s="151"/>
      <c r="DK22" s="151"/>
      <c r="DL22" s="151"/>
      <c r="DM22" s="862"/>
      <c r="DN22" s="151"/>
      <c r="DO22" s="1002"/>
      <c r="DP22" s="151"/>
      <c r="DQ22" s="151"/>
      <c r="DR22" s="862"/>
      <c r="DS22" s="151"/>
      <c r="DT22" s="862"/>
      <c r="DU22" s="862"/>
      <c r="DV22" s="862"/>
      <c r="DW22" s="862"/>
      <c r="DX22" s="151"/>
      <c r="DY22" s="862"/>
      <c r="DZ22" s="862"/>
      <c r="EA22" s="862"/>
      <c r="EB22" s="151"/>
      <c r="EC22" s="151"/>
      <c r="ED22" s="1164"/>
      <c r="EE22" s="958"/>
      <c r="EF22" s="341"/>
      <c r="EG22" s="819"/>
      <c r="EH22" s="341"/>
    </row>
    <row r="23" spans="1:138" s="342" customFormat="1" ht="14.25" customHeight="1" x14ac:dyDescent="0.35">
      <c r="A23" s="331"/>
      <c r="B23" s="1702"/>
      <c r="C23" s="1789"/>
      <c r="D23" s="1267"/>
      <c r="E23" s="1741"/>
      <c r="F23" s="1786"/>
      <c r="G23" s="1184" t="s">
        <v>249</v>
      </c>
      <c r="H23" s="1184">
        <v>22.31536193329276</v>
      </c>
      <c r="I23" s="1209">
        <v>29.4</v>
      </c>
      <c r="J23" s="902">
        <v>34.090000000000003</v>
      </c>
      <c r="K23" s="903"/>
      <c r="L23" s="297"/>
      <c r="M23" s="296">
        <v>392</v>
      </c>
      <c r="N23" s="904">
        <v>696</v>
      </c>
      <c r="O23" s="904" t="s">
        <v>41</v>
      </c>
      <c r="P23" s="904" t="s">
        <v>41</v>
      </c>
      <c r="Q23" s="298">
        <f t="shared" si="2"/>
        <v>1104.5832</v>
      </c>
      <c r="R23" s="298">
        <f t="shared" si="16"/>
        <v>863.09160000000008</v>
      </c>
      <c r="S23" s="904">
        <v>200000</v>
      </c>
      <c r="T23" s="296" t="s">
        <v>41</v>
      </c>
      <c r="U23" s="904">
        <f t="shared" si="17"/>
        <v>577.67999999999995</v>
      </c>
      <c r="V23" s="298">
        <f t="shared" si="18"/>
        <v>181.67257337774981</v>
      </c>
      <c r="W23" s="904">
        <f t="shared" si="14"/>
        <v>423.16417337774976</v>
      </c>
      <c r="X23" s="905">
        <v>200000</v>
      </c>
      <c r="Y23" s="260">
        <f t="shared" si="19"/>
        <v>453.08670245766518</v>
      </c>
      <c r="Z23" s="904">
        <f t="shared" si="4"/>
        <v>200000</v>
      </c>
      <c r="AA23" s="904">
        <f t="shared" si="20"/>
        <v>2.2654335122883258E-3</v>
      </c>
      <c r="AB23" s="904">
        <f t="shared" si="6"/>
        <v>696</v>
      </c>
      <c r="AC23" s="906"/>
      <c r="AD23" s="907">
        <v>1442</v>
      </c>
      <c r="AE23" s="908">
        <v>120</v>
      </c>
      <c r="AF23" s="909">
        <v>59.7</v>
      </c>
      <c r="AG23" s="910">
        <v>3.8849999999999998</v>
      </c>
      <c r="AH23" s="909">
        <v>5.5</v>
      </c>
      <c r="AI23" s="911">
        <f t="shared" si="7"/>
        <v>101.23</v>
      </c>
      <c r="AJ23" s="911">
        <f t="shared" si="8"/>
        <v>40.930000000000007</v>
      </c>
      <c r="AK23" s="909">
        <f t="shared" si="15"/>
        <v>1286.2557733777498</v>
      </c>
      <c r="AL23" s="909">
        <f t="shared" si="9"/>
        <v>181.67257337774981</v>
      </c>
      <c r="AM23" s="881">
        <f t="shared" si="10"/>
        <v>392</v>
      </c>
      <c r="AN23" s="882">
        <f t="shared" si="10"/>
        <v>696</v>
      </c>
      <c r="AO23" s="883">
        <f t="shared" si="11"/>
        <v>1.9599999999999999E-3</v>
      </c>
      <c r="AP23" s="884">
        <v>200000</v>
      </c>
      <c r="AQ23" s="906">
        <v>5.0999999999999996</v>
      </c>
      <c r="AR23" s="151"/>
      <c r="AS23" s="1163">
        <v>1</v>
      </c>
      <c r="AT23" s="1163">
        <v>1</v>
      </c>
      <c r="AU23" s="886"/>
      <c r="AV23" s="888"/>
      <c r="AW23" s="888"/>
      <c r="AX23" s="888"/>
      <c r="AY23" s="888"/>
      <c r="AZ23" s="888"/>
      <c r="BA23" s="888"/>
      <c r="BB23" s="887"/>
      <c r="BC23" s="862"/>
      <c r="BD23" s="325"/>
      <c r="BE23" s="151"/>
      <c r="BF23" s="325"/>
      <c r="BG23" s="151"/>
      <c r="BH23" s="151"/>
      <c r="BI23" s="151"/>
      <c r="BJ23" s="151"/>
      <c r="BK23" s="243"/>
      <c r="BL23" s="243"/>
      <c r="BM23" s="862"/>
      <c r="BN23" s="862"/>
      <c r="BO23" s="862"/>
      <c r="BP23" s="862"/>
      <c r="BQ23" s="151"/>
      <c r="BR23" s="325"/>
      <c r="BS23" s="889"/>
      <c r="BT23" s="151"/>
      <c r="BU23" s="151"/>
      <c r="BV23" s="325"/>
      <c r="BW23" s="151"/>
      <c r="BX23" s="151"/>
      <c r="BY23" s="151"/>
      <c r="BZ23" s="862"/>
      <c r="CA23" s="862"/>
      <c r="CB23" s="151"/>
      <c r="CC23" s="325"/>
      <c r="CD23" s="862"/>
      <c r="CE23" s="862"/>
      <c r="CF23" s="862"/>
      <c r="CG23" s="890"/>
      <c r="CH23" s="862"/>
      <c r="CI23" s="862"/>
      <c r="CJ23" s="862"/>
      <c r="CK23" s="151"/>
      <c r="CL23" s="862"/>
      <c r="CM23" s="151"/>
      <c r="CN23" s="151"/>
      <c r="CO23" s="151"/>
      <c r="CP23" s="151"/>
      <c r="CQ23" s="862"/>
      <c r="CR23" s="862"/>
      <c r="CS23" s="862"/>
      <c r="CT23" s="862"/>
      <c r="CU23" s="151"/>
      <c r="CV23" s="151"/>
      <c r="CW23" s="151"/>
      <c r="CX23" s="862"/>
      <c r="CY23" s="862"/>
      <c r="CZ23" s="862"/>
      <c r="DA23" s="151"/>
      <c r="DB23" s="862"/>
      <c r="DC23" s="151"/>
      <c r="DD23" s="151"/>
      <c r="DE23" s="151"/>
      <c r="DF23" s="862"/>
      <c r="DG23" s="243"/>
      <c r="DH23" s="862"/>
      <c r="DI23" s="862"/>
      <c r="DJ23" s="151"/>
      <c r="DK23" s="151"/>
      <c r="DL23" s="151"/>
      <c r="DM23" s="862"/>
      <c r="DN23" s="151"/>
      <c r="DO23" s="1002"/>
      <c r="DP23" s="151"/>
      <c r="DQ23" s="151"/>
      <c r="DR23" s="862"/>
      <c r="DS23" s="151"/>
      <c r="DT23" s="862"/>
      <c r="DU23" s="862"/>
      <c r="DV23" s="862"/>
      <c r="DW23" s="862"/>
      <c r="DX23" s="151"/>
      <c r="DY23" s="862"/>
      <c r="DZ23" s="862"/>
      <c r="EA23" s="862"/>
      <c r="EB23" s="151"/>
      <c r="EC23" s="151"/>
      <c r="ED23" s="1164"/>
      <c r="EE23" s="958"/>
      <c r="EF23" s="341"/>
      <c r="EG23" s="819"/>
      <c r="EH23" s="341"/>
    </row>
    <row r="24" spans="1:138" s="342" customFormat="1" ht="14.25" customHeight="1" x14ac:dyDescent="0.35">
      <c r="A24" s="331"/>
      <c r="B24" s="1702"/>
      <c r="C24" s="1789"/>
      <c r="D24" s="1267"/>
      <c r="E24" s="1741"/>
      <c r="F24" s="1787" t="s">
        <v>250</v>
      </c>
      <c r="G24" s="1199" t="s">
        <v>251</v>
      </c>
      <c r="H24" s="1204">
        <v>28.72979521416919</v>
      </c>
      <c r="I24" s="1206">
        <v>26.8</v>
      </c>
      <c r="J24" s="897">
        <v>33.97</v>
      </c>
      <c r="K24" s="846"/>
      <c r="L24" s="327"/>
      <c r="M24" s="848">
        <v>486</v>
      </c>
      <c r="N24" s="325">
        <v>736</v>
      </c>
      <c r="O24" s="325" t="s">
        <v>41</v>
      </c>
      <c r="P24" s="325" t="s">
        <v>41</v>
      </c>
      <c r="Q24" s="243">
        <f t="shared" si="2"/>
        <v>1128.839712</v>
      </c>
      <c r="R24" s="243">
        <f t="shared" si="16"/>
        <v>975.67433600000004</v>
      </c>
      <c r="S24" s="325">
        <v>212000</v>
      </c>
      <c r="T24" s="848" t="s">
        <v>41</v>
      </c>
      <c r="U24" s="325">
        <f t="shared" si="17"/>
        <v>610.88</v>
      </c>
      <c r="V24" s="243">
        <f t="shared" si="18"/>
        <v>156.4349588292398</v>
      </c>
      <c r="W24" s="325">
        <f t="shared" si="14"/>
        <v>309.60033482923978</v>
      </c>
      <c r="X24" s="266">
        <v>212000</v>
      </c>
      <c r="Y24" s="151">
        <f t="shared" si="19"/>
        <v>516.0814220422867</v>
      </c>
      <c r="Z24" s="325">
        <f t="shared" si="4"/>
        <v>212000</v>
      </c>
      <c r="AA24" s="325">
        <f t="shared" si="20"/>
        <v>2.4343463303881448E-3</v>
      </c>
      <c r="AB24" s="325">
        <f t="shared" si="6"/>
        <v>736</v>
      </c>
      <c r="AC24" s="849"/>
      <c r="AD24" s="850">
        <v>1440</v>
      </c>
      <c r="AE24" s="901">
        <v>140.30000000000001</v>
      </c>
      <c r="AF24" s="853">
        <v>80.5</v>
      </c>
      <c r="AG24" s="886">
        <v>3.0939999999999999</v>
      </c>
      <c r="AH24" s="853">
        <v>6.5</v>
      </c>
      <c r="AI24" s="851">
        <f t="shared" si="7"/>
        <v>121.11200000000001</v>
      </c>
      <c r="AJ24" s="851">
        <f t="shared" si="8"/>
        <v>61.311999999999998</v>
      </c>
      <c r="AK24" s="853">
        <f t="shared" si="15"/>
        <v>1285.2746708292398</v>
      </c>
      <c r="AL24" s="853">
        <f t="shared" si="9"/>
        <v>156.4349588292398</v>
      </c>
      <c r="AM24" s="912">
        <f t="shared" si="10"/>
        <v>486</v>
      </c>
      <c r="AN24" s="913">
        <f t="shared" si="10"/>
        <v>736</v>
      </c>
      <c r="AO24" s="914">
        <f t="shared" si="11"/>
        <v>2.292452830188679E-3</v>
      </c>
      <c r="AP24" s="915">
        <v>212000</v>
      </c>
      <c r="AQ24" s="849">
        <v>6.5</v>
      </c>
      <c r="AR24" s="151"/>
      <c r="AS24" s="1163">
        <v>1</v>
      </c>
      <c r="AT24" s="1163">
        <v>1</v>
      </c>
      <c r="AU24" s="886"/>
      <c r="AV24" s="888"/>
      <c r="AW24" s="888"/>
      <c r="AX24" s="888"/>
      <c r="AY24" s="888"/>
      <c r="AZ24" s="888"/>
      <c r="BA24" s="888"/>
      <c r="BB24" s="887"/>
      <c r="BC24" s="862"/>
      <c r="BD24" s="325"/>
      <c r="BE24" s="151"/>
      <c r="BF24" s="325"/>
      <c r="BG24" s="151"/>
      <c r="BH24" s="151"/>
      <c r="BI24" s="151"/>
      <c r="BJ24" s="151"/>
      <c r="BK24" s="243"/>
      <c r="BL24" s="243"/>
      <c r="BM24" s="862"/>
      <c r="BN24" s="862"/>
      <c r="BO24" s="862"/>
      <c r="BP24" s="862"/>
      <c r="BQ24" s="151"/>
      <c r="BR24" s="325"/>
      <c r="BS24" s="889"/>
      <c r="BT24" s="151"/>
      <c r="BU24" s="151"/>
      <c r="BV24" s="325"/>
      <c r="BW24" s="151"/>
      <c r="BX24" s="151"/>
      <c r="BY24" s="151"/>
      <c r="BZ24" s="862"/>
      <c r="CA24" s="862"/>
      <c r="CB24" s="151"/>
      <c r="CC24" s="325"/>
      <c r="CD24" s="862"/>
      <c r="CE24" s="862"/>
      <c r="CF24" s="862"/>
      <c r="CG24" s="890"/>
      <c r="CH24" s="862"/>
      <c r="CI24" s="862"/>
      <c r="CJ24" s="862"/>
      <c r="CK24" s="151"/>
      <c r="CL24" s="862"/>
      <c r="CM24" s="151"/>
      <c r="CN24" s="151"/>
      <c r="CO24" s="151"/>
      <c r="CP24" s="151"/>
      <c r="CQ24" s="862"/>
      <c r="CR24" s="862"/>
      <c r="CS24" s="862"/>
      <c r="CT24" s="862"/>
      <c r="CU24" s="151"/>
      <c r="CV24" s="151"/>
      <c r="CW24" s="151"/>
      <c r="CX24" s="862"/>
      <c r="CY24" s="862"/>
      <c r="CZ24" s="862"/>
      <c r="DA24" s="151"/>
      <c r="DB24" s="862"/>
      <c r="DC24" s="151"/>
      <c r="DD24" s="151"/>
      <c r="DE24" s="151"/>
      <c r="DF24" s="862"/>
      <c r="DG24" s="243"/>
      <c r="DH24" s="862"/>
      <c r="DI24" s="862"/>
      <c r="DJ24" s="151"/>
      <c r="DK24" s="151"/>
      <c r="DL24" s="151"/>
      <c r="DM24" s="862"/>
      <c r="DN24" s="151"/>
      <c r="DO24" s="1002"/>
      <c r="DP24" s="151"/>
      <c r="DQ24" s="151"/>
      <c r="DR24" s="862"/>
      <c r="DS24" s="151"/>
      <c r="DT24" s="862"/>
      <c r="DU24" s="862"/>
      <c r="DV24" s="862"/>
      <c r="DW24" s="862"/>
      <c r="DX24" s="151"/>
      <c r="DY24" s="862"/>
      <c r="DZ24" s="862"/>
      <c r="EA24" s="862"/>
      <c r="EB24" s="151"/>
      <c r="EC24" s="151"/>
      <c r="ED24" s="1164"/>
      <c r="EE24" s="958"/>
      <c r="EF24" s="341"/>
      <c r="EG24" s="819"/>
      <c r="EH24" s="341"/>
    </row>
    <row r="25" spans="1:138" s="342" customFormat="1" ht="14.25" customHeight="1" x14ac:dyDescent="0.35">
      <c r="A25" s="331"/>
      <c r="B25" s="1702"/>
      <c r="C25" s="1789"/>
      <c r="D25" s="1267"/>
      <c r="E25" s="1741"/>
      <c r="F25" s="1741"/>
      <c r="G25" s="1199" t="s">
        <v>252</v>
      </c>
      <c r="H25" s="1204">
        <v>35.043715313447528</v>
      </c>
      <c r="I25" s="1206">
        <v>33.4</v>
      </c>
      <c r="J25" s="897">
        <v>39.36</v>
      </c>
      <c r="K25" s="846"/>
      <c r="L25" s="327"/>
      <c r="M25" s="848">
        <v>536</v>
      </c>
      <c r="N25" s="325">
        <v>766</v>
      </c>
      <c r="O25" s="325" t="s">
        <v>41</v>
      </c>
      <c r="P25" s="325" t="s">
        <v>41</v>
      </c>
      <c r="Q25" s="243">
        <f t="shared" si="2"/>
        <v>1194.608592</v>
      </c>
      <c r="R25" s="243">
        <f t="shared" si="16"/>
        <v>1059.955776</v>
      </c>
      <c r="S25" s="325">
        <v>208000</v>
      </c>
      <c r="T25" s="848" t="s">
        <v>41</v>
      </c>
      <c r="U25" s="325">
        <f t="shared" si="17"/>
        <v>635.78</v>
      </c>
      <c r="V25" s="243">
        <f t="shared" si="18"/>
        <v>135.80402734359006</v>
      </c>
      <c r="W25" s="325">
        <f t="shared" si="14"/>
        <v>270.45684334359004</v>
      </c>
      <c r="X25" s="266">
        <v>208000</v>
      </c>
      <c r="Y25" s="151">
        <f t="shared" si="19"/>
        <v>556.28407084874016</v>
      </c>
      <c r="Z25" s="325">
        <f t="shared" si="4"/>
        <v>208000</v>
      </c>
      <c r="AA25" s="325">
        <f t="shared" si="20"/>
        <v>2.6744426483112506E-3</v>
      </c>
      <c r="AB25" s="325">
        <f t="shared" si="6"/>
        <v>766</v>
      </c>
      <c r="AC25" s="849"/>
      <c r="AD25" s="850">
        <v>1440</v>
      </c>
      <c r="AE25" s="901">
        <v>160.6</v>
      </c>
      <c r="AF25" s="853">
        <v>80.900000000000006</v>
      </c>
      <c r="AG25" s="886">
        <v>2.9009999999999998</v>
      </c>
      <c r="AH25" s="853">
        <v>6</v>
      </c>
      <c r="AI25" s="851">
        <f t="shared" si="7"/>
        <v>142.798</v>
      </c>
      <c r="AJ25" s="851">
        <f t="shared" si="8"/>
        <v>63.098000000000006</v>
      </c>
      <c r="AK25" s="853">
        <f t="shared" si="15"/>
        <v>1330.41261934359</v>
      </c>
      <c r="AL25" s="853">
        <f t="shared" si="9"/>
        <v>135.80402734359006</v>
      </c>
      <c r="AM25" s="881">
        <f t="shared" si="10"/>
        <v>536</v>
      </c>
      <c r="AN25" s="882">
        <f t="shared" si="10"/>
        <v>766</v>
      </c>
      <c r="AO25" s="883">
        <f t="shared" si="11"/>
        <v>2.5769230769230769E-3</v>
      </c>
      <c r="AP25" s="884">
        <v>208000</v>
      </c>
      <c r="AQ25" s="849">
        <v>5.9</v>
      </c>
      <c r="AR25" s="151"/>
      <c r="AS25" s="1163">
        <v>1</v>
      </c>
      <c r="AT25" s="1163">
        <v>1</v>
      </c>
      <c r="AU25" s="886"/>
      <c r="AV25" s="888"/>
      <c r="AW25" s="888"/>
      <c r="AX25" s="888"/>
      <c r="AY25" s="888"/>
      <c r="AZ25" s="888"/>
      <c r="BA25" s="888"/>
      <c r="BB25" s="887"/>
      <c r="BC25" s="862"/>
      <c r="BD25" s="325"/>
      <c r="BE25" s="151"/>
      <c r="BF25" s="325"/>
      <c r="BG25" s="151"/>
      <c r="BH25" s="151"/>
      <c r="BI25" s="151"/>
      <c r="BJ25" s="151"/>
      <c r="BK25" s="243"/>
      <c r="BL25" s="243"/>
      <c r="BM25" s="862"/>
      <c r="BN25" s="862"/>
      <c r="BO25" s="862"/>
      <c r="BP25" s="862"/>
      <c r="BQ25" s="151"/>
      <c r="BR25" s="325"/>
      <c r="BS25" s="889"/>
      <c r="BT25" s="151"/>
      <c r="BU25" s="151"/>
      <c r="BV25" s="325"/>
      <c r="BW25" s="151"/>
      <c r="BX25" s="151"/>
      <c r="BY25" s="151"/>
      <c r="BZ25" s="862"/>
      <c r="CA25" s="862"/>
      <c r="CB25" s="151"/>
      <c r="CC25" s="325"/>
      <c r="CD25" s="862"/>
      <c r="CE25" s="862"/>
      <c r="CF25" s="862"/>
      <c r="CG25" s="890"/>
      <c r="CH25" s="862"/>
      <c r="CI25" s="862"/>
      <c r="CJ25" s="862"/>
      <c r="CK25" s="151"/>
      <c r="CL25" s="862"/>
      <c r="CM25" s="151"/>
      <c r="CN25" s="151"/>
      <c r="CO25" s="151"/>
      <c r="CP25" s="151"/>
      <c r="CQ25" s="862"/>
      <c r="CR25" s="862"/>
      <c r="CS25" s="862"/>
      <c r="CT25" s="862"/>
      <c r="CU25" s="151"/>
      <c r="CV25" s="151"/>
      <c r="CW25" s="151"/>
      <c r="CX25" s="862"/>
      <c r="CY25" s="862"/>
      <c r="CZ25" s="862"/>
      <c r="DA25" s="151"/>
      <c r="DB25" s="862"/>
      <c r="DC25" s="151"/>
      <c r="DD25" s="151"/>
      <c r="DE25" s="151"/>
      <c r="DF25" s="862"/>
      <c r="DG25" s="243"/>
      <c r="DH25" s="862"/>
      <c r="DI25" s="862"/>
      <c r="DJ25" s="151"/>
      <c r="DK25" s="151"/>
      <c r="DL25" s="151"/>
      <c r="DM25" s="862"/>
      <c r="DN25" s="151"/>
      <c r="DO25" s="1002"/>
      <c r="DP25" s="151"/>
      <c r="DQ25" s="151"/>
      <c r="DR25" s="862"/>
      <c r="DS25" s="151"/>
      <c r="DT25" s="862"/>
      <c r="DU25" s="862"/>
      <c r="DV25" s="862"/>
      <c r="DW25" s="862"/>
      <c r="DX25" s="151"/>
      <c r="DY25" s="862"/>
      <c r="DZ25" s="862"/>
      <c r="EA25" s="862"/>
      <c r="EB25" s="151"/>
      <c r="EC25" s="151"/>
      <c r="ED25" s="1164"/>
      <c r="EE25" s="958"/>
      <c r="EF25" s="341"/>
      <c r="EG25" s="819"/>
      <c r="EH25" s="341"/>
    </row>
    <row r="26" spans="1:138" s="342" customFormat="1" ht="14.25" customHeight="1" thickBot="1" x14ac:dyDescent="0.4">
      <c r="A26" s="331"/>
      <c r="B26" s="1707"/>
      <c r="C26" s="1788"/>
      <c r="D26" s="1265"/>
      <c r="E26" s="1742"/>
      <c r="F26" s="1143" t="s">
        <v>253</v>
      </c>
      <c r="G26" s="1199" t="s">
        <v>254</v>
      </c>
      <c r="H26" s="1205">
        <v>72.688845729366051</v>
      </c>
      <c r="I26" s="1207">
        <v>52.1</v>
      </c>
      <c r="J26" s="898">
        <v>80.150000000000006</v>
      </c>
      <c r="K26" s="864"/>
      <c r="L26" s="302"/>
      <c r="M26" s="866">
        <v>503</v>
      </c>
      <c r="N26" s="235">
        <v>961</v>
      </c>
      <c r="O26" s="235" t="s">
        <v>41</v>
      </c>
      <c r="P26" s="235" t="s">
        <v>41</v>
      </c>
      <c r="Q26" s="299">
        <f t="shared" si="2"/>
        <v>2053.4367679999996</v>
      </c>
      <c r="R26" s="299">
        <f t="shared" si="16"/>
        <v>1797.6927039999996</v>
      </c>
      <c r="S26" s="235">
        <v>200000</v>
      </c>
      <c r="T26" s="866" t="s">
        <v>41</v>
      </c>
      <c r="U26" s="235">
        <f t="shared" si="17"/>
        <v>797.63</v>
      </c>
      <c r="V26" s="299">
        <f t="shared" si="18"/>
        <v>263.73649306636003</v>
      </c>
      <c r="W26" s="235">
        <f t="shared" si="14"/>
        <v>519.48055706636001</v>
      </c>
      <c r="X26" s="275">
        <v>200000</v>
      </c>
      <c r="Y26" s="293">
        <f t="shared" si="19"/>
        <v>569.05227114437969</v>
      </c>
      <c r="Z26" s="235">
        <f t="shared" si="4"/>
        <v>200000</v>
      </c>
      <c r="AA26" s="235">
        <f t="shared" si="20"/>
        <v>2.8452613557218985E-3</v>
      </c>
      <c r="AB26" s="235">
        <f t="shared" si="6"/>
        <v>961</v>
      </c>
      <c r="AC26" s="867"/>
      <c r="AD26" s="868">
        <v>1644</v>
      </c>
      <c r="AE26" s="916">
        <v>197.7</v>
      </c>
      <c r="AF26" s="871">
        <v>109.1</v>
      </c>
      <c r="AG26" s="877">
        <v>3.9980000000000002</v>
      </c>
      <c r="AH26" s="871">
        <v>8.5</v>
      </c>
      <c r="AI26" s="869">
        <f t="shared" si="7"/>
        <v>172.70399999999998</v>
      </c>
      <c r="AJ26" s="869">
        <f t="shared" si="8"/>
        <v>84.103999999999985</v>
      </c>
      <c r="AK26" s="871">
        <f t="shared" si="15"/>
        <v>2317.1732610663598</v>
      </c>
      <c r="AL26" s="871">
        <f t="shared" si="9"/>
        <v>263.73649306636003</v>
      </c>
      <c r="AM26" s="872">
        <f t="shared" si="10"/>
        <v>503</v>
      </c>
      <c r="AN26" s="873">
        <f t="shared" si="10"/>
        <v>961</v>
      </c>
      <c r="AO26" s="874">
        <f t="shared" si="11"/>
        <v>2.5149999999999999E-3</v>
      </c>
      <c r="AP26" s="900">
        <v>200000</v>
      </c>
      <c r="AQ26" s="867">
        <v>4.2</v>
      </c>
      <c r="AR26" s="151"/>
      <c r="AS26" s="1163">
        <v>1</v>
      </c>
      <c r="AT26" s="1163">
        <v>1</v>
      </c>
      <c r="AU26" s="886"/>
      <c r="AV26" s="888"/>
      <c r="AW26" s="888"/>
      <c r="AX26" s="888"/>
      <c r="AY26" s="888"/>
      <c r="AZ26" s="888"/>
      <c r="BA26" s="888"/>
      <c r="BB26" s="887"/>
      <c r="BC26" s="862"/>
      <c r="BD26" s="325"/>
      <c r="BE26" s="151"/>
      <c r="BF26" s="325"/>
      <c r="BG26" s="151"/>
      <c r="BH26" s="151"/>
      <c r="BI26" s="151"/>
      <c r="BJ26" s="151"/>
      <c r="BK26" s="243"/>
      <c r="BL26" s="243"/>
      <c r="BM26" s="862"/>
      <c r="BN26" s="862"/>
      <c r="BO26" s="862"/>
      <c r="BP26" s="862"/>
      <c r="BQ26" s="151"/>
      <c r="BR26" s="325"/>
      <c r="BS26" s="889"/>
      <c r="BT26" s="151"/>
      <c r="BU26" s="151"/>
      <c r="BV26" s="325"/>
      <c r="BW26" s="151"/>
      <c r="BX26" s="151"/>
      <c r="BY26" s="151"/>
      <c r="BZ26" s="862"/>
      <c r="CA26" s="862"/>
      <c r="CB26" s="151"/>
      <c r="CC26" s="325"/>
      <c r="CD26" s="862"/>
      <c r="CE26" s="862"/>
      <c r="CF26" s="862"/>
      <c r="CG26" s="890"/>
      <c r="CH26" s="862"/>
      <c r="CI26" s="862"/>
      <c r="CJ26" s="862"/>
      <c r="CK26" s="151"/>
      <c r="CL26" s="862"/>
      <c r="CM26" s="151"/>
      <c r="CN26" s="151"/>
      <c r="CO26" s="151"/>
      <c r="CP26" s="151"/>
      <c r="CQ26" s="862"/>
      <c r="CR26" s="862"/>
      <c r="CS26" s="862"/>
      <c r="CT26" s="862"/>
      <c r="CU26" s="151"/>
      <c r="CV26" s="151"/>
      <c r="CW26" s="151"/>
      <c r="CX26" s="862"/>
      <c r="CY26" s="862"/>
      <c r="CZ26" s="862"/>
      <c r="DA26" s="151"/>
      <c r="DB26" s="862"/>
      <c r="DC26" s="151"/>
      <c r="DD26" s="151"/>
      <c r="DE26" s="151"/>
      <c r="DF26" s="862"/>
      <c r="DG26" s="243"/>
      <c r="DH26" s="862"/>
      <c r="DI26" s="862"/>
      <c r="DJ26" s="151"/>
      <c r="DK26" s="151"/>
      <c r="DL26" s="151"/>
      <c r="DM26" s="862"/>
      <c r="DN26" s="151"/>
      <c r="DO26" s="1002"/>
      <c r="DP26" s="151"/>
      <c r="DQ26" s="151"/>
      <c r="DR26" s="862"/>
      <c r="DS26" s="151"/>
      <c r="DT26" s="862"/>
      <c r="DU26" s="862"/>
      <c r="DV26" s="862"/>
      <c r="DW26" s="862"/>
      <c r="DX26" s="151"/>
      <c r="DY26" s="862"/>
      <c r="DZ26" s="862"/>
      <c r="EA26" s="862"/>
      <c r="EB26" s="151"/>
      <c r="EC26" s="151"/>
      <c r="ED26" s="1164"/>
      <c r="EE26" s="958"/>
      <c r="EF26" s="341"/>
      <c r="EG26" s="819"/>
      <c r="EH26" s="341"/>
    </row>
    <row r="27" spans="1:138" s="342" customFormat="1" ht="14.25" customHeight="1" x14ac:dyDescent="0.35">
      <c r="A27" s="331">
        <v>5</v>
      </c>
      <c r="B27" s="1698" t="s">
        <v>255</v>
      </c>
      <c r="C27" s="1741" t="s">
        <v>365</v>
      </c>
      <c r="D27" s="1260"/>
      <c r="E27" s="1741" t="s">
        <v>240</v>
      </c>
      <c r="F27" s="1741" t="s">
        <v>256</v>
      </c>
      <c r="G27" s="1201" t="s">
        <v>139</v>
      </c>
      <c r="H27" s="1204">
        <v>23.850364878562885</v>
      </c>
      <c r="I27" s="1206"/>
      <c r="J27" s="897">
        <v>29.8</v>
      </c>
      <c r="K27" s="846"/>
      <c r="L27" s="847"/>
      <c r="M27" s="848">
        <v>520</v>
      </c>
      <c r="N27" s="325">
        <v>830</v>
      </c>
      <c r="O27" s="325" t="s">
        <v>41</v>
      </c>
      <c r="P27" s="325" t="s">
        <v>41</v>
      </c>
      <c r="Q27" s="243">
        <f>AK27-AL27</f>
        <v>1053.1327999999999</v>
      </c>
      <c r="R27" s="243">
        <f>Q27-8*(2*AG27*AG27)</f>
        <v>902.33439999999985</v>
      </c>
      <c r="S27" s="266">
        <v>200000</v>
      </c>
      <c r="T27" s="848" t="s">
        <v>41</v>
      </c>
      <c r="U27" s="325">
        <f t="shared" si="17"/>
        <v>688.9</v>
      </c>
      <c r="V27" s="243">
        <f>AL27</f>
        <v>106.76662199099997</v>
      </c>
      <c r="W27" s="325">
        <f>V27+8*(2*AG27*AG27)</f>
        <v>257.56502199099998</v>
      </c>
      <c r="X27" s="325">
        <v>200000</v>
      </c>
      <c r="Y27" s="282">
        <f t="shared" ref="Y27:Y36" si="21">((M27*R27)+(U27*W27))/(R27+W27)</f>
        <v>557.50560728757523</v>
      </c>
      <c r="Z27" s="325">
        <f t="shared" si="4"/>
        <v>200000</v>
      </c>
      <c r="AA27" s="325">
        <f t="shared" ref="AA27:AA41" si="22">Y27/Z27</f>
        <v>2.7875280364378762E-3</v>
      </c>
      <c r="AB27" s="325">
        <f t="shared" si="6"/>
        <v>830</v>
      </c>
      <c r="AC27" s="849"/>
      <c r="AD27" s="850">
        <v>2000</v>
      </c>
      <c r="AE27" s="917">
        <v>120</v>
      </c>
      <c r="AF27" s="893">
        <v>79.8</v>
      </c>
      <c r="AG27" s="894">
        <v>3.07</v>
      </c>
      <c r="AH27" s="893">
        <v>4</v>
      </c>
      <c r="AI27" s="895">
        <f t="shared" si="7"/>
        <v>105.86</v>
      </c>
      <c r="AJ27" s="895">
        <f t="shared" si="8"/>
        <v>65.66</v>
      </c>
      <c r="AK27" s="893">
        <f t="shared" si="15"/>
        <v>1159.8994219909998</v>
      </c>
      <c r="AL27" s="893">
        <f t="shared" si="9"/>
        <v>106.76662199099997</v>
      </c>
      <c r="AM27" s="854">
        <f t="shared" si="10"/>
        <v>520</v>
      </c>
      <c r="AN27" s="855">
        <f t="shared" si="10"/>
        <v>830</v>
      </c>
      <c r="AO27" s="856">
        <f t="shared" si="11"/>
        <v>2.5999999999999999E-3</v>
      </c>
      <c r="AP27" s="896">
        <v>200000</v>
      </c>
      <c r="AQ27" s="918">
        <v>7</v>
      </c>
      <c r="AR27" s="151"/>
      <c r="AS27" s="1163" t="s">
        <v>397</v>
      </c>
      <c r="AT27" s="1163" t="s">
        <v>397</v>
      </c>
      <c r="AU27" s="886"/>
      <c r="AV27" s="888"/>
      <c r="AW27" s="888"/>
      <c r="AX27" s="888"/>
      <c r="AY27" s="888"/>
      <c r="AZ27" s="888"/>
      <c r="BA27" s="888"/>
      <c r="BB27" s="887"/>
      <c r="BC27" s="862"/>
      <c r="BD27" s="325"/>
      <c r="BE27" s="151"/>
      <c r="BF27" s="325"/>
      <c r="BG27" s="151"/>
      <c r="BH27" s="151"/>
      <c r="BI27" s="151"/>
      <c r="BJ27" s="151"/>
      <c r="BK27" s="243"/>
      <c r="BL27" s="243"/>
      <c r="BM27" s="862"/>
      <c r="BN27" s="862"/>
      <c r="BO27" s="862"/>
      <c r="BP27" s="862"/>
      <c r="BQ27" s="151"/>
      <c r="BR27" s="325"/>
      <c r="BS27" s="889"/>
      <c r="BT27" s="151"/>
      <c r="BU27" s="151"/>
      <c r="BV27" s="325"/>
      <c r="BW27" s="151"/>
      <c r="BX27" s="151"/>
      <c r="BY27" s="151"/>
      <c r="BZ27" s="862"/>
      <c r="CA27" s="862"/>
      <c r="CB27" s="151"/>
      <c r="CC27" s="325"/>
      <c r="CD27" s="862"/>
      <c r="CE27" s="862"/>
      <c r="CF27" s="862"/>
      <c r="CG27" s="890"/>
      <c r="CH27" s="862"/>
      <c r="CI27" s="862"/>
      <c r="CJ27" s="862"/>
      <c r="CK27" s="151"/>
      <c r="CL27" s="862"/>
      <c r="CM27" s="151"/>
      <c r="CN27" s="151"/>
      <c r="CO27" s="151"/>
      <c r="CP27" s="151"/>
      <c r="CQ27" s="862"/>
      <c r="CR27" s="862"/>
      <c r="CS27" s="862"/>
      <c r="CT27" s="862"/>
      <c r="CU27" s="151"/>
      <c r="CV27" s="151"/>
      <c r="CW27" s="151"/>
      <c r="CX27" s="862"/>
      <c r="CY27" s="862"/>
      <c r="CZ27" s="862"/>
      <c r="DA27" s="151"/>
      <c r="DB27" s="862"/>
      <c r="DC27" s="151"/>
      <c r="DD27" s="151"/>
      <c r="DE27" s="151"/>
      <c r="DF27" s="862"/>
      <c r="DG27" s="243"/>
      <c r="DH27" s="862"/>
      <c r="DI27" s="862"/>
      <c r="DJ27" s="151"/>
      <c r="DK27" s="151"/>
      <c r="DL27" s="151"/>
      <c r="DM27" s="862"/>
      <c r="DN27" s="151"/>
      <c r="DO27" s="1002"/>
      <c r="DP27" s="151"/>
      <c r="DQ27" s="151"/>
      <c r="DR27" s="862"/>
      <c r="DS27" s="151"/>
      <c r="DT27" s="862"/>
      <c r="DU27" s="862"/>
      <c r="DV27" s="862"/>
      <c r="DW27" s="862"/>
      <c r="DX27" s="151"/>
      <c r="DY27" s="862"/>
      <c r="DZ27" s="862"/>
      <c r="EA27" s="862"/>
      <c r="EB27" s="151"/>
      <c r="EC27" s="151"/>
      <c r="ED27" s="1167"/>
      <c r="EE27" s="958"/>
      <c r="EF27" s="341"/>
      <c r="EG27" s="819"/>
      <c r="EH27" s="341"/>
    </row>
    <row r="28" spans="1:138" s="342" customFormat="1" ht="14.25" customHeight="1" x14ac:dyDescent="0.35">
      <c r="A28" s="331"/>
      <c r="B28" s="1699"/>
      <c r="C28" s="1789"/>
      <c r="D28" s="1267"/>
      <c r="E28" s="1741"/>
      <c r="F28" s="1741"/>
      <c r="G28" s="973" t="s">
        <v>140</v>
      </c>
      <c r="H28" s="973">
        <v>28.125295838199264</v>
      </c>
      <c r="I28" s="1206"/>
      <c r="J28" s="897">
        <v>34.6</v>
      </c>
      <c r="K28" s="846"/>
      <c r="L28" s="847"/>
      <c r="M28" s="848">
        <v>526</v>
      </c>
      <c r="N28" s="325">
        <v>825</v>
      </c>
      <c r="O28" s="325" t="s">
        <v>41</v>
      </c>
      <c r="P28" s="325" t="s">
        <v>41</v>
      </c>
      <c r="Q28" s="243">
        <f t="shared" ref="Q28:Q40" si="23">AK28-AL28</f>
        <v>1043.9227999999998</v>
      </c>
      <c r="R28" s="243">
        <f t="shared" ref="R28:R40" si="24">Q28-8*(2*AG28*AG28)</f>
        <v>893.12439999999981</v>
      </c>
      <c r="S28" s="266">
        <v>199500</v>
      </c>
      <c r="T28" s="848" t="s">
        <v>41</v>
      </c>
      <c r="U28" s="325">
        <f t="shared" si="17"/>
        <v>684.75</v>
      </c>
      <c r="V28" s="243">
        <f>AL28</f>
        <v>116.41130329099985</v>
      </c>
      <c r="W28" s="325">
        <f t="shared" ref="W28:W36" si="25">V28+8*(2*AG28*AG28)</f>
        <v>267.20970329099987</v>
      </c>
      <c r="X28" s="325">
        <v>199500</v>
      </c>
      <c r="Y28" s="282">
        <f t="shared" si="21"/>
        <v>562.55803985863531</v>
      </c>
      <c r="Z28" s="325">
        <f t="shared" si="4"/>
        <v>199500</v>
      </c>
      <c r="AA28" s="325">
        <f t="shared" si="22"/>
        <v>2.8198397987901518E-3</v>
      </c>
      <c r="AB28" s="325">
        <f t="shared" si="6"/>
        <v>825</v>
      </c>
      <c r="AC28" s="849"/>
      <c r="AD28" s="850">
        <v>2000</v>
      </c>
      <c r="AE28" s="901">
        <v>139.9</v>
      </c>
      <c r="AF28" s="853">
        <v>60.4</v>
      </c>
      <c r="AG28" s="880">
        <v>3.07</v>
      </c>
      <c r="AH28" s="853">
        <v>4.5</v>
      </c>
      <c r="AI28" s="851">
        <f t="shared" si="7"/>
        <v>124.76</v>
      </c>
      <c r="AJ28" s="851">
        <f t="shared" si="8"/>
        <v>45.26</v>
      </c>
      <c r="AK28" s="853">
        <f t="shared" si="15"/>
        <v>1160.3341032909998</v>
      </c>
      <c r="AL28" s="853">
        <f t="shared" si="9"/>
        <v>116.41130329099985</v>
      </c>
      <c r="AM28" s="881">
        <f t="shared" si="10"/>
        <v>526</v>
      </c>
      <c r="AN28" s="882">
        <f t="shared" si="10"/>
        <v>825</v>
      </c>
      <c r="AO28" s="883">
        <f t="shared" si="11"/>
        <v>2.6365914786967417E-3</v>
      </c>
      <c r="AP28" s="884">
        <v>199500</v>
      </c>
      <c r="AQ28" s="919">
        <v>7</v>
      </c>
      <c r="AR28" s="151"/>
      <c r="AS28" s="1163" t="s">
        <v>397</v>
      </c>
      <c r="AT28" s="1163" t="s">
        <v>397</v>
      </c>
      <c r="AU28" s="886"/>
      <c r="AV28" s="888"/>
      <c r="AW28" s="888"/>
      <c r="AX28" s="888"/>
      <c r="AY28" s="888"/>
      <c r="AZ28" s="888"/>
      <c r="BA28" s="888"/>
      <c r="BB28" s="887"/>
      <c r="BC28" s="862"/>
      <c r="BD28" s="325"/>
      <c r="BE28" s="151"/>
      <c r="BF28" s="325"/>
      <c r="BG28" s="151"/>
      <c r="BH28" s="151"/>
      <c r="BI28" s="151"/>
      <c r="BJ28" s="151"/>
      <c r="BK28" s="243"/>
      <c r="BL28" s="243"/>
      <c r="BM28" s="862"/>
      <c r="BN28" s="862"/>
      <c r="BO28" s="862"/>
      <c r="BP28" s="862"/>
      <c r="BQ28" s="151"/>
      <c r="BR28" s="325"/>
      <c r="BS28" s="889"/>
      <c r="BT28" s="151"/>
      <c r="BU28" s="151"/>
      <c r="BV28" s="325"/>
      <c r="BW28" s="151"/>
      <c r="BX28" s="151"/>
      <c r="BY28" s="151"/>
      <c r="BZ28" s="862"/>
      <c r="CA28" s="862"/>
      <c r="CB28" s="151"/>
      <c r="CC28" s="325"/>
      <c r="CD28" s="862"/>
      <c r="CE28" s="862"/>
      <c r="CF28" s="862"/>
      <c r="CG28" s="890"/>
      <c r="CH28" s="862"/>
      <c r="CI28" s="862"/>
      <c r="CJ28" s="862"/>
      <c r="CK28" s="151"/>
      <c r="CL28" s="862"/>
      <c r="CM28" s="151"/>
      <c r="CN28" s="151"/>
      <c r="CO28" s="151"/>
      <c r="CP28" s="151"/>
      <c r="CQ28" s="862"/>
      <c r="CR28" s="862"/>
      <c r="CS28" s="862"/>
      <c r="CT28" s="862"/>
      <c r="CU28" s="151"/>
      <c r="CV28" s="151"/>
      <c r="CW28" s="151"/>
      <c r="CX28" s="862"/>
      <c r="CY28" s="862"/>
      <c r="CZ28" s="862"/>
      <c r="DA28" s="151"/>
      <c r="DB28" s="862"/>
      <c r="DC28" s="151"/>
      <c r="DD28" s="151"/>
      <c r="DE28" s="151"/>
      <c r="DF28" s="862"/>
      <c r="DG28" s="243"/>
      <c r="DH28" s="862"/>
      <c r="DI28" s="862"/>
      <c r="DJ28" s="151"/>
      <c r="DK28" s="151"/>
      <c r="DL28" s="151"/>
      <c r="DM28" s="862"/>
      <c r="DN28" s="151"/>
      <c r="DO28" s="1002"/>
      <c r="DP28" s="151"/>
      <c r="DQ28" s="151"/>
      <c r="DR28" s="862"/>
      <c r="DS28" s="151"/>
      <c r="DT28" s="862"/>
      <c r="DU28" s="862"/>
      <c r="DV28" s="862"/>
      <c r="DW28" s="862"/>
      <c r="DX28" s="151"/>
      <c r="DY28" s="862"/>
      <c r="DZ28" s="862"/>
      <c r="EA28" s="862"/>
      <c r="EB28" s="151"/>
      <c r="EC28" s="151"/>
      <c r="ED28" s="1167"/>
      <c r="EE28" s="958"/>
      <c r="EF28" s="341"/>
      <c r="EG28" s="819"/>
      <c r="EH28" s="341"/>
    </row>
    <row r="29" spans="1:138" s="342" customFormat="1" ht="14.25" customHeight="1" x14ac:dyDescent="0.35">
      <c r="A29" s="331"/>
      <c r="B29" s="1699"/>
      <c r="C29" s="1789"/>
      <c r="D29" s="1267"/>
      <c r="E29" s="1741"/>
      <c r="F29" s="1741" t="s">
        <v>257</v>
      </c>
      <c r="G29" s="973" t="s">
        <v>139</v>
      </c>
      <c r="H29" s="973">
        <v>27.847745224814513</v>
      </c>
      <c r="I29" s="1206"/>
      <c r="J29" s="897">
        <v>33.700000000000003</v>
      </c>
      <c r="K29" s="846"/>
      <c r="L29" s="847"/>
      <c r="M29" s="848">
        <v>634</v>
      </c>
      <c r="N29" s="325">
        <v>958</v>
      </c>
      <c r="O29" s="325" t="s">
        <v>41</v>
      </c>
      <c r="P29" s="325" t="s">
        <v>41</v>
      </c>
      <c r="Q29" s="243">
        <f t="shared" si="23"/>
        <v>1052.25</v>
      </c>
      <c r="R29" s="243">
        <f t="shared" si="24"/>
        <v>903.41000000000008</v>
      </c>
      <c r="S29" s="266">
        <v>190500</v>
      </c>
      <c r="T29" s="848" t="s">
        <v>41</v>
      </c>
      <c r="U29" s="325">
        <f t="shared" si="17"/>
        <v>795.14</v>
      </c>
      <c r="V29" s="243">
        <f>AL29</f>
        <v>105.87943697499986</v>
      </c>
      <c r="W29" s="325">
        <f t="shared" si="25"/>
        <v>254.71943697499984</v>
      </c>
      <c r="X29" s="325">
        <v>190500</v>
      </c>
      <c r="Y29" s="282">
        <f t="shared" si="21"/>
        <v>669.44119401831381</v>
      </c>
      <c r="Z29" s="325">
        <f>S29</f>
        <v>190500</v>
      </c>
      <c r="AA29" s="325">
        <f t="shared" si="22"/>
        <v>3.5141270027208072E-3</v>
      </c>
      <c r="AB29" s="325">
        <f t="shared" si="6"/>
        <v>958</v>
      </c>
      <c r="AC29" s="849"/>
      <c r="AD29" s="850">
        <v>2000</v>
      </c>
      <c r="AE29" s="901">
        <v>120.3</v>
      </c>
      <c r="AF29" s="853">
        <v>80.400000000000006</v>
      </c>
      <c r="AG29" s="880">
        <v>3.05</v>
      </c>
      <c r="AH29" s="853">
        <v>4</v>
      </c>
      <c r="AI29" s="851">
        <f t="shared" si="7"/>
        <v>106.2</v>
      </c>
      <c r="AJ29" s="851">
        <f t="shared" si="8"/>
        <v>66.300000000000011</v>
      </c>
      <c r="AK29" s="853">
        <f t="shared" si="15"/>
        <v>1158.1294369749999</v>
      </c>
      <c r="AL29" s="853">
        <f t="shared" si="9"/>
        <v>105.87943697499986</v>
      </c>
      <c r="AM29" s="881">
        <f t="shared" si="10"/>
        <v>634</v>
      </c>
      <c r="AN29" s="882">
        <f t="shared" si="10"/>
        <v>958</v>
      </c>
      <c r="AO29" s="883">
        <f t="shared" si="11"/>
        <v>3.3280839895013124E-3</v>
      </c>
      <c r="AP29" s="884">
        <v>190500</v>
      </c>
      <c r="AQ29" s="919">
        <v>7</v>
      </c>
      <c r="AR29" s="151"/>
      <c r="AS29" s="1163" t="s">
        <v>397</v>
      </c>
      <c r="AT29" s="1163" t="s">
        <v>397</v>
      </c>
      <c r="AU29" s="886"/>
      <c r="AV29" s="888"/>
      <c r="AW29" s="888"/>
      <c r="AX29" s="888"/>
      <c r="AY29" s="888"/>
      <c r="AZ29" s="888"/>
      <c r="BA29" s="888"/>
      <c r="BB29" s="887"/>
      <c r="BC29" s="862"/>
      <c r="BD29" s="325"/>
      <c r="BE29" s="151"/>
      <c r="BF29" s="325"/>
      <c r="BG29" s="151"/>
      <c r="BH29" s="151"/>
      <c r="BI29" s="151"/>
      <c r="BJ29" s="151"/>
      <c r="BK29" s="243"/>
      <c r="BL29" s="243"/>
      <c r="BM29" s="862"/>
      <c r="BN29" s="862"/>
      <c r="BO29" s="862"/>
      <c r="BP29" s="862"/>
      <c r="BQ29" s="151"/>
      <c r="BR29" s="325"/>
      <c r="BS29" s="889"/>
      <c r="BT29" s="151"/>
      <c r="BU29" s="151"/>
      <c r="BV29" s="325"/>
      <c r="BW29" s="151"/>
      <c r="BX29" s="151"/>
      <c r="BY29" s="151"/>
      <c r="BZ29" s="862"/>
      <c r="CA29" s="862"/>
      <c r="CB29" s="151"/>
      <c r="CC29" s="325"/>
      <c r="CD29" s="862"/>
      <c r="CE29" s="862"/>
      <c r="CF29" s="862"/>
      <c r="CG29" s="890"/>
      <c r="CH29" s="862"/>
      <c r="CI29" s="862"/>
      <c r="CJ29" s="862"/>
      <c r="CK29" s="151"/>
      <c r="CL29" s="862"/>
      <c r="CM29" s="151"/>
      <c r="CN29" s="151"/>
      <c r="CO29" s="151"/>
      <c r="CP29" s="151"/>
      <c r="CQ29" s="862"/>
      <c r="CR29" s="862"/>
      <c r="CS29" s="862"/>
      <c r="CT29" s="862"/>
      <c r="CU29" s="151"/>
      <c r="CV29" s="151"/>
      <c r="CW29" s="151"/>
      <c r="CX29" s="862"/>
      <c r="CY29" s="862"/>
      <c r="CZ29" s="862"/>
      <c r="DA29" s="151"/>
      <c r="DB29" s="862"/>
      <c r="DC29" s="151"/>
      <c r="DD29" s="151"/>
      <c r="DE29" s="151"/>
      <c r="DF29" s="862"/>
      <c r="DG29" s="243"/>
      <c r="DH29" s="862"/>
      <c r="DI29" s="862"/>
      <c r="DJ29" s="151"/>
      <c r="DK29" s="151"/>
      <c r="DL29" s="151"/>
      <c r="DM29" s="862"/>
      <c r="DN29" s="151"/>
      <c r="DO29" s="1002"/>
      <c r="DP29" s="151"/>
      <c r="DQ29" s="151"/>
      <c r="DR29" s="862"/>
      <c r="DS29" s="151"/>
      <c r="DT29" s="862"/>
      <c r="DU29" s="862"/>
      <c r="DV29" s="862"/>
      <c r="DW29" s="862"/>
      <c r="DX29" s="151"/>
      <c r="DY29" s="862"/>
      <c r="DZ29" s="862"/>
      <c r="EA29" s="862"/>
      <c r="EB29" s="151"/>
      <c r="EC29" s="151"/>
      <c r="ED29" s="1167"/>
      <c r="EE29" s="958"/>
      <c r="EF29" s="341"/>
      <c r="EG29" s="819"/>
      <c r="EH29" s="341"/>
    </row>
    <row r="30" spans="1:138" s="342" customFormat="1" ht="14.25" customHeight="1" thickBot="1" x14ac:dyDescent="0.4">
      <c r="A30" s="331"/>
      <c r="B30" s="1700"/>
      <c r="C30" s="1788"/>
      <c r="D30" s="1265"/>
      <c r="E30" s="1742"/>
      <c r="F30" s="1742"/>
      <c r="G30" s="1183" t="s">
        <v>140</v>
      </c>
      <c r="H30" s="1183">
        <v>29.803526035815867</v>
      </c>
      <c r="I30" s="1207"/>
      <c r="J30" s="898">
        <v>39</v>
      </c>
      <c r="K30" s="864"/>
      <c r="L30" s="865"/>
      <c r="M30" s="866">
        <v>610</v>
      </c>
      <c r="N30" s="235">
        <v>978</v>
      </c>
      <c r="O30" s="235" t="s">
        <v>41</v>
      </c>
      <c r="P30" s="235" t="s">
        <v>41</v>
      </c>
      <c r="Q30" s="299">
        <f t="shared" si="23"/>
        <v>1051.1712</v>
      </c>
      <c r="R30" s="299">
        <f t="shared" si="24"/>
        <v>901.35360000000003</v>
      </c>
      <c r="S30" s="275">
        <v>185500</v>
      </c>
      <c r="T30" s="866" t="s">
        <v>41</v>
      </c>
      <c r="U30" s="235">
        <f t="shared" si="17"/>
        <v>811.74</v>
      </c>
      <c r="V30" s="299">
        <f>AL30</f>
        <v>106.322715324</v>
      </c>
      <c r="W30" s="235">
        <f t="shared" si="25"/>
        <v>256.14031532399997</v>
      </c>
      <c r="X30" s="235">
        <v>185500</v>
      </c>
      <c r="Y30" s="303">
        <f t="shared" si="21"/>
        <v>654.64278086420825</v>
      </c>
      <c r="Z30" s="235">
        <f t="shared" si="4"/>
        <v>185500</v>
      </c>
      <c r="AA30" s="235">
        <f t="shared" si="22"/>
        <v>3.5290715949553007E-3</v>
      </c>
      <c r="AB30" s="235">
        <f t="shared" si="6"/>
        <v>978</v>
      </c>
      <c r="AC30" s="867"/>
      <c r="AD30" s="850">
        <v>2000</v>
      </c>
      <c r="AE30" s="901">
        <v>139.80000000000001</v>
      </c>
      <c r="AF30" s="871">
        <v>60.2</v>
      </c>
      <c r="AG30" s="899">
        <v>3.06</v>
      </c>
      <c r="AH30" s="871">
        <v>4</v>
      </c>
      <c r="AI30" s="869">
        <f t="shared" si="7"/>
        <v>125.68</v>
      </c>
      <c r="AJ30" s="869">
        <f t="shared" si="8"/>
        <v>46.08</v>
      </c>
      <c r="AK30" s="871">
        <f t="shared" si="15"/>
        <v>1157.493915324</v>
      </c>
      <c r="AL30" s="871">
        <f t="shared" si="9"/>
        <v>106.322715324</v>
      </c>
      <c r="AM30" s="881">
        <f t="shared" si="10"/>
        <v>610</v>
      </c>
      <c r="AN30" s="882">
        <f t="shared" si="10"/>
        <v>978</v>
      </c>
      <c r="AO30" s="883">
        <f t="shared" si="11"/>
        <v>3.2884097035040432E-3</v>
      </c>
      <c r="AP30" s="884">
        <v>185500</v>
      </c>
      <c r="AQ30" s="920">
        <v>7</v>
      </c>
      <c r="AR30" s="151"/>
      <c r="AS30" s="1163" t="s">
        <v>397</v>
      </c>
      <c r="AT30" s="1163" t="s">
        <v>397</v>
      </c>
      <c r="AU30" s="886"/>
      <c r="AV30" s="888"/>
      <c r="AW30" s="888"/>
      <c r="AX30" s="888"/>
      <c r="AY30" s="888"/>
      <c r="AZ30" s="888"/>
      <c r="BA30" s="888"/>
      <c r="BB30" s="887"/>
      <c r="BC30" s="862"/>
      <c r="BD30" s="325"/>
      <c r="BE30" s="151"/>
      <c r="BF30" s="325"/>
      <c r="BG30" s="151"/>
      <c r="BH30" s="151"/>
      <c r="BI30" s="151"/>
      <c r="BJ30" s="151"/>
      <c r="BK30" s="243"/>
      <c r="BL30" s="243"/>
      <c r="BM30" s="862"/>
      <c r="BN30" s="862"/>
      <c r="BO30" s="862"/>
      <c r="BP30" s="862"/>
      <c r="BQ30" s="151"/>
      <c r="BR30" s="325"/>
      <c r="BS30" s="889"/>
      <c r="BT30" s="151"/>
      <c r="BU30" s="151"/>
      <c r="BV30" s="325"/>
      <c r="BW30" s="151"/>
      <c r="BX30" s="151"/>
      <c r="BY30" s="151"/>
      <c r="BZ30" s="862"/>
      <c r="CA30" s="862"/>
      <c r="CB30" s="151"/>
      <c r="CC30" s="325"/>
      <c r="CD30" s="862"/>
      <c r="CE30" s="862"/>
      <c r="CF30" s="862"/>
      <c r="CG30" s="890"/>
      <c r="CH30" s="862"/>
      <c r="CI30" s="862"/>
      <c r="CJ30" s="862"/>
      <c r="CK30" s="151"/>
      <c r="CL30" s="862"/>
      <c r="CM30" s="151"/>
      <c r="CN30" s="151"/>
      <c r="CO30" s="151"/>
      <c r="CP30" s="151"/>
      <c r="CQ30" s="862"/>
      <c r="CR30" s="862"/>
      <c r="CS30" s="862"/>
      <c r="CT30" s="862"/>
      <c r="CU30" s="151"/>
      <c r="CV30" s="151"/>
      <c r="CW30" s="151"/>
      <c r="CX30" s="862"/>
      <c r="CY30" s="862"/>
      <c r="CZ30" s="862"/>
      <c r="DA30" s="151"/>
      <c r="DB30" s="862"/>
      <c r="DC30" s="151"/>
      <c r="DD30" s="151"/>
      <c r="DE30" s="151"/>
      <c r="DF30" s="862"/>
      <c r="DG30" s="243"/>
      <c r="DH30" s="862"/>
      <c r="DI30" s="862"/>
      <c r="DJ30" s="151"/>
      <c r="DK30" s="151"/>
      <c r="DL30" s="151"/>
      <c r="DM30" s="862"/>
      <c r="DN30" s="151"/>
      <c r="DO30" s="1002"/>
      <c r="DP30" s="151"/>
      <c r="DQ30" s="151"/>
      <c r="DR30" s="862"/>
      <c r="DS30" s="151"/>
      <c r="DT30" s="862"/>
      <c r="DU30" s="862"/>
      <c r="DV30" s="862"/>
      <c r="DW30" s="862"/>
      <c r="DX30" s="151"/>
      <c r="DY30" s="862"/>
      <c r="DZ30" s="862"/>
      <c r="EA30" s="862"/>
      <c r="EB30" s="151"/>
      <c r="EC30" s="151"/>
      <c r="ED30" s="1167"/>
      <c r="EE30" s="958"/>
      <c r="EF30" s="341"/>
      <c r="EG30" s="819"/>
      <c r="EH30" s="341"/>
    </row>
    <row r="31" spans="1:138" s="342" customFormat="1" ht="14.25" customHeight="1" x14ac:dyDescent="0.35">
      <c r="A31" s="331">
        <v>6</v>
      </c>
      <c r="B31" s="1693" t="s">
        <v>363</v>
      </c>
      <c r="C31" s="1740" t="s">
        <v>364</v>
      </c>
      <c r="D31" s="1266"/>
      <c r="E31" s="1740"/>
      <c r="F31" s="1783">
        <v>1.4300999999999999</v>
      </c>
      <c r="G31" s="973" t="s">
        <v>258</v>
      </c>
      <c r="H31" s="973"/>
      <c r="I31" s="1206"/>
      <c r="J31" s="845">
        <v>13.5</v>
      </c>
      <c r="K31" s="846"/>
      <c r="L31" s="847"/>
      <c r="M31" s="848">
        <v>422</v>
      </c>
      <c r="N31" s="325">
        <v>658</v>
      </c>
      <c r="O31" s="325" t="s">
        <v>41</v>
      </c>
      <c r="P31" s="325" t="s">
        <v>41</v>
      </c>
      <c r="Q31" s="243">
        <f t="shared" si="23"/>
        <v>816</v>
      </c>
      <c r="R31" s="243">
        <f t="shared" si="24"/>
        <v>672</v>
      </c>
      <c r="S31" s="266">
        <v>165570</v>
      </c>
      <c r="T31" s="848" t="s">
        <v>41</v>
      </c>
      <c r="U31" s="325">
        <f>0.83*N31</f>
        <v>546.14</v>
      </c>
      <c r="V31" s="325">
        <f>0.83*N31</f>
        <v>546.14</v>
      </c>
      <c r="W31" s="325">
        <f t="shared" si="25"/>
        <v>690.14</v>
      </c>
      <c r="X31" s="266">
        <v>165570</v>
      </c>
      <c r="Y31" s="325">
        <f t="shared" si="21"/>
        <v>484.89660357966147</v>
      </c>
      <c r="Z31" s="325">
        <f t="shared" si="4"/>
        <v>165570</v>
      </c>
      <c r="AA31" s="325">
        <f t="shared" si="22"/>
        <v>2.9286501393951891E-3</v>
      </c>
      <c r="AB31" s="325">
        <f t="shared" si="6"/>
        <v>658</v>
      </c>
      <c r="AC31" s="849"/>
      <c r="AD31" s="921">
        <v>1800</v>
      </c>
      <c r="AE31" s="922">
        <v>80</v>
      </c>
      <c r="AF31" s="895">
        <v>80</v>
      </c>
      <c r="AG31" s="923">
        <v>3</v>
      </c>
      <c r="AH31" s="895">
        <v>3</v>
      </c>
      <c r="AI31" s="895">
        <f t="shared" si="7"/>
        <v>68</v>
      </c>
      <c r="AJ31" s="895">
        <f t="shared" si="8"/>
        <v>68</v>
      </c>
      <c r="AK31" s="893">
        <v>870</v>
      </c>
      <c r="AL31" s="893">
        <f t="shared" si="9"/>
        <v>54</v>
      </c>
      <c r="AM31" s="854">
        <f t="shared" si="10"/>
        <v>422</v>
      </c>
      <c r="AN31" s="855">
        <f t="shared" si="10"/>
        <v>658</v>
      </c>
      <c r="AO31" s="856">
        <f t="shared" si="11"/>
        <v>2.5487709126049405E-3</v>
      </c>
      <c r="AP31" s="857">
        <v>165570</v>
      </c>
      <c r="AQ31" s="924">
        <v>7</v>
      </c>
      <c r="AR31" s="151"/>
      <c r="AS31" s="1163" t="s">
        <v>397</v>
      </c>
      <c r="AT31" s="1163" t="s">
        <v>397</v>
      </c>
      <c r="AU31" s="886"/>
      <c r="AV31" s="888"/>
      <c r="AW31" s="888"/>
      <c r="AX31" s="888"/>
      <c r="AY31" s="888"/>
      <c r="AZ31" s="888"/>
      <c r="BA31" s="888"/>
      <c r="BB31" s="887"/>
      <c r="BC31" s="862"/>
      <c r="BD31" s="325"/>
      <c r="BE31" s="151"/>
      <c r="BF31" s="325"/>
      <c r="BG31" s="151"/>
      <c r="BH31" s="151"/>
      <c r="BI31" s="151"/>
      <c r="BJ31" s="151"/>
      <c r="BK31" s="243"/>
      <c r="BL31" s="243"/>
      <c r="BM31" s="862"/>
      <c r="BN31" s="862"/>
      <c r="BO31" s="862"/>
      <c r="BP31" s="862"/>
      <c r="BQ31" s="151"/>
      <c r="BR31" s="325"/>
      <c r="BS31" s="889"/>
      <c r="BT31" s="151"/>
      <c r="BU31" s="151"/>
      <c r="BV31" s="325"/>
      <c r="BW31" s="151"/>
      <c r="BX31" s="151"/>
      <c r="BY31" s="151"/>
      <c r="BZ31" s="862"/>
      <c r="CA31" s="862"/>
      <c r="CB31" s="151"/>
      <c r="CC31" s="325"/>
      <c r="CD31" s="862"/>
      <c r="CE31" s="862"/>
      <c r="CF31" s="862"/>
      <c r="CG31" s="890"/>
      <c r="CH31" s="862"/>
      <c r="CI31" s="862"/>
      <c r="CJ31" s="862"/>
      <c r="CK31" s="151"/>
      <c r="CL31" s="862"/>
      <c r="CM31" s="151"/>
      <c r="CN31" s="151"/>
      <c r="CO31" s="151"/>
      <c r="CP31" s="151"/>
      <c r="CQ31" s="862"/>
      <c r="CR31" s="862"/>
      <c r="CS31" s="862"/>
      <c r="CT31" s="862"/>
      <c r="CU31" s="151"/>
      <c r="CV31" s="151"/>
      <c r="CW31" s="151"/>
      <c r="CX31" s="862"/>
      <c r="CY31" s="862"/>
      <c r="CZ31" s="862"/>
      <c r="DA31" s="151"/>
      <c r="DB31" s="862"/>
      <c r="DC31" s="151"/>
      <c r="DD31" s="151"/>
      <c r="DE31" s="151"/>
      <c r="DF31" s="862"/>
      <c r="DG31" s="243"/>
      <c r="DH31" s="862"/>
      <c r="DI31" s="862"/>
      <c r="DJ31" s="151"/>
      <c r="DK31" s="151"/>
      <c r="DL31" s="151"/>
      <c r="DM31" s="862"/>
      <c r="DN31" s="151"/>
      <c r="DO31" s="1002"/>
      <c r="DP31" s="151"/>
      <c r="DQ31" s="151"/>
      <c r="DR31" s="862"/>
      <c r="DS31" s="151"/>
      <c r="DT31" s="862"/>
      <c r="DU31" s="862"/>
      <c r="DV31" s="862"/>
      <c r="DW31" s="862"/>
      <c r="DX31" s="151"/>
      <c r="DY31" s="862"/>
      <c r="DZ31" s="862"/>
      <c r="EA31" s="862"/>
      <c r="EB31" s="151"/>
      <c r="EC31" s="151"/>
      <c r="ED31" s="1167"/>
      <c r="EE31" s="958"/>
      <c r="EF31" s="341"/>
      <c r="EG31" s="819"/>
      <c r="EH31" s="341"/>
    </row>
    <row r="32" spans="1:138" s="342" customFormat="1" ht="14.25" customHeight="1" thickBot="1" x14ac:dyDescent="0.4">
      <c r="A32" s="331"/>
      <c r="B32" s="1695"/>
      <c r="C32" s="1742"/>
      <c r="D32" s="1261"/>
      <c r="E32" s="1742"/>
      <c r="F32" s="1785"/>
      <c r="G32" s="973" t="s">
        <v>258</v>
      </c>
      <c r="H32" s="973"/>
      <c r="I32" s="1206"/>
      <c r="J32" s="845">
        <v>13.05</v>
      </c>
      <c r="K32" s="864"/>
      <c r="L32" s="865"/>
      <c r="M32" s="866">
        <v>422</v>
      </c>
      <c r="N32" s="235">
        <v>658</v>
      </c>
      <c r="O32" s="235" t="s">
        <v>41</v>
      </c>
      <c r="P32" s="235" t="s">
        <v>41</v>
      </c>
      <c r="Q32" s="299">
        <f t="shared" si="23"/>
        <v>816</v>
      </c>
      <c r="R32" s="299">
        <f t="shared" si="24"/>
        <v>672</v>
      </c>
      <c r="S32" s="275">
        <v>165570</v>
      </c>
      <c r="T32" s="866" t="s">
        <v>41</v>
      </c>
      <c r="U32" s="235">
        <f t="shared" si="17"/>
        <v>546.14</v>
      </c>
      <c r="V32" s="235">
        <f>0.83*N32</f>
        <v>546.14</v>
      </c>
      <c r="W32" s="235">
        <f t="shared" si="25"/>
        <v>690.14</v>
      </c>
      <c r="X32" s="275">
        <v>165570</v>
      </c>
      <c r="Y32" s="235">
        <f t="shared" si="21"/>
        <v>484.89660357966147</v>
      </c>
      <c r="Z32" s="235">
        <f t="shared" si="4"/>
        <v>165570</v>
      </c>
      <c r="AA32" s="235">
        <f t="shared" si="22"/>
        <v>2.9286501393951891E-3</v>
      </c>
      <c r="AB32" s="235">
        <f>N32</f>
        <v>658</v>
      </c>
      <c r="AC32" s="867"/>
      <c r="AD32" s="925">
        <v>1800</v>
      </c>
      <c r="AE32" s="926">
        <v>80</v>
      </c>
      <c r="AF32" s="869">
        <v>80</v>
      </c>
      <c r="AG32" s="870">
        <v>3</v>
      </c>
      <c r="AH32" s="869">
        <v>3</v>
      </c>
      <c r="AI32" s="869">
        <f t="shared" si="7"/>
        <v>68</v>
      </c>
      <c r="AJ32" s="869">
        <f t="shared" si="8"/>
        <v>68</v>
      </c>
      <c r="AK32" s="871">
        <v>870</v>
      </c>
      <c r="AL32" s="871">
        <f t="shared" si="9"/>
        <v>54</v>
      </c>
      <c r="AM32" s="872">
        <f t="shared" si="10"/>
        <v>422</v>
      </c>
      <c r="AN32" s="873">
        <f t="shared" si="10"/>
        <v>658</v>
      </c>
      <c r="AO32" s="874">
        <f t="shared" si="11"/>
        <v>2.5487709126049405E-3</v>
      </c>
      <c r="AP32" s="875">
        <v>165570</v>
      </c>
      <c r="AQ32" s="867">
        <v>7</v>
      </c>
      <c r="AR32" s="151"/>
      <c r="AS32" s="1163" t="s">
        <v>397</v>
      </c>
      <c r="AT32" s="1163" t="s">
        <v>397</v>
      </c>
      <c r="AU32" s="886"/>
      <c r="AV32" s="888"/>
      <c r="AW32" s="888"/>
      <c r="AX32" s="888"/>
      <c r="AY32" s="888"/>
      <c r="AZ32" s="888"/>
      <c r="BA32" s="888"/>
      <c r="BB32" s="887"/>
      <c r="BC32" s="862"/>
      <c r="BD32" s="325"/>
      <c r="BE32" s="151"/>
      <c r="BF32" s="325"/>
      <c r="BG32" s="151"/>
      <c r="BH32" s="151"/>
      <c r="BI32" s="151"/>
      <c r="BJ32" s="151"/>
      <c r="BK32" s="243"/>
      <c r="BL32" s="243"/>
      <c r="BM32" s="862"/>
      <c r="BN32" s="862"/>
      <c r="BO32" s="862"/>
      <c r="BP32" s="862"/>
      <c r="BQ32" s="151"/>
      <c r="BR32" s="325"/>
      <c r="BS32" s="889"/>
      <c r="BT32" s="151"/>
      <c r="BU32" s="151"/>
      <c r="BV32" s="325"/>
      <c r="BW32" s="151"/>
      <c r="BX32" s="151"/>
      <c r="BY32" s="151"/>
      <c r="BZ32" s="862"/>
      <c r="CA32" s="862"/>
      <c r="CB32" s="151"/>
      <c r="CC32" s="325"/>
      <c r="CD32" s="862"/>
      <c r="CE32" s="862"/>
      <c r="CF32" s="862"/>
      <c r="CG32" s="890"/>
      <c r="CH32" s="862"/>
      <c r="CI32" s="862"/>
      <c r="CJ32" s="862"/>
      <c r="CK32" s="151"/>
      <c r="CL32" s="862"/>
      <c r="CM32" s="151"/>
      <c r="CN32" s="151"/>
      <c r="CO32" s="151"/>
      <c r="CP32" s="151"/>
      <c r="CQ32" s="862"/>
      <c r="CR32" s="862"/>
      <c r="CS32" s="862"/>
      <c r="CT32" s="862"/>
      <c r="CU32" s="151"/>
      <c r="CV32" s="151"/>
      <c r="CW32" s="151"/>
      <c r="CX32" s="862"/>
      <c r="CY32" s="862"/>
      <c r="CZ32" s="862"/>
      <c r="DA32" s="151"/>
      <c r="DB32" s="862"/>
      <c r="DC32" s="151"/>
      <c r="DD32" s="151"/>
      <c r="DE32" s="151"/>
      <c r="DF32" s="862"/>
      <c r="DG32" s="243"/>
      <c r="DH32" s="862"/>
      <c r="DI32" s="862"/>
      <c r="DJ32" s="151"/>
      <c r="DK32" s="151"/>
      <c r="DL32" s="151"/>
      <c r="DM32" s="862"/>
      <c r="DN32" s="151"/>
      <c r="DO32" s="1002"/>
      <c r="DP32" s="151"/>
      <c r="DQ32" s="151"/>
      <c r="DR32" s="862"/>
      <c r="DS32" s="151"/>
      <c r="DT32" s="862"/>
      <c r="DU32" s="862"/>
      <c r="DV32" s="862"/>
      <c r="DW32" s="862"/>
      <c r="DX32" s="151"/>
      <c r="DY32" s="862"/>
      <c r="DZ32" s="862"/>
      <c r="EA32" s="862"/>
      <c r="EB32" s="151"/>
      <c r="EC32" s="151"/>
      <c r="ED32" s="1167"/>
      <c r="EE32" s="958"/>
      <c r="EF32" s="341"/>
      <c r="EG32" s="819"/>
      <c r="EH32" s="341"/>
    </row>
    <row r="33" spans="1:138" s="342" customFormat="1" ht="14.25" customHeight="1" x14ac:dyDescent="0.35">
      <c r="A33" s="331">
        <v>7</v>
      </c>
      <c r="B33" s="1701" t="s">
        <v>236</v>
      </c>
      <c r="C33" s="1740" t="s">
        <v>367</v>
      </c>
      <c r="D33" s="1266"/>
      <c r="E33" s="1740" t="s">
        <v>240</v>
      </c>
      <c r="F33" s="1784">
        <v>1.4300999999999999</v>
      </c>
      <c r="G33" s="971" t="s">
        <v>259</v>
      </c>
      <c r="H33" s="971">
        <v>12.726162385448683</v>
      </c>
      <c r="I33" s="1208"/>
      <c r="J33" s="927">
        <v>15</v>
      </c>
      <c r="K33" s="846"/>
      <c r="L33" s="327"/>
      <c r="M33" s="848">
        <v>566</v>
      </c>
      <c r="N33" s="325">
        <v>753</v>
      </c>
      <c r="O33" s="325" t="s">
        <v>41</v>
      </c>
      <c r="P33" s="325" t="s">
        <v>41</v>
      </c>
      <c r="Q33" s="243">
        <f t="shared" si="23"/>
        <v>824.44679999999994</v>
      </c>
      <c r="R33" s="243">
        <f t="shared" si="24"/>
        <v>460.40039999999999</v>
      </c>
      <c r="S33" s="266">
        <v>185000</v>
      </c>
      <c r="T33" s="848" t="s">
        <v>41</v>
      </c>
      <c r="U33" s="325">
        <f t="shared" si="17"/>
        <v>624.99</v>
      </c>
      <c r="V33" s="243">
        <f t="shared" ref="V33:V48" si="26">AL33</f>
        <v>176.37797321099987</v>
      </c>
      <c r="W33" s="325">
        <f t="shared" si="25"/>
        <v>540.42437321099987</v>
      </c>
      <c r="X33" s="266">
        <v>185000</v>
      </c>
      <c r="Y33" s="327">
        <f t="shared" si="21"/>
        <v>597.85336197607876</v>
      </c>
      <c r="Z33" s="325">
        <f t="shared" si="4"/>
        <v>185000</v>
      </c>
      <c r="AA33" s="327">
        <f t="shared" si="22"/>
        <v>3.2316397944652906E-3</v>
      </c>
      <c r="AB33" s="325">
        <f t="shared" si="6"/>
        <v>753</v>
      </c>
      <c r="AC33" s="849"/>
      <c r="AD33" s="928">
        <v>900</v>
      </c>
      <c r="AE33" s="851">
        <v>59.9</v>
      </c>
      <c r="AF33" s="851">
        <v>59.6</v>
      </c>
      <c r="AG33" s="852">
        <v>4.7699999999999996</v>
      </c>
      <c r="AH33" s="851">
        <v>3.5</v>
      </c>
      <c r="AI33" s="851">
        <f t="shared" si="7"/>
        <v>43.36</v>
      </c>
      <c r="AJ33" s="851">
        <f t="shared" si="8"/>
        <v>43.06</v>
      </c>
      <c r="AK33" s="853">
        <f t="shared" ref="AK33:AK71" si="27">3.14159*(((AH33+AG33)^2)-(AH33^2))+2*AG33*(AE33-2*(AG33+AH33))+2*AG33*(AF33-2*(AG33+AH33))</f>
        <v>1000.8247732109999</v>
      </c>
      <c r="AL33" s="853">
        <f t="shared" si="9"/>
        <v>176.37797321099987</v>
      </c>
      <c r="AM33" s="854">
        <f t="shared" si="10"/>
        <v>566</v>
      </c>
      <c r="AN33" s="855">
        <f t="shared" si="10"/>
        <v>753</v>
      </c>
      <c r="AO33" s="856">
        <f t="shared" si="11"/>
        <v>3.0594594594594592E-3</v>
      </c>
      <c r="AP33" s="857">
        <v>185000</v>
      </c>
      <c r="AQ33" s="849">
        <v>7</v>
      </c>
      <c r="AR33" s="151"/>
      <c r="AS33" s="1163" t="s">
        <v>397</v>
      </c>
      <c r="AT33" s="1163" t="s">
        <v>397</v>
      </c>
      <c r="AU33" s="886"/>
      <c r="AV33" s="888"/>
      <c r="AW33" s="888"/>
      <c r="AX33" s="888"/>
      <c r="AY33" s="888"/>
      <c r="AZ33" s="888"/>
      <c r="BA33" s="888"/>
      <c r="BB33" s="887"/>
      <c r="BC33" s="862"/>
      <c r="BD33" s="325"/>
      <c r="BE33" s="151"/>
      <c r="BF33" s="325"/>
      <c r="BG33" s="151"/>
      <c r="BH33" s="151"/>
      <c r="BI33" s="151"/>
      <c r="BJ33" s="151"/>
      <c r="BK33" s="243"/>
      <c r="BL33" s="243"/>
      <c r="BM33" s="862"/>
      <c r="BN33" s="862"/>
      <c r="BO33" s="862"/>
      <c r="BP33" s="862"/>
      <c r="BQ33" s="151"/>
      <c r="BR33" s="325"/>
      <c r="BS33" s="889"/>
      <c r="BT33" s="151"/>
      <c r="BU33" s="151"/>
      <c r="BV33" s="325"/>
      <c r="BW33" s="151"/>
      <c r="BX33" s="151"/>
      <c r="BY33" s="151"/>
      <c r="BZ33" s="862"/>
      <c r="CA33" s="862"/>
      <c r="CB33" s="151"/>
      <c r="CC33" s="325"/>
      <c r="CD33" s="862"/>
      <c r="CE33" s="862"/>
      <c r="CF33" s="862"/>
      <c r="CG33" s="890"/>
      <c r="CH33" s="862"/>
      <c r="CI33" s="862"/>
      <c r="CJ33" s="862"/>
      <c r="CK33" s="151"/>
      <c r="CL33" s="862"/>
      <c r="CM33" s="151"/>
      <c r="CN33" s="151"/>
      <c r="CO33" s="151"/>
      <c r="CP33" s="151"/>
      <c r="CQ33" s="862"/>
      <c r="CR33" s="862"/>
      <c r="CS33" s="862"/>
      <c r="CT33" s="862"/>
      <c r="CU33" s="151"/>
      <c r="CV33" s="151"/>
      <c r="CW33" s="151"/>
      <c r="CX33" s="862"/>
      <c r="CY33" s="862"/>
      <c r="CZ33" s="862"/>
      <c r="DA33" s="151"/>
      <c r="DB33" s="862"/>
      <c r="DC33" s="151"/>
      <c r="DD33" s="151"/>
      <c r="DE33" s="151"/>
      <c r="DF33" s="862"/>
      <c r="DG33" s="243"/>
      <c r="DH33" s="862"/>
      <c r="DI33" s="862"/>
      <c r="DJ33" s="151"/>
      <c r="DK33" s="151"/>
      <c r="DL33" s="151"/>
      <c r="DM33" s="862"/>
      <c r="DN33" s="151"/>
      <c r="DO33" s="1002"/>
      <c r="DP33" s="151"/>
      <c r="DQ33" s="151"/>
      <c r="DR33" s="862"/>
      <c r="DS33" s="151"/>
      <c r="DT33" s="862"/>
      <c r="DU33" s="862"/>
      <c r="DV33" s="862"/>
      <c r="DW33" s="862"/>
      <c r="DX33" s="151"/>
      <c r="DY33" s="862"/>
      <c r="DZ33" s="862"/>
      <c r="EA33" s="862"/>
      <c r="EB33" s="151"/>
      <c r="EC33" s="151"/>
      <c r="ED33" s="1167"/>
      <c r="EE33" s="958"/>
      <c r="EF33" s="341"/>
      <c r="EG33" s="819"/>
      <c r="EH33" s="341"/>
    </row>
    <row r="34" spans="1:138" s="342" customFormat="1" ht="14.25" customHeight="1" x14ac:dyDescent="0.35">
      <c r="A34" s="331"/>
      <c r="B34" s="1702"/>
      <c r="C34" s="1741"/>
      <c r="D34" s="1260"/>
      <c r="E34" s="1741"/>
      <c r="F34" s="1784"/>
      <c r="G34" s="1185" t="s">
        <v>259</v>
      </c>
      <c r="H34" s="1185">
        <v>12.216484963639513</v>
      </c>
      <c r="I34" s="1210"/>
      <c r="J34" s="929">
        <v>13.5</v>
      </c>
      <c r="K34" s="930"/>
      <c r="L34" s="931"/>
      <c r="M34" s="932">
        <v>530</v>
      </c>
      <c r="N34" s="933">
        <v>668.5</v>
      </c>
      <c r="O34" s="933" t="s">
        <v>41</v>
      </c>
      <c r="P34" s="933" t="s">
        <v>41</v>
      </c>
      <c r="Q34" s="934">
        <f t="shared" si="23"/>
        <v>853.20719999999983</v>
      </c>
      <c r="R34" s="934">
        <f t="shared" si="24"/>
        <v>470.61359999999991</v>
      </c>
      <c r="S34" s="935">
        <v>181000</v>
      </c>
      <c r="T34" s="932" t="s">
        <v>41</v>
      </c>
      <c r="U34" s="933">
        <f t="shared" si="17"/>
        <v>554.85500000000002</v>
      </c>
      <c r="V34" s="934">
        <f t="shared" si="26"/>
        <v>167.29626483900006</v>
      </c>
      <c r="W34" s="933">
        <f t="shared" si="25"/>
        <v>549.88986483899998</v>
      </c>
      <c r="X34" s="935">
        <v>181000</v>
      </c>
      <c r="Y34" s="931">
        <f t="shared" si="21"/>
        <v>543.39291150053032</v>
      </c>
      <c r="Z34" s="933">
        <f t="shared" si="4"/>
        <v>181000</v>
      </c>
      <c r="AA34" s="931">
        <f t="shared" si="22"/>
        <v>3.0021707817708856E-3</v>
      </c>
      <c r="AB34" s="325">
        <f t="shared" si="6"/>
        <v>668.5</v>
      </c>
      <c r="AC34" s="936"/>
      <c r="AD34" s="937">
        <v>900</v>
      </c>
      <c r="AE34" s="938">
        <v>59.5</v>
      </c>
      <c r="AF34" s="938">
        <v>59.3</v>
      </c>
      <c r="AG34" s="939">
        <v>4.8899999999999997</v>
      </c>
      <c r="AH34" s="938">
        <v>3</v>
      </c>
      <c r="AI34" s="938">
        <f t="shared" si="7"/>
        <v>43.72</v>
      </c>
      <c r="AJ34" s="938">
        <f t="shared" si="8"/>
        <v>43.519999999999996</v>
      </c>
      <c r="AK34" s="940">
        <f t="shared" si="27"/>
        <v>1020.5034648389999</v>
      </c>
      <c r="AL34" s="940">
        <f t="shared" si="9"/>
        <v>167.29626483900006</v>
      </c>
      <c r="AM34" s="881">
        <f t="shared" si="10"/>
        <v>530</v>
      </c>
      <c r="AN34" s="882">
        <f t="shared" si="10"/>
        <v>668.5</v>
      </c>
      <c r="AO34" s="941">
        <f t="shared" si="11"/>
        <v>2.9281767955801107E-3</v>
      </c>
      <c r="AP34" s="942">
        <v>181000</v>
      </c>
      <c r="AQ34" s="943">
        <v>7</v>
      </c>
      <c r="AR34" s="947"/>
      <c r="AS34" s="1163" t="s">
        <v>397</v>
      </c>
      <c r="AT34" s="1163" t="s">
        <v>397</v>
      </c>
      <c r="AU34" s="944"/>
      <c r="AV34" s="945"/>
      <c r="AW34" s="945"/>
      <c r="AX34" s="945"/>
      <c r="AY34" s="945"/>
      <c r="AZ34" s="945"/>
      <c r="BA34" s="945"/>
      <c r="BB34" s="944"/>
      <c r="BC34" s="946"/>
      <c r="BD34" s="933"/>
      <c r="BE34" s="947"/>
      <c r="BF34" s="933"/>
      <c r="BG34" s="947"/>
      <c r="BH34" s="947"/>
      <c r="BI34" s="947"/>
      <c r="BJ34" s="947"/>
      <c r="BK34" s="934"/>
      <c r="BL34" s="934"/>
      <c r="BM34" s="946"/>
      <c r="BN34" s="946"/>
      <c r="BO34" s="946"/>
      <c r="BP34" s="946"/>
      <c r="BQ34" s="947"/>
      <c r="BR34" s="933"/>
      <c r="BS34" s="948"/>
      <c r="BT34" s="947"/>
      <c r="BU34" s="947"/>
      <c r="BV34" s="933"/>
      <c r="BW34" s="947"/>
      <c r="BX34" s="947"/>
      <c r="BY34" s="947"/>
      <c r="BZ34" s="946"/>
      <c r="CA34" s="946"/>
      <c r="CB34" s="947"/>
      <c r="CC34" s="933"/>
      <c r="CD34" s="946"/>
      <c r="CE34" s="946"/>
      <c r="CF34" s="862"/>
      <c r="CG34" s="949"/>
      <c r="CH34" s="946"/>
      <c r="CI34" s="946"/>
      <c r="CJ34" s="946"/>
      <c r="CK34" s="947"/>
      <c r="CL34" s="946"/>
      <c r="CM34" s="947"/>
      <c r="CN34" s="947"/>
      <c r="CO34" s="947"/>
      <c r="CP34" s="947"/>
      <c r="CQ34" s="946"/>
      <c r="CR34" s="946"/>
      <c r="CS34" s="946"/>
      <c r="CT34" s="946"/>
      <c r="CU34" s="947"/>
      <c r="CV34" s="151"/>
      <c r="CW34" s="151"/>
      <c r="CX34" s="862"/>
      <c r="CY34" s="862"/>
      <c r="CZ34" s="862"/>
      <c r="DA34" s="151"/>
      <c r="DB34" s="862"/>
      <c r="DC34" s="151"/>
      <c r="DD34" s="151"/>
      <c r="DE34" s="151"/>
      <c r="DF34" s="862"/>
      <c r="DG34" s="243"/>
      <c r="DH34" s="862"/>
      <c r="DI34" s="862"/>
      <c r="DJ34" s="947"/>
      <c r="DK34" s="151"/>
      <c r="DL34" s="151"/>
      <c r="DM34" s="862"/>
      <c r="DN34" s="151"/>
      <c r="DO34" s="1002"/>
      <c r="DP34" s="151"/>
      <c r="DQ34" s="151"/>
      <c r="DR34" s="862"/>
      <c r="DS34" s="151"/>
      <c r="DT34" s="862"/>
      <c r="DU34" s="862"/>
      <c r="DV34" s="862"/>
      <c r="DW34" s="862"/>
      <c r="DX34" s="151"/>
      <c r="DY34" s="862"/>
      <c r="DZ34" s="862"/>
      <c r="EA34" s="862"/>
      <c r="EB34" s="151"/>
      <c r="EC34" s="151"/>
      <c r="ED34" s="1167"/>
      <c r="EE34" s="958"/>
      <c r="EF34" s="341"/>
      <c r="EG34" s="819"/>
      <c r="EH34" s="341"/>
    </row>
    <row r="35" spans="1:138" s="342" customFormat="1" ht="14.25" customHeight="1" thickBot="1" x14ac:dyDescent="0.4">
      <c r="A35" s="331"/>
      <c r="B35" s="1702"/>
      <c r="C35" s="1741"/>
      <c r="D35" s="1260"/>
      <c r="E35" s="1742"/>
      <c r="F35" s="1784"/>
      <c r="G35" s="1183" t="s">
        <v>259</v>
      </c>
      <c r="H35" s="1183">
        <v>12.745672964651854</v>
      </c>
      <c r="I35" s="1207"/>
      <c r="J35" s="950">
        <v>15.24</v>
      </c>
      <c r="K35" s="864"/>
      <c r="L35" s="302"/>
      <c r="M35" s="866">
        <v>566</v>
      </c>
      <c r="N35" s="235">
        <v>753</v>
      </c>
      <c r="O35" s="235" t="s">
        <v>41</v>
      </c>
      <c r="P35" s="235" t="s">
        <v>41</v>
      </c>
      <c r="Q35" s="299">
        <f t="shared" si="23"/>
        <v>841.61879999999996</v>
      </c>
      <c r="R35" s="299">
        <f t="shared" si="24"/>
        <v>477.57240000000002</v>
      </c>
      <c r="S35" s="275">
        <v>185000</v>
      </c>
      <c r="T35" s="866" t="s">
        <v>41</v>
      </c>
      <c r="U35" s="235">
        <f t="shared" si="17"/>
        <v>624.99</v>
      </c>
      <c r="V35" s="299">
        <f t="shared" si="26"/>
        <v>161.39258891100002</v>
      </c>
      <c r="W35" s="235">
        <f t="shared" si="25"/>
        <v>525.43898891100002</v>
      </c>
      <c r="X35" s="275">
        <v>185000</v>
      </c>
      <c r="Y35" s="302">
        <f t="shared" si="21"/>
        <v>596.90258625030458</v>
      </c>
      <c r="Z35" s="235">
        <f t="shared" si="4"/>
        <v>185000</v>
      </c>
      <c r="AA35" s="302">
        <f t="shared" si="22"/>
        <v>3.2265004662178627E-3</v>
      </c>
      <c r="AB35" s="235">
        <f t="shared" si="6"/>
        <v>753</v>
      </c>
      <c r="AC35" s="867"/>
      <c r="AD35" s="928">
        <v>900</v>
      </c>
      <c r="AE35" s="851">
        <v>59.8</v>
      </c>
      <c r="AF35" s="851">
        <v>59.5</v>
      </c>
      <c r="AG35" s="852">
        <v>4.7699999999999996</v>
      </c>
      <c r="AH35" s="851">
        <v>3</v>
      </c>
      <c r="AI35" s="851">
        <f t="shared" si="7"/>
        <v>44.26</v>
      </c>
      <c r="AJ35" s="851">
        <f t="shared" si="8"/>
        <v>43.96</v>
      </c>
      <c r="AK35" s="853">
        <f t="shared" si="27"/>
        <v>1003.0113889109999</v>
      </c>
      <c r="AL35" s="853">
        <f t="shared" si="9"/>
        <v>161.39258891100002</v>
      </c>
      <c r="AM35" s="872">
        <f t="shared" si="10"/>
        <v>566</v>
      </c>
      <c r="AN35" s="873">
        <f t="shared" si="10"/>
        <v>753</v>
      </c>
      <c r="AO35" s="874">
        <f t="shared" si="11"/>
        <v>3.0594594594594592E-3</v>
      </c>
      <c r="AP35" s="875">
        <v>185000</v>
      </c>
      <c r="AQ35" s="867">
        <v>7</v>
      </c>
      <c r="AR35" s="151"/>
      <c r="AS35" s="1163" t="s">
        <v>397</v>
      </c>
      <c r="AT35" s="1163" t="s">
        <v>397</v>
      </c>
      <c r="AU35" s="886"/>
      <c r="AV35" s="888"/>
      <c r="AW35" s="888"/>
      <c r="AX35" s="888"/>
      <c r="AY35" s="888"/>
      <c r="AZ35" s="888"/>
      <c r="BA35" s="888"/>
      <c r="BB35" s="887"/>
      <c r="BC35" s="862"/>
      <c r="BD35" s="325"/>
      <c r="BE35" s="151"/>
      <c r="BF35" s="325"/>
      <c r="BG35" s="151"/>
      <c r="BH35" s="151"/>
      <c r="BI35" s="151"/>
      <c r="BJ35" s="151"/>
      <c r="BK35" s="243"/>
      <c r="BL35" s="243"/>
      <c r="BM35" s="862"/>
      <c r="BN35" s="862"/>
      <c r="BO35" s="862"/>
      <c r="BP35" s="862"/>
      <c r="BQ35" s="151"/>
      <c r="BR35" s="325"/>
      <c r="BS35" s="889"/>
      <c r="BT35" s="151"/>
      <c r="BU35" s="151"/>
      <c r="BV35" s="325"/>
      <c r="BW35" s="151"/>
      <c r="BX35" s="151"/>
      <c r="BY35" s="151"/>
      <c r="BZ35" s="862"/>
      <c r="CA35" s="862"/>
      <c r="CB35" s="151"/>
      <c r="CC35" s="325"/>
      <c r="CD35" s="862"/>
      <c r="CE35" s="862"/>
      <c r="CF35" s="862"/>
      <c r="CG35" s="890"/>
      <c r="CH35" s="862"/>
      <c r="CI35" s="862"/>
      <c r="CJ35" s="862"/>
      <c r="CK35" s="151"/>
      <c r="CL35" s="862"/>
      <c r="CM35" s="151"/>
      <c r="CN35" s="151"/>
      <c r="CO35" s="151"/>
      <c r="CP35" s="151"/>
      <c r="CQ35" s="862"/>
      <c r="CR35" s="862"/>
      <c r="CS35" s="862"/>
      <c r="CT35" s="862"/>
      <c r="CU35" s="151"/>
      <c r="CV35" s="151"/>
      <c r="CW35" s="151"/>
      <c r="CX35" s="862"/>
      <c r="CY35" s="862"/>
      <c r="CZ35" s="862"/>
      <c r="DA35" s="151"/>
      <c r="DB35" s="862"/>
      <c r="DC35" s="151"/>
      <c r="DD35" s="151"/>
      <c r="DE35" s="151"/>
      <c r="DF35" s="862"/>
      <c r="DG35" s="243"/>
      <c r="DH35" s="862"/>
      <c r="DI35" s="862"/>
      <c r="DJ35" s="151"/>
      <c r="DK35" s="151"/>
      <c r="DL35" s="151"/>
      <c r="DM35" s="862"/>
      <c r="DN35" s="151"/>
      <c r="DO35" s="1002"/>
      <c r="DP35" s="151"/>
      <c r="DQ35" s="151"/>
      <c r="DR35" s="862"/>
      <c r="DS35" s="151"/>
      <c r="DT35" s="862"/>
      <c r="DU35" s="862"/>
      <c r="DV35" s="862"/>
      <c r="DW35" s="862"/>
      <c r="DX35" s="151"/>
      <c r="DY35" s="862"/>
      <c r="DZ35" s="862"/>
      <c r="EA35" s="862"/>
      <c r="EB35" s="151"/>
      <c r="EC35" s="151"/>
      <c r="ED35" s="1167"/>
      <c r="EE35" s="958"/>
      <c r="EF35" s="341"/>
      <c r="EG35" s="819"/>
      <c r="EH35" s="341"/>
    </row>
    <row r="36" spans="1:138" s="342" customFormat="1" ht="13.9" thickBot="1" x14ac:dyDescent="0.4">
      <c r="A36" s="331">
        <v>8</v>
      </c>
      <c r="B36" s="1142" t="s">
        <v>260</v>
      </c>
      <c r="C36" s="951" t="s">
        <v>365</v>
      </c>
      <c r="D36" s="951"/>
      <c r="E36" s="951" t="s">
        <v>261</v>
      </c>
      <c r="F36" s="1137">
        <v>1.4306000000000001</v>
      </c>
      <c r="G36" s="973" t="s">
        <v>258</v>
      </c>
      <c r="H36" s="973">
        <v>10.931337817588208</v>
      </c>
      <c r="I36" s="1206"/>
      <c r="J36" s="845">
        <v>15.4</v>
      </c>
      <c r="K36" s="864"/>
      <c r="L36" s="865"/>
      <c r="M36" s="866">
        <v>420</v>
      </c>
      <c r="N36" s="235">
        <v>695</v>
      </c>
      <c r="O36" s="235" t="s">
        <v>41</v>
      </c>
      <c r="P36" s="235" t="s">
        <v>41</v>
      </c>
      <c r="Q36" s="299">
        <f t="shared" si="23"/>
        <v>811.03679999999986</v>
      </c>
      <c r="R36" s="299">
        <f t="shared" si="24"/>
        <v>668.95039999999983</v>
      </c>
      <c r="S36" s="275">
        <v>187000</v>
      </c>
      <c r="T36" s="866" t="s">
        <v>41</v>
      </c>
      <c r="U36" s="235">
        <f t="shared" si="17"/>
        <v>576.85</v>
      </c>
      <c r="V36" s="299">
        <f t="shared" si="26"/>
        <v>83.963200000000143</v>
      </c>
      <c r="W36" s="235">
        <f t="shared" si="25"/>
        <v>226.04960000000014</v>
      </c>
      <c r="X36" s="275">
        <v>187000</v>
      </c>
      <c r="Y36" s="302">
        <f t="shared" si="21"/>
        <v>459.61550811173191</v>
      </c>
      <c r="Z36" s="235">
        <f t="shared" si="4"/>
        <v>187000</v>
      </c>
      <c r="AA36" s="302">
        <f t="shared" si="22"/>
        <v>2.4578369417739675E-3</v>
      </c>
      <c r="AB36" s="235">
        <f t="shared" si="6"/>
        <v>695</v>
      </c>
      <c r="AC36" s="867"/>
      <c r="AD36" s="921">
        <v>1000</v>
      </c>
      <c r="AE36" s="895">
        <v>80</v>
      </c>
      <c r="AF36" s="895">
        <v>80</v>
      </c>
      <c r="AG36" s="923">
        <v>2.98</v>
      </c>
      <c r="AH36" s="895">
        <v>3</v>
      </c>
      <c r="AI36" s="895">
        <f t="shared" si="7"/>
        <v>68.039999999999992</v>
      </c>
      <c r="AJ36" s="895">
        <f t="shared" si="8"/>
        <v>68.039999999999992</v>
      </c>
      <c r="AK36" s="893">
        <v>895</v>
      </c>
      <c r="AL36" s="893">
        <f t="shared" si="9"/>
        <v>83.963200000000143</v>
      </c>
      <c r="AM36" s="952">
        <f t="shared" si="10"/>
        <v>420</v>
      </c>
      <c r="AN36" s="953">
        <f t="shared" si="10"/>
        <v>695</v>
      </c>
      <c r="AO36" s="954">
        <f t="shared" si="11"/>
        <v>2.2459893048128341E-3</v>
      </c>
      <c r="AP36" s="955">
        <v>187000</v>
      </c>
      <c r="AQ36" s="849">
        <v>7</v>
      </c>
      <c r="AR36" s="151"/>
      <c r="AS36" s="1163" t="s">
        <v>397</v>
      </c>
      <c r="AT36" s="1163" t="s">
        <v>397</v>
      </c>
      <c r="AU36" s="886"/>
      <c r="AV36" s="888"/>
      <c r="AW36" s="888"/>
      <c r="AX36" s="888"/>
      <c r="AY36" s="888"/>
      <c r="AZ36" s="888"/>
      <c r="BA36" s="888"/>
      <c r="BB36" s="887"/>
      <c r="BC36" s="862"/>
      <c r="BD36" s="325"/>
      <c r="BE36" s="151"/>
      <c r="BF36" s="325"/>
      <c r="BG36" s="151"/>
      <c r="BH36" s="151"/>
      <c r="BI36" s="151"/>
      <c r="BJ36" s="151"/>
      <c r="BK36" s="243"/>
      <c r="BL36" s="243"/>
      <c r="BM36" s="862"/>
      <c r="BN36" s="862"/>
      <c r="BO36" s="862"/>
      <c r="BP36" s="862"/>
      <c r="BQ36" s="151"/>
      <c r="BR36" s="325"/>
      <c r="BS36" s="889"/>
      <c r="BT36" s="151"/>
      <c r="BU36" s="151"/>
      <c r="BV36" s="325"/>
      <c r="BW36" s="151"/>
      <c r="BX36" s="151"/>
      <c r="BY36" s="151"/>
      <c r="BZ36" s="862"/>
      <c r="CA36" s="862"/>
      <c r="CB36" s="151"/>
      <c r="CC36" s="325"/>
      <c r="CD36" s="862"/>
      <c r="CE36" s="862"/>
      <c r="CF36" s="862"/>
      <c r="CG36" s="890"/>
      <c r="CH36" s="862"/>
      <c r="CI36" s="862"/>
      <c r="CJ36" s="862"/>
      <c r="CK36" s="151"/>
      <c r="CL36" s="862"/>
      <c r="CM36" s="151"/>
      <c r="CN36" s="151"/>
      <c r="CO36" s="151"/>
      <c r="CP36" s="151"/>
      <c r="CQ36" s="862"/>
      <c r="CR36" s="862"/>
      <c r="CS36" s="862"/>
      <c r="CT36" s="862"/>
      <c r="CU36" s="151"/>
      <c r="CV36" s="151"/>
      <c r="CW36" s="151"/>
      <c r="CX36" s="862"/>
      <c r="CY36" s="862"/>
      <c r="CZ36" s="862"/>
      <c r="DA36" s="151"/>
      <c r="DB36" s="862"/>
      <c r="DC36" s="151"/>
      <c r="DD36" s="151"/>
      <c r="DE36" s="151"/>
      <c r="DF36" s="862"/>
      <c r="DG36" s="243"/>
      <c r="DH36" s="862"/>
      <c r="DI36" s="862"/>
      <c r="DJ36" s="151"/>
      <c r="DK36" s="151"/>
      <c r="DL36" s="151"/>
      <c r="DM36" s="862"/>
      <c r="DN36" s="151"/>
      <c r="DO36" s="1002"/>
      <c r="DP36" s="151"/>
      <c r="DQ36" s="151"/>
      <c r="DR36" s="862"/>
      <c r="DS36" s="151"/>
      <c r="DT36" s="862"/>
      <c r="DU36" s="862"/>
      <c r="DV36" s="862"/>
      <c r="DW36" s="862"/>
      <c r="DX36" s="151"/>
      <c r="DY36" s="862"/>
      <c r="DZ36" s="862"/>
      <c r="EA36" s="862"/>
      <c r="EB36" s="151"/>
      <c r="EC36" s="151"/>
      <c r="ED36" s="1167"/>
      <c r="EE36" s="958"/>
      <c r="EF36" s="341"/>
      <c r="EG36" s="819"/>
      <c r="EH36" s="341"/>
    </row>
    <row r="37" spans="1:138" s="342" customFormat="1" ht="14.25" customHeight="1" x14ac:dyDescent="0.35">
      <c r="A37" s="331">
        <v>9</v>
      </c>
      <c r="B37" s="1703" t="s">
        <v>368</v>
      </c>
      <c r="C37" s="1783" t="s">
        <v>369</v>
      </c>
      <c r="D37" s="1258"/>
      <c r="E37" s="1783" t="s">
        <v>240</v>
      </c>
      <c r="F37" s="1783">
        <v>1.4300999999999999</v>
      </c>
      <c r="G37" s="971" t="s">
        <v>262</v>
      </c>
      <c r="H37" s="971"/>
      <c r="I37" s="1208"/>
      <c r="J37" s="956">
        <v>17.5</v>
      </c>
      <c r="K37" s="846"/>
      <c r="L37" s="327"/>
      <c r="M37" s="848">
        <v>457</v>
      </c>
      <c r="N37" s="325">
        <v>706</v>
      </c>
      <c r="O37" s="325" t="s">
        <v>41</v>
      </c>
      <c r="P37" s="325" t="s">
        <v>41</v>
      </c>
      <c r="Q37" s="243">
        <f t="shared" si="23"/>
        <v>950.25</v>
      </c>
      <c r="R37" s="243">
        <f t="shared" si="24"/>
        <v>725.25</v>
      </c>
      <c r="S37" s="325">
        <v>186600</v>
      </c>
      <c r="T37" s="848">
        <v>594</v>
      </c>
      <c r="U37" s="325" t="s">
        <v>41</v>
      </c>
      <c r="V37" s="243">
        <f t="shared" si="26"/>
        <v>148.75</v>
      </c>
      <c r="W37" s="325">
        <f t="shared" ref="W37:W42" si="28">V37+8*(2*AG37*AG37)</f>
        <v>373.75</v>
      </c>
      <c r="X37" s="266">
        <v>215000</v>
      </c>
      <c r="Y37" s="327">
        <f>((M37*Q37)+(T37*V37))/(Q37+V37)</f>
        <v>475.54299363057322</v>
      </c>
      <c r="Z37" s="325">
        <f t="shared" si="4"/>
        <v>186600</v>
      </c>
      <c r="AA37" s="327">
        <f t="shared" si="22"/>
        <v>2.5484619165625573E-3</v>
      </c>
      <c r="AB37" s="325">
        <f t="shared" si="6"/>
        <v>706</v>
      </c>
      <c r="AC37" s="849"/>
      <c r="AD37" s="921">
        <v>1290</v>
      </c>
      <c r="AE37" s="895">
        <v>79.599999999999994</v>
      </c>
      <c r="AF37" s="895">
        <v>79.7</v>
      </c>
      <c r="AG37" s="923">
        <v>3.75</v>
      </c>
      <c r="AH37" s="895">
        <v>4.4000000000000004</v>
      </c>
      <c r="AI37" s="895">
        <f t="shared" si="7"/>
        <v>63.3</v>
      </c>
      <c r="AJ37" s="895">
        <f t="shared" si="8"/>
        <v>63.400000000000006</v>
      </c>
      <c r="AK37" s="893">
        <v>1099</v>
      </c>
      <c r="AL37" s="893">
        <f t="shared" si="9"/>
        <v>148.75</v>
      </c>
      <c r="AM37" s="854">
        <f t="shared" si="10"/>
        <v>457</v>
      </c>
      <c r="AN37" s="855">
        <f t="shared" si="10"/>
        <v>706</v>
      </c>
      <c r="AO37" s="856">
        <f t="shared" si="11"/>
        <v>2.4490889603429795E-3</v>
      </c>
      <c r="AP37" s="857">
        <v>186600</v>
      </c>
      <c r="AQ37" s="924">
        <v>7</v>
      </c>
      <c r="AR37" s="151"/>
      <c r="AS37" s="1163" t="s">
        <v>397</v>
      </c>
      <c r="AT37" s="1163" t="s">
        <v>397</v>
      </c>
      <c r="AU37" s="886"/>
      <c r="AV37" s="888"/>
      <c r="AW37" s="888"/>
      <c r="AX37" s="888"/>
      <c r="AY37" s="888"/>
      <c r="AZ37" s="888"/>
      <c r="BA37" s="888"/>
      <c r="BB37" s="887"/>
      <c r="BC37" s="862"/>
      <c r="BD37" s="325"/>
      <c r="BE37" s="151"/>
      <c r="BF37" s="325"/>
      <c r="BG37" s="151"/>
      <c r="BH37" s="151"/>
      <c r="BI37" s="151"/>
      <c r="BJ37" s="151"/>
      <c r="BK37" s="243"/>
      <c r="BL37" s="243"/>
      <c r="BM37" s="862"/>
      <c r="BN37" s="862"/>
      <c r="BO37" s="862"/>
      <c r="BP37" s="862"/>
      <c r="BQ37" s="151"/>
      <c r="BR37" s="325"/>
      <c r="BS37" s="889"/>
      <c r="BT37" s="151"/>
      <c r="BU37" s="151"/>
      <c r="BV37" s="325"/>
      <c r="BW37" s="151"/>
      <c r="BX37" s="151"/>
      <c r="BY37" s="151"/>
      <c r="BZ37" s="862"/>
      <c r="CA37" s="862"/>
      <c r="CB37" s="151"/>
      <c r="CC37" s="325"/>
      <c r="CD37" s="862"/>
      <c r="CE37" s="862"/>
      <c r="CF37" s="862"/>
      <c r="CG37" s="890"/>
      <c r="CH37" s="862"/>
      <c r="CI37" s="862"/>
      <c r="CJ37" s="862"/>
      <c r="CK37" s="151"/>
      <c r="CL37" s="862"/>
      <c r="CM37" s="151"/>
      <c r="CN37" s="151"/>
      <c r="CO37" s="151"/>
      <c r="CP37" s="151"/>
      <c r="CQ37" s="862"/>
      <c r="CR37" s="862"/>
      <c r="CS37" s="862"/>
      <c r="CT37" s="862"/>
      <c r="CU37" s="151"/>
      <c r="CV37" s="151"/>
      <c r="CW37" s="151"/>
      <c r="CX37" s="862"/>
      <c r="CY37" s="862"/>
      <c r="CZ37" s="862"/>
      <c r="DA37" s="151"/>
      <c r="DB37" s="862"/>
      <c r="DC37" s="151"/>
      <c r="DD37" s="151"/>
      <c r="DE37" s="151"/>
      <c r="DF37" s="862"/>
      <c r="DG37" s="243"/>
      <c r="DH37" s="862"/>
      <c r="DI37" s="862"/>
      <c r="DJ37" s="151"/>
      <c r="DK37" s="151"/>
      <c r="DL37" s="151"/>
      <c r="DM37" s="862"/>
      <c r="DN37" s="151"/>
      <c r="DO37" s="1002"/>
      <c r="DP37" s="151"/>
      <c r="DQ37" s="151"/>
      <c r="DR37" s="862"/>
      <c r="DS37" s="151"/>
      <c r="DT37" s="862"/>
      <c r="DU37" s="862"/>
      <c r="DV37" s="862"/>
      <c r="DW37" s="862"/>
      <c r="DX37" s="151"/>
      <c r="DY37" s="862"/>
      <c r="DZ37" s="862"/>
      <c r="EA37" s="862"/>
      <c r="EB37" s="151"/>
      <c r="EC37" s="151"/>
      <c r="ED37" s="341"/>
      <c r="EE37" s="958"/>
      <c r="EF37" s="341"/>
      <c r="EG37" s="819"/>
      <c r="EH37" s="341"/>
    </row>
    <row r="38" spans="1:138" s="342" customFormat="1" ht="14.25" customHeight="1" x14ac:dyDescent="0.35">
      <c r="A38" s="331"/>
      <c r="B38" s="1704"/>
      <c r="C38" s="1784"/>
      <c r="D38" s="1259"/>
      <c r="E38" s="1784"/>
      <c r="F38" s="1784"/>
      <c r="G38" s="973" t="s">
        <v>263</v>
      </c>
      <c r="H38" s="973"/>
      <c r="I38" s="1206"/>
      <c r="J38" s="845">
        <v>8</v>
      </c>
      <c r="K38" s="846"/>
      <c r="L38" s="327"/>
      <c r="M38" s="848">
        <v>382</v>
      </c>
      <c r="N38" s="325">
        <v>675</v>
      </c>
      <c r="O38" s="325" t="s">
        <v>41</v>
      </c>
      <c r="P38" s="325" t="s">
        <v>41</v>
      </c>
      <c r="Q38" s="243">
        <f t="shared" si="23"/>
        <v>689.04320000000007</v>
      </c>
      <c r="R38" s="243">
        <f t="shared" si="24"/>
        <v>634.87360000000012</v>
      </c>
      <c r="S38" s="325">
        <v>201300</v>
      </c>
      <c r="T38" s="848">
        <v>587</v>
      </c>
      <c r="U38" s="325" t="s">
        <v>41</v>
      </c>
      <c r="V38" s="243">
        <f t="shared" si="26"/>
        <v>25.95679999999993</v>
      </c>
      <c r="W38" s="325">
        <f t="shared" si="28"/>
        <v>80.126399999999933</v>
      </c>
      <c r="X38" s="266">
        <v>197400</v>
      </c>
      <c r="Y38" s="327">
        <f>((M38*Q38)+(T38*V38))/(Q38+V38)</f>
        <v>389.44215944055941</v>
      </c>
      <c r="Z38" s="325">
        <f t="shared" si="4"/>
        <v>201300</v>
      </c>
      <c r="AA38" s="327">
        <f t="shared" si="22"/>
        <v>1.934635665377841E-3</v>
      </c>
      <c r="AB38" s="325">
        <f t="shared" si="6"/>
        <v>675</v>
      </c>
      <c r="AC38" s="849"/>
      <c r="AD38" s="928">
        <v>1148</v>
      </c>
      <c r="AE38" s="851">
        <v>99.9</v>
      </c>
      <c r="AF38" s="851">
        <v>99.9</v>
      </c>
      <c r="AG38" s="852">
        <v>1.84</v>
      </c>
      <c r="AH38" s="851">
        <v>1.3</v>
      </c>
      <c r="AI38" s="851">
        <f t="shared" si="7"/>
        <v>93.62</v>
      </c>
      <c r="AJ38" s="851">
        <f t="shared" si="8"/>
        <v>93.62</v>
      </c>
      <c r="AK38" s="853">
        <v>715</v>
      </c>
      <c r="AL38" s="853">
        <f t="shared" si="9"/>
        <v>25.95679999999993</v>
      </c>
      <c r="AM38" s="881">
        <f t="shared" si="10"/>
        <v>382</v>
      </c>
      <c r="AN38" s="882">
        <f t="shared" si="10"/>
        <v>675</v>
      </c>
      <c r="AO38" s="883">
        <f t="shared" si="11"/>
        <v>1.8976651763537009E-3</v>
      </c>
      <c r="AP38" s="957">
        <v>201300</v>
      </c>
      <c r="AQ38" s="849">
        <v>7</v>
      </c>
      <c r="AR38" s="151"/>
      <c r="AS38" s="1163" t="s">
        <v>397</v>
      </c>
      <c r="AT38" s="1163" t="s">
        <v>397</v>
      </c>
      <c r="AU38" s="886"/>
      <c r="AV38" s="888"/>
      <c r="AW38" s="888"/>
      <c r="AX38" s="888"/>
      <c r="AY38" s="888"/>
      <c r="AZ38" s="888"/>
      <c r="BA38" s="888"/>
      <c r="BB38" s="887"/>
      <c r="BC38" s="862"/>
      <c r="BD38" s="325"/>
      <c r="BE38" s="151"/>
      <c r="BF38" s="325"/>
      <c r="BG38" s="151"/>
      <c r="BH38" s="151"/>
      <c r="BI38" s="151"/>
      <c r="BJ38" s="151"/>
      <c r="BK38" s="243"/>
      <c r="BL38" s="243"/>
      <c r="BM38" s="862"/>
      <c r="BN38" s="862"/>
      <c r="BO38" s="862"/>
      <c r="BP38" s="862"/>
      <c r="BQ38" s="151"/>
      <c r="BR38" s="325"/>
      <c r="BS38" s="889"/>
      <c r="BT38" s="151"/>
      <c r="BU38" s="151"/>
      <c r="BV38" s="325"/>
      <c r="BW38" s="151"/>
      <c r="BX38" s="151"/>
      <c r="BY38" s="151"/>
      <c r="BZ38" s="862"/>
      <c r="CA38" s="862"/>
      <c r="CB38" s="151"/>
      <c r="CC38" s="325"/>
      <c r="CD38" s="862"/>
      <c r="CE38" s="862"/>
      <c r="CF38" s="862"/>
      <c r="CG38" s="890"/>
      <c r="CH38" s="862"/>
      <c r="CI38" s="862"/>
      <c r="CJ38" s="862"/>
      <c r="CK38" s="151"/>
      <c r="CL38" s="862"/>
      <c r="CM38" s="151"/>
      <c r="CN38" s="151"/>
      <c r="CO38" s="151"/>
      <c r="CP38" s="151"/>
      <c r="CQ38" s="862"/>
      <c r="CR38" s="862"/>
      <c r="CS38" s="862"/>
      <c r="CT38" s="862"/>
      <c r="CU38" s="151"/>
      <c r="CV38" s="151"/>
      <c r="CW38" s="151"/>
      <c r="CX38" s="862"/>
      <c r="CY38" s="862"/>
      <c r="CZ38" s="862"/>
      <c r="DA38" s="151"/>
      <c r="DB38" s="862"/>
      <c r="DC38" s="151"/>
      <c r="DD38" s="151"/>
      <c r="DE38" s="151"/>
      <c r="DF38" s="862"/>
      <c r="DG38" s="243"/>
      <c r="DH38" s="862"/>
      <c r="DI38" s="862"/>
      <c r="DJ38" s="151"/>
      <c r="DK38" s="151"/>
      <c r="DL38" s="151"/>
      <c r="DM38" s="862"/>
      <c r="DN38" s="151"/>
      <c r="DO38" s="1002"/>
      <c r="DP38" s="151"/>
      <c r="DQ38" s="151"/>
      <c r="DR38" s="862"/>
      <c r="DS38" s="151"/>
      <c r="DT38" s="862"/>
      <c r="DU38" s="862"/>
      <c r="DV38" s="862"/>
      <c r="DW38" s="862"/>
      <c r="DX38" s="151"/>
      <c r="DY38" s="862"/>
      <c r="DZ38" s="862"/>
      <c r="EA38" s="862"/>
      <c r="EB38" s="151"/>
      <c r="EC38" s="151"/>
      <c r="ED38" s="341"/>
      <c r="EE38" s="958"/>
      <c r="EF38" s="341"/>
      <c r="EG38" s="819"/>
      <c r="EH38" s="341"/>
    </row>
    <row r="39" spans="1:138" s="342" customFormat="1" ht="14.25" customHeight="1" x14ac:dyDescent="0.35">
      <c r="A39" s="331"/>
      <c r="B39" s="1704"/>
      <c r="C39" s="1784"/>
      <c r="D39" s="1259"/>
      <c r="E39" s="1784"/>
      <c r="F39" s="1784"/>
      <c r="G39" s="973" t="s">
        <v>264</v>
      </c>
      <c r="H39" s="973"/>
      <c r="I39" s="1206"/>
      <c r="J39" s="845">
        <v>17.2</v>
      </c>
      <c r="K39" s="846"/>
      <c r="L39" s="327"/>
      <c r="M39" s="848">
        <v>388</v>
      </c>
      <c r="N39" s="325">
        <v>691</v>
      </c>
      <c r="O39" s="325" t="s">
        <v>41</v>
      </c>
      <c r="P39" s="325" t="s">
        <v>41</v>
      </c>
      <c r="Q39" s="243">
        <f t="shared" si="23"/>
        <v>1039.6671999999999</v>
      </c>
      <c r="R39" s="243">
        <f t="shared" si="24"/>
        <v>910.61759999999981</v>
      </c>
      <c r="S39" s="325">
        <v>195800</v>
      </c>
      <c r="T39" s="848" t="s">
        <v>41</v>
      </c>
      <c r="U39" s="325">
        <f>0.83*N39</f>
        <v>573.53</v>
      </c>
      <c r="V39" s="243">
        <f t="shared" si="26"/>
        <v>51.33280000000002</v>
      </c>
      <c r="W39" s="325">
        <f t="shared" si="28"/>
        <v>180.38240000000002</v>
      </c>
      <c r="X39" s="266">
        <v>195800</v>
      </c>
      <c r="Y39" s="327">
        <f>((M39*R39)+(U39*W39))/(R39+W39)</f>
        <v>418.67492820531629</v>
      </c>
      <c r="Z39" s="325">
        <f t="shared" si="4"/>
        <v>195800</v>
      </c>
      <c r="AA39" s="327">
        <f t="shared" si="22"/>
        <v>2.1382784893019219E-3</v>
      </c>
      <c r="AB39" s="325">
        <f t="shared" si="6"/>
        <v>691</v>
      </c>
      <c r="AC39" s="849"/>
      <c r="AD39" s="928">
        <v>1299</v>
      </c>
      <c r="AE39" s="851">
        <v>100.1</v>
      </c>
      <c r="AF39" s="851">
        <v>100.3</v>
      </c>
      <c r="AG39" s="852">
        <v>2.84</v>
      </c>
      <c r="AH39" s="851">
        <v>1.5</v>
      </c>
      <c r="AI39" s="851">
        <f t="shared" si="7"/>
        <v>91.419999999999987</v>
      </c>
      <c r="AJ39" s="851">
        <f t="shared" si="8"/>
        <v>91.62</v>
      </c>
      <c r="AK39" s="853">
        <v>1091</v>
      </c>
      <c r="AL39" s="853">
        <f t="shared" si="9"/>
        <v>51.33280000000002</v>
      </c>
      <c r="AM39" s="881">
        <f t="shared" si="10"/>
        <v>388</v>
      </c>
      <c r="AN39" s="882">
        <f t="shared" si="10"/>
        <v>691</v>
      </c>
      <c r="AO39" s="883">
        <f t="shared" si="11"/>
        <v>1.9816138917262511E-3</v>
      </c>
      <c r="AP39" s="957">
        <v>195800</v>
      </c>
      <c r="AQ39" s="849">
        <v>7</v>
      </c>
      <c r="AR39" s="151"/>
      <c r="AS39" s="1163" t="s">
        <v>397</v>
      </c>
      <c r="AT39" s="1163" t="s">
        <v>397</v>
      </c>
      <c r="AU39" s="886"/>
      <c r="AV39" s="888"/>
      <c r="AW39" s="888"/>
      <c r="AX39" s="888"/>
      <c r="AY39" s="888"/>
      <c r="AZ39" s="888"/>
      <c r="BA39" s="888"/>
      <c r="BB39" s="887"/>
      <c r="BC39" s="862"/>
      <c r="BD39" s="325"/>
      <c r="BE39" s="151"/>
      <c r="BF39" s="325"/>
      <c r="BG39" s="151"/>
      <c r="BH39" s="151"/>
      <c r="BI39" s="151"/>
      <c r="BJ39" s="151"/>
      <c r="BK39" s="243"/>
      <c r="BL39" s="243"/>
      <c r="BM39" s="862"/>
      <c r="BN39" s="862"/>
      <c r="BO39" s="862"/>
      <c r="BP39" s="862"/>
      <c r="BQ39" s="151"/>
      <c r="BR39" s="325"/>
      <c r="BS39" s="889"/>
      <c r="BT39" s="151"/>
      <c r="BU39" s="151"/>
      <c r="BV39" s="325"/>
      <c r="BW39" s="151"/>
      <c r="BX39" s="151"/>
      <c r="BY39" s="151"/>
      <c r="BZ39" s="862"/>
      <c r="CA39" s="862"/>
      <c r="CB39" s="151"/>
      <c r="CC39" s="325"/>
      <c r="CD39" s="862"/>
      <c r="CE39" s="862"/>
      <c r="CF39" s="862"/>
      <c r="CG39" s="890"/>
      <c r="CH39" s="862"/>
      <c r="CI39" s="862"/>
      <c r="CJ39" s="862"/>
      <c r="CK39" s="151"/>
      <c r="CL39" s="862"/>
      <c r="CM39" s="151"/>
      <c r="CN39" s="151"/>
      <c r="CO39" s="151"/>
      <c r="CP39" s="151"/>
      <c r="CQ39" s="862"/>
      <c r="CR39" s="862"/>
      <c r="CS39" s="862"/>
      <c r="CT39" s="862"/>
      <c r="CU39" s="151"/>
      <c r="CV39" s="151"/>
      <c r="CW39" s="151"/>
      <c r="CX39" s="862"/>
      <c r="CY39" s="862"/>
      <c r="CZ39" s="862"/>
      <c r="DA39" s="151"/>
      <c r="DB39" s="862"/>
      <c r="DC39" s="151"/>
      <c r="DD39" s="151"/>
      <c r="DE39" s="151"/>
      <c r="DF39" s="862"/>
      <c r="DG39" s="243"/>
      <c r="DH39" s="862"/>
      <c r="DI39" s="862"/>
      <c r="DJ39" s="151"/>
      <c r="DK39" s="151"/>
      <c r="DL39" s="151"/>
      <c r="DM39" s="862"/>
      <c r="DN39" s="151"/>
      <c r="DO39" s="1002"/>
      <c r="DP39" s="151"/>
      <c r="DQ39" s="151"/>
      <c r="DR39" s="862"/>
      <c r="DS39" s="151"/>
      <c r="DT39" s="862"/>
      <c r="DU39" s="862"/>
      <c r="DV39" s="862"/>
      <c r="DW39" s="862"/>
      <c r="DX39" s="151"/>
      <c r="DY39" s="862"/>
      <c r="DZ39" s="862"/>
      <c r="EA39" s="862"/>
      <c r="EB39" s="151"/>
      <c r="EC39" s="151"/>
      <c r="ED39" s="341"/>
      <c r="EE39" s="958"/>
      <c r="EF39" s="341"/>
      <c r="EG39" s="819"/>
      <c r="EH39" s="341"/>
    </row>
    <row r="40" spans="1:138" s="342" customFormat="1" ht="14.25" customHeight="1" thickBot="1" x14ac:dyDescent="0.4">
      <c r="A40" s="331"/>
      <c r="B40" s="1704"/>
      <c r="C40" s="1784"/>
      <c r="D40" s="1259"/>
      <c r="E40" s="1784"/>
      <c r="F40" s="1784"/>
      <c r="G40" s="973" t="s">
        <v>265</v>
      </c>
      <c r="H40" s="973"/>
      <c r="I40" s="1206"/>
      <c r="J40" s="845">
        <v>24.5</v>
      </c>
      <c r="K40" s="846"/>
      <c r="L40" s="327"/>
      <c r="M40" s="848">
        <v>465</v>
      </c>
      <c r="N40" s="325">
        <v>713</v>
      </c>
      <c r="O40" s="325" t="s">
        <v>41</v>
      </c>
      <c r="P40" s="325" t="s">
        <v>41</v>
      </c>
      <c r="Q40" s="243">
        <f t="shared" si="23"/>
        <v>1261.6152</v>
      </c>
      <c r="R40" s="243">
        <f t="shared" si="24"/>
        <v>1031.7896000000001</v>
      </c>
      <c r="S40" s="325">
        <v>191300</v>
      </c>
      <c r="T40" s="848" t="s">
        <v>41</v>
      </c>
      <c r="U40" s="325">
        <f>0.83*N40</f>
        <v>591.79</v>
      </c>
      <c r="V40" s="243">
        <f t="shared" si="26"/>
        <v>153.38480000000004</v>
      </c>
      <c r="W40" s="325">
        <f t="shared" si="28"/>
        <v>383.21040000000005</v>
      </c>
      <c r="X40" s="266">
        <v>191300</v>
      </c>
      <c r="Y40" s="327">
        <f>((M40*R40)+(U40*W40))/(R40+W40)</f>
        <v>499.33727676042406</v>
      </c>
      <c r="Z40" s="325">
        <f t="shared" si="4"/>
        <v>191300</v>
      </c>
      <c r="AA40" s="327">
        <f t="shared" si="22"/>
        <v>2.6102314519624885E-3</v>
      </c>
      <c r="AB40" s="325">
        <f t="shared" si="6"/>
        <v>713</v>
      </c>
      <c r="AC40" s="849"/>
      <c r="AD40" s="928">
        <v>1300</v>
      </c>
      <c r="AE40" s="851">
        <v>99.8</v>
      </c>
      <c r="AF40" s="851">
        <v>99.8</v>
      </c>
      <c r="AG40" s="852">
        <v>3.79</v>
      </c>
      <c r="AH40" s="851">
        <v>4.5</v>
      </c>
      <c r="AI40" s="851">
        <f t="shared" si="7"/>
        <v>83.22</v>
      </c>
      <c r="AJ40" s="851">
        <f t="shared" si="8"/>
        <v>83.22</v>
      </c>
      <c r="AK40" s="853">
        <v>1415</v>
      </c>
      <c r="AL40" s="853">
        <f t="shared" si="9"/>
        <v>153.38480000000004</v>
      </c>
      <c r="AM40" s="881">
        <f t="shared" si="10"/>
        <v>465</v>
      </c>
      <c r="AN40" s="882">
        <f t="shared" si="10"/>
        <v>713</v>
      </c>
      <c r="AO40" s="883">
        <f t="shared" si="11"/>
        <v>2.4307370622059592E-3</v>
      </c>
      <c r="AP40" s="957">
        <v>191300</v>
      </c>
      <c r="AQ40" s="849">
        <v>7</v>
      </c>
      <c r="AR40" s="151"/>
      <c r="AS40" s="1163" t="s">
        <v>397</v>
      </c>
      <c r="AT40" s="1163" t="s">
        <v>397</v>
      </c>
      <c r="AU40" s="886"/>
      <c r="AV40" s="888"/>
      <c r="AW40" s="888"/>
      <c r="AX40" s="888"/>
      <c r="AY40" s="888"/>
      <c r="AZ40" s="888"/>
      <c r="BA40" s="888"/>
      <c r="BB40" s="887"/>
      <c r="BC40" s="862"/>
      <c r="BD40" s="325"/>
      <c r="BE40" s="151"/>
      <c r="BF40" s="325"/>
      <c r="BG40" s="151"/>
      <c r="BH40" s="151"/>
      <c r="BI40" s="151"/>
      <c r="BJ40" s="151"/>
      <c r="BK40" s="243"/>
      <c r="BL40" s="243"/>
      <c r="BM40" s="862"/>
      <c r="BN40" s="862"/>
      <c r="BO40" s="862"/>
      <c r="BP40" s="862"/>
      <c r="BQ40" s="151"/>
      <c r="BR40" s="325"/>
      <c r="BS40" s="889"/>
      <c r="BT40" s="151"/>
      <c r="BU40" s="151"/>
      <c r="BV40" s="325"/>
      <c r="BW40" s="151"/>
      <c r="BX40" s="151"/>
      <c r="BY40" s="151"/>
      <c r="BZ40" s="862"/>
      <c r="CA40" s="862"/>
      <c r="CB40" s="151"/>
      <c r="CC40" s="325"/>
      <c r="CD40" s="862"/>
      <c r="CE40" s="862"/>
      <c r="CF40" s="862"/>
      <c r="CG40" s="890"/>
      <c r="CH40" s="862"/>
      <c r="CI40" s="862"/>
      <c r="CJ40" s="862"/>
      <c r="CK40" s="151"/>
      <c r="CL40" s="862"/>
      <c r="CM40" s="151"/>
      <c r="CN40" s="151"/>
      <c r="CO40" s="151"/>
      <c r="CP40" s="151"/>
      <c r="CQ40" s="862"/>
      <c r="CR40" s="862"/>
      <c r="CS40" s="862"/>
      <c r="CT40" s="862"/>
      <c r="CU40" s="151"/>
      <c r="CV40" s="151"/>
      <c r="CW40" s="151"/>
      <c r="CX40" s="862"/>
      <c r="CY40" s="862"/>
      <c r="CZ40" s="862"/>
      <c r="DA40" s="151"/>
      <c r="DB40" s="862"/>
      <c r="DC40" s="151"/>
      <c r="DD40" s="151"/>
      <c r="DE40" s="151"/>
      <c r="DF40" s="862"/>
      <c r="DG40" s="243"/>
      <c r="DH40" s="862"/>
      <c r="DI40" s="862"/>
      <c r="DJ40" s="151"/>
      <c r="DK40" s="151"/>
      <c r="DL40" s="151"/>
      <c r="DM40" s="862"/>
      <c r="DN40" s="151"/>
      <c r="DO40" s="1002"/>
      <c r="DP40" s="151"/>
      <c r="DQ40" s="151"/>
      <c r="DR40" s="862"/>
      <c r="DS40" s="151"/>
      <c r="DT40" s="862"/>
      <c r="DU40" s="862"/>
      <c r="DV40" s="862"/>
      <c r="DW40" s="862"/>
      <c r="DX40" s="151"/>
      <c r="DY40" s="862"/>
      <c r="DZ40" s="862"/>
      <c r="EA40" s="862"/>
      <c r="EB40" s="151"/>
      <c r="EC40" s="151"/>
      <c r="ED40" s="341"/>
      <c r="EE40" s="958"/>
      <c r="EF40" s="341"/>
      <c r="EG40" s="819"/>
      <c r="EH40" s="341"/>
    </row>
    <row r="41" spans="1:138" s="342" customFormat="1" ht="14.25" customHeight="1" x14ac:dyDescent="0.35">
      <c r="A41" s="331"/>
      <c r="B41" s="1706" t="s">
        <v>245</v>
      </c>
      <c r="C41" s="1740" t="s">
        <v>365</v>
      </c>
      <c r="D41" s="1266"/>
      <c r="E41" s="1740" t="s">
        <v>240</v>
      </c>
      <c r="F41" s="1783">
        <v>1.4300999999999999</v>
      </c>
      <c r="G41" s="971" t="s">
        <v>266</v>
      </c>
      <c r="H41" s="971">
        <v>2.0738983157119941</v>
      </c>
      <c r="I41" s="1208">
        <v>2.1</v>
      </c>
      <c r="J41" s="956">
        <v>2.35</v>
      </c>
      <c r="K41" s="846"/>
      <c r="L41" s="327"/>
      <c r="M41" s="848">
        <v>447</v>
      </c>
      <c r="N41" s="325">
        <v>704</v>
      </c>
      <c r="O41" s="325" t="s">
        <v>41</v>
      </c>
      <c r="P41" s="325" t="s">
        <v>41</v>
      </c>
      <c r="Q41" s="243">
        <f>AK41-AL41</f>
        <v>251.95200799999998</v>
      </c>
      <c r="R41" s="243">
        <f>Q41-8*(2*AG41*AG41)</f>
        <v>190.67442399999999</v>
      </c>
      <c r="S41" s="325">
        <v>194000</v>
      </c>
      <c r="T41" s="848" t="s">
        <v>41</v>
      </c>
      <c r="U41" s="325">
        <f>0.83*N41</f>
        <v>584.31999999999994</v>
      </c>
      <c r="V41" s="243">
        <f t="shared" si="26"/>
        <v>36.624181839910008</v>
      </c>
      <c r="W41" s="151">
        <f t="shared" si="28"/>
        <v>97.901765839910013</v>
      </c>
      <c r="X41" s="325">
        <v>194000</v>
      </c>
      <c r="Y41" s="848">
        <f>((M41*R41)+(U41*W41))/(R41+W41)</f>
        <v>493.58690133997038</v>
      </c>
      <c r="Z41" s="325">
        <f t="shared" si="4"/>
        <v>194000</v>
      </c>
      <c r="AA41" s="325">
        <f t="shared" si="22"/>
        <v>2.5442623780410844E-3</v>
      </c>
      <c r="AB41" s="325">
        <f t="shared" si="6"/>
        <v>704</v>
      </c>
      <c r="AC41" s="849"/>
      <c r="AD41" s="921">
        <v>1442</v>
      </c>
      <c r="AE41" s="895">
        <v>40.1</v>
      </c>
      <c r="AF41" s="895">
        <v>40.1</v>
      </c>
      <c r="AG41" s="859">
        <v>1.9570000000000001</v>
      </c>
      <c r="AH41" s="895">
        <v>2</v>
      </c>
      <c r="AI41" s="895">
        <f t="shared" si="7"/>
        <v>32.186</v>
      </c>
      <c r="AJ41" s="895">
        <f t="shared" si="8"/>
        <v>32.186</v>
      </c>
      <c r="AK41" s="893">
        <f t="shared" si="27"/>
        <v>288.57618983991</v>
      </c>
      <c r="AL41" s="893">
        <f t="shared" si="9"/>
        <v>36.624181839910008</v>
      </c>
      <c r="AM41" s="881">
        <f t="shared" si="10"/>
        <v>447</v>
      </c>
      <c r="AN41" s="882">
        <f t="shared" si="10"/>
        <v>704</v>
      </c>
      <c r="AO41" s="883">
        <f t="shared" si="11"/>
        <v>2.3041237113402063E-3</v>
      </c>
      <c r="AP41" s="957">
        <v>194000</v>
      </c>
      <c r="AQ41" s="924">
        <v>5.4</v>
      </c>
      <c r="AR41" s="151"/>
      <c r="AS41" s="1163">
        <v>1</v>
      </c>
      <c r="AT41" s="1163">
        <v>1</v>
      </c>
      <c r="AU41" s="886"/>
      <c r="AV41" s="888"/>
      <c r="AW41" s="888"/>
      <c r="AX41" s="888"/>
      <c r="AY41" s="888"/>
      <c r="AZ41" s="888"/>
      <c r="BA41" s="888"/>
      <c r="BB41" s="887"/>
      <c r="BC41" s="862"/>
      <c r="BD41" s="325"/>
      <c r="BE41" s="151"/>
      <c r="BF41" s="325"/>
      <c r="BG41" s="151"/>
      <c r="BH41" s="151"/>
      <c r="BI41" s="151"/>
      <c r="BJ41" s="151"/>
      <c r="BK41" s="243"/>
      <c r="BL41" s="243"/>
      <c r="BM41" s="862"/>
      <c r="BN41" s="862"/>
      <c r="BO41" s="862"/>
      <c r="BP41" s="862"/>
      <c r="BQ41" s="151"/>
      <c r="BR41" s="325"/>
      <c r="BS41" s="889"/>
      <c r="BT41" s="151"/>
      <c r="BU41" s="151"/>
      <c r="BV41" s="325"/>
      <c r="BW41" s="151"/>
      <c r="BX41" s="151"/>
      <c r="BY41" s="151"/>
      <c r="BZ41" s="862"/>
      <c r="CA41" s="862"/>
      <c r="CB41" s="151"/>
      <c r="CC41" s="325"/>
      <c r="CD41" s="862"/>
      <c r="CE41" s="862"/>
      <c r="CF41" s="862"/>
      <c r="CG41" s="890"/>
      <c r="CH41" s="862"/>
      <c r="CI41" s="862"/>
      <c r="CJ41" s="862"/>
      <c r="CK41" s="151"/>
      <c r="CL41" s="862"/>
      <c r="CM41" s="151"/>
      <c r="CN41" s="151"/>
      <c r="CO41" s="151"/>
      <c r="CP41" s="151"/>
      <c r="CQ41" s="862"/>
      <c r="CR41" s="862"/>
      <c r="CS41" s="862"/>
      <c r="CT41" s="862"/>
      <c r="CU41" s="151"/>
      <c r="CV41" s="151"/>
      <c r="CW41" s="151"/>
      <c r="CX41" s="862"/>
      <c r="CY41" s="862"/>
      <c r="CZ41" s="862"/>
      <c r="DA41" s="151"/>
      <c r="DB41" s="862"/>
      <c r="DC41" s="151"/>
      <c r="DD41" s="151"/>
      <c r="DE41" s="151"/>
      <c r="DF41" s="862"/>
      <c r="DG41" s="243"/>
      <c r="DH41" s="862"/>
      <c r="DI41" s="862"/>
      <c r="DJ41" s="151"/>
      <c r="DK41" s="151"/>
      <c r="DL41" s="151"/>
      <c r="DM41" s="862"/>
      <c r="DN41" s="151"/>
      <c r="DO41" s="1002"/>
      <c r="DP41" s="151"/>
      <c r="DQ41" s="151"/>
      <c r="DR41" s="862"/>
      <c r="DS41" s="151"/>
      <c r="DT41" s="862"/>
      <c r="DU41" s="862"/>
      <c r="DV41" s="862"/>
      <c r="DW41" s="862"/>
      <c r="DX41" s="151"/>
      <c r="DY41" s="862"/>
      <c r="DZ41" s="862"/>
      <c r="EA41" s="862"/>
      <c r="EB41" s="151"/>
      <c r="EC41" s="151"/>
      <c r="ED41" s="1164"/>
      <c r="EE41" s="958"/>
      <c r="EF41" s="341"/>
      <c r="EG41" s="819"/>
      <c r="EH41" s="341"/>
    </row>
    <row r="42" spans="1:138" s="342" customFormat="1" ht="14.25" customHeight="1" x14ac:dyDescent="0.35">
      <c r="A42" s="331"/>
      <c r="B42" s="1702"/>
      <c r="C42" s="1741"/>
      <c r="D42" s="1260"/>
      <c r="E42" s="1741"/>
      <c r="F42" s="1784"/>
      <c r="G42" s="973" t="s">
        <v>267</v>
      </c>
      <c r="H42" s="973">
        <v>4.2731426425040944</v>
      </c>
      <c r="I42" s="1206">
        <v>4.7</v>
      </c>
      <c r="J42" s="845">
        <v>5.1100000000000003</v>
      </c>
      <c r="K42" s="846"/>
      <c r="L42" s="327"/>
      <c r="M42" s="848">
        <v>565</v>
      </c>
      <c r="N42" s="325">
        <v>725</v>
      </c>
      <c r="O42" s="325" t="s">
        <v>41</v>
      </c>
      <c r="P42" s="325" t="s">
        <v>41</v>
      </c>
      <c r="Q42" s="243">
        <f t="shared" ref="Q42:Q48" si="29">AK42-AL42</f>
        <v>377.17908799999998</v>
      </c>
      <c r="R42" s="243">
        <f t="shared" ref="R42:R48" si="30">Q42-8*(2*AG42*AG42)</f>
        <v>135.93606399999999</v>
      </c>
      <c r="S42" s="325">
        <v>196000</v>
      </c>
      <c r="T42" s="848" t="s">
        <v>41</v>
      </c>
      <c r="U42" s="325">
        <f t="shared" ref="U42:U48" si="31">0.83*N42</f>
        <v>601.75</v>
      </c>
      <c r="V42" s="243">
        <f t="shared" si="26"/>
        <v>144.95826874551003</v>
      </c>
      <c r="W42" s="151">
        <f t="shared" si="28"/>
        <v>386.20129274551005</v>
      </c>
      <c r="X42" s="325">
        <v>196000</v>
      </c>
      <c r="Y42" s="848">
        <f t="shared" ref="Y42:Y48" si="32">((M42*R42)+(U42*W42))/(R42+W42)</f>
        <v>592.18230619785959</v>
      </c>
      <c r="Z42" s="325">
        <f t="shared" si="4"/>
        <v>196000</v>
      </c>
      <c r="AA42" s="325">
        <f t="shared" ref="AA42:AA48" si="33">Y42/Z42</f>
        <v>3.0213382969278548E-3</v>
      </c>
      <c r="AB42" s="325">
        <f t="shared" si="6"/>
        <v>725</v>
      </c>
      <c r="AC42" s="849"/>
      <c r="AD42" s="928">
        <v>1441</v>
      </c>
      <c r="AE42" s="851">
        <v>40.1</v>
      </c>
      <c r="AF42" s="851">
        <v>40</v>
      </c>
      <c r="AG42" s="888">
        <v>3.883</v>
      </c>
      <c r="AH42" s="851">
        <v>4</v>
      </c>
      <c r="AI42" s="851">
        <f t="shared" si="7"/>
        <v>24.334000000000003</v>
      </c>
      <c r="AJ42" s="851">
        <f t="shared" si="8"/>
        <v>24.234000000000002</v>
      </c>
      <c r="AK42" s="853">
        <f t="shared" si="27"/>
        <v>522.13735674551003</v>
      </c>
      <c r="AL42" s="853">
        <f t="shared" si="9"/>
        <v>144.95826874551003</v>
      </c>
      <c r="AM42" s="881">
        <f t="shared" si="10"/>
        <v>565</v>
      </c>
      <c r="AN42" s="882">
        <f t="shared" si="10"/>
        <v>725</v>
      </c>
      <c r="AO42" s="883">
        <f t="shared" si="11"/>
        <v>2.8826530612244897E-3</v>
      </c>
      <c r="AP42" s="957">
        <v>196000</v>
      </c>
      <c r="AQ42" s="849">
        <v>6.6</v>
      </c>
      <c r="AR42" s="151"/>
      <c r="AS42" s="1163">
        <v>1</v>
      </c>
      <c r="AT42" s="1163">
        <v>1</v>
      </c>
      <c r="AU42" s="886"/>
      <c r="AV42" s="888"/>
      <c r="AW42" s="888"/>
      <c r="AX42" s="888"/>
      <c r="AY42" s="888"/>
      <c r="AZ42" s="888"/>
      <c r="BA42" s="888"/>
      <c r="BB42" s="887"/>
      <c r="BC42" s="862"/>
      <c r="BD42" s="325"/>
      <c r="BE42" s="151"/>
      <c r="BF42" s="325"/>
      <c r="BG42" s="151"/>
      <c r="BH42" s="151"/>
      <c r="BI42" s="151"/>
      <c r="BJ42" s="151"/>
      <c r="BK42" s="243"/>
      <c r="BL42" s="243"/>
      <c r="BM42" s="862"/>
      <c r="BN42" s="862"/>
      <c r="BO42" s="862"/>
      <c r="BP42" s="862"/>
      <c r="BQ42" s="151"/>
      <c r="BR42" s="325"/>
      <c r="BS42" s="889"/>
      <c r="BT42" s="151"/>
      <c r="BU42" s="151"/>
      <c r="BV42" s="325"/>
      <c r="BW42" s="151"/>
      <c r="BX42" s="151"/>
      <c r="BY42" s="151"/>
      <c r="BZ42" s="862"/>
      <c r="CA42" s="862"/>
      <c r="CB42" s="151"/>
      <c r="CC42" s="325"/>
      <c r="CD42" s="862"/>
      <c r="CE42" s="862"/>
      <c r="CF42" s="862"/>
      <c r="CG42" s="890"/>
      <c r="CH42" s="862"/>
      <c r="CI42" s="862"/>
      <c r="CJ42" s="862"/>
      <c r="CK42" s="151"/>
      <c r="CL42" s="862"/>
      <c r="CM42" s="151"/>
      <c r="CN42" s="151"/>
      <c r="CO42" s="151"/>
      <c r="CP42" s="151"/>
      <c r="CQ42" s="862"/>
      <c r="CR42" s="862"/>
      <c r="CS42" s="862"/>
      <c r="CT42" s="862"/>
      <c r="CU42" s="151"/>
      <c r="CV42" s="151"/>
      <c r="CW42" s="151"/>
      <c r="CX42" s="862"/>
      <c r="CY42" s="862"/>
      <c r="CZ42" s="862"/>
      <c r="DA42" s="151"/>
      <c r="DB42" s="862"/>
      <c r="DC42" s="151"/>
      <c r="DD42" s="151"/>
      <c r="DE42" s="151"/>
      <c r="DF42" s="862"/>
      <c r="DG42" s="243"/>
      <c r="DH42" s="862"/>
      <c r="DI42" s="862"/>
      <c r="DJ42" s="151"/>
      <c r="DK42" s="151"/>
      <c r="DL42" s="151"/>
      <c r="DM42" s="862"/>
      <c r="DN42" s="151"/>
      <c r="DO42" s="1002"/>
      <c r="DP42" s="151"/>
      <c r="DQ42" s="151"/>
      <c r="DR42" s="862"/>
      <c r="DS42" s="151"/>
      <c r="DT42" s="862"/>
      <c r="DU42" s="862"/>
      <c r="DV42" s="862"/>
      <c r="DW42" s="862"/>
      <c r="DX42" s="151"/>
      <c r="DY42" s="862"/>
      <c r="DZ42" s="862"/>
      <c r="EA42" s="862"/>
      <c r="EB42" s="151"/>
      <c r="EC42" s="151"/>
      <c r="ED42" s="1164"/>
      <c r="EE42" s="958"/>
      <c r="EF42" s="341"/>
      <c r="EG42" s="819"/>
      <c r="EH42" s="341"/>
    </row>
    <row r="43" spans="1:138" s="342" customFormat="1" ht="14.25" customHeight="1" x14ac:dyDescent="0.35">
      <c r="A43" s="331"/>
      <c r="B43" s="1702"/>
      <c r="C43" s="1741"/>
      <c r="D43" s="1260"/>
      <c r="E43" s="1741"/>
      <c r="F43" s="1784"/>
      <c r="G43" s="1199" t="s">
        <v>268</v>
      </c>
      <c r="H43" s="1204">
        <v>5.30807746151625</v>
      </c>
      <c r="I43" s="1206">
        <v>6</v>
      </c>
      <c r="J43" s="845">
        <v>6.64</v>
      </c>
      <c r="K43" s="846"/>
      <c r="L43" s="327"/>
      <c r="M43" s="848">
        <v>398</v>
      </c>
      <c r="N43" s="325">
        <v>608</v>
      </c>
      <c r="O43" s="325" t="s">
        <v>41</v>
      </c>
      <c r="P43" s="325" t="s">
        <v>41</v>
      </c>
      <c r="Q43" s="243">
        <f t="shared" si="29"/>
        <v>523.81468799999993</v>
      </c>
      <c r="R43" s="243">
        <f t="shared" si="30"/>
        <v>465.56726399999991</v>
      </c>
      <c r="S43" s="325">
        <v>201000</v>
      </c>
      <c r="T43" s="848" t="s">
        <v>41</v>
      </c>
      <c r="U43" s="325">
        <f t="shared" si="31"/>
        <v>504.64</v>
      </c>
      <c r="V43" s="243">
        <f t="shared" si="26"/>
        <v>59.39007505775993</v>
      </c>
      <c r="W43" s="151">
        <f t="shared" ref="W43:W50" si="34">V43+8*(2*AG43*AG43)</f>
        <v>117.63749905775992</v>
      </c>
      <c r="X43" s="325">
        <v>201000</v>
      </c>
      <c r="Y43" s="848">
        <f t="shared" si="32"/>
        <v>419.5102202419377</v>
      </c>
      <c r="Z43" s="325">
        <f t="shared" si="4"/>
        <v>201000</v>
      </c>
      <c r="AA43" s="325">
        <f t="shared" si="33"/>
        <v>2.0871155235917299E-3</v>
      </c>
      <c r="AB43" s="325">
        <f t="shared" si="6"/>
        <v>608</v>
      </c>
      <c r="AC43" s="849"/>
      <c r="AD43" s="928">
        <v>1442</v>
      </c>
      <c r="AE43" s="851">
        <v>80.400000000000006</v>
      </c>
      <c r="AF43" s="851">
        <v>80.5</v>
      </c>
      <c r="AG43" s="888">
        <v>1.9079999999999999</v>
      </c>
      <c r="AH43" s="851">
        <v>4</v>
      </c>
      <c r="AI43" s="851">
        <f t="shared" si="7"/>
        <v>68.584000000000003</v>
      </c>
      <c r="AJ43" s="851">
        <f t="shared" si="8"/>
        <v>68.683999999999997</v>
      </c>
      <c r="AK43" s="853">
        <f t="shared" si="27"/>
        <v>583.20476305775992</v>
      </c>
      <c r="AL43" s="853">
        <f t="shared" si="9"/>
        <v>59.39007505775993</v>
      </c>
      <c r="AM43" s="881">
        <f t="shared" si="10"/>
        <v>398</v>
      </c>
      <c r="AN43" s="882">
        <f t="shared" si="10"/>
        <v>608</v>
      </c>
      <c r="AO43" s="883">
        <f t="shared" si="11"/>
        <v>1.9800995024875623E-3</v>
      </c>
      <c r="AP43" s="957">
        <v>201000</v>
      </c>
      <c r="AQ43" s="849">
        <v>8.6</v>
      </c>
      <c r="AR43" s="151"/>
      <c r="AS43" s="1163">
        <v>1</v>
      </c>
      <c r="AT43" s="1163">
        <v>1</v>
      </c>
      <c r="AU43" s="886"/>
      <c r="AV43" s="888"/>
      <c r="AW43" s="888"/>
      <c r="AX43" s="888"/>
      <c r="AY43" s="888"/>
      <c r="AZ43" s="888"/>
      <c r="BA43" s="888"/>
      <c r="BB43" s="887"/>
      <c r="BC43" s="862"/>
      <c r="BD43" s="325"/>
      <c r="BE43" s="151"/>
      <c r="BF43" s="325"/>
      <c r="BG43" s="151"/>
      <c r="BH43" s="151"/>
      <c r="BI43" s="151"/>
      <c r="BJ43" s="151"/>
      <c r="BK43" s="243"/>
      <c r="BL43" s="243"/>
      <c r="BM43" s="862"/>
      <c r="BN43" s="862"/>
      <c r="BO43" s="862"/>
      <c r="BP43" s="862"/>
      <c r="BQ43" s="151"/>
      <c r="BR43" s="325"/>
      <c r="BS43" s="889"/>
      <c r="BT43" s="151"/>
      <c r="BU43" s="151"/>
      <c r="BV43" s="325"/>
      <c r="BW43" s="151"/>
      <c r="BX43" s="151"/>
      <c r="BY43" s="151"/>
      <c r="BZ43" s="862"/>
      <c r="CA43" s="862"/>
      <c r="CB43" s="151"/>
      <c r="CC43" s="325"/>
      <c r="CD43" s="862"/>
      <c r="CE43" s="862"/>
      <c r="CF43" s="862"/>
      <c r="CG43" s="890"/>
      <c r="CH43" s="862"/>
      <c r="CI43" s="862"/>
      <c r="CJ43" s="862"/>
      <c r="CK43" s="151"/>
      <c r="CL43" s="862"/>
      <c r="CM43" s="151"/>
      <c r="CN43" s="151"/>
      <c r="CO43" s="151"/>
      <c r="CP43" s="151"/>
      <c r="CQ43" s="862"/>
      <c r="CR43" s="862"/>
      <c r="CS43" s="862"/>
      <c r="CT43" s="862"/>
      <c r="CU43" s="151"/>
      <c r="CV43" s="151"/>
      <c r="CW43" s="151"/>
      <c r="CX43" s="862"/>
      <c r="CY43" s="862"/>
      <c r="CZ43" s="862"/>
      <c r="DA43" s="151"/>
      <c r="DB43" s="862"/>
      <c r="DC43" s="151"/>
      <c r="DD43" s="151"/>
      <c r="DE43" s="151"/>
      <c r="DF43" s="862"/>
      <c r="DG43" s="243"/>
      <c r="DH43" s="862"/>
      <c r="DI43" s="862"/>
      <c r="DJ43" s="151"/>
      <c r="DK43" s="151"/>
      <c r="DL43" s="151"/>
      <c r="DM43" s="862"/>
      <c r="DN43" s="151"/>
      <c r="DO43" s="1002"/>
      <c r="DP43" s="151"/>
      <c r="DQ43" s="151"/>
      <c r="DR43" s="862"/>
      <c r="DS43" s="151"/>
      <c r="DT43" s="862"/>
      <c r="DU43" s="862"/>
      <c r="DV43" s="862"/>
      <c r="DW43" s="862"/>
      <c r="DX43" s="151"/>
      <c r="DY43" s="862"/>
      <c r="DZ43" s="862"/>
      <c r="EA43" s="862"/>
      <c r="EB43" s="151"/>
      <c r="EC43" s="151"/>
      <c r="ED43" s="1164"/>
      <c r="EE43" s="958"/>
      <c r="EF43" s="341"/>
      <c r="EG43" s="819"/>
      <c r="EH43" s="341"/>
    </row>
    <row r="44" spans="1:138" s="342" customFormat="1" ht="14.25" customHeight="1" thickBot="1" x14ac:dyDescent="0.4">
      <c r="A44" s="331"/>
      <c r="B44" s="1702"/>
      <c r="C44" s="1741"/>
      <c r="D44" s="1260"/>
      <c r="E44" s="1741"/>
      <c r="F44" s="1786"/>
      <c r="G44" s="1199" t="s">
        <v>269</v>
      </c>
      <c r="H44" s="1204">
        <v>19.131990192444725</v>
      </c>
      <c r="I44" s="1209">
        <v>21.2</v>
      </c>
      <c r="J44" s="959">
        <v>24.78</v>
      </c>
      <c r="K44" s="903"/>
      <c r="L44" s="297"/>
      <c r="M44" s="296">
        <v>448</v>
      </c>
      <c r="N44" s="904">
        <v>618</v>
      </c>
      <c r="O44" s="904" t="s">
        <v>41</v>
      </c>
      <c r="P44" s="904" t="s">
        <v>41</v>
      </c>
      <c r="Q44" s="298">
        <f t="shared" si="29"/>
        <v>1055.6809280000002</v>
      </c>
      <c r="R44" s="298">
        <f t="shared" si="30"/>
        <v>691.32918400000017</v>
      </c>
      <c r="S44" s="904">
        <v>194000</v>
      </c>
      <c r="T44" s="296" t="s">
        <v>41</v>
      </c>
      <c r="U44" s="904">
        <f t="shared" si="31"/>
        <v>512.93999999999994</v>
      </c>
      <c r="V44" s="298">
        <f t="shared" si="26"/>
        <v>296.41524941456009</v>
      </c>
      <c r="W44" s="260">
        <f t="shared" si="34"/>
        <v>660.76699341456015</v>
      </c>
      <c r="X44" s="904">
        <v>194000</v>
      </c>
      <c r="Y44" s="296">
        <f t="shared" si="32"/>
        <v>479.73606232242525</v>
      </c>
      <c r="Z44" s="904">
        <f t="shared" si="4"/>
        <v>194000</v>
      </c>
      <c r="AA44" s="904">
        <f t="shared" si="33"/>
        <v>2.472866300631058E-3</v>
      </c>
      <c r="AB44" s="904">
        <f t="shared" si="6"/>
        <v>618</v>
      </c>
      <c r="AC44" s="906"/>
      <c r="AD44" s="960">
        <v>1443</v>
      </c>
      <c r="AE44" s="911">
        <v>79.8</v>
      </c>
      <c r="AF44" s="911">
        <v>79.900000000000006</v>
      </c>
      <c r="AG44" s="961">
        <v>4.7720000000000002</v>
      </c>
      <c r="AH44" s="911">
        <v>7.5</v>
      </c>
      <c r="AI44" s="911">
        <f t="shared" si="7"/>
        <v>55.256</v>
      </c>
      <c r="AJ44" s="911">
        <f t="shared" si="8"/>
        <v>55.356000000000009</v>
      </c>
      <c r="AK44" s="909">
        <f t="shared" si="27"/>
        <v>1352.0961774145603</v>
      </c>
      <c r="AL44" s="909">
        <f t="shared" si="9"/>
        <v>296.41524941456009</v>
      </c>
      <c r="AM44" s="881">
        <f t="shared" si="10"/>
        <v>448</v>
      </c>
      <c r="AN44" s="882">
        <f t="shared" si="10"/>
        <v>618</v>
      </c>
      <c r="AO44" s="883">
        <f t="shared" si="11"/>
        <v>2.309278350515464E-3</v>
      </c>
      <c r="AP44" s="957">
        <v>194000</v>
      </c>
      <c r="AQ44" s="906">
        <v>8.6</v>
      </c>
      <c r="AR44" s="151"/>
      <c r="AS44" s="1163">
        <v>1</v>
      </c>
      <c r="AT44" s="1163">
        <v>1</v>
      </c>
      <c r="AU44" s="886"/>
      <c r="AV44" s="888"/>
      <c r="AW44" s="888"/>
      <c r="AX44" s="888"/>
      <c r="AY44" s="888"/>
      <c r="AZ44" s="888"/>
      <c r="BA44" s="888"/>
      <c r="BB44" s="887"/>
      <c r="BC44" s="862"/>
      <c r="BD44" s="325"/>
      <c r="BE44" s="151"/>
      <c r="BF44" s="325"/>
      <c r="BG44" s="151"/>
      <c r="BH44" s="151"/>
      <c r="BI44" s="151"/>
      <c r="BJ44" s="151"/>
      <c r="BK44" s="243"/>
      <c r="BL44" s="243"/>
      <c r="BM44" s="862"/>
      <c r="BN44" s="862"/>
      <c r="BO44" s="862"/>
      <c r="BP44" s="862"/>
      <c r="BQ44" s="151"/>
      <c r="BR44" s="325"/>
      <c r="BS44" s="889"/>
      <c r="BT44" s="151"/>
      <c r="BU44" s="151"/>
      <c r="BV44" s="325"/>
      <c r="BW44" s="151"/>
      <c r="BX44" s="151"/>
      <c r="BY44" s="151"/>
      <c r="BZ44" s="862"/>
      <c r="CA44" s="862"/>
      <c r="CB44" s="151"/>
      <c r="CC44" s="325"/>
      <c r="CD44" s="862"/>
      <c r="CE44" s="862"/>
      <c r="CF44" s="862"/>
      <c r="CG44" s="890"/>
      <c r="CH44" s="862"/>
      <c r="CI44" s="862"/>
      <c r="CJ44" s="862"/>
      <c r="CK44" s="151"/>
      <c r="CL44" s="862"/>
      <c r="CM44" s="151"/>
      <c r="CN44" s="151"/>
      <c r="CO44" s="151"/>
      <c r="CP44" s="151"/>
      <c r="CQ44" s="862"/>
      <c r="CR44" s="862"/>
      <c r="CS44" s="862"/>
      <c r="CT44" s="862"/>
      <c r="CU44" s="151"/>
      <c r="CV44" s="151"/>
      <c r="CW44" s="151"/>
      <c r="CX44" s="862"/>
      <c r="CY44" s="862"/>
      <c r="CZ44" s="862"/>
      <c r="DA44" s="151"/>
      <c r="DB44" s="862"/>
      <c r="DC44" s="151"/>
      <c r="DD44" s="151"/>
      <c r="DE44" s="151"/>
      <c r="DF44" s="862"/>
      <c r="DG44" s="243"/>
      <c r="DH44" s="862"/>
      <c r="DI44" s="862"/>
      <c r="DJ44" s="151"/>
      <c r="DK44" s="151"/>
      <c r="DL44" s="151"/>
      <c r="DM44" s="862"/>
      <c r="DN44" s="151"/>
      <c r="DO44" s="1002"/>
      <c r="DP44" s="151"/>
      <c r="DQ44" s="151"/>
      <c r="DR44" s="862"/>
      <c r="DS44" s="151"/>
      <c r="DT44" s="862"/>
      <c r="DU44" s="862"/>
      <c r="DV44" s="862"/>
      <c r="DW44" s="862"/>
      <c r="DX44" s="151"/>
      <c r="DY44" s="862"/>
      <c r="DZ44" s="862"/>
      <c r="EA44" s="862"/>
      <c r="EB44" s="151"/>
      <c r="EC44" s="151"/>
      <c r="ED44" s="1164"/>
      <c r="EE44" s="958"/>
      <c r="EF44" s="341"/>
      <c r="EG44" s="819"/>
      <c r="EH44" s="341"/>
    </row>
    <row r="45" spans="1:138" s="342" customFormat="1" ht="14.25" customHeight="1" x14ac:dyDescent="0.35">
      <c r="A45" s="331"/>
      <c r="B45" s="1702"/>
      <c r="C45" s="1741"/>
      <c r="D45" s="1260"/>
      <c r="E45" s="1741"/>
      <c r="F45" s="1787" t="s">
        <v>250</v>
      </c>
      <c r="G45" s="1200" t="s">
        <v>266</v>
      </c>
      <c r="H45" s="1200">
        <v>2.8617016862600235</v>
      </c>
      <c r="I45" s="1211">
        <v>3.3</v>
      </c>
      <c r="J45" s="962">
        <v>3.45</v>
      </c>
      <c r="K45" s="846"/>
      <c r="L45" s="327"/>
      <c r="M45" s="848">
        <v>707</v>
      </c>
      <c r="N45" s="325">
        <v>827</v>
      </c>
      <c r="O45" s="325" t="s">
        <v>41</v>
      </c>
      <c r="P45" s="325" t="s">
        <v>41</v>
      </c>
      <c r="Q45" s="243">
        <f t="shared" si="29"/>
        <v>249.687048</v>
      </c>
      <c r="R45" s="243">
        <f t="shared" si="30"/>
        <v>189.65554399999999</v>
      </c>
      <c r="S45" s="325">
        <v>216000</v>
      </c>
      <c r="T45" s="848" t="s">
        <v>41</v>
      </c>
      <c r="U45" s="325">
        <f t="shared" si="31"/>
        <v>686.41</v>
      </c>
      <c r="V45" s="243">
        <f t="shared" si="26"/>
        <v>36.128187610709972</v>
      </c>
      <c r="W45" s="151">
        <f t="shared" si="34"/>
        <v>96.159691610709984</v>
      </c>
      <c r="X45" s="325">
        <v>216000</v>
      </c>
      <c r="Y45" s="848">
        <f t="shared" si="32"/>
        <v>700.07269941004381</v>
      </c>
      <c r="Z45" s="325">
        <f t="shared" si="4"/>
        <v>216000</v>
      </c>
      <c r="AA45" s="325">
        <f t="shared" si="33"/>
        <v>3.2410773120835363E-3</v>
      </c>
      <c r="AB45" s="325">
        <f t="shared" si="6"/>
        <v>827</v>
      </c>
      <c r="AC45" s="849"/>
      <c r="AD45" s="928">
        <v>1243</v>
      </c>
      <c r="AE45" s="851">
        <v>40</v>
      </c>
      <c r="AF45" s="851">
        <v>40.200000000000003</v>
      </c>
      <c r="AG45" s="888">
        <v>1.9370000000000001</v>
      </c>
      <c r="AH45" s="851">
        <v>2</v>
      </c>
      <c r="AI45" s="851">
        <f t="shared" si="7"/>
        <v>32.125999999999998</v>
      </c>
      <c r="AJ45" s="851">
        <f t="shared" si="8"/>
        <v>32.326000000000001</v>
      </c>
      <c r="AK45" s="853">
        <f t="shared" si="27"/>
        <v>285.81523561070998</v>
      </c>
      <c r="AL45" s="853">
        <f t="shared" si="9"/>
        <v>36.128187610709972</v>
      </c>
      <c r="AM45" s="912">
        <f t="shared" si="10"/>
        <v>707</v>
      </c>
      <c r="AN45" s="913">
        <f t="shared" si="10"/>
        <v>827</v>
      </c>
      <c r="AO45" s="914">
        <f t="shared" si="11"/>
        <v>3.2731481481481483E-3</v>
      </c>
      <c r="AP45" s="963">
        <v>216000</v>
      </c>
      <c r="AQ45" s="924">
        <v>6.5</v>
      </c>
      <c r="AR45" s="151"/>
      <c r="AS45" s="1163">
        <v>1</v>
      </c>
      <c r="AT45" s="1163">
        <v>1</v>
      </c>
      <c r="AU45" s="886"/>
      <c r="AV45" s="888"/>
      <c r="AW45" s="888"/>
      <c r="AX45" s="888"/>
      <c r="AY45" s="888"/>
      <c r="AZ45" s="888"/>
      <c r="BA45" s="888"/>
      <c r="BB45" s="887"/>
      <c r="BC45" s="862"/>
      <c r="BD45" s="325"/>
      <c r="BE45" s="151"/>
      <c r="BF45" s="325"/>
      <c r="BG45" s="151"/>
      <c r="BH45" s="151"/>
      <c r="BI45" s="151"/>
      <c r="BJ45" s="151"/>
      <c r="BK45" s="243"/>
      <c r="BL45" s="243"/>
      <c r="BM45" s="862"/>
      <c r="BN45" s="862"/>
      <c r="BO45" s="862"/>
      <c r="BP45" s="862"/>
      <c r="BQ45" s="151"/>
      <c r="BR45" s="325"/>
      <c r="BS45" s="889"/>
      <c r="BT45" s="151"/>
      <c r="BU45" s="151"/>
      <c r="BV45" s="325"/>
      <c r="BW45" s="151"/>
      <c r="BX45" s="151"/>
      <c r="BY45" s="151"/>
      <c r="BZ45" s="862"/>
      <c r="CA45" s="862"/>
      <c r="CB45" s="151"/>
      <c r="CC45" s="325"/>
      <c r="CD45" s="862"/>
      <c r="CE45" s="862"/>
      <c r="CF45" s="862"/>
      <c r="CG45" s="890"/>
      <c r="CH45" s="862"/>
      <c r="CI45" s="862"/>
      <c r="CJ45" s="862"/>
      <c r="CK45" s="151"/>
      <c r="CL45" s="862"/>
      <c r="CM45" s="151"/>
      <c r="CN45" s="151"/>
      <c r="CO45" s="151"/>
      <c r="CP45" s="151"/>
      <c r="CQ45" s="862"/>
      <c r="CR45" s="862"/>
      <c r="CS45" s="862"/>
      <c r="CT45" s="862"/>
      <c r="CU45" s="151"/>
      <c r="CV45" s="151"/>
      <c r="CW45" s="151"/>
      <c r="CX45" s="862"/>
      <c r="CY45" s="862"/>
      <c r="CZ45" s="862"/>
      <c r="DA45" s="151"/>
      <c r="DB45" s="862"/>
      <c r="DC45" s="151"/>
      <c r="DD45" s="151"/>
      <c r="DE45" s="151"/>
      <c r="DF45" s="862"/>
      <c r="DG45" s="243"/>
      <c r="DH45" s="862"/>
      <c r="DI45" s="862"/>
      <c r="DJ45" s="151"/>
      <c r="DK45" s="151"/>
      <c r="DL45" s="151"/>
      <c r="DM45" s="862"/>
      <c r="DN45" s="151"/>
      <c r="DO45" s="1002"/>
      <c r="DP45" s="151"/>
      <c r="DQ45" s="151"/>
      <c r="DR45" s="862"/>
      <c r="DS45" s="151"/>
      <c r="DT45" s="862"/>
      <c r="DU45" s="862"/>
      <c r="DV45" s="862"/>
      <c r="DW45" s="862"/>
      <c r="DX45" s="151"/>
      <c r="DY45" s="862"/>
      <c r="DZ45" s="862"/>
      <c r="EA45" s="862"/>
      <c r="EB45" s="151"/>
      <c r="EC45" s="151"/>
      <c r="ED45" s="1164"/>
      <c r="EE45" s="958"/>
      <c r="EF45" s="341"/>
      <c r="EG45" s="819"/>
      <c r="EH45" s="341"/>
    </row>
    <row r="46" spans="1:138" s="342" customFormat="1" ht="14.25" customHeight="1" x14ac:dyDescent="0.35">
      <c r="A46" s="331"/>
      <c r="B46" s="1702"/>
      <c r="C46" s="1741"/>
      <c r="D46" s="1260"/>
      <c r="E46" s="1741"/>
      <c r="F46" s="1741"/>
      <c r="G46" s="1199" t="s">
        <v>270</v>
      </c>
      <c r="H46" s="1204">
        <v>2.8060318680650762</v>
      </c>
      <c r="I46" s="1206">
        <v>3.2</v>
      </c>
      <c r="J46" s="845">
        <v>3.48</v>
      </c>
      <c r="K46" s="846"/>
      <c r="L46" s="327"/>
      <c r="M46" s="848">
        <v>622</v>
      </c>
      <c r="N46" s="325">
        <v>770</v>
      </c>
      <c r="O46" s="325" t="s">
        <v>41</v>
      </c>
      <c r="P46" s="325" t="s">
        <v>41</v>
      </c>
      <c r="Q46" s="243">
        <f t="shared" si="29"/>
        <v>271.943352</v>
      </c>
      <c r="R46" s="243">
        <f t="shared" si="30"/>
        <v>233.94845600000002</v>
      </c>
      <c r="S46" s="325">
        <v>200000</v>
      </c>
      <c r="T46" s="848" t="s">
        <v>41</v>
      </c>
      <c r="U46" s="325">
        <f t="shared" si="31"/>
        <v>639.1</v>
      </c>
      <c r="V46" s="243">
        <f t="shared" si="26"/>
        <v>21.983844652789998</v>
      </c>
      <c r="W46" s="151">
        <f t="shared" si="34"/>
        <v>59.978740652789995</v>
      </c>
      <c r="X46" s="325">
        <v>200000</v>
      </c>
      <c r="Y46" s="848">
        <f t="shared" si="32"/>
        <v>625.48942349276467</v>
      </c>
      <c r="Z46" s="325">
        <f t="shared" si="4"/>
        <v>200000</v>
      </c>
      <c r="AA46" s="325">
        <f t="shared" si="33"/>
        <v>3.1274471174638232E-3</v>
      </c>
      <c r="AB46" s="325">
        <f t="shared" si="6"/>
        <v>770</v>
      </c>
      <c r="AC46" s="849"/>
      <c r="AD46" s="928">
        <v>1242</v>
      </c>
      <c r="AE46" s="851">
        <v>50.3</v>
      </c>
      <c r="AF46" s="851">
        <v>50.1</v>
      </c>
      <c r="AG46" s="886">
        <v>1.5409999999999999</v>
      </c>
      <c r="AH46" s="851">
        <v>1.5</v>
      </c>
      <c r="AI46" s="851">
        <f t="shared" si="7"/>
        <v>44.217999999999996</v>
      </c>
      <c r="AJ46" s="851">
        <f t="shared" si="8"/>
        <v>44.018000000000001</v>
      </c>
      <c r="AK46" s="853">
        <f t="shared" si="27"/>
        <v>293.92719665278997</v>
      </c>
      <c r="AL46" s="853">
        <f t="shared" si="9"/>
        <v>21.983844652789998</v>
      </c>
      <c r="AM46" s="881">
        <f t="shared" si="10"/>
        <v>622</v>
      </c>
      <c r="AN46" s="882">
        <f t="shared" si="10"/>
        <v>770</v>
      </c>
      <c r="AO46" s="883">
        <f t="shared" si="11"/>
        <v>3.1099999999999999E-3</v>
      </c>
      <c r="AP46" s="957">
        <v>200000</v>
      </c>
      <c r="AQ46" s="849">
        <v>6.1</v>
      </c>
      <c r="AR46" s="151"/>
      <c r="AS46" s="1163">
        <v>1</v>
      </c>
      <c r="AT46" s="1163">
        <v>1</v>
      </c>
      <c r="AU46" s="886"/>
      <c r="AV46" s="888"/>
      <c r="AW46" s="888"/>
      <c r="AX46" s="888"/>
      <c r="AY46" s="888"/>
      <c r="AZ46" s="888"/>
      <c r="BA46" s="888"/>
      <c r="BB46" s="887"/>
      <c r="BC46" s="862"/>
      <c r="BD46" s="325"/>
      <c r="BE46" s="151"/>
      <c r="BF46" s="325"/>
      <c r="BG46" s="151"/>
      <c r="BH46" s="151"/>
      <c r="BI46" s="151"/>
      <c r="BJ46" s="151"/>
      <c r="BK46" s="243"/>
      <c r="BL46" s="243"/>
      <c r="BM46" s="862"/>
      <c r="BN46" s="862"/>
      <c r="BO46" s="862"/>
      <c r="BP46" s="862"/>
      <c r="BQ46" s="151"/>
      <c r="BR46" s="325"/>
      <c r="BS46" s="889"/>
      <c r="BT46" s="151"/>
      <c r="BU46" s="151"/>
      <c r="BV46" s="325"/>
      <c r="BW46" s="151"/>
      <c r="BX46" s="151"/>
      <c r="BY46" s="151"/>
      <c r="BZ46" s="862"/>
      <c r="CA46" s="862"/>
      <c r="CB46" s="151"/>
      <c r="CC46" s="325"/>
      <c r="CD46" s="862"/>
      <c r="CE46" s="862"/>
      <c r="CF46" s="862"/>
      <c r="CG46" s="890"/>
      <c r="CH46" s="862"/>
      <c r="CI46" s="862"/>
      <c r="CJ46" s="862"/>
      <c r="CK46" s="151"/>
      <c r="CL46" s="862"/>
      <c r="CM46" s="151"/>
      <c r="CN46" s="151"/>
      <c r="CO46" s="151"/>
      <c r="CP46" s="151"/>
      <c r="CQ46" s="862"/>
      <c r="CR46" s="862"/>
      <c r="CS46" s="862"/>
      <c r="CT46" s="862"/>
      <c r="CU46" s="151"/>
      <c r="CV46" s="151"/>
      <c r="CW46" s="151"/>
      <c r="CX46" s="862"/>
      <c r="CY46" s="862"/>
      <c r="CZ46" s="862"/>
      <c r="DA46" s="151"/>
      <c r="DB46" s="862"/>
      <c r="DC46" s="151"/>
      <c r="DD46" s="151"/>
      <c r="DE46" s="151"/>
      <c r="DF46" s="862"/>
      <c r="DG46" s="243"/>
      <c r="DH46" s="862"/>
      <c r="DI46" s="862"/>
      <c r="DJ46" s="151"/>
      <c r="DK46" s="151"/>
      <c r="DL46" s="151"/>
      <c r="DM46" s="862"/>
      <c r="DN46" s="151"/>
      <c r="DO46" s="1002"/>
      <c r="DP46" s="151"/>
      <c r="DQ46" s="151"/>
      <c r="DR46" s="862"/>
      <c r="DS46" s="151"/>
      <c r="DT46" s="862"/>
      <c r="DU46" s="862"/>
      <c r="DV46" s="862"/>
      <c r="DW46" s="862"/>
      <c r="DX46" s="151"/>
      <c r="DY46" s="862"/>
      <c r="DZ46" s="862"/>
      <c r="EA46" s="862"/>
      <c r="EB46" s="151"/>
      <c r="EC46" s="151"/>
      <c r="ED46" s="1164"/>
      <c r="EE46" s="958"/>
      <c r="EF46" s="341"/>
      <c r="EG46" s="819"/>
      <c r="EH46" s="341"/>
    </row>
    <row r="47" spans="1:138" s="342" customFormat="1" ht="14.25" customHeight="1" x14ac:dyDescent="0.35">
      <c r="A47" s="331"/>
      <c r="B47" s="1702"/>
      <c r="C47" s="1741"/>
      <c r="D47" s="1260"/>
      <c r="E47" s="1741"/>
      <c r="F47" s="1759" t="s">
        <v>253</v>
      </c>
      <c r="G47" s="1199" t="s">
        <v>271</v>
      </c>
      <c r="H47" s="1204">
        <v>21.693988346165273</v>
      </c>
      <c r="I47" s="1206">
        <v>27.3</v>
      </c>
      <c r="J47" s="845">
        <v>31.68</v>
      </c>
      <c r="K47" s="846"/>
      <c r="L47" s="327"/>
      <c r="M47" s="848">
        <v>448</v>
      </c>
      <c r="N47" s="325">
        <v>699</v>
      </c>
      <c r="O47" s="325" t="s">
        <v>41</v>
      </c>
      <c r="P47" s="325" t="s">
        <v>41</v>
      </c>
      <c r="Q47" s="243">
        <f t="shared" si="29"/>
        <v>1506.1290720000002</v>
      </c>
      <c r="R47" s="243">
        <f t="shared" si="30"/>
        <v>1382.5636160000001</v>
      </c>
      <c r="S47" s="325">
        <v>189000</v>
      </c>
      <c r="T47" s="848" t="s">
        <v>41</v>
      </c>
      <c r="U47" s="325">
        <f t="shared" si="31"/>
        <v>580.16999999999996</v>
      </c>
      <c r="V47" s="243">
        <f t="shared" si="26"/>
        <v>108.07459471319009</v>
      </c>
      <c r="W47" s="151">
        <f t="shared" si="34"/>
        <v>231.64005071319008</v>
      </c>
      <c r="X47" s="325">
        <v>189000</v>
      </c>
      <c r="Y47" s="848">
        <f t="shared" si="32"/>
        <v>466.96654439219668</v>
      </c>
      <c r="Z47" s="325">
        <f t="shared" si="4"/>
        <v>189000</v>
      </c>
      <c r="AA47" s="325">
        <f t="shared" si="33"/>
        <v>2.4707224571015696E-3</v>
      </c>
      <c r="AB47" s="325">
        <f t="shared" si="6"/>
        <v>699</v>
      </c>
      <c r="AC47" s="849"/>
      <c r="AD47" s="928">
        <v>1640</v>
      </c>
      <c r="AE47" s="851">
        <v>150.69999999999999</v>
      </c>
      <c r="AF47" s="851">
        <v>150.6</v>
      </c>
      <c r="AG47" s="888">
        <v>2.7789999999999999</v>
      </c>
      <c r="AH47" s="851">
        <v>4.8</v>
      </c>
      <c r="AI47" s="911">
        <f t="shared" si="7"/>
        <v>135.542</v>
      </c>
      <c r="AJ47" s="911">
        <f t="shared" si="8"/>
        <v>135.44200000000001</v>
      </c>
      <c r="AK47" s="909">
        <f t="shared" si="27"/>
        <v>1614.2036667131902</v>
      </c>
      <c r="AL47" s="909">
        <f t="shared" si="9"/>
        <v>108.07459471319009</v>
      </c>
      <c r="AM47" s="964">
        <f t="shared" si="10"/>
        <v>448</v>
      </c>
      <c r="AN47" s="965">
        <f t="shared" si="10"/>
        <v>699</v>
      </c>
      <c r="AO47" s="966">
        <f t="shared" si="11"/>
        <v>2.3703703703703703E-3</v>
      </c>
      <c r="AP47" s="967">
        <v>189000</v>
      </c>
      <c r="AQ47" s="849">
        <v>5.0999999999999996</v>
      </c>
      <c r="AR47" s="151"/>
      <c r="AS47" s="1163">
        <v>1</v>
      </c>
      <c r="AT47" s="1163">
        <v>1</v>
      </c>
      <c r="AU47" s="886"/>
      <c r="AV47" s="888"/>
      <c r="AW47" s="888"/>
      <c r="AX47" s="888"/>
      <c r="AY47" s="888"/>
      <c r="AZ47" s="888"/>
      <c r="BA47" s="888"/>
      <c r="BB47" s="887"/>
      <c r="BC47" s="862"/>
      <c r="BD47" s="325"/>
      <c r="BE47" s="151"/>
      <c r="BF47" s="325"/>
      <c r="BG47" s="151"/>
      <c r="BH47" s="151"/>
      <c r="BI47" s="151"/>
      <c r="BJ47" s="151"/>
      <c r="BK47" s="243"/>
      <c r="BL47" s="243"/>
      <c r="BM47" s="862"/>
      <c r="BN47" s="862"/>
      <c r="BO47" s="862"/>
      <c r="BP47" s="862"/>
      <c r="BQ47" s="151"/>
      <c r="BR47" s="325"/>
      <c r="BS47" s="889"/>
      <c r="BT47" s="151"/>
      <c r="BU47" s="151"/>
      <c r="BV47" s="325"/>
      <c r="BW47" s="151"/>
      <c r="BX47" s="151"/>
      <c r="BY47" s="151"/>
      <c r="BZ47" s="862"/>
      <c r="CA47" s="862"/>
      <c r="CB47" s="151"/>
      <c r="CC47" s="325"/>
      <c r="CD47" s="862"/>
      <c r="CE47" s="862"/>
      <c r="CF47" s="862"/>
      <c r="CG47" s="890"/>
      <c r="CH47" s="862"/>
      <c r="CI47" s="862"/>
      <c r="CJ47" s="862"/>
      <c r="CK47" s="151"/>
      <c r="CL47" s="862"/>
      <c r="CM47" s="151"/>
      <c r="CN47" s="151"/>
      <c r="CO47" s="151"/>
      <c r="CP47" s="151"/>
      <c r="CQ47" s="862"/>
      <c r="CR47" s="862"/>
      <c r="CS47" s="862"/>
      <c r="CT47" s="862"/>
      <c r="CU47" s="151"/>
      <c r="CV47" s="151"/>
      <c r="CW47" s="151"/>
      <c r="CX47" s="862"/>
      <c r="CY47" s="862"/>
      <c r="CZ47" s="862"/>
      <c r="DA47" s="151"/>
      <c r="DB47" s="862"/>
      <c r="DC47" s="151"/>
      <c r="DD47" s="151"/>
      <c r="DE47" s="151"/>
      <c r="DF47" s="862"/>
      <c r="DG47" s="243"/>
      <c r="DH47" s="862"/>
      <c r="DI47" s="862"/>
      <c r="DJ47" s="151"/>
      <c r="DK47" s="151"/>
      <c r="DL47" s="151"/>
      <c r="DM47" s="862"/>
      <c r="DN47" s="151"/>
      <c r="DO47" s="1002"/>
      <c r="DP47" s="151"/>
      <c r="DQ47" s="151"/>
      <c r="DR47" s="862"/>
      <c r="DS47" s="151"/>
      <c r="DT47" s="862"/>
      <c r="DU47" s="862"/>
      <c r="DV47" s="862"/>
      <c r="DW47" s="862"/>
      <c r="DX47" s="151"/>
      <c r="DY47" s="862"/>
      <c r="DZ47" s="862"/>
      <c r="EA47" s="862"/>
      <c r="EB47" s="151"/>
      <c r="EC47" s="151"/>
      <c r="ED47" s="1164"/>
      <c r="EE47" s="958"/>
      <c r="EF47" s="341"/>
      <c r="EG47" s="819"/>
      <c r="EH47" s="341"/>
    </row>
    <row r="48" spans="1:138" s="342" customFormat="1" ht="14.25" customHeight="1" thickBot="1" x14ac:dyDescent="0.4">
      <c r="A48" s="331"/>
      <c r="B48" s="1707"/>
      <c r="C48" s="1742"/>
      <c r="D48" s="1261"/>
      <c r="E48" s="1742"/>
      <c r="F48" s="1760"/>
      <c r="G48" s="1199" t="s">
        <v>272</v>
      </c>
      <c r="H48" s="1204">
        <v>89.611369078739983</v>
      </c>
      <c r="I48" s="1207">
        <v>101.4</v>
      </c>
      <c r="J48" s="863">
        <v>108.6</v>
      </c>
      <c r="K48" s="864"/>
      <c r="L48" s="302"/>
      <c r="M48" s="866">
        <v>497</v>
      </c>
      <c r="N48" s="235">
        <v>761</v>
      </c>
      <c r="O48" s="235" t="s">
        <v>41</v>
      </c>
      <c r="P48" s="235" t="s">
        <v>41</v>
      </c>
      <c r="Q48" s="299">
        <f t="shared" si="29"/>
        <v>2978.6727999999998</v>
      </c>
      <c r="R48" s="299">
        <f t="shared" si="30"/>
        <v>2427.3624</v>
      </c>
      <c r="S48" s="235">
        <v>194000</v>
      </c>
      <c r="T48" s="866" t="s">
        <v>41</v>
      </c>
      <c r="U48" s="235">
        <f t="shared" si="31"/>
        <v>631.63</v>
      </c>
      <c r="V48" s="299">
        <f t="shared" si="26"/>
        <v>329.54305207100015</v>
      </c>
      <c r="W48" s="293">
        <f t="shared" si="34"/>
        <v>880.85345207100022</v>
      </c>
      <c r="X48" s="235">
        <v>194000</v>
      </c>
      <c r="Y48" s="866">
        <f t="shared" si="32"/>
        <v>532.84690526710335</v>
      </c>
      <c r="Z48" s="235">
        <f t="shared" si="4"/>
        <v>194000</v>
      </c>
      <c r="AA48" s="235">
        <f t="shared" si="33"/>
        <v>2.7466335323046566E-3</v>
      </c>
      <c r="AB48" s="235">
        <f t="shared" si="6"/>
        <v>761</v>
      </c>
      <c r="AC48" s="867"/>
      <c r="AD48" s="968">
        <v>1650</v>
      </c>
      <c r="AE48" s="969">
        <v>150.5</v>
      </c>
      <c r="AF48" s="969">
        <v>150.69999999999999</v>
      </c>
      <c r="AG48" s="970">
        <v>5.87</v>
      </c>
      <c r="AH48" s="969">
        <v>6</v>
      </c>
      <c r="AI48" s="869">
        <f t="shared" si="7"/>
        <v>126.75999999999999</v>
      </c>
      <c r="AJ48" s="869">
        <f t="shared" si="8"/>
        <v>126.95999999999998</v>
      </c>
      <c r="AK48" s="871">
        <f t="shared" si="27"/>
        <v>3308.215852071</v>
      </c>
      <c r="AL48" s="871">
        <f t="shared" si="9"/>
        <v>329.54305207100015</v>
      </c>
      <c r="AM48" s="881">
        <f t="shared" si="10"/>
        <v>497</v>
      </c>
      <c r="AN48" s="882">
        <f t="shared" si="10"/>
        <v>761</v>
      </c>
      <c r="AO48" s="883">
        <f t="shared" si="11"/>
        <v>2.5618556701030928E-3</v>
      </c>
      <c r="AP48" s="957">
        <v>194000</v>
      </c>
      <c r="AQ48" s="849">
        <v>4.2</v>
      </c>
      <c r="AR48" s="151"/>
      <c r="AS48" s="1163">
        <v>1</v>
      </c>
      <c r="AT48" s="1163">
        <v>1</v>
      </c>
      <c r="AU48" s="886"/>
      <c r="AV48" s="888"/>
      <c r="AW48" s="888"/>
      <c r="AX48" s="888"/>
      <c r="AY48" s="888"/>
      <c r="AZ48" s="888"/>
      <c r="BA48" s="888"/>
      <c r="BB48" s="887"/>
      <c r="BC48" s="862"/>
      <c r="BD48" s="325"/>
      <c r="BE48" s="151"/>
      <c r="BF48" s="325"/>
      <c r="BG48" s="151"/>
      <c r="BH48" s="151"/>
      <c r="BI48" s="151"/>
      <c r="BJ48" s="151"/>
      <c r="BK48" s="243"/>
      <c r="BL48" s="243"/>
      <c r="BM48" s="862"/>
      <c r="BN48" s="862"/>
      <c r="BO48" s="862"/>
      <c r="BP48" s="862"/>
      <c r="BQ48" s="151"/>
      <c r="BR48" s="325"/>
      <c r="BS48" s="889"/>
      <c r="BT48" s="151"/>
      <c r="BU48" s="151"/>
      <c r="BV48" s="325"/>
      <c r="BW48" s="151"/>
      <c r="BX48" s="151"/>
      <c r="BY48" s="151"/>
      <c r="BZ48" s="862"/>
      <c r="CA48" s="862"/>
      <c r="CB48" s="151"/>
      <c r="CC48" s="325"/>
      <c r="CD48" s="862"/>
      <c r="CE48" s="862"/>
      <c r="CF48" s="862"/>
      <c r="CG48" s="890"/>
      <c r="CH48" s="862"/>
      <c r="CI48" s="862"/>
      <c r="CJ48" s="862"/>
      <c r="CK48" s="151"/>
      <c r="CL48" s="862"/>
      <c r="CM48" s="151"/>
      <c r="CN48" s="151"/>
      <c r="CO48" s="151"/>
      <c r="CP48" s="151"/>
      <c r="CQ48" s="862"/>
      <c r="CR48" s="862"/>
      <c r="CS48" s="862"/>
      <c r="CT48" s="862"/>
      <c r="CU48" s="151"/>
      <c r="CV48" s="151"/>
      <c r="CW48" s="151"/>
      <c r="CX48" s="862"/>
      <c r="CY48" s="862"/>
      <c r="CZ48" s="862"/>
      <c r="DA48" s="151"/>
      <c r="DB48" s="862"/>
      <c r="DC48" s="151"/>
      <c r="DD48" s="151"/>
      <c r="DE48" s="151"/>
      <c r="DF48" s="862"/>
      <c r="DG48" s="243"/>
      <c r="DH48" s="862"/>
      <c r="DI48" s="862"/>
      <c r="DJ48" s="151"/>
      <c r="DK48" s="151"/>
      <c r="DL48" s="151"/>
      <c r="DM48" s="862"/>
      <c r="DN48" s="151"/>
      <c r="DO48" s="1002"/>
      <c r="DP48" s="151"/>
      <c r="DQ48" s="151"/>
      <c r="DR48" s="862"/>
      <c r="DS48" s="151"/>
      <c r="DT48" s="862"/>
      <c r="DU48" s="862"/>
      <c r="DV48" s="862"/>
      <c r="DW48" s="862"/>
      <c r="DX48" s="151"/>
      <c r="DY48" s="862"/>
      <c r="DZ48" s="862"/>
      <c r="EA48" s="862"/>
      <c r="EB48" s="151"/>
      <c r="EC48" s="151"/>
      <c r="ED48" s="1164"/>
      <c r="EE48" s="958"/>
      <c r="EF48" s="341"/>
      <c r="EG48" s="819"/>
      <c r="EH48" s="341"/>
    </row>
    <row r="49" spans="1:144" s="342" customFormat="1" ht="14.25" customHeight="1" x14ac:dyDescent="0.35">
      <c r="A49" s="331">
        <v>11</v>
      </c>
      <c r="B49" s="1706" t="s">
        <v>273</v>
      </c>
      <c r="C49" s="1740" t="s">
        <v>370</v>
      </c>
      <c r="D49" s="1266"/>
      <c r="E49" s="1740" t="s">
        <v>240</v>
      </c>
      <c r="F49" s="1137" t="s">
        <v>274</v>
      </c>
      <c r="G49" s="1201" t="s">
        <v>111</v>
      </c>
      <c r="H49" s="1201">
        <v>18.1303740309509</v>
      </c>
      <c r="I49" s="1208"/>
      <c r="J49" s="956">
        <v>23.3</v>
      </c>
      <c r="K49" s="846"/>
      <c r="L49" s="847"/>
      <c r="M49" s="848">
        <v>481</v>
      </c>
      <c r="N49" s="325">
        <v>806</v>
      </c>
      <c r="O49" s="325" t="s">
        <v>41</v>
      </c>
      <c r="P49" s="325" t="s">
        <v>41</v>
      </c>
      <c r="Q49" s="243">
        <f>AK49-AL49</f>
        <v>1091.8147999999999</v>
      </c>
      <c r="R49" s="243">
        <f>Q49-8*(2*AG49*AG49)</f>
        <v>941.01639999999986</v>
      </c>
      <c r="S49" s="266">
        <v>195000</v>
      </c>
      <c r="T49" s="848" t="s">
        <v>41</v>
      </c>
      <c r="U49" s="325">
        <f>0.83*N49</f>
        <v>668.98</v>
      </c>
      <c r="V49" s="243">
        <f>AL49</f>
        <v>77.832578090999959</v>
      </c>
      <c r="W49" s="151">
        <f>V49+8*(2*AG49*AG49)</f>
        <v>228.63097809099995</v>
      </c>
      <c r="X49" s="266">
        <v>195000</v>
      </c>
      <c r="Y49" s="848">
        <f>((M49*R49)+(U49*W49))/(R49+W49)</f>
        <v>517.74445141893216</v>
      </c>
      <c r="Z49" s="325">
        <f t="shared" si="4"/>
        <v>195000</v>
      </c>
      <c r="AA49" s="325">
        <f t="shared" ref="AA49:AA55" si="35">Y49/Z49</f>
        <v>2.6550997508663189E-3</v>
      </c>
      <c r="AB49" s="325">
        <f t="shared" si="6"/>
        <v>806</v>
      </c>
      <c r="AC49" s="849"/>
      <c r="AD49" s="921">
        <v>2000</v>
      </c>
      <c r="AE49" s="895">
        <v>100</v>
      </c>
      <c r="AF49" s="895">
        <v>100.1</v>
      </c>
      <c r="AG49" s="923">
        <v>3.07</v>
      </c>
      <c r="AH49" s="895">
        <v>2.5</v>
      </c>
      <c r="AI49" s="895">
        <f t="shared" si="7"/>
        <v>88.86</v>
      </c>
      <c r="AJ49" s="895">
        <f t="shared" si="8"/>
        <v>88.96</v>
      </c>
      <c r="AK49" s="893">
        <f t="shared" si="27"/>
        <v>1169.6473780909998</v>
      </c>
      <c r="AL49" s="893">
        <f t="shared" si="9"/>
        <v>77.832578090999959</v>
      </c>
      <c r="AM49" s="854">
        <f t="shared" si="10"/>
        <v>481</v>
      </c>
      <c r="AN49" s="855">
        <f t="shared" si="10"/>
        <v>806</v>
      </c>
      <c r="AO49" s="856">
        <f t="shared" si="11"/>
        <v>2.4666666666666665E-3</v>
      </c>
      <c r="AP49" s="857">
        <v>195000</v>
      </c>
      <c r="AQ49" s="924">
        <v>7</v>
      </c>
      <c r="AR49" s="151"/>
      <c r="AS49" s="1163" t="s">
        <v>397</v>
      </c>
      <c r="AT49" s="1163" t="s">
        <v>397</v>
      </c>
      <c r="AU49" s="886"/>
      <c r="AV49" s="888"/>
      <c r="AW49" s="888"/>
      <c r="AX49" s="888"/>
      <c r="AY49" s="888"/>
      <c r="AZ49" s="888"/>
      <c r="BA49" s="888"/>
      <c r="BB49" s="887"/>
      <c r="BC49" s="862"/>
      <c r="BD49" s="325"/>
      <c r="BE49" s="151"/>
      <c r="BF49" s="325"/>
      <c r="BG49" s="151"/>
      <c r="BH49" s="151"/>
      <c r="BI49" s="151"/>
      <c r="BJ49" s="151"/>
      <c r="BK49" s="243"/>
      <c r="BL49" s="243"/>
      <c r="BM49" s="862"/>
      <c r="BN49" s="862"/>
      <c r="BO49" s="862"/>
      <c r="BP49" s="862"/>
      <c r="BQ49" s="151"/>
      <c r="BR49" s="325"/>
      <c r="BS49" s="889"/>
      <c r="BT49" s="151"/>
      <c r="BU49" s="151"/>
      <c r="BV49" s="325"/>
      <c r="BW49" s="151"/>
      <c r="BX49" s="151"/>
      <c r="BY49" s="151"/>
      <c r="BZ49" s="862"/>
      <c r="CA49" s="862"/>
      <c r="CB49" s="151"/>
      <c r="CC49" s="325"/>
      <c r="CD49" s="862"/>
      <c r="CE49" s="862"/>
      <c r="CF49" s="862"/>
      <c r="CG49" s="890"/>
      <c r="CH49" s="862"/>
      <c r="CI49" s="862"/>
      <c r="CJ49" s="862"/>
      <c r="CK49" s="151"/>
      <c r="CL49" s="862"/>
      <c r="CM49" s="151"/>
      <c r="CN49" s="151"/>
      <c r="CO49" s="151"/>
      <c r="CP49" s="151"/>
      <c r="CQ49" s="862"/>
      <c r="CR49" s="862"/>
      <c r="CS49" s="862"/>
      <c r="CT49" s="862"/>
      <c r="CU49" s="151"/>
      <c r="CV49" s="151"/>
      <c r="CW49" s="151"/>
      <c r="CX49" s="862"/>
      <c r="CY49" s="862"/>
      <c r="CZ49" s="862"/>
      <c r="DA49" s="151"/>
      <c r="DB49" s="862"/>
      <c r="DC49" s="151"/>
      <c r="DD49" s="151"/>
      <c r="DE49" s="151"/>
      <c r="DF49" s="862"/>
      <c r="DG49" s="243"/>
      <c r="DH49" s="862"/>
      <c r="DI49" s="862"/>
      <c r="DJ49" s="151"/>
      <c r="DK49" s="151"/>
      <c r="DL49" s="151"/>
      <c r="DM49" s="862"/>
      <c r="DN49" s="151"/>
      <c r="DO49" s="1002"/>
      <c r="DP49" s="151"/>
      <c r="DQ49" s="151"/>
      <c r="DR49" s="862"/>
      <c r="DS49" s="151"/>
      <c r="DT49" s="862"/>
      <c r="DU49" s="862"/>
      <c r="DV49" s="862"/>
      <c r="DW49" s="862"/>
      <c r="DX49" s="151"/>
      <c r="DY49" s="862"/>
      <c r="DZ49" s="862"/>
      <c r="EA49" s="862"/>
      <c r="EB49" s="151"/>
      <c r="EC49" s="151"/>
      <c r="ED49" s="1168"/>
      <c r="EE49" s="958"/>
      <c r="EF49" s="341"/>
      <c r="EG49" s="819"/>
      <c r="EH49" s="341"/>
    </row>
    <row r="50" spans="1:144" s="342" customFormat="1" ht="14.25" customHeight="1" thickBot="1" x14ac:dyDescent="0.4">
      <c r="A50" s="331"/>
      <c r="B50" s="1708"/>
      <c r="C50" s="1742"/>
      <c r="D50" s="1261"/>
      <c r="E50" s="1742"/>
      <c r="F50" s="1138" t="s">
        <v>275</v>
      </c>
      <c r="G50" s="1199" t="s">
        <v>111</v>
      </c>
      <c r="H50" s="1204">
        <v>20.903889022334976</v>
      </c>
      <c r="I50" s="1207"/>
      <c r="J50" s="863">
        <v>26.7</v>
      </c>
      <c r="K50" s="864"/>
      <c r="L50" s="865"/>
      <c r="M50" s="866">
        <v>608</v>
      </c>
      <c r="N50" s="235">
        <v>943</v>
      </c>
      <c r="O50" s="235" t="s">
        <v>41</v>
      </c>
      <c r="P50" s="235" t="s">
        <v>41</v>
      </c>
      <c r="Q50" s="299">
        <f>AK50-AL50</f>
        <v>1074.21</v>
      </c>
      <c r="R50" s="299">
        <f>Q50-8*(2*AG50*AG50)</f>
        <v>925.37000000000012</v>
      </c>
      <c r="S50" s="275">
        <v>183500</v>
      </c>
      <c r="T50" s="866" t="s">
        <v>41</v>
      </c>
      <c r="U50" s="235">
        <f>0.83*N50</f>
        <v>782.68999999999994</v>
      </c>
      <c r="V50" s="299">
        <f>AL50</f>
        <v>86.715737975000138</v>
      </c>
      <c r="W50" s="293">
        <f t="shared" si="34"/>
        <v>235.55573797500011</v>
      </c>
      <c r="X50" s="275">
        <v>183500</v>
      </c>
      <c r="Y50" s="235">
        <f>((M50*R50)+(U50*W50))/(R50+W50)</f>
        <v>643.44518871519665</v>
      </c>
      <c r="Z50" s="235">
        <f t="shared" si="4"/>
        <v>183500</v>
      </c>
      <c r="AA50" s="235">
        <f t="shared" si="35"/>
        <v>3.5065132900010715E-3</v>
      </c>
      <c r="AB50" s="235">
        <f t="shared" si="6"/>
        <v>943</v>
      </c>
      <c r="AC50" s="867"/>
      <c r="AD50" s="925">
        <v>2000</v>
      </c>
      <c r="AE50" s="869">
        <v>100.3</v>
      </c>
      <c r="AF50" s="869">
        <v>100</v>
      </c>
      <c r="AG50" s="870">
        <v>3.05</v>
      </c>
      <c r="AH50" s="869">
        <v>3</v>
      </c>
      <c r="AI50" s="869">
        <f t="shared" si="7"/>
        <v>88.2</v>
      </c>
      <c r="AJ50" s="869">
        <f t="shared" si="8"/>
        <v>87.9</v>
      </c>
      <c r="AK50" s="871">
        <f t="shared" si="27"/>
        <v>1160.9257379750002</v>
      </c>
      <c r="AL50" s="871">
        <f t="shared" si="9"/>
        <v>86.715737975000138</v>
      </c>
      <c r="AM50" s="872">
        <f t="shared" si="10"/>
        <v>608</v>
      </c>
      <c r="AN50" s="873">
        <f t="shared" si="10"/>
        <v>943</v>
      </c>
      <c r="AO50" s="874">
        <f t="shared" si="11"/>
        <v>3.3133514986376021E-3</v>
      </c>
      <c r="AP50" s="875">
        <v>183500</v>
      </c>
      <c r="AQ50" s="867">
        <v>7</v>
      </c>
      <c r="AR50" s="151"/>
      <c r="AS50" s="1163" t="s">
        <v>397</v>
      </c>
      <c r="AT50" s="1163" t="s">
        <v>397</v>
      </c>
      <c r="AU50" s="886"/>
      <c r="AV50" s="888"/>
      <c r="AW50" s="888"/>
      <c r="AX50" s="888"/>
      <c r="AY50" s="888"/>
      <c r="AZ50" s="888"/>
      <c r="BA50" s="888"/>
      <c r="BB50" s="887"/>
      <c r="BC50" s="862"/>
      <c r="BD50" s="325"/>
      <c r="BE50" s="151"/>
      <c r="BF50" s="325"/>
      <c r="BG50" s="151"/>
      <c r="BH50" s="151"/>
      <c r="BI50" s="151"/>
      <c r="BJ50" s="151"/>
      <c r="BK50" s="243"/>
      <c r="BL50" s="243"/>
      <c r="BM50" s="862"/>
      <c r="BN50" s="862"/>
      <c r="BO50" s="862"/>
      <c r="BP50" s="862"/>
      <c r="BQ50" s="151"/>
      <c r="BR50" s="325"/>
      <c r="BS50" s="889"/>
      <c r="BT50" s="151"/>
      <c r="BU50" s="151"/>
      <c r="BV50" s="325"/>
      <c r="BW50" s="151"/>
      <c r="BX50" s="151"/>
      <c r="BY50" s="151"/>
      <c r="BZ50" s="862"/>
      <c r="CA50" s="862"/>
      <c r="CB50" s="151"/>
      <c r="CC50" s="325"/>
      <c r="CD50" s="862"/>
      <c r="CE50" s="862"/>
      <c r="CF50" s="862"/>
      <c r="CG50" s="890"/>
      <c r="CH50" s="862"/>
      <c r="CI50" s="862"/>
      <c r="CJ50" s="862"/>
      <c r="CK50" s="151"/>
      <c r="CL50" s="862"/>
      <c r="CM50" s="151"/>
      <c r="CN50" s="151"/>
      <c r="CO50" s="151"/>
      <c r="CP50" s="151"/>
      <c r="CQ50" s="862"/>
      <c r="CR50" s="862"/>
      <c r="CS50" s="862"/>
      <c r="CT50" s="862"/>
      <c r="CU50" s="151"/>
      <c r="CV50" s="151"/>
      <c r="CW50" s="151"/>
      <c r="CX50" s="862"/>
      <c r="CY50" s="862"/>
      <c r="CZ50" s="862"/>
      <c r="DA50" s="151"/>
      <c r="DB50" s="862"/>
      <c r="DC50" s="151"/>
      <c r="DD50" s="151"/>
      <c r="DE50" s="151"/>
      <c r="DF50" s="862"/>
      <c r="DG50" s="243"/>
      <c r="DH50" s="862"/>
      <c r="DI50" s="862"/>
      <c r="DJ50" s="151"/>
      <c r="DK50" s="151"/>
      <c r="DL50" s="151"/>
      <c r="DM50" s="862"/>
      <c r="DN50" s="151"/>
      <c r="DO50" s="1002"/>
      <c r="DP50" s="151"/>
      <c r="DQ50" s="151"/>
      <c r="DR50" s="862"/>
      <c r="DS50" s="151"/>
      <c r="DT50" s="862"/>
      <c r="DU50" s="862"/>
      <c r="DV50" s="862"/>
      <c r="DW50" s="862"/>
      <c r="DX50" s="151"/>
      <c r="DY50" s="862"/>
      <c r="DZ50" s="862"/>
      <c r="EA50" s="862"/>
      <c r="EB50" s="151"/>
      <c r="EC50" s="151"/>
      <c r="ED50" s="1168"/>
      <c r="EE50" s="958"/>
      <c r="EF50" s="341"/>
      <c r="EG50" s="819"/>
      <c r="EH50" s="341"/>
    </row>
    <row r="51" spans="1:144" s="342" customFormat="1" ht="14.25" customHeight="1" x14ac:dyDescent="0.35">
      <c r="A51" s="331">
        <v>12</v>
      </c>
      <c r="B51" s="1709" t="s">
        <v>371</v>
      </c>
      <c r="C51" s="1740" t="s">
        <v>364</v>
      </c>
      <c r="D51" s="1266"/>
      <c r="E51" s="1740" t="s">
        <v>240</v>
      </c>
      <c r="F51" s="1783" t="s">
        <v>276</v>
      </c>
      <c r="G51" s="971" t="s">
        <v>277</v>
      </c>
      <c r="H51" s="971"/>
      <c r="I51" s="1212"/>
      <c r="J51" s="956">
        <v>7</v>
      </c>
      <c r="K51" s="846"/>
      <c r="L51" s="327"/>
      <c r="M51" s="972">
        <v>552</v>
      </c>
      <c r="N51" s="325">
        <v>798</v>
      </c>
      <c r="O51" s="325" t="s">
        <v>41</v>
      </c>
      <c r="P51" s="325" t="s">
        <v>41</v>
      </c>
      <c r="Q51" s="862">
        <f>AK51-AL51</f>
        <v>459.59519999999998</v>
      </c>
      <c r="R51" s="325" t="s">
        <v>41</v>
      </c>
      <c r="S51" s="266">
        <v>198000</v>
      </c>
      <c r="T51" s="325">
        <v>723</v>
      </c>
      <c r="U51" s="325" t="s">
        <v>41</v>
      </c>
      <c r="V51" s="862">
        <f>AL51</f>
        <v>50.463988488000069</v>
      </c>
      <c r="W51" s="325" t="s">
        <v>41</v>
      </c>
      <c r="X51" s="325">
        <v>173530</v>
      </c>
      <c r="Y51" s="848">
        <f t="shared" ref="Y51:Y56" si="36">((M51*Q51)+(T51*V51))/(Q51+V51)</f>
        <v>568.91831502345542</v>
      </c>
      <c r="Z51" s="325">
        <f t="shared" si="4"/>
        <v>198000</v>
      </c>
      <c r="AA51" s="325">
        <f t="shared" si="35"/>
        <v>2.8733248233507851E-3</v>
      </c>
      <c r="AB51" s="325">
        <f t="shared" si="6"/>
        <v>798</v>
      </c>
      <c r="AC51" s="849"/>
      <c r="AD51" s="921">
        <v>1200</v>
      </c>
      <c r="AE51" s="923">
        <v>50.24</v>
      </c>
      <c r="AF51" s="923">
        <v>50.18</v>
      </c>
      <c r="AG51" s="923">
        <v>2.76</v>
      </c>
      <c r="AH51" s="923">
        <v>1.53</v>
      </c>
      <c r="AI51" s="923">
        <f>AE51-2*(AG51+AH51)</f>
        <v>41.660000000000004</v>
      </c>
      <c r="AJ51" s="923">
        <f>AF51-2*(AG51+AH51)</f>
        <v>41.6</v>
      </c>
      <c r="AK51" s="893">
        <f t="shared" si="27"/>
        <v>510.05918848800002</v>
      </c>
      <c r="AL51" s="894">
        <f t="shared" si="9"/>
        <v>50.463988488000069</v>
      </c>
      <c r="AM51" s="854">
        <f t="shared" si="10"/>
        <v>552</v>
      </c>
      <c r="AN51" s="855">
        <f t="shared" si="10"/>
        <v>798</v>
      </c>
      <c r="AO51" s="856">
        <f t="shared" si="11"/>
        <v>2.787878787878788E-3</v>
      </c>
      <c r="AP51" s="857">
        <v>198000</v>
      </c>
      <c r="AQ51" s="924">
        <v>7</v>
      </c>
      <c r="AR51" s="151"/>
      <c r="AS51" s="1163" t="s">
        <v>397</v>
      </c>
      <c r="AT51" s="1163" t="s">
        <v>397</v>
      </c>
      <c r="AU51" s="886"/>
      <c r="AV51" s="888"/>
      <c r="AW51" s="888"/>
      <c r="AX51" s="888"/>
      <c r="AY51" s="888"/>
      <c r="AZ51" s="888"/>
      <c r="BA51" s="888"/>
      <c r="BB51" s="887"/>
      <c r="BC51" s="862"/>
      <c r="BD51" s="325"/>
      <c r="BE51" s="151"/>
      <c r="BF51" s="325"/>
      <c r="BG51" s="151"/>
      <c r="BH51" s="151"/>
      <c r="BI51" s="151"/>
      <c r="BJ51" s="151"/>
      <c r="BK51" s="243"/>
      <c r="BL51" s="243"/>
      <c r="BM51" s="862"/>
      <c r="BN51" s="862"/>
      <c r="BO51" s="862"/>
      <c r="BP51" s="862"/>
      <c r="BQ51" s="151"/>
      <c r="BR51" s="325"/>
      <c r="BS51" s="889"/>
      <c r="BT51" s="151"/>
      <c r="BU51" s="151"/>
      <c r="BV51" s="325"/>
      <c r="BW51" s="151"/>
      <c r="BX51" s="151"/>
      <c r="BY51" s="151"/>
      <c r="BZ51" s="862"/>
      <c r="CA51" s="862"/>
      <c r="CB51" s="151"/>
      <c r="CC51" s="325"/>
      <c r="CD51" s="862"/>
      <c r="CE51" s="862"/>
      <c r="CF51" s="862"/>
      <c r="CG51" s="890"/>
      <c r="CH51" s="862"/>
      <c r="CI51" s="862"/>
      <c r="CJ51" s="862"/>
      <c r="CK51" s="151"/>
      <c r="CL51" s="862"/>
      <c r="CM51" s="151"/>
      <c r="CN51" s="151"/>
      <c r="CO51" s="151"/>
      <c r="CP51" s="151"/>
      <c r="CQ51" s="862"/>
      <c r="CR51" s="862"/>
      <c r="CS51" s="862"/>
      <c r="CT51" s="862"/>
      <c r="CU51" s="151"/>
      <c r="CV51" s="151"/>
      <c r="CW51" s="151"/>
      <c r="CX51" s="862"/>
      <c r="CY51" s="862"/>
      <c r="CZ51" s="862"/>
      <c r="DA51" s="151"/>
      <c r="DB51" s="862"/>
      <c r="DC51" s="151"/>
      <c r="DD51" s="151"/>
      <c r="DE51" s="151"/>
      <c r="DF51" s="862"/>
      <c r="DG51" s="243"/>
      <c r="DH51" s="862"/>
      <c r="DI51" s="862"/>
      <c r="DJ51" s="151"/>
      <c r="DK51" s="151"/>
      <c r="DL51" s="151"/>
      <c r="DM51" s="862"/>
      <c r="DN51" s="151"/>
      <c r="DO51" s="1002"/>
      <c r="DP51" s="151"/>
      <c r="DQ51" s="151"/>
      <c r="DR51" s="862"/>
      <c r="DS51" s="151"/>
      <c r="DT51" s="862"/>
      <c r="DU51" s="862"/>
      <c r="DV51" s="862"/>
      <c r="DW51" s="862"/>
      <c r="DX51" s="151"/>
      <c r="DY51" s="862"/>
      <c r="DZ51" s="862"/>
      <c r="EA51" s="862"/>
      <c r="EB51" s="151"/>
      <c r="EC51" s="151"/>
      <c r="ED51" s="341"/>
      <c r="EE51" s="958"/>
      <c r="EF51" s="341"/>
      <c r="EG51" s="819"/>
      <c r="EH51" s="341"/>
    </row>
    <row r="52" spans="1:144" s="342" customFormat="1" ht="14.25" customHeight="1" x14ac:dyDescent="0.35">
      <c r="A52" s="331"/>
      <c r="B52" s="1710"/>
      <c r="C52" s="1741"/>
      <c r="D52" s="1260"/>
      <c r="E52" s="1741"/>
      <c r="F52" s="1784"/>
      <c r="G52" s="973" t="s">
        <v>278</v>
      </c>
      <c r="H52" s="973"/>
      <c r="I52" s="1213"/>
      <c r="J52" s="845">
        <v>8.74</v>
      </c>
      <c r="K52" s="846"/>
      <c r="L52" s="327"/>
      <c r="M52" s="972">
        <v>483</v>
      </c>
      <c r="N52" s="325">
        <v>745</v>
      </c>
      <c r="O52" s="325" t="s">
        <v>41</v>
      </c>
      <c r="P52" s="325" t="s">
        <v>41</v>
      </c>
      <c r="Q52" s="862">
        <f t="shared" ref="Q52:Q71" si="37">AK52-AL52</f>
        <v>534.78719999999998</v>
      </c>
      <c r="R52" s="325" t="s">
        <v>41</v>
      </c>
      <c r="S52" s="266">
        <v>197730</v>
      </c>
      <c r="T52" s="325">
        <v>614</v>
      </c>
      <c r="U52" s="325" t="s">
        <v>41</v>
      </c>
      <c r="V52" s="862">
        <f>AL52</f>
        <v>85.809703418999959</v>
      </c>
      <c r="W52" s="325" t="s">
        <v>41</v>
      </c>
      <c r="X52" s="325">
        <v>193440</v>
      </c>
      <c r="Y52" s="848">
        <f t="shared" si="36"/>
        <v>501.11332136199763</v>
      </c>
      <c r="Z52" s="325">
        <f t="shared" si="4"/>
        <v>197730</v>
      </c>
      <c r="AA52" s="325">
        <f t="shared" si="35"/>
        <v>2.5343312666868843E-3</v>
      </c>
      <c r="AB52" s="325">
        <f t="shared" si="6"/>
        <v>745</v>
      </c>
      <c r="AC52" s="849"/>
      <c r="AD52" s="928">
        <v>1200</v>
      </c>
      <c r="AE52" s="852">
        <v>60.63</v>
      </c>
      <c r="AF52" s="852">
        <v>60.37</v>
      </c>
      <c r="AG52" s="852">
        <v>2.79</v>
      </c>
      <c r="AH52" s="852">
        <v>3.5</v>
      </c>
      <c r="AI52" s="852">
        <f t="shared" si="7"/>
        <v>48.050000000000004</v>
      </c>
      <c r="AJ52" s="852">
        <f t="shared" si="8"/>
        <v>47.79</v>
      </c>
      <c r="AK52" s="853">
        <f t="shared" si="27"/>
        <v>620.596903419</v>
      </c>
      <c r="AL52" s="880">
        <f t="shared" si="9"/>
        <v>85.809703418999959</v>
      </c>
      <c r="AM52" s="881">
        <f t="shared" si="10"/>
        <v>483</v>
      </c>
      <c r="AN52" s="882">
        <f t="shared" si="10"/>
        <v>745</v>
      </c>
      <c r="AO52" s="883">
        <f t="shared" si="11"/>
        <v>2.4427249279320284E-3</v>
      </c>
      <c r="AP52" s="957">
        <v>197730</v>
      </c>
      <c r="AQ52" s="849">
        <v>7</v>
      </c>
      <c r="AR52" s="151"/>
      <c r="AS52" s="1163" t="s">
        <v>397</v>
      </c>
      <c r="AT52" s="1163" t="s">
        <v>397</v>
      </c>
      <c r="AU52" s="886"/>
      <c r="AV52" s="888"/>
      <c r="AW52" s="888"/>
      <c r="AX52" s="888"/>
      <c r="AY52" s="888"/>
      <c r="AZ52" s="888"/>
      <c r="BA52" s="888"/>
      <c r="BB52" s="887"/>
      <c r="BC52" s="862"/>
      <c r="BD52" s="325"/>
      <c r="BE52" s="151"/>
      <c r="BF52" s="325"/>
      <c r="BG52" s="151"/>
      <c r="BH52" s="151"/>
      <c r="BI52" s="151"/>
      <c r="BJ52" s="151"/>
      <c r="BK52" s="243"/>
      <c r="BL52" s="243"/>
      <c r="BM52" s="862"/>
      <c r="BN52" s="862"/>
      <c r="BO52" s="862"/>
      <c r="BP52" s="862"/>
      <c r="BQ52" s="151"/>
      <c r="BR52" s="325"/>
      <c r="BS52" s="889"/>
      <c r="BT52" s="151"/>
      <c r="BU52" s="151"/>
      <c r="BV52" s="325"/>
      <c r="BW52" s="151"/>
      <c r="BX52" s="151"/>
      <c r="BY52" s="151"/>
      <c r="BZ52" s="862"/>
      <c r="CA52" s="862"/>
      <c r="CB52" s="151"/>
      <c r="CC52" s="325"/>
      <c r="CD52" s="862"/>
      <c r="CE52" s="862"/>
      <c r="CF52" s="862"/>
      <c r="CG52" s="890"/>
      <c r="CH52" s="862"/>
      <c r="CI52" s="862"/>
      <c r="CJ52" s="862"/>
      <c r="CK52" s="151"/>
      <c r="CL52" s="862"/>
      <c r="CM52" s="151"/>
      <c r="CN52" s="151"/>
      <c r="CO52" s="151"/>
      <c r="CP52" s="151"/>
      <c r="CQ52" s="862"/>
      <c r="CR52" s="862"/>
      <c r="CS52" s="862"/>
      <c r="CT52" s="862"/>
      <c r="CU52" s="151"/>
      <c r="CV52" s="151"/>
      <c r="CW52" s="151"/>
      <c r="CX52" s="862"/>
      <c r="CY52" s="862"/>
      <c r="CZ52" s="862"/>
      <c r="DA52" s="151"/>
      <c r="DB52" s="862"/>
      <c r="DC52" s="151"/>
      <c r="DD52" s="151"/>
      <c r="DE52" s="151"/>
      <c r="DF52" s="862"/>
      <c r="DG52" s="243"/>
      <c r="DH52" s="862"/>
      <c r="DI52" s="862"/>
      <c r="DJ52" s="151"/>
      <c r="DK52" s="151"/>
      <c r="DL52" s="151"/>
      <c r="DM52" s="862"/>
      <c r="DN52" s="151"/>
      <c r="DO52" s="1002"/>
      <c r="DP52" s="151"/>
      <c r="DQ52" s="151"/>
      <c r="DR52" s="862"/>
      <c r="DS52" s="151"/>
      <c r="DT52" s="862"/>
      <c r="DU52" s="862"/>
      <c r="DV52" s="862"/>
      <c r="DW52" s="862"/>
      <c r="DX52" s="151"/>
      <c r="DY52" s="862"/>
      <c r="DZ52" s="862"/>
      <c r="EA52" s="862"/>
      <c r="EB52" s="151"/>
      <c r="EC52" s="151"/>
      <c r="ED52" s="341"/>
      <c r="EE52" s="958"/>
      <c r="EF52" s="341"/>
      <c r="EG52" s="819"/>
      <c r="EH52" s="341"/>
    </row>
    <row r="53" spans="1:144" s="342" customFormat="1" ht="14.25" customHeight="1" x14ac:dyDescent="0.35">
      <c r="A53" s="331"/>
      <c r="B53" s="1710"/>
      <c r="C53" s="1741"/>
      <c r="D53" s="1260"/>
      <c r="E53" s="1741"/>
      <c r="F53" s="1784"/>
      <c r="G53" s="973" t="s">
        <v>111</v>
      </c>
      <c r="H53" s="973"/>
      <c r="I53" s="1213"/>
      <c r="J53" s="845">
        <v>18.77</v>
      </c>
      <c r="K53" s="846"/>
      <c r="L53" s="327"/>
      <c r="M53" s="972">
        <v>419</v>
      </c>
      <c r="N53" s="325">
        <v>725</v>
      </c>
      <c r="O53" s="325" t="s">
        <v>41</v>
      </c>
      <c r="P53" s="325" t="s">
        <v>41</v>
      </c>
      <c r="Q53" s="862">
        <f t="shared" si="37"/>
        <v>1001.5784</v>
      </c>
      <c r="R53" s="325" t="s">
        <v>41</v>
      </c>
      <c r="S53" s="266">
        <v>201300</v>
      </c>
      <c r="T53" s="325">
        <v>694</v>
      </c>
      <c r="U53" s="325" t="s">
        <v>41</v>
      </c>
      <c r="V53" s="862">
        <f t="shared" ref="V53:V71" si="38">AL53</f>
        <v>61.484686207999971</v>
      </c>
      <c r="W53" s="325" t="s">
        <v>41</v>
      </c>
      <c r="X53" s="325">
        <v>181440</v>
      </c>
      <c r="Y53" s="848">
        <f t="shared" si="36"/>
        <v>434.90525428506106</v>
      </c>
      <c r="Z53" s="325">
        <f t="shared" si="4"/>
        <v>201300</v>
      </c>
      <c r="AA53" s="325">
        <f t="shared" si="35"/>
        <v>2.1604831310733288E-3</v>
      </c>
      <c r="AB53" s="325">
        <f t="shared" si="6"/>
        <v>725</v>
      </c>
      <c r="AC53" s="849"/>
      <c r="AD53" s="928">
        <v>1200</v>
      </c>
      <c r="AE53" s="852">
        <v>99.93</v>
      </c>
      <c r="AF53" s="852">
        <v>99.85</v>
      </c>
      <c r="AG53" s="852">
        <v>2.78</v>
      </c>
      <c r="AH53" s="852">
        <v>2.13</v>
      </c>
      <c r="AI53" s="852">
        <f t="shared" si="7"/>
        <v>90.110000000000014</v>
      </c>
      <c r="AJ53" s="852">
        <f t="shared" si="8"/>
        <v>90.03</v>
      </c>
      <c r="AK53" s="853">
        <f t="shared" si="27"/>
        <v>1063.063086208</v>
      </c>
      <c r="AL53" s="880">
        <f t="shared" si="9"/>
        <v>61.484686207999971</v>
      </c>
      <c r="AM53" s="881">
        <f t="shared" si="10"/>
        <v>419</v>
      </c>
      <c r="AN53" s="882">
        <f t="shared" si="10"/>
        <v>725</v>
      </c>
      <c r="AO53" s="883">
        <f t="shared" si="11"/>
        <v>2.08147044212618E-3</v>
      </c>
      <c r="AP53" s="957">
        <v>201300</v>
      </c>
      <c r="AQ53" s="849">
        <v>7</v>
      </c>
      <c r="AR53" s="151"/>
      <c r="AS53" s="1163" t="s">
        <v>397</v>
      </c>
      <c r="AT53" s="1163" t="s">
        <v>397</v>
      </c>
      <c r="AU53" s="886"/>
      <c r="AV53" s="888"/>
      <c r="AW53" s="888"/>
      <c r="AX53" s="888"/>
      <c r="AY53" s="888"/>
      <c r="AZ53" s="888"/>
      <c r="BA53" s="888"/>
      <c r="BB53" s="887"/>
      <c r="BC53" s="862"/>
      <c r="BD53" s="325"/>
      <c r="BE53" s="151"/>
      <c r="BF53" s="325"/>
      <c r="BG53" s="151"/>
      <c r="BH53" s="151"/>
      <c r="BI53" s="151"/>
      <c r="BJ53" s="151"/>
      <c r="BK53" s="243"/>
      <c r="BL53" s="243"/>
      <c r="BM53" s="862"/>
      <c r="BN53" s="862"/>
      <c r="BO53" s="862"/>
      <c r="BP53" s="862"/>
      <c r="BQ53" s="151"/>
      <c r="BR53" s="325"/>
      <c r="BS53" s="889"/>
      <c r="BT53" s="151"/>
      <c r="BU53" s="151"/>
      <c r="BV53" s="325"/>
      <c r="BW53" s="151"/>
      <c r="BX53" s="151"/>
      <c r="BY53" s="151"/>
      <c r="BZ53" s="862"/>
      <c r="CA53" s="862"/>
      <c r="CB53" s="151"/>
      <c r="CC53" s="325"/>
      <c r="CD53" s="862"/>
      <c r="CE53" s="862"/>
      <c r="CF53" s="862"/>
      <c r="CG53" s="890"/>
      <c r="CH53" s="862"/>
      <c r="CI53" s="862"/>
      <c r="CJ53" s="862"/>
      <c r="CK53" s="151"/>
      <c r="CL53" s="862"/>
      <c r="CM53" s="151"/>
      <c r="CN53" s="151"/>
      <c r="CO53" s="151"/>
      <c r="CP53" s="151"/>
      <c r="CQ53" s="862"/>
      <c r="CR53" s="862"/>
      <c r="CS53" s="862"/>
      <c r="CT53" s="862"/>
      <c r="CU53" s="151"/>
      <c r="CV53" s="151"/>
      <c r="CW53" s="151"/>
      <c r="CX53" s="862"/>
      <c r="CY53" s="862"/>
      <c r="CZ53" s="862"/>
      <c r="DA53" s="151"/>
      <c r="DB53" s="862"/>
      <c r="DC53" s="151"/>
      <c r="DD53" s="151"/>
      <c r="DE53" s="151"/>
      <c r="DF53" s="862"/>
      <c r="DG53" s="243"/>
      <c r="DH53" s="862"/>
      <c r="DI53" s="862"/>
      <c r="DJ53" s="151"/>
      <c r="DK53" s="151"/>
      <c r="DL53" s="151"/>
      <c r="DM53" s="862"/>
      <c r="DN53" s="151"/>
      <c r="DO53" s="1002"/>
      <c r="DP53" s="151"/>
      <c r="DQ53" s="151"/>
      <c r="DR53" s="862"/>
      <c r="DS53" s="151"/>
      <c r="DT53" s="862"/>
      <c r="DU53" s="862"/>
      <c r="DV53" s="862"/>
      <c r="DW53" s="862"/>
      <c r="DX53" s="151"/>
      <c r="DY53" s="862"/>
      <c r="DZ53" s="862"/>
      <c r="EA53" s="862"/>
      <c r="EB53" s="151"/>
      <c r="EC53" s="151"/>
      <c r="ED53" s="341"/>
      <c r="EE53" s="958"/>
      <c r="EF53" s="341"/>
      <c r="EG53" s="819"/>
      <c r="EH53" s="341"/>
    </row>
    <row r="54" spans="1:144" s="342" customFormat="1" ht="14.25" customHeight="1" x14ac:dyDescent="0.35">
      <c r="A54" s="331"/>
      <c r="B54" s="1710"/>
      <c r="C54" s="1741"/>
      <c r="D54" s="1260"/>
      <c r="E54" s="1741"/>
      <c r="F54" s="1784"/>
      <c r="G54" s="973" t="s">
        <v>279</v>
      </c>
      <c r="H54" s="973"/>
      <c r="I54" s="1213"/>
      <c r="J54" s="845">
        <v>7.99</v>
      </c>
      <c r="K54" s="846"/>
      <c r="L54" s="327"/>
      <c r="M54" s="972">
        <v>538</v>
      </c>
      <c r="N54" s="325">
        <v>753</v>
      </c>
      <c r="O54" s="325" t="s">
        <v>41</v>
      </c>
      <c r="P54" s="325" t="s">
        <v>41</v>
      </c>
      <c r="Q54" s="862">
        <f t="shared" si="37"/>
        <v>448.74500000000006</v>
      </c>
      <c r="R54" s="325" t="s">
        <v>41</v>
      </c>
      <c r="S54" s="266">
        <v>191690</v>
      </c>
      <c r="T54" s="325">
        <v>741</v>
      </c>
      <c r="U54" s="325" t="s">
        <v>41</v>
      </c>
      <c r="V54" s="862">
        <f t="shared" si="38"/>
        <v>56.242314974999942</v>
      </c>
      <c r="W54" s="325" t="s">
        <v>41</v>
      </c>
      <c r="X54" s="325">
        <v>198530</v>
      </c>
      <c r="Y54" s="848">
        <f t="shared" si="36"/>
        <v>560.60886481968396</v>
      </c>
      <c r="Z54" s="325">
        <f t="shared" si="4"/>
        <v>191690</v>
      </c>
      <c r="AA54" s="325">
        <f t="shared" si="35"/>
        <v>2.9245597830856278E-3</v>
      </c>
      <c r="AB54" s="325">
        <f t="shared" si="6"/>
        <v>753</v>
      </c>
      <c r="AC54" s="849"/>
      <c r="AD54" s="928">
        <v>1200</v>
      </c>
      <c r="AE54" s="852">
        <v>60.11</v>
      </c>
      <c r="AF54" s="852">
        <v>40</v>
      </c>
      <c r="AG54" s="852">
        <v>2.75</v>
      </c>
      <c r="AH54" s="852">
        <v>1.88</v>
      </c>
      <c r="AI54" s="852">
        <f t="shared" si="7"/>
        <v>50.85</v>
      </c>
      <c r="AJ54" s="852">
        <f t="shared" si="8"/>
        <v>30.740000000000002</v>
      </c>
      <c r="AK54" s="853">
        <f t="shared" si="27"/>
        <v>504.987314975</v>
      </c>
      <c r="AL54" s="880">
        <f t="shared" si="9"/>
        <v>56.242314974999942</v>
      </c>
      <c r="AM54" s="881">
        <f t="shared" si="10"/>
        <v>538</v>
      </c>
      <c r="AN54" s="882">
        <f t="shared" si="10"/>
        <v>753</v>
      </c>
      <c r="AO54" s="883">
        <f t="shared" si="11"/>
        <v>2.8066148468882048E-3</v>
      </c>
      <c r="AP54" s="957">
        <v>191690</v>
      </c>
      <c r="AQ54" s="849">
        <v>7</v>
      </c>
      <c r="AR54" s="151"/>
      <c r="AS54" s="1163" t="s">
        <v>397</v>
      </c>
      <c r="AT54" s="1163" t="s">
        <v>397</v>
      </c>
      <c r="AU54" s="886"/>
      <c r="AV54" s="888"/>
      <c r="AW54" s="888"/>
      <c r="AX54" s="888"/>
      <c r="AY54" s="888"/>
      <c r="AZ54" s="888"/>
      <c r="BA54" s="888"/>
      <c r="BB54" s="887"/>
      <c r="BC54" s="862"/>
      <c r="BD54" s="325"/>
      <c r="BE54" s="151"/>
      <c r="BF54" s="325"/>
      <c r="BG54" s="151"/>
      <c r="BH54" s="151"/>
      <c r="BI54" s="151"/>
      <c r="BJ54" s="151"/>
      <c r="BK54" s="243"/>
      <c r="BL54" s="243"/>
      <c r="BM54" s="862"/>
      <c r="BN54" s="862"/>
      <c r="BO54" s="862"/>
      <c r="BP54" s="862"/>
      <c r="BQ54" s="151"/>
      <c r="BR54" s="325"/>
      <c r="BS54" s="889"/>
      <c r="BT54" s="151"/>
      <c r="BU54" s="151"/>
      <c r="BV54" s="325"/>
      <c r="BW54" s="151"/>
      <c r="BX54" s="151"/>
      <c r="BY54" s="151"/>
      <c r="BZ54" s="862"/>
      <c r="CA54" s="862"/>
      <c r="CB54" s="151"/>
      <c r="CC54" s="325"/>
      <c r="CD54" s="862"/>
      <c r="CE54" s="862"/>
      <c r="CF54" s="862"/>
      <c r="CG54" s="890"/>
      <c r="CH54" s="862"/>
      <c r="CI54" s="862"/>
      <c r="CJ54" s="862"/>
      <c r="CK54" s="151"/>
      <c r="CL54" s="862"/>
      <c r="CM54" s="151"/>
      <c r="CN54" s="151"/>
      <c r="CO54" s="151"/>
      <c r="CP54" s="151"/>
      <c r="CQ54" s="862"/>
      <c r="CR54" s="862"/>
      <c r="CS54" s="862"/>
      <c r="CT54" s="862"/>
      <c r="CU54" s="151"/>
      <c r="CV54" s="151"/>
      <c r="CW54" s="151"/>
      <c r="CX54" s="862"/>
      <c r="CY54" s="862"/>
      <c r="CZ54" s="862"/>
      <c r="DA54" s="151"/>
      <c r="DB54" s="862"/>
      <c r="DC54" s="151"/>
      <c r="DD54" s="151"/>
      <c r="DE54" s="151"/>
      <c r="DF54" s="862"/>
      <c r="DG54" s="243"/>
      <c r="DH54" s="862"/>
      <c r="DI54" s="862"/>
      <c r="DJ54" s="151"/>
      <c r="DK54" s="151"/>
      <c r="DL54" s="151"/>
      <c r="DM54" s="862"/>
      <c r="DN54" s="151"/>
      <c r="DO54" s="1002"/>
      <c r="DP54" s="151"/>
      <c r="DQ54" s="151"/>
      <c r="DR54" s="862"/>
      <c r="DS54" s="151"/>
      <c r="DT54" s="862"/>
      <c r="DU54" s="862"/>
      <c r="DV54" s="862"/>
      <c r="DW54" s="862"/>
      <c r="DX54" s="151"/>
      <c r="DY54" s="862"/>
      <c r="DZ54" s="862"/>
      <c r="EA54" s="862"/>
      <c r="EB54" s="151"/>
      <c r="EC54" s="151"/>
      <c r="ED54" s="341"/>
      <c r="EE54" s="958"/>
      <c r="EF54" s="341"/>
      <c r="EG54" s="819"/>
      <c r="EH54" s="341"/>
    </row>
    <row r="55" spans="1:144" s="342" customFormat="1" ht="14.25" customHeight="1" thickBot="1" x14ac:dyDescent="0.4">
      <c r="A55" s="331"/>
      <c r="B55" s="1711"/>
      <c r="C55" s="1742"/>
      <c r="D55" s="1261"/>
      <c r="E55" s="1742"/>
      <c r="F55" s="1785"/>
      <c r="G55" s="974" t="s">
        <v>280</v>
      </c>
      <c r="H55" s="974"/>
      <c r="I55" s="1214"/>
      <c r="J55" s="975">
        <v>5.69</v>
      </c>
      <c r="K55" s="976"/>
      <c r="L55" s="977"/>
      <c r="M55" s="978">
        <v>538</v>
      </c>
      <c r="N55" s="979">
        <v>753</v>
      </c>
      <c r="O55" s="979" t="s">
        <v>41</v>
      </c>
      <c r="P55" s="979" t="s">
        <v>41</v>
      </c>
      <c r="Q55" s="980">
        <f t="shared" si="37"/>
        <v>448.41500000000002</v>
      </c>
      <c r="R55" s="979" t="s">
        <v>41</v>
      </c>
      <c r="S55" s="981">
        <v>191690</v>
      </c>
      <c r="T55" s="979">
        <v>741</v>
      </c>
      <c r="U55" s="979" t="s">
        <v>41</v>
      </c>
      <c r="V55" s="980">
        <f t="shared" si="38"/>
        <v>56.242314974999999</v>
      </c>
      <c r="W55" s="979" t="s">
        <v>41</v>
      </c>
      <c r="X55" s="979">
        <v>198530</v>
      </c>
      <c r="Y55" s="982">
        <f t="shared" si="36"/>
        <v>560.62364896165354</v>
      </c>
      <c r="Z55" s="979">
        <f t="shared" si="4"/>
        <v>191690</v>
      </c>
      <c r="AA55" s="979">
        <f t="shared" si="35"/>
        <v>2.9246369083502192E-3</v>
      </c>
      <c r="AB55" s="979">
        <f t="shared" si="6"/>
        <v>753</v>
      </c>
      <c r="AC55" s="983"/>
      <c r="AD55" s="984">
        <v>1200</v>
      </c>
      <c r="AE55" s="985">
        <v>39.950000000000003</v>
      </c>
      <c r="AF55" s="985">
        <v>60.1</v>
      </c>
      <c r="AG55" s="985">
        <v>2.75</v>
      </c>
      <c r="AH55" s="985">
        <v>1.88</v>
      </c>
      <c r="AI55" s="985">
        <f t="shared" si="7"/>
        <v>30.690000000000005</v>
      </c>
      <c r="AJ55" s="985">
        <f t="shared" si="8"/>
        <v>50.84</v>
      </c>
      <c r="AK55" s="986">
        <f t="shared" si="27"/>
        <v>504.65731497500002</v>
      </c>
      <c r="AL55" s="987">
        <f t="shared" si="9"/>
        <v>56.242314974999999</v>
      </c>
      <c r="AM55" s="988">
        <f t="shared" si="10"/>
        <v>538</v>
      </c>
      <c r="AN55" s="989">
        <f t="shared" si="10"/>
        <v>753</v>
      </c>
      <c r="AO55" s="990">
        <f t="shared" si="11"/>
        <v>2.8066148468882048E-3</v>
      </c>
      <c r="AP55" s="991">
        <v>191690</v>
      </c>
      <c r="AQ55" s="983">
        <v>7</v>
      </c>
      <c r="AR55" s="151"/>
      <c r="AS55" s="1163" t="s">
        <v>397</v>
      </c>
      <c r="AT55" s="1163" t="s">
        <v>397</v>
      </c>
      <c r="AU55" s="886"/>
      <c r="AV55" s="888"/>
      <c r="AW55" s="888"/>
      <c r="AX55" s="888"/>
      <c r="AY55" s="888"/>
      <c r="AZ55" s="888"/>
      <c r="BA55" s="888"/>
      <c r="BB55" s="887"/>
      <c r="BC55" s="862"/>
      <c r="BD55" s="325"/>
      <c r="BE55" s="151"/>
      <c r="BF55" s="325"/>
      <c r="BG55" s="151"/>
      <c r="BH55" s="151"/>
      <c r="BI55" s="151"/>
      <c r="BJ55" s="151"/>
      <c r="BK55" s="243"/>
      <c r="BL55" s="243"/>
      <c r="BM55" s="862"/>
      <c r="BN55" s="862"/>
      <c r="BO55" s="862"/>
      <c r="BP55" s="862"/>
      <c r="BQ55" s="151"/>
      <c r="BR55" s="325"/>
      <c r="BS55" s="889"/>
      <c r="BT55" s="151"/>
      <c r="BU55" s="151"/>
      <c r="BV55" s="325"/>
      <c r="BW55" s="151"/>
      <c r="BX55" s="151"/>
      <c r="BY55" s="151"/>
      <c r="BZ55" s="862"/>
      <c r="CA55" s="862"/>
      <c r="CB55" s="151"/>
      <c r="CC55" s="325"/>
      <c r="CD55" s="862"/>
      <c r="CE55" s="862"/>
      <c r="CF55" s="862"/>
      <c r="CG55" s="890"/>
      <c r="CH55" s="862"/>
      <c r="CI55" s="862"/>
      <c r="CJ55" s="862"/>
      <c r="CK55" s="151"/>
      <c r="CL55" s="862"/>
      <c r="CM55" s="151"/>
      <c r="CN55" s="151"/>
      <c r="CO55" s="151"/>
      <c r="CP55" s="151"/>
      <c r="CQ55" s="862"/>
      <c r="CR55" s="862"/>
      <c r="CS55" s="862"/>
      <c r="CT55" s="862"/>
      <c r="CU55" s="151"/>
      <c r="CV55" s="151"/>
      <c r="CW55" s="151"/>
      <c r="CX55" s="862"/>
      <c r="CY55" s="862"/>
      <c r="CZ55" s="862"/>
      <c r="DA55" s="151"/>
      <c r="DB55" s="862"/>
      <c r="DC55" s="151"/>
      <c r="DD55" s="151"/>
      <c r="DE55" s="151"/>
      <c r="DF55" s="862"/>
      <c r="DG55" s="243"/>
      <c r="DH55" s="862"/>
      <c r="DI55" s="862"/>
      <c r="DJ55" s="151"/>
      <c r="DK55" s="151"/>
      <c r="DL55" s="151"/>
      <c r="DM55" s="862"/>
      <c r="DN55" s="151"/>
      <c r="DO55" s="1002"/>
      <c r="DP55" s="151"/>
      <c r="DQ55" s="151"/>
      <c r="DR55" s="862"/>
      <c r="DS55" s="151"/>
      <c r="DT55" s="862"/>
      <c r="DU55" s="862"/>
      <c r="DV55" s="862"/>
      <c r="DW55" s="862"/>
      <c r="DX55" s="151"/>
      <c r="DY55" s="862"/>
      <c r="DZ55" s="862"/>
      <c r="EA55" s="862"/>
      <c r="EB55" s="151"/>
      <c r="EC55" s="151"/>
      <c r="ED55" s="341"/>
      <c r="EE55" s="958"/>
      <c r="EF55" s="341"/>
      <c r="EG55" s="819"/>
      <c r="EH55" s="341"/>
    </row>
    <row r="56" spans="1:144" s="342" customFormat="1" ht="14.25" customHeight="1" x14ac:dyDescent="0.35">
      <c r="A56" s="331">
        <v>13</v>
      </c>
      <c r="B56" s="1704" t="s">
        <v>372</v>
      </c>
      <c r="C56" s="1759" t="s">
        <v>364</v>
      </c>
      <c r="D56" s="1257"/>
      <c r="E56" s="1759" t="s">
        <v>240</v>
      </c>
      <c r="F56" s="1759" t="s">
        <v>281</v>
      </c>
      <c r="G56" s="992" t="s">
        <v>282</v>
      </c>
      <c r="H56" s="992"/>
      <c r="I56" s="1215"/>
      <c r="J56" s="993">
        <v>39.1</v>
      </c>
      <c r="K56" s="846"/>
      <c r="L56" s="847"/>
      <c r="M56" s="325">
        <v>586</v>
      </c>
      <c r="N56" s="325">
        <v>761</v>
      </c>
      <c r="O56" s="325" t="s">
        <v>41</v>
      </c>
      <c r="P56" s="325" t="s">
        <v>41</v>
      </c>
      <c r="Q56" s="862">
        <f t="shared" si="37"/>
        <v>1367.4528</v>
      </c>
      <c r="R56" s="325" t="s">
        <v>41</v>
      </c>
      <c r="S56" s="325">
        <v>198771</v>
      </c>
      <c r="T56" s="848">
        <v>811</v>
      </c>
      <c r="U56" s="325" t="s">
        <v>41</v>
      </c>
      <c r="V56" s="862">
        <f t="shared" si="38"/>
        <v>141.86917785600008</v>
      </c>
      <c r="W56" s="325" t="s">
        <v>41</v>
      </c>
      <c r="X56" s="325">
        <v>206000</v>
      </c>
      <c r="Y56" s="848">
        <f t="shared" si="36"/>
        <v>607.14894335729696</v>
      </c>
      <c r="Z56" s="325">
        <f>S56</f>
        <v>198771</v>
      </c>
      <c r="AA56" s="325">
        <f t="shared" ref="AA56:AA71" si="39">Y56/Z56</f>
        <v>3.0545147096774526E-3</v>
      </c>
      <c r="AB56" s="325">
        <f t="shared" si="6"/>
        <v>761</v>
      </c>
      <c r="AC56" s="849"/>
      <c r="AD56" s="994">
        <v>1100</v>
      </c>
      <c r="AE56" s="995">
        <v>102.3</v>
      </c>
      <c r="AF56" s="996">
        <v>103</v>
      </c>
      <c r="AG56" s="995">
        <v>3.92</v>
      </c>
      <c r="AH56" s="996">
        <v>3.8</v>
      </c>
      <c r="AI56" s="996">
        <f t="shared" si="7"/>
        <v>86.86</v>
      </c>
      <c r="AJ56" s="996">
        <f t="shared" si="8"/>
        <v>87.56</v>
      </c>
      <c r="AK56" s="996">
        <f t="shared" si="27"/>
        <v>1509.3219778560001</v>
      </c>
      <c r="AL56" s="996">
        <f t="shared" si="9"/>
        <v>141.86917785600008</v>
      </c>
      <c r="AM56" s="881">
        <f t="shared" si="10"/>
        <v>586</v>
      </c>
      <c r="AN56" s="882">
        <f t="shared" si="10"/>
        <v>761</v>
      </c>
      <c r="AO56" s="997">
        <f t="shared" si="11"/>
        <v>2.9481161738885452E-3</v>
      </c>
      <c r="AP56" s="998">
        <v>198771</v>
      </c>
      <c r="AQ56" s="885">
        <v>7</v>
      </c>
      <c r="AR56" s="151"/>
      <c r="AS56" s="1163" t="s">
        <v>397</v>
      </c>
      <c r="AT56" s="1163" t="s">
        <v>397</v>
      </c>
      <c r="AU56" s="887"/>
      <c r="AV56" s="887"/>
      <c r="AW56" s="887"/>
      <c r="AX56" s="887"/>
      <c r="AY56" s="887"/>
      <c r="AZ56" s="887"/>
      <c r="BA56" s="887"/>
      <c r="BB56" s="887"/>
      <c r="BC56" s="862"/>
      <c r="BD56" s="325"/>
      <c r="BE56" s="151"/>
      <c r="BF56" s="325"/>
      <c r="BG56" s="151"/>
      <c r="BH56" s="151"/>
      <c r="BI56" s="151"/>
      <c r="BJ56" s="151"/>
      <c r="BK56" s="243"/>
      <c r="BL56" s="243"/>
      <c r="BM56" s="862"/>
      <c r="BN56" s="862"/>
      <c r="BO56" s="862"/>
      <c r="BP56" s="862"/>
      <c r="BQ56" s="151"/>
      <c r="BR56" s="325"/>
      <c r="BS56" s="889"/>
      <c r="BT56" s="151"/>
      <c r="BU56" s="151"/>
      <c r="BV56" s="325"/>
      <c r="BW56" s="151"/>
      <c r="BX56" s="151"/>
      <c r="BY56" s="151"/>
      <c r="BZ56" s="862"/>
      <c r="CA56" s="862"/>
      <c r="CB56" s="151"/>
      <c r="CC56" s="325"/>
      <c r="CD56" s="862"/>
      <c r="CE56" s="862"/>
      <c r="CF56" s="862"/>
      <c r="CG56" s="890"/>
      <c r="CH56" s="862"/>
      <c r="CI56" s="862"/>
      <c r="CJ56" s="862"/>
      <c r="CK56" s="151"/>
      <c r="CL56" s="862"/>
      <c r="CM56" s="151"/>
      <c r="CN56" s="151"/>
      <c r="CO56" s="327"/>
      <c r="CP56" s="151"/>
      <c r="CQ56" s="862"/>
      <c r="CR56" s="862"/>
      <c r="CS56" s="862"/>
      <c r="CT56" s="862"/>
      <c r="CU56" s="151"/>
      <c r="CV56" s="151"/>
      <c r="CW56" s="151"/>
      <c r="CX56" s="862"/>
      <c r="CY56" s="862"/>
      <c r="CZ56" s="862"/>
      <c r="DA56" s="151"/>
      <c r="DB56" s="862"/>
      <c r="DC56" s="151"/>
      <c r="DD56" s="151"/>
      <c r="DE56" s="151"/>
      <c r="DF56" s="862"/>
      <c r="DG56" s="243"/>
      <c r="DH56" s="862"/>
      <c r="DI56" s="862"/>
      <c r="DJ56" s="151"/>
      <c r="DK56" s="151"/>
      <c r="DL56" s="151"/>
      <c r="DM56" s="862"/>
      <c r="DN56" s="151"/>
      <c r="DO56" s="1002"/>
      <c r="DP56" s="151"/>
      <c r="DQ56" s="151"/>
      <c r="DR56" s="862"/>
      <c r="DS56" s="151"/>
      <c r="DT56" s="862"/>
      <c r="DU56" s="862"/>
      <c r="DV56" s="862"/>
      <c r="DW56" s="862"/>
      <c r="DX56" s="151"/>
      <c r="DY56" s="862"/>
      <c r="DZ56" s="862"/>
      <c r="EA56" s="862"/>
      <c r="EB56" s="151"/>
      <c r="EC56" s="151"/>
      <c r="ED56" s="341"/>
      <c r="EE56" s="958"/>
      <c r="EF56" s="341"/>
      <c r="EG56" s="819"/>
      <c r="EH56" s="341"/>
    </row>
    <row r="57" spans="1:144" s="342" customFormat="1" ht="14.25" customHeight="1" x14ac:dyDescent="0.35">
      <c r="A57" s="331"/>
      <c r="B57" s="1704"/>
      <c r="C57" s="1759"/>
      <c r="D57" s="1257"/>
      <c r="E57" s="1759"/>
      <c r="F57" s="1759"/>
      <c r="G57" s="992" t="s">
        <v>282</v>
      </c>
      <c r="H57" s="992"/>
      <c r="I57" s="1215"/>
      <c r="J57" s="1000">
        <v>36.1</v>
      </c>
      <c r="K57" s="846"/>
      <c r="L57" s="847"/>
      <c r="M57" s="972">
        <v>586</v>
      </c>
      <c r="N57" s="325">
        <v>761</v>
      </c>
      <c r="O57" s="325" t="s">
        <v>41</v>
      </c>
      <c r="P57" s="325" t="s">
        <v>41</v>
      </c>
      <c r="Q57" s="862">
        <f t="shared" si="37"/>
        <v>1329.6227999999999</v>
      </c>
      <c r="R57" s="325" t="s">
        <v>41</v>
      </c>
      <c r="S57" s="325">
        <v>198771</v>
      </c>
      <c r="T57" s="848">
        <v>811</v>
      </c>
      <c r="U57" s="325" t="s">
        <v>41</v>
      </c>
      <c r="V57" s="862">
        <f t="shared" si="38"/>
        <v>139.93552921100013</v>
      </c>
      <c r="W57" s="325" t="s">
        <v>41</v>
      </c>
      <c r="X57" s="325">
        <v>206000</v>
      </c>
      <c r="Y57" s="848">
        <f t="shared" ref="Y57:Y71" si="40">((M57*Q57)+(T57*V57))/(Q57+V57)</f>
        <v>607.42514076959401</v>
      </c>
      <c r="Z57" s="325">
        <f t="shared" si="4"/>
        <v>198771</v>
      </c>
      <c r="AA57" s="325">
        <f t="shared" si="39"/>
        <v>3.0559042353743454E-3</v>
      </c>
      <c r="AB57" s="325">
        <f t="shared" si="6"/>
        <v>761</v>
      </c>
      <c r="AC57" s="849"/>
      <c r="AD57" s="994">
        <v>1100</v>
      </c>
      <c r="AE57" s="995">
        <v>102.5</v>
      </c>
      <c r="AF57" s="995">
        <v>102</v>
      </c>
      <c r="AG57" s="995">
        <v>3.83</v>
      </c>
      <c r="AH57" s="995">
        <v>3.9</v>
      </c>
      <c r="AI57" s="995">
        <f t="shared" si="7"/>
        <v>87.039999999999992</v>
      </c>
      <c r="AJ57" s="995">
        <f t="shared" si="8"/>
        <v>86.539999999999992</v>
      </c>
      <c r="AK57" s="1001">
        <f t="shared" si="27"/>
        <v>1469.558329211</v>
      </c>
      <c r="AL57" s="1002">
        <f t="shared" si="9"/>
        <v>139.93552921100013</v>
      </c>
      <c r="AM57" s="881">
        <f t="shared" si="10"/>
        <v>586</v>
      </c>
      <c r="AN57" s="882">
        <f t="shared" si="10"/>
        <v>761</v>
      </c>
      <c r="AO57" s="1003">
        <f t="shared" si="11"/>
        <v>2.9481161738885452E-3</v>
      </c>
      <c r="AP57" s="998">
        <v>198771</v>
      </c>
      <c r="AQ57" s="885">
        <v>7</v>
      </c>
      <c r="AR57" s="151"/>
      <c r="AS57" s="1163" t="s">
        <v>397</v>
      </c>
      <c r="AT57" s="1163" t="s">
        <v>397</v>
      </c>
      <c r="AU57" s="887"/>
      <c r="AV57" s="1004"/>
      <c r="AW57" s="1004"/>
      <c r="AX57" s="1004"/>
      <c r="AY57" s="1004"/>
      <c r="AZ57" s="1004"/>
      <c r="BA57" s="1004"/>
      <c r="BB57" s="887"/>
      <c r="BC57" s="862"/>
      <c r="BD57" s="325"/>
      <c r="BE57" s="151"/>
      <c r="BF57" s="325"/>
      <c r="BG57" s="151"/>
      <c r="BH57" s="151"/>
      <c r="BI57" s="151"/>
      <c r="BJ57" s="151"/>
      <c r="BK57" s="243"/>
      <c r="BL57" s="243"/>
      <c r="BM57" s="862"/>
      <c r="BN57" s="862"/>
      <c r="BO57" s="862"/>
      <c r="BP57" s="862"/>
      <c r="BQ57" s="151"/>
      <c r="BR57" s="325"/>
      <c r="BS57" s="889"/>
      <c r="BT57" s="151"/>
      <c r="BU57" s="151"/>
      <c r="BV57" s="325"/>
      <c r="BW57" s="151"/>
      <c r="BX57" s="151"/>
      <c r="BY57" s="151"/>
      <c r="BZ57" s="862"/>
      <c r="CA57" s="862"/>
      <c r="CB57" s="151"/>
      <c r="CC57" s="325"/>
      <c r="CD57" s="862"/>
      <c r="CE57" s="862"/>
      <c r="CF57" s="862"/>
      <c r="CG57" s="890"/>
      <c r="CH57" s="862"/>
      <c r="CI57" s="862"/>
      <c r="CJ57" s="862"/>
      <c r="CK57" s="151"/>
      <c r="CL57" s="862"/>
      <c r="CM57" s="151"/>
      <c r="CN57" s="151"/>
      <c r="CO57" s="151"/>
      <c r="CP57" s="151"/>
      <c r="CQ57" s="862"/>
      <c r="CR57" s="862"/>
      <c r="CS57" s="862"/>
      <c r="CT57" s="862"/>
      <c r="CU57" s="151"/>
      <c r="CV57" s="151"/>
      <c r="CW57" s="151"/>
      <c r="CX57" s="862"/>
      <c r="CY57" s="862"/>
      <c r="CZ57" s="862"/>
      <c r="DA57" s="151"/>
      <c r="DB57" s="862"/>
      <c r="DC57" s="151"/>
      <c r="DD57" s="151"/>
      <c r="DE57" s="151"/>
      <c r="DF57" s="862"/>
      <c r="DG57" s="243"/>
      <c r="DH57" s="862"/>
      <c r="DI57" s="862"/>
      <c r="DJ57" s="151"/>
      <c r="DK57" s="151"/>
      <c r="DL57" s="151"/>
      <c r="DM57" s="862"/>
      <c r="DN57" s="151"/>
      <c r="DO57" s="1002"/>
      <c r="DP57" s="151"/>
      <c r="DQ57" s="151"/>
      <c r="DR57" s="862"/>
      <c r="DS57" s="151"/>
      <c r="DT57" s="862"/>
      <c r="DU57" s="862"/>
      <c r="DV57" s="862"/>
      <c r="DW57" s="862"/>
      <c r="DX57" s="151"/>
      <c r="DY57" s="862"/>
      <c r="DZ57" s="862"/>
      <c r="EA57" s="862"/>
      <c r="EB57" s="151"/>
      <c r="EC57" s="151"/>
      <c r="ED57" s="341"/>
      <c r="EE57" s="958"/>
      <c r="EF57" s="341"/>
      <c r="EG57" s="819"/>
      <c r="EH57" s="341"/>
    </row>
    <row r="58" spans="1:144" s="342" customFormat="1" ht="14.25" customHeight="1" x14ac:dyDescent="0.35">
      <c r="A58" s="331"/>
      <c r="B58" s="1704"/>
      <c r="C58" s="1759"/>
      <c r="D58" s="1257"/>
      <c r="E58" s="1759"/>
      <c r="F58" s="1759"/>
      <c r="G58" s="992" t="s">
        <v>283</v>
      </c>
      <c r="H58" s="992"/>
      <c r="I58" s="1215"/>
      <c r="J58" s="1000">
        <v>24.9</v>
      </c>
      <c r="K58" s="846"/>
      <c r="L58" s="847"/>
      <c r="M58" s="972">
        <v>679</v>
      </c>
      <c r="N58" s="325">
        <v>773</v>
      </c>
      <c r="O58" s="325" t="s">
        <v>41</v>
      </c>
      <c r="P58" s="325" t="s">
        <v>41</v>
      </c>
      <c r="Q58" s="862">
        <f t="shared" si="37"/>
        <v>981.05919999999992</v>
      </c>
      <c r="R58" s="325" t="s">
        <v>41</v>
      </c>
      <c r="S58" s="325">
        <v>199864</v>
      </c>
      <c r="T58" s="848">
        <v>731</v>
      </c>
      <c r="U58" s="325" t="s">
        <v>41</v>
      </c>
      <c r="V58" s="862">
        <f t="shared" si="38"/>
        <v>127.10119158400011</v>
      </c>
      <c r="W58" s="325" t="s">
        <v>41</v>
      </c>
      <c r="X58" s="325">
        <v>210000</v>
      </c>
      <c r="Y58" s="848">
        <f t="shared" si="40"/>
        <v>684.96417451170646</v>
      </c>
      <c r="Z58" s="325">
        <f>S58</f>
        <v>199864</v>
      </c>
      <c r="AA58" s="325">
        <f t="shared" si="39"/>
        <v>3.4271513354666495E-3</v>
      </c>
      <c r="AB58" s="325">
        <f t="shared" si="6"/>
        <v>773</v>
      </c>
      <c r="AC58" s="849"/>
      <c r="AD58" s="994">
        <v>1100</v>
      </c>
      <c r="AE58" s="995">
        <v>79.5</v>
      </c>
      <c r="AF58" s="995">
        <v>80</v>
      </c>
      <c r="AG58" s="995">
        <v>3.76</v>
      </c>
      <c r="AH58" s="995">
        <v>3.5</v>
      </c>
      <c r="AI58" s="995">
        <f t="shared" si="7"/>
        <v>64.98</v>
      </c>
      <c r="AJ58" s="995">
        <f t="shared" si="8"/>
        <v>65.48</v>
      </c>
      <c r="AK58" s="1001">
        <f t="shared" si="27"/>
        <v>1108.1603915840001</v>
      </c>
      <c r="AL58" s="996">
        <f t="shared" si="9"/>
        <v>127.10119158400011</v>
      </c>
      <c r="AM58" s="881">
        <f t="shared" si="10"/>
        <v>679</v>
      </c>
      <c r="AN58" s="882">
        <f t="shared" si="10"/>
        <v>773</v>
      </c>
      <c r="AO58" s="1003">
        <f t="shared" si="11"/>
        <v>3.3973101709162232E-3</v>
      </c>
      <c r="AP58" s="998">
        <v>199864</v>
      </c>
      <c r="AQ58" s="885">
        <v>7</v>
      </c>
      <c r="AR58" s="151"/>
      <c r="AS58" s="1163" t="s">
        <v>397</v>
      </c>
      <c r="AT58" s="1163" t="s">
        <v>397</v>
      </c>
      <c r="AU58" s="887"/>
      <c r="AV58" s="1004"/>
      <c r="AW58" s="1004"/>
      <c r="AX58" s="1004"/>
      <c r="AY58" s="1004"/>
      <c r="AZ58" s="1004"/>
      <c r="BA58" s="1004"/>
      <c r="BB58" s="887"/>
      <c r="BC58" s="862"/>
      <c r="BD58" s="325"/>
      <c r="BE58" s="151"/>
      <c r="BF58" s="325"/>
      <c r="BG58" s="151"/>
      <c r="BH58" s="151"/>
      <c r="BI58" s="151"/>
      <c r="BJ58" s="151"/>
      <c r="BK58" s="243"/>
      <c r="BL58" s="243"/>
      <c r="BM58" s="862"/>
      <c r="BN58" s="862"/>
      <c r="BO58" s="862"/>
      <c r="BP58" s="862"/>
      <c r="BQ58" s="151"/>
      <c r="BR58" s="325"/>
      <c r="BS58" s="889"/>
      <c r="BT58" s="151"/>
      <c r="BU58" s="151"/>
      <c r="BV58" s="325"/>
      <c r="BW58" s="151"/>
      <c r="BX58" s="151"/>
      <c r="BY58" s="151"/>
      <c r="BZ58" s="862"/>
      <c r="CA58" s="862"/>
      <c r="CB58" s="151"/>
      <c r="CC58" s="325"/>
      <c r="CD58" s="862"/>
      <c r="CE58" s="862"/>
      <c r="CF58" s="862"/>
      <c r="CG58" s="890"/>
      <c r="CH58" s="862"/>
      <c r="CI58" s="862"/>
      <c r="CJ58" s="862"/>
      <c r="CK58" s="151"/>
      <c r="CL58" s="862"/>
      <c r="CM58" s="151"/>
      <c r="CN58" s="151"/>
      <c r="CO58" s="151"/>
      <c r="CP58" s="151"/>
      <c r="CQ58" s="862"/>
      <c r="CR58" s="862"/>
      <c r="CS58" s="862"/>
      <c r="CT58" s="862"/>
      <c r="CU58" s="151"/>
      <c r="CV58" s="151"/>
      <c r="CW58" s="151"/>
      <c r="CX58" s="862"/>
      <c r="CY58" s="862"/>
      <c r="CZ58" s="862"/>
      <c r="DA58" s="151"/>
      <c r="DB58" s="862"/>
      <c r="DC58" s="151"/>
      <c r="DD58" s="151"/>
      <c r="DE58" s="151"/>
      <c r="DF58" s="862"/>
      <c r="DG58" s="243"/>
      <c r="DH58" s="862"/>
      <c r="DI58" s="862"/>
      <c r="DJ58" s="151"/>
      <c r="DK58" s="151"/>
      <c r="DL58" s="151"/>
      <c r="DM58" s="862"/>
      <c r="DN58" s="151"/>
      <c r="DO58" s="1002"/>
      <c r="DP58" s="151"/>
      <c r="DQ58" s="151"/>
      <c r="DR58" s="862"/>
      <c r="DS58" s="151"/>
      <c r="DT58" s="862"/>
      <c r="DU58" s="862"/>
      <c r="DV58" s="862"/>
      <c r="DW58" s="862"/>
      <c r="DX58" s="151"/>
      <c r="DY58" s="862"/>
      <c r="DZ58" s="862"/>
      <c r="EA58" s="862"/>
      <c r="EB58" s="151"/>
      <c r="EC58" s="151"/>
      <c r="ED58" s="341"/>
      <c r="EE58" s="958"/>
      <c r="EF58" s="341"/>
      <c r="EG58" s="819"/>
      <c r="EH58" s="341"/>
    </row>
    <row r="59" spans="1:144" s="342" customFormat="1" ht="14.25" customHeight="1" x14ac:dyDescent="0.35">
      <c r="A59" s="331"/>
      <c r="B59" s="1704"/>
      <c r="C59" s="1759"/>
      <c r="D59" s="1257"/>
      <c r="E59" s="1759"/>
      <c r="F59" s="1759"/>
      <c r="G59" s="992" t="s">
        <v>283</v>
      </c>
      <c r="H59" s="992"/>
      <c r="I59" s="1215"/>
      <c r="J59" s="1000">
        <v>24.3</v>
      </c>
      <c r="K59" s="846"/>
      <c r="L59" s="847"/>
      <c r="M59" s="972">
        <v>679</v>
      </c>
      <c r="N59" s="325">
        <v>773</v>
      </c>
      <c r="O59" s="325" t="s">
        <v>41</v>
      </c>
      <c r="P59" s="325" t="s">
        <v>41</v>
      </c>
      <c r="Q59" s="862">
        <f t="shared" si="37"/>
        <v>953.25120000000004</v>
      </c>
      <c r="R59" s="325" t="s">
        <v>41</v>
      </c>
      <c r="S59" s="325">
        <v>199864</v>
      </c>
      <c r="T59" s="848">
        <v>731</v>
      </c>
      <c r="U59" s="325" t="s">
        <v>41</v>
      </c>
      <c r="V59" s="862">
        <f t="shared" si="38"/>
        <v>144.98940504399991</v>
      </c>
      <c r="W59" s="325" t="s">
        <v>41</v>
      </c>
      <c r="X59" s="325">
        <v>210000</v>
      </c>
      <c r="Y59" s="848">
        <f t="shared" si="40"/>
        <v>685.86502486582708</v>
      </c>
      <c r="Z59" s="325">
        <f t="shared" si="4"/>
        <v>199864</v>
      </c>
      <c r="AA59" s="325">
        <f t="shared" si="39"/>
        <v>3.43165865221264E-3</v>
      </c>
      <c r="AB59" s="325">
        <f t="shared" si="6"/>
        <v>773</v>
      </c>
      <c r="AC59" s="849"/>
      <c r="AD59" s="994">
        <v>1100</v>
      </c>
      <c r="AE59" s="995">
        <v>79.599999999999994</v>
      </c>
      <c r="AF59" s="995">
        <v>80</v>
      </c>
      <c r="AG59" s="995">
        <v>3.74</v>
      </c>
      <c r="AH59" s="995">
        <v>4.3</v>
      </c>
      <c r="AI59" s="995">
        <f t="shared" si="7"/>
        <v>63.519999999999996</v>
      </c>
      <c r="AJ59" s="995">
        <f t="shared" si="8"/>
        <v>63.92</v>
      </c>
      <c r="AK59" s="1001">
        <f t="shared" si="27"/>
        <v>1098.2406050439999</v>
      </c>
      <c r="AL59" s="996">
        <f t="shared" si="9"/>
        <v>144.98940504399991</v>
      </c>
      <c r="AM59" s="881">
        <f t="shared" si="10"/>
        <v>679</v>
      </c>
      <c r="AN59" s="882">
        <f t="shared" si="10"/>
        <v>773</v>
      </c>
      <c r="AO59" s="1003">
        <f t="shared" si="11"/>
        <v>3.3973101709162232E-3</v>
      </c>
      <c r="AP59" s="998">
        <v>199864</v>
      </c>
      <c r="AQ59" s="885">
        <v>7</v>
      </c>
      <c r="AR59" s="151"/>
      <c r="AS59" s="1163" t="s">
        <v>397</v>
      </c>
      <c r="AT59" s="1163" t="s">
        <v>397</v>
      </c>
      <c r="AU59" s="887"/>
      <c r="AV59" s="1004"/>
      <c r="AW59" s="1004"/>
      <c r="AX59" s="1004"/>
      <c r="AY59" s="1004"/>
      <c r="AZ59" s="1004"/>
      <c r="BA59" s="1004"/>
      <c r="BB59" s="887"/>
      <c r="BC59" s="862"/>
      <c r="BD59" s="325"/>
      <c r="BE59" s="151"/>
      <c r="BF59" s="325"/>
      <c r="BG59" s="151"/>
      <c r="BH59" s="151"/>
      <c r="BI59" s="151"/>
      <c r="BJ59" s="151"/>
      <c r="BK59" s="243"/>
      <c r="BL59" s="243"/>
      <c r="BM59" s="862"/>
      <c r="BN59" s="862"/>
      <c r="BO59" s="862"/>
      <c r="BP59" s="862"/>
      <c r="BQ59" s="151"/>
      <c r="BR59" s="325"/>
      <c r="BS59" s="889"/>
      <c r="BT59" s="151"/>
      <c r="BU59" s="151"/>
      <c r="BV59" s="325"/>
      <c r="BW59" s="151"/>
      <c r="BX59" s="151"/>
      <c r="BY59" s="151"/>
      <c r="BZ59" s="862"/>
      <c r="CA59" s="862"/>
      <c r="CB59" s="151"/>
      <c r="CC59" s="325"/>
      <c r="CD59" s="862"/>
      <c r="CE59" s="862"/>
      <c r="CF59" s="862"/>
      <c r="CG59" s="890"/>
      <c r="CH59" s="862"/>
      <c r="CI59" s="862"/>
      <c r="CJ59" s="862"/>
      <c r="CK59" s="151"/>
      <c r="CL59" s="862"/>
      <c r="CM59" s="151"/>
      <c r="CN59" s="151"/>
      <c r="CO59" s="151"/>
      <c r="CP59" s="151"/>
      <c r="CQ59" s="862"/>
      <c r="CR59" s="862"/>
      <c r="CS59" s="862"/>
      <c r="CT59" s="862"/>
      <c r="CU59" s="151"/>
      <c r="CV59" s="151"/>
      <c r="CW59" s="151"/>
      <c r="CX59" s="862"/>
      <c r="CY59" s="862"/>
      <c r="CZ59" s="862"/>
      <c r="DA59" s="151"/>
      <c r="DB59" s="862"/>
      <c r="DC59" s="151"/>
      <c r="DD59" s="151"/>
      <c r="DE59" s="151"/>
      <c r="DF59" s="862"/>
      <c r="DG59" s="243"/>
      <c r="DH59" s="862"/>
      <c r="DI59" s="862"/>
      <c r="DJ59" s="151"/>
      <c r="DK59" s="151"/>
      <c r="DL59" s="151"/>
      <c r="DM59" s="862"/>
      <c r="DN59" s="151"/>
      <c r="DO59" s="1002"/>
      <c r="DP59" s="151"/>
      <c r="DQ59" s="151"/>
      <c r="DR59" s="862"/>
      <c r="DS59" s="151"/>
      <c r="DT59" s="862"/>
      <c r="DU59" s="862"/>
      <c r="DV59" s="862"/>
      <c r="DW59" s="862"/>
      <c r="DX59" s="151"/>
      <c r="DY59" s="862"/>
      <c r="DZ59" s="862"/>
      <c r="EA59" s="862"/>
      <c r="EB59" s="151"/>
      <c r="EC59" s="151"/>
      <c r="ED59" s="341"/>
      <c r="EE59" s="958"/>
      <c r="EF59" s="341"/>
      <c r="EG59" s="819"/>
      <c r="EH59" s="341"/>
    </row>
    <row r="60" spans="1:144" s="342" customFormat="1" ht="14.25" customHeight="1" x14ac:dyDescent="0.35">
      <c r="A60" s="331"/>
      <c r="B60" s="1704"/>
      <c r="C60" s="1759"/>
      <c r="D60" s="1257"/>
      <c r="E60" s="1759"/>
      <c r="F60" s="1759"/>
      <c r="G60" s="992" t="s">
        <v>284</v>
      </c>
      <c r="H60" s="992"/>
      <c r="I60" s="1215"/>
      <c r="J60" s="1000">
        <v>12.8</v>
      </c>
      <c r="K60" s="846"/>
      <c r="L60" s="847"/>
      <c r="M60" s="972">
        <v>755</v>
      </c>
      <c r="N60" s="325">
        <v>839</v>
      </c>
      <c r="O60" s="325" t="s">
        <v>41</v>
      </c>
      <c r="P60" s="325" t="s">
        <v>41</v>
      </c>
      <c r="Q60" s="862">
        <f t="shared" si="37"/>
        <v>618.66</v>
      </c>
      <c r="R60" s="325" t="s">
        <v>41</v>
      </c>
      <c r="S60" s="325">
        <v>209797</v>
      </c>
      <c r="T60" s="848">
        <v>885</v>
      </c>
      <c r="U60" s="325" t="s">
        <v>41</v>
      </c>
      <c r="V60" s="862">
        <f t="shared" si="38"/>
        <v>76.694065874999978</v>
      </c>
      <c r="W60" s="325" t="s">
        <v>41</v>
      </c>
      <c r="X60" s="325">
        <v>212400</v>
      </c>
      <c r="Y60" s="848">
        <f t="shared" si="40"/>
        <v>769.33834797701797</v>
      </c>
      <c r="Z60" s="325">
        <f t="shared" si="4"/>
        <v>209797</v>
      </c>
      <c r="AA60" s="325">
        <f t="shared" si="39"/>
        <v>3.6670607681569228E-3</v>
      </c>
      <c r="AB60" s="325">
        <f t="shared" si="6"/>
        <v>839</v>
      </c>
      <c r="AC60" s="849"/>
      <c r="AD60" s="994">
        <v>1100</v>
      </c>
      <c r="AE60" s="995">
        <v>60</v>
      </c>
      <c r="AF60" s="995">
        <v>60</v>
      </c>
      <c r="AG60" s="995">
        <v>3.15</v>
      </c>
      <c r="AH60" s="995">
        <v>2.2999999999999998</v>
      </c>
      <c r="AI60" s="995">
        <f t="shared" si="7"/>
        <v>49.1</v>
      </c>
      <c r="AJ60" s="995">
        <f t="shared" si="8"/>
        <v>49.1</v>
      </c>
      <c r="AK60" s="1001">
        <f t="shared" si="27"/>
        <v>695.35406587499995</v>
      </c>
      <c r="AL60" s="996">
        <f t="shared" si="9"/>
        <v>76.694065874999978</v>
      </c>
      <c r="AM60" s="881">
        <f t="shared" si="10"/>
        <v>755</v>
      </c>
      <c r="AN60" s="882">
        <f t="shared" si="10"/>
        <v>839</v>
      </c>
      <c r="AO60" s="1003">
        <f t="shared" si="11"/>
        <v>3.598716854864464E-3</v>
      </c>
      <c r="AP60" s="998">
        <v>209797</v>
      </c>
      <c r="AQ60" s="885">
        <v>7</v>
      </c>
      <c r="AR60" s="151"/>
      <c r="AS60" s="1163" t="s">
        <v>397</v>
      </c>
      <c r="AT60" s="1163" t="s">
        <v>397</v>
      </c>
      <c r="AU60" s="887"/>
      <c r="AV60" s="1004"/>
      <c r="AW60" s="1004"/>
      <c r="AX60" s="1004"/>
      <c r="AY60" s="1004"/>
      <c r="AZ60" s="1004"/>
      <c r="BA60" s="1004"/>
      <c r="BB60" s="887"/>
      <c r="BC60" s="862"/>
      <c r="BD60" s="325"/>
      <c r="BE60" s="151"/>
      <c r="BF60" s="325"/>
      <c r="BG60" s="151"/>
      <c r="BH60" s="151"/>
      <c r="BI60" s="151"/>
      <c r="BJ60" s="151"/>
      <c r="BK60" s="243"/>
      <c r="BL60" s="243"/>
      <c r="BM60" s="862"/>
      <c r="BN60" s="862"/>
      <c r="BO60" s="862"/>
      <c r="BP60" s="862"/>
      <c r="BQ60" s="151"/>
      <c r="BR60" s="325"/>
      <c r="BS60" s="889"/>
      <c r="BT60" s="151"/>
      <c r="BU60" s="151"/>
      <c r="BV60" s="325"/>
      <c r="BW60" s="151"/>
      <c r="BX60" s="151"/>
      <c r="BY60" s="151"/>
      <c r="BZ60" s="862"/>
      <c r="CA60" s="862"/>
      <c r="CB60" s="151"/>
      <c r="CC60" s="325"/>
      <c r="CD60" s="862"/>
      <c r="CE60" s="862"/>
      <c r="CF60" s="862"/>
      <c r="CG60" s="890"/>
      <c r="CH60" s="862"/>
      <c r="CI60" s="862"/>
      <c r="CJ60" s="862"/>
      <c r="CK60" s="151"/>
      <c r="CL60" s="862"/>
      <c r="CM60" s="151"/>
      <c r="CN60" s="151"/>
      <c r="CO60" s="151"/>
      <c r="CP60" s="151"/>
      <c r="CQ60" s="862"/>
      <c r="CR60" s="862"/>
      <c r="CS60" s="862"/>
      <c r="CT60" s="862"/>
      <c r="CU60" s="151"/>
      <c r="CV60" s="151"/>
      <c r="CW60" s="151"/>
      <c r="CX60" s="862"/>
      <c r="CY60" s="862"/>
      <c r="CZ60" s="862"/>
      <c r="DA60" s="151"/>
      <c r="DB60" s="862"/>
      <c r="DC60" s="151"/>
      <c r="DD60" s="151"/>
      <c r="DE60" s="151"/>
      <c r="DF60" s="862"/>
      <c r="DG60" s="243"/>
      <c r="DH60" s="862"/>
      <c r="DI60" s="862"/>
      <c r="DJ60" s="151"/>
      <c r="DK60" s="151"/>
      <c r="DL60" s="151"/>
      <c r="DM60" s="862"/>
      <c r="DN60" s="151"/>
      <c r="DO60" s="1002"/>
      <c r="DP60" s="151"/>
      <c r="DQ60" s="151"/>
      <c r="DR60" s="862"/>
      <c r="DS60" s="151"/>
      <c r="DT60" s="862"/>
      <c r="DU60" s="862"/>
      <c r="DV60" s="862"/>
      <c r="DW60" s="862"/>
      <c r="DX60" s="151"/>
      <c r="DY60" s="862"/>
      <c r="DZ60" s="862"/>
      <c r="EA60" s="862"/>
      <c r="EB60" s="151"/>
      <c r="EC60" s="151"/>
      <c r="ED60" s="341"/>
      <c r="EE60" s="958"/>
      <c r="EF60" s="341"/>
      <c r="EG60" s="819"/>
      <c r="EH60" s="341"/>
    </row>
    <row r="61" spans="1:144" s="342" customFormat="1" ht="14.25" customHeight="1" x14ac:dyDescent="0.35">
      <c r="A61" s="331"/>
      <c r="B61" s="1704"/>
      <c r="C61" s="1759"/>
      <c r="D61" s="1257"/>
      <c r="E61" s="1759"/>
      <c r="F61" s="1759"/>
      <c r="G61" s="992" t="s">
        <v>284</v>
      </c>
      <c r="H61" s="992"/>
      <c r="I61" s="1215"/>
      <c r="J61" s="1000">
        <v>12.9</v>
      </c>
      <c r="K61" s="846"/>
      <c r="L61" s="847"/>
      <c r="M61" s="972">
        <v>755</v>
      </c>
      <c r="N61" s="325">
        <v>839</v>
      </c>
      <c r="O61" s="325" t="s">
        <v>41</v>
      </c>
      <c r="P61" s="325" t="s">
        <v>41</v>
      </c>
      <c r="Q61" s="862">
        <f t="shared" si="37"/>
        <v>597.68000000000006</v>
      </c>
      <c r="R61" s="325" t="s">
        <v>41</v>
      </c>
      <c r="S61" s="325">
        <v>209797</v>
      </c>
      <c r="T61" s="848">
        <v>855</v>
      </c>
      <c r="U61" s="325" t="s">
        <v>41</v>
      </c>
      <c r="V61" s="862">
        <f t="shared" si="38"/>
        <v>84.728682299999946</v>
      </c>
      <c r="W61" s="325" t="s">
        <v>41</v>
      </c>
      <c r="X61" s="325">
        <v>212400</v>
      </c>
      <c r="Y61" s="848">
        <f t="shared" si="40"/>
        <v>767.41612020738489</v>
      </c>
      <c r="Z61" s="325">
        <f t="shared" si="4"/>
        <v>209797</v>
      </c>
      <c r="AA61" s="325">
        <f t="shared" si="39"/>
        <v>3.6578984456755097E-3</v>
      </c>
      <c r="AB61" s="325">
        <f t="shared" si="6"/>
        <v>839</v>
      </c>
      <c r="AC61" s="849"/>
      <c r="AD61" s="994">
        <v>1100</v>
      </c>
      <c r="AE61" s="995">
        <v>60</v>
      </c>
      <c r="AF61" s="995">
        <v>60</v>
      </c>
      <c r="AG61" s="995">
        <v>3.1</v>
      </c>
      <c r="AH61" s="995">
        <v>2.8</v>
      </c>
      <c r="AI61" s="995">
        <f t="shared" si="7"/>
        <v>48.2</v>
      </c>
      <c r="AJ61" s="995">
        <f t="shared" si="8"/>
        <v>48.2</v>
      </c>
      <c r="AK61" s="1001">
        <f t="shared" si="27"/>
        <v>682.40868230000001</v>
      </c>
      <c r="AL61" s="996">
        <f t="shared" si="9"/>
        <v>84.728682299999946</v>
      </c>
      <c r="AM61" s="881">
        <f t="shared" si="10"/>
        <v>755</v>
      </c>
      <c r="AN61" s="882">
        <f t="shared" si="10"/>
        <v>839</v>
      </c>
      <c r="AO61" s="1003">
        <f t="shared" si="11"/>
        <v>3.598716854864464E-3</v>
      </c>
      <c r="AP61" s="998">
        <v>209797</v>
      </c>
      <c r="AQ61" s="885">
        <v>7</v>
      </c>
      <c r="AR61" s="151"/>
      <c r="AS61" s="1163" t="s">
        <v>397</v>
      </c>
      <c r="AT61" s="1163" t="s">
        <v>397</v>
      </c>
      <c r="AU61" s="887"/>
      <c r="AV61" s="1004"/>
      <c r="AW61" s="1004"/>
      <c r="AX61" s="1004"/>
      <c r="AY61" s="1004"/>
      <c r="AZ61" s="1004"/>
      <c r="BA61" s="1004"/>
      <c r="BB61" s="887"/>
      <c r="BC61" s="862"/>
      <c r="BD61" s="325"/>
      <c r="BE61" s="151"/>
      <c r="BF61" s="325"/>
      <c r="BG61" s="151"/>
      <c r="BH61" s="151"/>
      <c r="BI61" s="151"/>
      <c r="BJ61" s="151"/>
      <c r="BK61" s="243"/>
      <c r="BL61" s="243"/>
      <c r="BM61" s="862"/>
      <c r="BN61" s="862"/>
      <c r="BO61" s="862"/>
      <c r="BP61" s="862"/>
      <c r="BQ61" s="151"/>
      <c r="BR61" s="325"/>
      <c r="BS61" s="889"/>
      <c r="BT61" s="151"/>
      <c r="BU61" s="151"/>
      <c r="BV61" s="325"/>
      <c r="BW61" s="151"/>
      <c r="BX61" s="151"/>
      <c r="BY61" s="151"/>
      <c r="BZ61" s="862"/>
      <c r="CA61" s="862"/>
      <c r="CB61" s="151"/>
      <c r="CC61" s="325"/>
      <c r="CD61" s="862"/>
      <c r="CE61" s="862"/>
      <c r="CF61" s="862"/>
      <c r="CG61" s="890"/>
      <c r="CH61" s="862"/>
      <c r="CI61" s="862"/>
      <c r="CJ61" s="862"/>
      <c r="CK61" s="151"/>
      <c r="CL61" s="862"/>
      <c r="CM61" s="151"/>
      <c r="CN61" s="151"/>
      <c r="CO61" s="151"/>
      <c r="CP61" s="151"/>
      <c r="CQ61" s="862"/>
      <c r="CR61" s="862"/>
      <c r="CS61" s="862"/>
      <c r="CT61" s="862"/>
      <c r="CU61" s="151"/>
      <c r="CV61" s="151"/>
      <c r="CW61" s="151"/>
      <c r="CX61" s="862"/>
      <c r="CY61" s="862"/>
      <c r="CZ61" s="862"/>
      <c r="DA61" s="151"/>
      <c r="DB61" s="862"/>
      <c r="DC61" s="151"/>
      <c r="DD61" s="151"/>
      <c r="DE61" s="151"/>
      <c r="DF61" s="862"/>
      <c r="DG61" s="243"/>
      <c r="DH61" s="862"/>
      <c r="DI61" s="862"/>
      <c r="DJ61" s="151"/>
      <c r="DK61" s="151"/>
      <c r="DL61" s="151"/>
      <c r="DM61" s="862"/>
      <c r="DN61" s="151"/>
      <c r="DO61" s="1002"/>
      <c r="DP61" s="151"/>
      <c r="DQ61" s="151"/>
      <c r="DR61" s="862"/>
      <c r="DS61" s="151"/>
      <c r="DT61" s="862"/>
      <c r="DU61" s="862"/>
      <c r="DV61" s="862"/>
      <c r="DW61" s="862"/>
      <c r="DX61" s="151"/>
      <c r="DY61" s="862"/>
      <c r="DZ61" s="862"/>
      <c r="EA61" s="862"/>
      <c r="EB61" s="151"/>
      <c r="EC61" s="151"/>
      <c r="ED61" s="341"/>
      <c r="EE61" s="958"/>
      <c r="EF61" s="341"/>
      <c r="EG61" s="819"/>
      <c r="EH61" s="341"/>
    </row>
    <row r="62" spans="1:144" s="342" customFormat="1" ht="14.25" customHeight="1" x14ac:dyDescent="0.35">
      <c r="A62" s="331"/>
      <c r="B62" s="1704"/>
      <c r="C62" s="1759"/>
      <c r="D62" s="1257"/>
      <c r="E62" s="1759"/>
      <c r="F62" s="1759"/>
      <c r="G62" s="1005" t="s">
        <v>285</v>
      </c>
      <c r="H62" s="1005"/>
      <c r="I62" s="1203"/>
      <c r="J62" s="1000">
        <v>18.3</v>
      </c>
      <c r="K62" s="846"/>
      <c r="L62" s="847"/>
      <c r="M62" s="972">
        <v>734</v>
      </c>
      <c r="N62" s="325">
        <v>817</v>
      </c>
      <c r="O62" s="325" t="s">
        <v>41</v>
      </c>
      <c r="P62" s="325" t="s">
        <v>41</v>
      </c>
      <c r="Q62" s="862">
        <f t="shared" si="37"/>
        <v>676.46879999999999</v>
      </c>
      <c r="R62" s="325" t="s">
        <v>41</v>
      </c>
      <c r="S62" s="325">
        <v>199500</v>
      </c>
      <c r="T62" s="848">
        <v>831</v>
      </c>
      <c r="U62" s="325" t="s">
        <v>41</v>
      </c>
      <c r="V62" s="862">
        <f t="shared" si="38"/>
        <v>130.38980799599994</v>
      </c>
      <c r="W62" s="325" t="s">
        <v>41</v>
      </c>
      <c r="X62" s="325">
        <v>213800</v>
      </c>
      <c r="Y62" s="848">
        <f t="shared" si="40"/>
        <v>749.67537515281072</v>
      </c>
      <c r="Z62" s="325">
        <f t="shared" si="4"/>
        <v>199500</v>
      </c>
      <c r="AA62" s="325">
        <f t="shared" si="39"/>
        <v>3.7577713040241141E-3</v>
      </c>
      <c r="AB62" s="325">
        <f t="shared" si="6"/>
        <v>817</v>
      </c>
      <c r="AC62" s="849"/>
      <c r="AD62" s="994">
        <v>1100</v>
      </c>
      <c r="AE62" s="995">
        <v>80</v>
      </c>
      <c r="AF62" s="995">
        <v>39</v>
      </c>
      <c r="AG62" s="995">
        <v>3.78</v>
      </c>
      <c r="AH62" s="995">
        <v>3.6</v>
      </c>
      <c r="AI62" s="995">
        <f t="shared" si="7"/>
        <v>65.239999999999995</v>
      </c>
      <c r="AJ62" s="995">
        <f t="shared" si="8"/>
        <v>24.240000000000002</v>
      </c>
      <c r="AK62" s="1001">
        <f t="shared" si="27"/>
        <v>806.85860799599993</v>
      </c>
      <c r="AL62" s="996">
        <f t="shared" si="9"/>
        <v>130.38980799599994</v>
      </c>
      <c r="AM62" s="881">
        <f t="shared" si="10"/>
        <v>734</v>
      </c>
      <c r="AN62" s="882">
        <f t="shared" si="10"/>
        <v>817</v>
      </c>
      <c r="AO62" s="1003">
        <f t="shared" si="11"/>
        <v>3.6791979949874687E-3</v>
      </c>
      <c r="AP62" s="998">
        <v>199500</v>
      </c>
      <c r="AQ62" s="885">
        <v>7</v>
      </c>
      <c r="AR62" s="151"/>
      <c r="AS62" s="1163" t="s">
        <v>397</v>
      </c>
      <c r="AT62" s="1163" t="s">
        <v>397</v>
      </c>
      <c r="AU62" s="887"/>
      <c r="AV62" s="1004"/>
      <c r="AW62" s="1004"/>
      <c r="AX62" s="1004"/>
      <c r="AY62" s="1004"/>
      <c r="AZ62" s="1004"/>
      <c r="BA62" s="1004"/>
      <c r="BB62" s="887"/>
      <c r="BC62" s="862"/>
      <c r="BD62" s="325"/>
      <c r="BE62" s="151"/>
      <c r="BF62" s="325"/>
      <c r="BG62" s="151"/>
      <c r="BH62" s="151"/>
      <c r="BI62" s="151"/>
      <c r="BJ62" s="151"/>
      <c r="BK62" s="243"/>
      <c r="BL62" s="243"/>
      <c r="BM62" s="862"/>
      <c r="BN62" s="862"/>
      <c r="BO62" s="862"/>
      <c r="BP62" s="862"/>
      <c r="BQ62" s="151"/>
      <c r="BR62" s="325"/>
      <c r="BS62" s="889"/>
      <c r="BT62" s="151"/>
      <c r="BU62" s="151"/>
      <c r="BV62" s="325"/>
      <c r="BW62" s="151"/>
      <c r="BX62" s="151"/>
      <c r="BY62" s="151"/>
      <c r="BZ62" s="862"/>
      <c r="CA62" s="862"/>
      <c r="CB62" s="151"/>
      <c r="CC62" s="325"/>
      <c r="CD62" s="862"/>
      <c r="CE62" s="862"/>
      <c r="CF62" s="862"/>
      <c r="CG62" s="890"/>
      <c r="CH62" s="862"/>
      <c r="CI62" s="862"/>
      <c r="CJ62" s="862"/>
      <c r="CK62" s="151"/>
      <c r="CL62" s="862"/>
      <c r="CM62" s="151"/>
      <c r="CN62" s="151"/>
      <c r="CO62" s="151"/>
      <c r="CP62" s="151"/>
      <c r="CQ62" s="862"/>
      <c r="CR62" s="862"/>
      <c r="CS62" s="862"/>
      <c r="CT62" s="862"/>
      <c r="CU62" s="151"/>
      <c r="CV62" s="151"/>
      <c r="CW62" s="151"/>
      <c r="CX62" s="862"/>
      <c r="CY62" s="862"/>
      <c r="CZ62" s="862"/>
      <c r="DA62" s="151"/>
      <c r="DB62" s="862"/>
      <c r="DC62" s="151"/>
      <c r="DD62" s="151"/>
      <c r="DE62" s="151"/>
      <c r="DF62" s="862"/>
      <c r="DG62" s="243"/>
      <c r="DH62" s="862"/>
      <c r="DI62" s="862"/>
      <c r="DJ62" s="151"/>
      <c r="DK62" s="151"/>
      <c r="DL62" s="151"/>
      <c r="DM62" s="862"/>
      <c r="DN62" s="151"/>
      <c r="DO62" s="1002"/>
      <c r="DP62" s="151"/>
      <c r="DQ62" s="151"/>
      <c r="DR62" s="862"/>
      <c r="DS62" s="151"/>
      <c r="DT62" s="862"/>
      <c r="DU62" s="862"/>
      <c r="DV62" s="862"/>
      <c r="DW62" s="862"/>
      <c r="DX62" s="151"/>
      <c r="DY62" s="862"/>
      <c r="DZ62" s="862"/>
      <c r="EA62" s="862"/>
      <c r="EB62" s="151"/>
      <c r="EC62" s="151"/>
      <c r="ED62" s="341"/>
      <c r="EE62" s="958"/>
      <c r="EF62" s="341"/>
      <c r="EG62" s="819"/>
      <c r="EH62" s="341"/>
    </row>
    <row r="63" spans="1:144" s="342" customFormat="1" ht="14.25" customHeight="1" thickBot="1" x14ac:dyDescent="0.4">
      <c r="A63" s="331"/>
      <c r="B63" s="1704"/>
      <c r="C63" s="1759"/>
      <c r="D63" s="1257"/>
      <c r="E63" s="1759"/>
      <c r="F63" s="1759"/>
      <c r="G63" s="1005" t="s">
        <v>285</v>
      </c>
      <c r="H63" s="1005"/>
      <c r="I63" s="1203"/>
      <c r="J63" s="993">
        <v>20.5</v>
      </c>
      <c r="K63" s="846"/>
      <c r="L63" s="847"/>
      <c r="M63" s="325">
        <v>734</v>
      </c>
      <c r="N63" s="325">
        <v>817</v>
      </c>
      <c r="O63" s="325" t="s">
        <v>41</v>
      </c>
      <c r="P63" s="325" t="s">
        <v>41</v>
      </c>
      <c r="Q63" s="862">
        <f t="shared" si="37"/>
        <v>679.98720000000003</v>
      </c>
      <c r="R63" s="325" t="s">
        <v>41</v>
      </c>
      <c r="S63" s="325">
        <v>199500</v>
      </c>
      <c r="T63" s="848">
        <v>831</v>
      </c>
      <c r="U63" s="325" t="s">
        <v>41</v>
      </c>
      <c r="V63" s="862">
        <f t="shared" si="38"/>
        <v>140.42153318399988</v>
      </c>
      <c r="W63" s="325" t="s">
        <v>41</v>
      </c>
      <c r="X63" s="325">
        <v>213800</v>
      </c>
      <c r="Y63" s="848">
        <f t="shared" si="40"/>
        <v>750.60256426816113</v>
      </c>
      <c r="Z63" s="325">
        <f t="shared" si="4"/>
        <v>199500</v>
      </c>
      <c r="AA63" s="325">
        <f t="shared" si="39"/>
        <v>3.762418868512086E-3</v>
      </c>
      <c r="AB63" s="325">
        <f t="shared" si="6"/>
        <v>817</v>
      </c>
      <c r="AC63" s="849"/>
      <c r="AD63" s="1006">
        <v>1100</v>
      </c>
      <c r="AE63" s="995">
        <v>80</v>
      </c>
      <c r="AF63" s="1007">
        <v>39.5</v>
      </c>
      <c r="AG63" s="995">
        <v>3.84</v>
      </c>
      <c r="AH63" s="1007">
        <v>3.9</v>
      </c>
      <c r="AI63" s="1007">
        <f t="shared" si="7"/>
        <v>64.52</v>
      </c>
      <c r="AJ63" s="1007">
        <f t="shared" si="8"/>
        <v>24.02</v>
      </c>
      <c r="AK63" s="1007">
        <f t="shared" si="27"/>
        <v>820.40873318399986</v>
      </c>
      <c r="AL63" s="1007">
        <f t="shared" si="9"/>
        <v>140.42153318399988</v>
      </c>
      <c r="AM63" s="881">
        <f t="shared" si="10"/>
        <v>734</v>
      </c>
      <c r="AN63" s="882">
        <f t="shared" si="10"/>
        <v>817</v>
      </c>
      <c r="AO63" s="1008">
        <f t="shared" si="11"/>
        <v>3.6791979949874687E-3</v>
      </c>
      <c r="AP63" s="998">
        <v>199500</v>
      </c>
      <c r="AQ63" s="1009">
        <v>7</v>
      </c>
      <c r="AR63" s="151"/>
      <c r="AS63" s="1163" t="s">
        <v>397</v>
      </c>
      <c r="AT63" s="1163" t="s">
        <v>397</v>
      </c>
      <c r="AU63" s="887"/>
      <c r="AV63" s="887"/>
      <c r="AW63" s="887"/>
      <c r="AX63" s="887"/>
      <c r="AY63" s="887"/>
      <c r="AZ63" s="887"/>
      <c r="BA63" s="887"/>
      <c r="BB63" s="887"/>
      <c r="BC63" s="862"/>
      <c r="BD63" s="325"/>
      <c r="BE63" s="151"/>
      <c r="BF63" s="325"/>
      <c r="BG63" s="151"/>
      <c r="BH63" s="151"/>
      <c r="BI63" s="151"/>
      <c r="BJ63" s="151"/>
      <c r="BK63" s="243"/>
      <c r="BL63" s="243"/>
      <c r="BM63" s="862"/>
      <c r="BN63" s="862"/>
      <c r="BO63" s="862"/>
      <c r="BP63" s="862"/>
      <c r="BQ63" s="151"/>
      <c r="BR63" s="325"/>
      <c r="BS63" s="889"/>
      <c r="BT63" s="151"/>
      <c r="BU63" s="151"/>
      <c r="BV63" s="325"/>
      <c r="BW63" s="151"/>
      <c r="BX63" s="151"/>
      <c r="BY63" s="151"/>
      <c r="BZ63" s="862"/>
      <c r="CA63" s="862"/>
      <c r="CB63" s="151"/>
      <c r="CC63" s="325"/>
      <c r="CD63" s="862"/>
      <c r="CE63" s="862"/>
      <c r="CF63" s="862"/>
      <c r="CG63" s="890"/>
      <c r="CH63" s="862"/>
      <c r="CI63" s="862"/>
      <c r="CJ63" s="862"/>
      <c r="CK63" s="151"/>
      <c r="CL63" s="862"/>
      <c r="CM63" s="151"/>
      <c r="CN63" s="151"/>
      <c r="CO63" s="327"/>
      <c r="CP63" s="151"/>
      <c r="CQ63" s="862"/>
      <c r="CR63" s="862"/>
      <c r="CS63" s="862"/>
      <c r="CT63" s="862"/>
      <c r="CU63" s="151"/>
      <c r="CV63" s="151"/>
      <c r="CW63" s="151"/>
      <c r="CX63" s="862"/>
      <c r="CY63" s="862"/>
      <c r="CZ63" s="862"/>
      <c r="DA63" s="151"/>
      <c r="DB63" s="862"/>
      <c r="DC63" s="151"/>
      <c r="DD63" s="151"/>
      <c r="DE63" s="151"/>
      <c r="DF63" s="862"/>
      <c r="DG63" s="243"/>
      <c r="DH63" s="862"/>
      <c r="DI63" s="862"/>
      <c r="DJ63" s="151"/>
      <c r="DK63" s="151"/>
      <c r="DL63" s="151"/>
      <c r="DM63" s="862"/>
      <c r="DN63" s="151"/>
      <c r="DO63" s="1002"/>
      <c r="DP63" s="151"/>
      <c r="DQ63" s="151"/>
      <c r="DR63" s="862"/>
      <c r="DS63" s="151"/>
      <c r="DT63" s="862"/>
      <c r="DU63" s="862"/>
      <c r="DV63" s="862"/>
      <c r="DW63" s="862"/>
      <c r="DX63" s="151"/>
      <c r="DY63" s="862"/>
      <c r="DZ63" s="862"/>
      <c r="EA63" s="862"/>
      <c r="EB63" s="151"/>
      <c r="EC63" s="151"/>
      <c r="ED63" s="341"/>
      <c r="EE63" s="958"/>
      <c r="EF63" s="341"/>
      <c r="EG63" s="819"/>
      <c r="EH63" s="341"/>
      <c r="EN63" s="341"/>
    </row>
    <row r="64" spans="1:144" s="342" customFormat="1" x14ac:dyDescent="0.35">
      <c r="A64" s="331"/>
      <c r="B64" s="1703" t="s">
        <v>373</v>
      </c>
      <c r="C64" s="1755" t="s">
        <v>374</v>
      </c>
      <c r="D64" s="1274"/>
      <c r="E64" s="1758" t="s">
        <v>240</v>
      </c>
      <c r="F64" s="1755" t="s">
        <v>286</v>
      </c>
      <c r="G64" s="1010" t="s">
        <v>287</v>
      </c>
      <c r="H64" s="1010">
        <v>18.335217750112548</v>
      </c>
      <c r="I64" s="1202">
        <v>19</v>
      </c>
      <c r="J64" s="1011">
        <v>20</v>
      </c>
      <c r="K64" s="1012"/>
      <c r="L64" s="1013"/>
      <c r="M64" s="1014">
        <v>423</v>
      </c>
      <c r="N64" s="861">
        <v>472</v>
      </c>
      <c r="O64" s="861" t="s">
        <v>41</v>
      </c>
      <c r="P64" s="861" t="s">
        <v>41</v>
      </c>
      <c r="Q64" s="860">
        <f t="shared" si="37"/>
        <v>985.02560000000005</v>
      </c>
      <c r="R64" s="861" t="s">
        <v>41</v>
      </c>
      <c r="S64" s="1015">
        <v>216000</v>
      </c>
      <c r="T64" s="1014">
        <v>535</v>
      </c>
      <c r="U64" s="861" t="s">
        <v>41</v>
      </c>
      <c r="V64" s="860">
        <f t="shared" si="38"/>
        <v>92.790002239999808</v>
      </c>
      <c r="W64" s="861" t="s">
        <v>41</v>
      </c>
      <c r="X64" s="1016">
        <v>226000</v>
      </c>
      <c r="Y64" s="1017">
        <f t="shared" si="40"/>
        <v>432.64216905867897</v>
      </c>
      <c r="Z64" s="861">
        <f t="shared" si="4"/>
        <v>216000</v>
      </c>
      <c r="AA64" s="861">
        <f t="shared" si="39"/>
        <v>2.0029730049012915E-3</v>
      </c>
      <c r="AB64" s="861">
        <f t="shared" si="6"/>
        <v>472</v>
      </c>
      <c r="AC64" s="861"/>
      <c r="AD64" s="1018">
        <v>1500</v>
      </c>
      <c r="AE64" s="1019">
        <v>120</v>
      </c>
      <c r="AF64" s="1020">
        <v>79.900000000000006</v>
      </c>
      <c r="AG64" s="1019">
        <v>2.84</v>
      </c>
      <c r="AH64" s="1019">
        <v>3.78</v>
      </c>
      <c r="AI64" s="1021">
        <f t="shared" si="7"/>
        <v>106.76</v>
      </c>
      <c r="AJ64" s="1021">
        <f t="shared" si="8"/>
        <v>66.660000000000011</v>
      </c>
      <c r="AK64" s="1021">
        <f t="shared" si="27"/>
        <v>1077.8156022399999</v>
      </c>
      <c r="AL64" s="1021">
        <f t="shared" si="9"/>
        <v>92.790002239999808</v>
      </c>
      <c r="AM64" s="854">
        <f t="shared" si="10"/>
        <v>423</v>
      </c>
      <c r="AN64" s="855">
        <f t="shared" si="10"/>
        <v>472</v>
      </c>
      <c r="AO64" s="1022">
        <f>AM64/AP64</f>
        <v>2.1203007518796994E-3</v>
      </c>
      <c r="AP64" s="1023">
        <v>199500</v>
      </c>
      <c r="AQ64" s="1178">
        <v>5.8</v>
      </c>
      <c r="AR64" s="151"/>
      <c r="AS64" s="887">
        <v>15.22</v>
      </c>
      <c r="AT64" s="1195">
        <v>3.6199999999999999E-5</v>
      </c>
      <c r="AU64" s="887"/>
      <c r="AV64" s="887"/>
      <c r="AW64" s="887"/>
      <c r="AX64" s="887"/>
      <c r="AY64" s="887"/>
      <c r="AZ64" s="887"/>
      <c r="BA64" s="887"/>
      <c r="BB64" s="887"/>
      <c r="BC64" s="862"/>
      <c r="BD64" s="325"/>
      <c r="BE64" s="151"/>
      <c r="BF64" s="325"/>
      <c r="BG64" s="151"/>
      <c r="BH64" s="1177"/>
      <c r="BI64" s="1177"/>
      <c r="BJ64" s="1177"/>
      <c r="BK64" s="1177"/>
      <c r="BL64" s="1177"/>
      <c r="BM64" s="1177"/>
      <c r="BN64" s="1177"/>
      <c r="BO64" s="1177"/>
      <c r="BP64" s="1177"/>
      <c r="BQ64" s="1177"/>
      <c r="BR64" s="1177"/>
      <c r="BS64" s="1177"/>
      <c r="BT64" s="1177"/>
      <c r="BU64" s="1177"/>
      <c r="BV64" s="1177"/>
      <c r="BW64" s="1177"/>
      <c r="BX64" s="1177"/>
      <c r="BY64" s="1177"/>
      <c r="BZ64" s="1177"/>
      <c r="CA64" s="1177"/>
      <c r="CB64" s="1177"/>
      <c r="CC64" s="1177"/>
      <c r="CD64" s="1177"/>
      <c r="CE64" s="1177"/>
      <c r="CF64" s="1177"/>
      <c r="CG64" s="1177"/>
      <c r="CH64" s="1177"/>
      <c r="CI64" s="1177"/>
      <c r="CJ64" s="1177"/>
      <c r="CK64" s="1177"/>
      <c r="CL64" s="1177"/>
      <c r="CM64" s="1177"/>
      <c r="CN64" s="1177"/>
      <c r="CO64" s="1177"/>
      <c r="CP64" s="1177"/>
      <c r="CQ64" s="1177"/>
      <c r="CR64" s="1177"/>
      <c r="CS64" s="1177"/>
      <c r="CT64" s="1177"/>
      <c r="CU64" s="1177"/>
      <c r="CV64" s="1177"/>
      <c r="CW64" s="1177"/>
      <c r="CX64" s="1177"/>
      <c r="CY64" s="1177"/>
      <c r="CZ64" s="1177"/>
      <c r="DA64" s="1177"/>
      <c r="DB64" s="1177"/>
      <c r="DC64" s="1177"/>
      <c r="DD64" s="1177"/>
      <c r="DE64" s="151"/>
      <c r="DF64" s="862"/>
      <c r="DG64" s="243"/>
      <c r="DH64" s="862"/>
      <c r="DI64" s="862"/>
      <c r="DJ64" s="151"/>
      <c r="DK64" s="151"/>
      <c r="DL64" s="151"/>
      <c r="DM64" s="862"/>
      <c r="DN64" s="151"/>
      <c r="DO64" s="1002"/>
      <c r="DP64" s="151"/>
      <c r="DQ64" s="151"/>
      <c r="DR64" s="862"/>
      <c r="DS64" s="151"/>
      <c r="DT64" s="862"/>
      <c r="DU64" s="862"/>
      <c r="DV64" s="862"/>
      <c r="DW64" s="862"/>
      <c r="DX64" s="151"/>
      <c r="DY64" s="862"/>
      <c r="DZ64" s="862"/>
      <c r="EA64" s="862"/>
      <c r="EB64" s="151"/>
      <c r="EC64" s="151"/>
      <c r="ED64" s="1169"/>
      <c r="EE64" s="958"/>
      <c r="EF64" s="341"/>
      <c r="EG64" s="819"/>
      <c r="EH64" s="341"/>
      <c r="EN64" s="341"/>
    </row>
    <row r="65" spans="1:146" s="342" customFormat="1" x14ac:dyDescent="0.35">
      <c r="A65" s="331"/>
      <c r="B65" s="1704"/>
      <c r="C65" s="1756"/>
      <c r="D65" s="1275"/>
      <c r="E65" s="1759"/>
      <c r="F65" s="1756"/>
      <c r="G65" s="1005" t="s">
        <v>288</v>
      </c>
      <c r="H65" s="1005">
        <v>5.1384807490036648</v>
      </c>
      <c r="I65" s="1203">
        <v>5</v>
      </c>
      <c r="J65" s="1024">
        <v>5.3</v>
      </c>
      <c r="K65" s="846"/>
      <c r="L65" s="327"/>
      <c r="M65" s="232">
        <v>454</v>
      </c>
      <c r="N65" s="325">
        <v>475</v>
      </c>
      <c r="O65" s="325" t="s">
        <v>41</v>
      </c>
      <c r="P65" s="325" t="s">
        <v>41</v>
      </c>
      <c r="Q65" s="862">
        <f t="shared" si="37"/>
        <v>435.06319999999999</v>
      </c>
      <c r="R65" s="325" t="s">
        <v>41</v>
      </c>
      <c r="S65" s="1025">
        <v>219300</v>
      </c>
      <c r="T65" s="232">
        <v>545</v>
      </c>
      <c r="U65" s="325" t="s">
        <v>41</v>
      </c>
      <c r="V65" s="862">
        <f t="shared" si="38"/>
        <v>82.302118183999994</v>
      </c>
      <c r="W65" s="325" t="s">
        <v>41</v>
      </c>
      <c r="X65" s="325">
        <v>200000</v>
      </c>
      <c r="Y65" s="848">
        <f t="shared" si="40"/>
        <v>468.47621727144912</v>
      </c>
      <c r="Z65" s="325">
        <f t="shared" si="4"/>
        <v>219300</v>
      </c>
      <c r="AA65" s="325">
        <f t="shared" si="39"/>
        <v>2.136234460882121E-3</v>
      </c>
      <c r="AB65" s="325">
        <f t="shared" si="6"/>
        <v>475</v>
      </c>
      <c r="AC65" s="325"/>
      <c r="AD65" s="1026">
        <v>1500</v>
      </c>
      <c r="AE65" s="1007">
        <v>60.2</v>
      </c>
      <c r="AF65" s="1027">
        <v>39.9</v>
      </c>
      <c r="AG65" s="1007">
        <v>2.86</v>
      </c>
      <c r="AH65" s="1007">
        <v>3.15</v>
      </c>
      <c r="AI65" s="1028">
        <f t="shared" si="7"/>
        <v>48.180000000000007</v>
      </c>
      <c r="AJ65" s="1028">
        <f t="shared" si="8"/>
        <v>27.88</v>
      </c>
      <c r="AK65" s="1028">
        <f t="shared" si="27"/>
        <v>517.36531818399999</v>
      </c>
      <c r="AL65" s="1028">
        <f t="shared" si="9"/>
        <v>82.302118183999994</v>
      </c>
      <c r="AM65" s="881">
        <f t="shared" si="10"/>
        <v>454</v>
      </c>
      <c r="AN65" s="882">
        <f t="shared" si="10"/>
        <v>475</v>
      </c>
      <c r="AO65" s="1008">
        <f t="shared" si="11"/>
        <v>2.275689223057644E-3</v>
      </c>
      <c r="AP65" s="998">
        <v>199500</v>
      </c>
      <c r="AQ65" s="592">
        <v>6.4</v>
      </c>
      <c r="AR65" s="151"/>
      <c r="AS65" s="887">
        <v>4.2110000000000003</v>
      </c>
      <c r="AT65" s="1195">
        <v>7.9400000000000006E-5</v>
      </c>
      <c r="AU65" s="887"/>
      <c r="AV65" s="887"/>
      <c r="AW65" s="887"/>
      <c r="AX65" s="887"/>
      <c r="AY65" s="887"/>
      <c r="AZ65" s="887"/>
      <c r="BA65" s="887"/>
      <c r="BB65" s="887"/>
      <c r="BC65" s="862"/>
      <c r="BD65" s="325"/>
      <c r="BE65" s="151"/>
      <c r="BF65" s="325"/>
      <c r="BG65" s="151"/>
      <c r="BH65" s="1177"/>
      <c r="BI65" s="1177"/>
      <c r="BJ65" s="1177"/>
      <c r="BK65" s="1177"/>
      <c r="BL65" s="1177"/>
      <c r="BM65" s="1177"/>
      <c r="BN65" s="1177"/>
      <c r="BO65" s="1177"/>
      <c r="BP65" s="1177"/>
      <c r="BQ65" s="1177"/>
      <c r="BR65" s="1177"/>
      <c r="BS65" s="1177"/>
      <c r="BT65" s="1177"/>
      <c r="BU65" s="1177"/>
      <c r="BV65" s="1177"/>
      <c r="BW65" s="1177"/>
      <c r="BX65" s="1177"/>
      <c r="BY65" s="1177"/>
      <c r="BZ65" s="1177"/>
      <c r="CA65" s="1177"/>
      <c r="CB65" s="1177"/>
      <c r="CC65" s="1177"/>
      <c r="CD65" s="1177"/>
      <c r="CE65" s="1177"/>
      <c r="CF65" s="1177"/>
      <c r="CG65" s="1177"/>
      <c r="CH65" s="1177"/>
      <c r="CI65" s="1177"/>
      <c r="CJ65" s="1177"/>
      <c r="CK65" s="1177"/>
      <c r="CL65" s="1177"/>
      <c r="CM65" s="1177"/>
      <c r="CN65" s="1177"/>
      <c r="CO65" s="1177"/>
      <c r="CP65" s="1177"/>
      <c r="CQ65" s="1177"/>
      <c r="CR65" s="1177"/>
      <c r="CS65" s="1177"/>
      <c r="CT65" s="1177"/>
      <c r="CU65" s="1177"/>
      <c r="CV65" s="1177"/>
      <c r="CW65" s="1177"/>
      <c r="CX65" s="1177"/>
      <c r="CY65" s="1177"/>
      <c r="CZ65" s="1177"/>
      <c r="DA65" s="1177"/>
      <c r="DB65" s="1177"/>
      <c r="DC65" s="1177"/>
      <c r="DD65" s="1177"/>
      <c r="DE65" s="151"/>
      <c r="DF65" s="862"/>
      <c r="DG65" s="243"/>
      <c r="DH65" s="862"/>
      <c r="DI65" s="862"/>
      <c r="DJ65" s="151"/>
      <c r="DK65" s="151"/>
      <c r="DL65" s="151"/>
      <c r="DM65" s="862"/>
      <c r="DN65" s="151"/>
      <c r="DO65" s="1002"/>
      <c r="DP65" s="151"/>
      <c r="DQ65" s="151"/>
      <c r="DR65" s="862"/>
      <c r="DS65" s="151"/>
      <c r="DT65" s="862"/>
      <c r="DU65" s="862"/>
      <c r="DV65" s="862"/>
      <c r="DW65" s="862"/>
      <c r="DX65" s="151"/>
      <c r="DY65" s="862"/>
      <c r="DZ65" s="862"/>
      <c r="EA65" s="862"/>
      <c r="EB65" s="151"/>
      <c r="EC65" s="151"/>
      <c r="ED65" s="340"/>
      <c r="EE65" s="958"/>
      <c r="EF65" s="341"/>
      <c r="EG65" s="819"/>
      <c r="EH65" s="341"/>
      <c r="EN65" s="341"/>
    </row>
    <row r="66" spans="1:146" s="342" customFormat="1" x14ac:dyDescent="0.35">
      <c r="A66" s="331"/>
      <c r="B66" s="1704"/>
      <c r="C66" s="1756"/>
      <c r="D66" s="1275"/>
      <c r="E66" s="1759"/>
      <c r="F66" s="1756"/>
      <c r="G66" s="1005" t="s">
        <v>289</v>
      </c>
      <c r="H66" s="1005">
        <v>10.484063984774323</v>
      </c>
      <c r="I66" s="1203">
        <v>11.1</v>
      </c>
      <c r="J66" s="1024">
        <v>11.3</v>
      </c>
      <c r="K66" s="846"/>
      <c r="L66" s="327"/>
      <c r="M66" s="232">
        <v>431</v>
      </c>
      <c r="N66" s="325">
        <v>447</v>
      </c>
      <c r="O66" s="325" t="s">
        <v>41</v>
      </c>
      <c r="P66" s="325" t="s">
        <v>41</v>
      </c>
      <c r="Q66" s="862">
        <f t="shared" si="37"/>
        <v>747.04</v>
      </c>
      <c r="R66" s="325" t="s">
        <v>41</v>
      </c>
      <c r="S66" s="1025">
        <v>210000</v>
      </c>
      <c r="T66" s="232">
        <v>512</v>
      </c>
      <c r="U66" s="325" t="s">
        <v>41</v>
      </c>
      <c r="V66" s="862">
        <f t="shared" si="38"/>
        <v>94.12203640000007</v>
      </c>
      <c r="W66" s="325" t="s">
        <v>41</v>
      </c>
      <c r="X66" s="325">
        <v>220000</v>
      </c>
      <c r="Y66" s="848">
        <f t="shared" si="40"/>
        <v>440.063515254479</v>
      </c>
      <c r="Z66" s="325">
        <f t="shared" si="4"/>
        <v>210000</v>
      </c>
      <c r="AA66" s="325">
        <f t="shared" si="39"/>
        <v>2.0955405488308522E-3</v>
      </c>
      <c r="AB66" s="325">
        <f t="shared" si="6"/>
        <v>447</v>
      </c>
      <c r="AC66" s="325"/>
      <c r="AD66" s="1026">
        <v>1500</v>
      </c>
      <c r="AE66" s="1007">
        <v>80.400000000000006</v>
      </c>
      <c r="AF66" s="1027">
        <v>80</v>
      </c>
      <c r="AG66" s="1007">
        <v>2.8</v>
      </c>
      <c r="AH66" s="1007">
        <v>3.95</v>
      </c>
      <c r="AI66" s="1028">
        <f t="shared" si="7"/>
        <v>66.900000000000006</v>
      </c>
      <c r="AJ66" s="1028">
        <f t="shared" si="8"/>
        <v>66.5</v>
      </c>
      <c r="AK66" s="1028">
        <f t="shared" si="27"/>
        <v>841.16203640000003</v>
      </c>
      <c r="AL66" s="1028">
        <f t="shared" si="9"/>
        <v>94.12203640000007</v>
      </c>
      <c r="AM66" s="881">
        <f t="shared" si="10"/>
        <v>431</v>
      </c>
      <c r="AN66" s="882">
        <f t="shared" si="10"/>
        <v>447</v>
      </c>
      <c r="AO66" s="1008">
        <f t="shared" si="11"/>
        <v>2.1604010025062658E-3</v>
      </c>
      <c r="AP66" s="998">
        <v>199500</v>
      </c>
      <c r="AQ66" s="592">
        <v>6.3</v>
      </c>
      <c r="AR66" s="151"/>
      <c r="AS66" s="887">
        <v>9.4990000000000006</v>
      </c>
      <c r="AT66" s="1195">
        <v>5.5699999999999999E-5</v>
      </c>
      <c r="AU66" s="887"/>
      <c r="AV66" s="887"/>
      <c r="AW66" s="887"/>
      <c r="AX66" s="887"/>
      <c r="AY66" s="887"/>
      <c r="AZ66" s="887"/>
      <c r="BA66" s="887"/>
      <c r="BB66" s="887"/>
      <c r="BC66" s="862"/>
      <c r="BD66" s="325"/>
      <c r="BE66" s="151"/>
      <c r="BF66" s="325"/>
      <c r="BG66" s="151"/>
      <c r="BH66" s="1177"/>
      <c r="BI66" s="1177"/>
      <c r="BJ66" s="1177"/>
      <c r="BK66" s="1177"/>
      <c r="BL66" s="1177"/>
      <c r="BM66" s="1177"/>
      <c r="BN66" s="1177"/>
      <c r="BO66" s="1177"/>
      <c r="BP66" s="1177"/>
      <c r="BQ66" s="1177"/>
      <c r="BR66" s="1177"/>
      <c r="BS66" s="1177"/>
      <c r="BT66" s="1177"/>
      <c r="BU66" s="1177"/>
      <c r="BV66" s="1177"/>
      <c r="BW66" s="1177"/>
      <c r="BX66" s="1177"/>
      <c r="BY66" s="1177"/>
      <c r="BZ66" s="1177"/>
      <c r="CA66" s="1177"/>
      <c r="CB66" s="1177"/>
      <c r="CC66" s="1177"/>
      <c r="CD66" s="1177"/>
      <c r="CE66" s="1177"/>
      <c r="CF66" s="1177"/>
      <c r="CG66" s="1177"/>
      <c r="CH66" s="1177"/>
      <c r="CI66" s="1177"/>
      <c r="CJ66" s="1177"/>
      <c r="CK66" s="1177"/>
      <c r="CL66" s="1177"/>
      <c r="CM66" s="1177"/>
      <c r="CN66" s="1177"/>
      <c r="CO66" s="1177"/>
      <c r="CP66" s="1177"/>
      <c r="CQ66" s="1177"/>
      <c r="CR66" s="1177"/>
      <c r="CS66" s="1177"/>
      <c r="CT66" s="1177"/>
      <c r="CU66" s="1177"/>
      <c r="CV66" s="1177"/>
      <c r="CW66" s="1177"/>
      <c r="CX66" s="1177"/>
      <c r="CY66" s="1177"/>
      <c r="CZ66" s="1177"/>
      <c r="DA66" s="1177"/>
      <c r="DB66" s="1177"/>
      <c r="DC66" s="1177"/>
      <c r="DD66" s="1177"/>
      <c r="DE66" s="151"/>
      <c r="DF66" s="862"/>
      <c r="DG66" s="243"/>
      <c r="DH66" s="862"/>
      <c r="DI66" s="862"/>
      <c r="DJ66" s="151"/>
      <c r="DK66" s="151"/>
      <c r="DL66" s="151"/>
      <c r="DM66" s="862"/>
      <c r="DN66" s="151"/>
      <c r="DO66" s="1002"/>
      <c r="DP66" s="151"/>
      <c r="DQ66" s="151"/>
      <c r="DR66" s="862"/>
      <c r="DS66" s="151"/>
      <c r="DT66" s="862"/>
      <c r="DU66" s="862"/>
      <c r="DV66" s="862"/>
      <c r="DW66" s="862"/>
      <c r="DX66" s="151"/>
      <c r="DY66" s="862"/>
      <c r="DZ66" s="862"/>
      <c r="EA66" s="862"/>
      <c r="EB66" s="151"/>
      <c r="EC66" s="151"/>
      <c r="ED66" s="1169"/>
      <c r="EE66" s="958"/>
      <c r="EF66" s="341"/>
      <c r="EG66" s="819"/>
      <c r="EH66" s="341"/>
      <c r="EN66" s="341"/>
    </row>
    <row r="67" spans="1:146" s="342" customFormat="1" x14ac:dyDescent="0.35">
      <c r="A67" s="331"/>
      <c r="B67" s="1704"/>
      <c r="C67" s="1756"/>
      <c r="D67" s="1275"/>
      <c r="E67" s="1759"/>
      <c r="F67" s="1756"/>
      <c r="G67" s="1005" t="s">
        <v>290</v>
      </c>
      <c r="H67" s="1005">
        <v>7.7223869655797968</v>
      </c>
      <c r="I67" s="1203">
        <v>7</v>
      </c>
      <c r="J67" s="1024">
        <v>7.9</v>
      </c>
      <c r="K67" s="846"/>
      <c r="L67" s="327"/>
      <c r="M67" s="232">
        <v>519</v>
      </c>
      <c r="N67" s="325">
        <v>534</v>
      </c>
      <c r="O67" s="325" t="s">
        <v>41</v>
      </c>
      <c r="P67" s="325" t="s">
        <v>41</v>
      </c>
      <c r="Q67" s="862">
        <f t="shared" si="37"/>
        <v>568.75200000000007</v>
      </c>
      <c r="R67" s="325" t="s">
        <v>41</v>
      </c>
      <c r="S67" s="1025">
        <v>218300</v>
      </c>
      <c r="T67" s="232">
        <v>580</v>
      </c>
      <c r="U67" s="325" t="s">
        <v>41</v>
      </c>
      <c r="V67" s="862">
        <f t="shared" si="38"/>
        <v>78.171869810999965</v>
      </c>
      <c r="W67" s="325" t="s">
        <v>41</v>
      </c>
      <c r="X67" s="325">
        <v>225000</v>
      </c>
      <c r="Y67" s="848">
        <f t="shared" si="40"/>
        <v>526.37101269715731</v>
      </c>
      <c r="Z67" s="325">
        <f t="shared" si="4"/>
        <v>218300</v>
      </c>
      <c r="AA67" s="325">
        <f t="shared" si="39"/>
        <v>2.4112277265101113E-3</v>
      </c>
      <c r="AB67" s="325">
        <f t="shared" si="6"/>
        <v>534</v>
      </c>
      <c r="AC67" s="325"/>
      <c r="AD67" s="1026">
        <v>1500</v>
      </c>
      <c r="AE67" s="1007">
        <v>60.7</v>
      </c>
      <c r="AF67" s="1027">
        <v>60.7</v>
      </c>
      <c r="AG67" s="1007">
        <v>2.89</v>
      </c>
      <c r="AH67" s="1007">
        <v>2.86</v>
      </c>
      <c r="AI67" s="1028">
        <f t="shared" si="7"/>
        <v>49.2</v>
      </c>
      <c r="AJ67" s="1028">
        <f t="shared" si="8"/>
        <v>49.2</v>
      </c>
      <c r="AK67" s="1028">
        <f t="shared" si="27"/>
        <v>646.92386981100003</v>
      </c>
      <c r="AL67" s="1028">
        <f t="shared" si="9"/>
        <v>78.171869810999965</v>
      </c>
      <c r="AM67" s="881">
        <f t="shared" si="10"/>
        <v>519</v>
      </c>
      <c r="AN67" s="882">
        <f t="shared" si="10"/>
        <v>534</v>
      </c>
      <c r="AO67" s="1008">
        <f t="shared" si="11"/>
        <v>2.6015037593984961E-3</v>
      </c>
      <c r="AP67" s="998">
        <v>199500</v>
      </c>
      <c r="AQ67" s="592">
        <v>6.3</v>
      </c>
      <c r="AR67" s="151"/>
      <c r="AS67" s="887">
        <v>6.68</v>
      </c>
      <c r="AT67" s="1195">
        <v>9.0000000000000006E-5</v>
      </c>
      <c r="AU67" s="887"/>
      <c r="AV67" s="887"/>
      <c r="AW67" s="887"/>
      <c r="AX67" s="887"/>
      <c r="AY67" s="887"/>
      <c r="AZ67" s="887"/>
      <c r="BA67" s="887"/>
      <c r="BB67" s="887"/>
      <c r="BC67" s="862"/>
      <c r="BD67" s="325"/>
      <c r="BE67" s="151"/>
      <c r="BF67" s="325"/>
      <c r="BG67" s="151"/>
      <c r="BH67" s="1177"/>
      <c r="BI67" s="1177"/>
      <c r="BJ67" s="1177"/>
      <c r="BK67" s="1177"/>
      <c r="BL67" s="1177"/>
      <c r="BM67" s="1177"/>
      <c r="BN67" s="1177"/>
      <c r="BO67" s="1177"/>
      <c r="BP67" s="1177"/>
      <c r="BQ67" s="1177"/>
      <c r="BR67" s="1177"/>
      <c r="BS67" s="1177"/>
      <c r="BT67" s="1177"/>
      <c r="BU67" s="1177"/>
      <c r="BV67" s="1177"/>
      <c r="BW67" s="1177"/>
      <c r="BX67" s="1177"/>
      <c r="BY67" s="1177"/>
      <c r="BZ67" s="1177"/>
      <c r="CA67" s="1177"/>
      <c r="CB67" s="1177"/>
      <c r="CC67" s="1177"/>
      <c r="CD67" s="1177"/>
      <c r="CE67" s="1177"/>
      <c r="CF67" s="1177"/>
      <c r="CG67" s="1177"/>
      <c r="CH67" s="1177"/>
      <c r="CI67" s="1177"/>
      <c r="CJ67" s="1177"/>
      <c r="CK67" s="1177"/>
      <c r="CL67" s="1177"/>
      <c r="CM67" s="1177"/>
      <c r="CN67" s="1177"/>
      <c r="CO67" s="1177"/>
      <c r="CP67" s="1177"/>
      <c r="CQ67" s="1177"/>
      <c r="CR67" s="1177"/>
      <c r="CS67" s="1177"/>
      <c r="CT67" s="1177"/>
      <c r="CU67" s="1177"/>
      <c r="CV67" s="1177"/>
      <c r="CW67" s="1177"/>
      <c r="CX67" s="1177"/>
      <c r="CY67" s="1177"/>
      <c r="CZ67" s="1177"/>
      <c r="DA67" s="1177"/>
      <c r="DB67" s="1177"/>
      <c r="DC67" s="1177"/>
      <c r="DD67" s="1177"/>
      <c r="DE67" s="151"/>
      <c r="DF67" s="862"/>
      <c r="DG67" s="243"/>
      <c r="DH67" s="862"/>
      <c r="DI67" s="862"/>
      <c r="DJ67" s="151"/>
      <c r="DK67" s="151"/>
      <c r="DL67" s="151"/>
      <c r="DM67" s="862"/>
      <c r="DN67" s="151"/>
      <c r="DO67" s="1002"/>
      <c r="DP67" s="151"/>
      <c r="DQ67" s="151"/>
      <c r="DR67" s="862"/>
      <c r="DS67" s="151"/>
      <c r="DT67" s="862"/>
      <c r="DU67" s="862"/>
      <c r="DV67" s="862"/>
      <c r="DW67" s="862"/>
      <c r="DX67" s="151"/>
      <c r="DY67" s="862"/>
      <c r="DZ67" s="862"/>
      <c r="EA67" s="862"/>
      <c r="EB67" s="151"/>
      <c r="EC67" s="151"/>
      <c r="ED67" s="1169"/>
      <c r="EE67" s="958"/>
      <c r="EF67" s="341"/>
      <c r="EG67" s="819"/>
      <c r="EH67" s="341"/>
      <c r="EN67" s="341"/>
    </row>
    <row r="68" spans="1:146" s="342" customFormat="1" x14ac:dyDescent="0.35">
      <c r="A68" s="331"/>
      <c r="B68" s="1704"/>
      <c r="C68" s="1756"/>
      <c r="D68" s="1275"/>
      <c r="E68" s="1759"/>
      <c r="F68" s="1756"/>
      <c r="G68" s="1005" t="s">
        <v>291</v>
      </c>
      <c r="H68" s="1005"/>
      <c r="I68" s="1203"/>
      <c r="J68" s="1024">
        <v>21.1</v>
      </c>
      <c r="K68" s="846"/>
      <c r="L68" s="327"/>
      <c r="M68" s="232">
        <v>423</v>
      </c>
      <c r="N68" s="325">
        <v>472</v>
      </c>
      <c r="O68" s="325" t="s">
        <v>41</v>
      </c>
      <c r="P68" s="325" t="s">
        <v>41</v>
      </c>
      <c r="Q68" s="862">
        <f t="shared" si="37"/>
        <v>980.76480000000004</v>
      </c>
      <c r="R68" s="325" t="s">
        <v>41</v>
      </c>
      <c r="S68" s="1025">
        <v>216000</v>
      </c>
      <c r="T68" s="232">
        <v>535</v>
      </c>
      <c r="U68" s="325" t="s">
        <v>41</v>
      </c>
      <c r="V68" s="862">
        <f t="shared" si="38"/>
        <v>92.729997871000137</v>
      </c>
      <c r="W68" s="325" t="s">
        <v>41</v>
      </c>
      <c r="X68" s="325">
        <v>226000</v>
      </c>
      <c r="Y68" s="848">
        <f t="shared" si="40"/>
        <v>432.67471829593353</v>
      </c>
      <c r="Z68" s="325">
        <f t="shared" si="4"/>
        <v>216000</v>
      </c>
      <c r="AA68" s="325">
        <f t="shared" si="39"/>
        <v>2.003123695814507E-3</v>
      </c>
      <c r="AB68" s="325">
        <f t="shared" si="6"/>
        <v>472</v>
      </c>
      <c r="AC68" s="325"/>
      <c r="AD68" s="1026">
        <v>1500</v>
      </c>
      <c r="AE68" s="1007">
        <v>119.9</v>
      </c>
      <c r="AF68" s="1027">
        <v>79.900000000000006</v>
      </c>
      <c r="AG68" s="1007">
        <v>2.83</v>
      </c>
      <c r="AH68" s="1007">
        <v>3.8</v>
      </c>
      <c r="AI68" s="1028">
        <f t="shared" si="7"/>
        <v>106.64</v>
      </c>
      <c r="AJ68" s="1028">
        <f t="shared" si="8"/>
        <v>66.64</v>
      </c>
      <c r="AK68" s="1028">
        <f t="shared" si="27"/>
        <v>1073.4947978710002</v>
      </c>
      <c r="AL68" s="1028">
        <f t="shared" si="9"/>
        <v>92.729997871000137</v>
      </c>
      <c r="AM68" s="881">
        <f t="shared" si="10"/>
        <v>423</v>
      </c>
      <c r="AN68" s="882">
        <f t="shared" si="10"/>
        <v>472</v>
      </c>
      <c r="AO68" s="1008">
        <f t="shared" si="11"/>
        <v>2.1203007518796994E-3</v>
      </c>
      <c r="AP68" s="998">
        <v>199500</v>
      </c>
      <c r="AQ68" s="592">
        <v>7</v>
      </c>
      <c r="AR68" s="151"/>
      <c r="AS68" s="887"/>
      <c r="AT68" s="887"/>
      <c r="AU68" s="887"/>
      <c r="AV68" s="887"/>
      <c r="AW68" s="887"/>
      <c r="AX68" s="887"/>
      <c r="AY68" s="887"/>
      <c r="AZ68" s="887"/>
      <c r="BA68" s="887"/>
      <c r="BB68" s="887"/>
      <c r="BC68" s="862"/>
      <c r="BD68" s="325"/>
      <c r="BE68" s="151"/>
      <c r="BF68" s="325"/>
      <c r="BG68" s="151"/>
      <c r="BH68" s="1177"/>
      <c r="BI68" s="1177"/>
      <c r="BJ68" s="1177"/>
      <c r="BK68" s="1177"/>
      <c r="BL68" s="1177"/>
      <c r="BM68" s="1177"/>
      <c r="BN68" s="1177"/>
      <c r="BO68" s="1177"/>
      <c r="BP68" s="1177"/>
      <c r="BQ68" s="1177"/>
      <c r="BR68" s="1177"/>
      <c r="BS68" s="1177"/>
      <c r="BT68" s="1177"/>
      <c r="BU68" s="1177"/>
      <c r="BV68" s="1177"/>
      <c r="BW68" s="1177"/>
      <c r="BX68" s="1177"/>
      <c r="BY68" s="1177"/>
      <c r="BZ68" s="1177"/>
      <c r="CA68" s="1177"/>
      <c r="CB68" s="1177"/>
      <c r="CC68" s="1177"/>
      <c r="CD68" s="1177"/>
      <c r="CE68" s="1177"/>
      <c r="CF68" s="1177"/>
      <c r="CG68" s="1177"/>
      <c r="CH68" s="1177"/>
      <c r="CI68" s="1177"/>
      <c r="CJ68" s="1177"/>
      <c r="CK68" s="1177"/>
      <c r="CL68" s="1177"/>
      <c r="CM68" s="1177"/>
      <c r="CN68" s="1177"/>
      <c r="CO68" s="1177"/>
      <c r="CP68" s="1177"/>
      <c r="CQ68" s="1177"/>
      <c r="CR68" s="1177"/>
      <c r="CS68" s="1177"/>
      <c r="CT68" s="1177"/>
      <c r="CU68" s="1177"/>
      <c r="CV68" s="1177"/>
      <c r="CW68" s="1177"/>
      <c r="CX68" s="1177"/>
      <c r="CY68" s="1177"/>
      <c r="CZ68" s="1177"/>
      <c r="DA68" s="1177"/>
      <c r="DB68" s="1177"/>
      <c r="DC68" s="1177"/>
      <c r="DD68" s="1177"/>
      <c r="DE68" s="151"/>
      <c r="DF68" s="862"/>
      <c r="DG68" s="243"/>
      <c r="DH68" s="862"/>
      <c r="DI68" s="862"/>
      <c r="DJ68" s="151"/>
      <c r="DK68" s="151"/>
      <c r="DL68" s="151"/>
      <c r="DM68" s="862"/>
      <c r="DN68" s="151"/>
      <c r="DO68" s="1002"/>
      <c r="DP68" s="151"/>
      <c r="DQ68" s="151"/>
      <c r="DR68" s="862"/>
      <c r="DS68" s="151"/>
      <c r="DT68" s="862"/>
      <c r="DU68" s="862"/>
      <c r="DV68" s="862"/>
      <c r="DW68" s="862"/>
      <c r="DX68" s="151"/>
      <c r="DY68" s="862"/>
      <c r="DZ68" s="862"/>
      <c r="EA68" s="862"/>
      <c r="EB68" s="151"/>
      <c r="EC68" s="151"/>
      <c r="ED68" s="341"/>
      <c r="EE68" s="958"/>
      <c r="EF68" s="341"/>
      <c r="EG68" s="819"/>
      <c r="EH68" s="341"/>
      <c r="EN68" s="341"/>
    </row>
    <row r="69" spans="1:146" s="342" customFormat="1" x14ac:dyDescent="0.35">
      <c r="A69" s="331"/>
      <c r="B69" s="1704"/>
      <c r="C69" s="1756"/>
      <c r="D69" s="1275"/>
      <c r="E69" s="1759"/>
      <c r="F69" s="1756"/>
      <c r="G69" s="1005" t="s">
        <v>292</v>
      </c>
      <c r="H69" s="1005"/>
      <c r="I69" s="1197"/>
      <c r="J69" s="1024">
        <v>5.9</v>
      </c>
      <c r="K69" s="846"/>
      <c r="L69" s="327"/>
      <c r="M69" s="232">
        <v>454</v>
      </c>
      <c r="N69" s="325">
        <v>475</v>
      </c>
      <c r="O69" s="325" t="s">
        <v>41</v>
      </c>
      <c r="P69" s="325" t="s">
        <v>41</v>
      </c>
      <c r="Q69" s="862">
        <f t="shared" si="37"/>
        <v>435.40800000000002</v>
      </c>
      <c r="R69" s="325" t="s">
        <v>41</v>
      </c>
      <c r="S69" s="1025">
        <v>219300</v>
      </c>
      <c r="T69" s="232">
        <v>545</v>
      </c>
      <c r="U69" s="325" t="s">
        <v>41</v>
      </c>
      <c r="V69" s="862">
        <f t="shared" si="38"/>
        <v>81.328225283999927</v>
      </c>
      <c r="W69" s="325" t="s">
        <v>41</v>
      </c>
      <c r="X69" s="325">
        <v>200000</v>
      </c>
      <c r="Y69" s="848">
        <f t="shared" si="40"/>
        <v>468.32233340477813</v>
      </c>
      <c r="Z69" s="325">
        <f t="shared" si="4"/>
        <v>219300</v>
      </c>
      <c r="AA69" s="325">
        <f t="shared" si="39"/>
        <v>2.1355327560637397E-3</v>
      </c>
      <c r="AB69" s="325">
        <f t="shared" si="6"/>
        <v>475</v>
      </c>
      <c r="AC69" s="325"/>
      <c r="AD69" s="1026">
        <v>1500</v>
      </c>
      <c r="AE69" s="1007">
        <v>60.4</v>
      </c>
      <c r="AF69" s="1027">
        <v>40.799999999999997</v>
      </c>
      <c r="AG69" s="1007">
        <v>2.82</v>
      </c>
      <c r="AH69" s="1007">
        <v>3.18</v>
      </c>
      <c r="AI69" s="1028">
        <f t="shared" si="7"/>
        <v>48.4</v>
      </c>
      <c r="AJ69" s="1028">
        <f t="shared" si="8"/>
        <v>28.799999999999997</v>
      </c>
      <c r="AK69" s="1028">
        <f t="shared" si="27"/>
        <v>516.73622528399994</v>
      </c>
      <c r="AL69" s="1028">
        <f t="shared" si="9"/>
        <v>81.328225283999927</v>
      </c>
      <c r="AM69" s="881">
        <f t="shared" si="10"/>
        <v>454</v>
      </c>
      <c r="AN69" s="882">
        <f t="shared" si="10"/>
        <v>475</v>
      </c>
      <c r="AO69" s="1008">
        <f t="shared" si="11"/>
        <v>2.275689223057644E-3</v>
      </c>
      <c r="AP69" s="998">
        <v>199500</v>
      </c>
      <c r="AQ69" s="592">
        <v>7</v>
      </c>
      <c r="AR69" s="151"/>
      <c r="AS69" s="887"/>
      <c r="AT69" s="887"/>
      <c r="AU69" s="887"/>
      <c r="AV69" s="887"/>
      <c r="AW69" s="887"/>
      <c r="AX69" s="887"/>
      <c r="AY69" s="887"/>
      <c r="AZ69" s="887"/>
      <c r="BA69" s="887"/>
      <c r="BB69" s="887"/>
      <c r="BC69" s="862"/>
      <c r="BD69" s="325"/>
      <c r="BE69" s="151"/>
      <c r="BF69" s="325"/>
      <c r="BG69" s="151"/>
      <c r="BH69" s="1177"/>
      <c r="BI69" s="1177"/>
      <c r="BJ69" s="1177"/>
      <c r="BK69" s="1177"/>
      <c r="BL69" s="1177"/>
      <c r="BM69" s="1177"/>
      <c r="BN69" s="1177"/>
      <c r="BO69" s="1177"/>
      <c r="BP69" s="1177"/>
      <c r="BQ69" s="1177"/>
      <c r="BR69" s="1177"/>
      <c r="BS69" s="1177"/>
      <c r="BT69" s="1177"/>
      <c r="BU69" s="1177"/>
      <c r="BV69" s="1177"/>
      <c r="BW69" s="1177"/>
      <c r="BX69" s="1177"/>
      <c r="BY69" s="1177"/>
      <c r="BZ69" s="1177"/>
      <c r="CA69" s="1177"/>
      <c r="CB69" s="1177"/>
      <c r="CC69" s="1177"/>
      <c r="CD69" s="1177"/>
      <c r="CE69" s="1177"/>
      <c r="CF69" s="1177"/>
      <c r="CG69" s="1177"/>
      <c r="CH69" s="1177"/>
      <c r="CI69" s="1177"/>
      <c r="CJ69" s="1177"/>
      <c r="CK69" s="1177"/>
      <c r="CL69" s="1177"/>
      <c r="CM69" s="1177"/>
      <c r="CN69" s="1177"/>
      <c r="CO69" s="1177"/>
      <c r="CP69" s="1177"/>
      <c r="CQ69" s="1177"/>
      <c r="CR69" s="1177"/>
      <c r="CS69" s="1177"/>
      <c r="CT69" s="1177"/>
      <c r="CU69" s="1177"/>
      <c r="CV69" s="1177"/>
      <c r="CW69" s="1177"/>
      <c r="CX69" s="1177"/>
      <c r="CY69" s="1177"/>
      <c r="CZ69" s="1177"/>
      <c r="DA69" s="1177"/>
      <c r="DB69" s="1177"/>
      <c r="DC69" s="1177"/>
      <c r="DD69" s="1177"/>
      <c r="DE69" s="151"/>
      <c r="DF69" s="862"/>
      <c r="DG69" s="243"/>
      <c r="DH69" s="862"/>
      <c r="DI69" s="862"/>
      <c r="DJ69" s="151"/>
      <c r="DK69" s="151"/>
      <c r="DL69" s="151"/>
      <c r="DM69" s="862"/>
      <c r="DN69" s="151"/>
      <c r="DO69" s="1002"/>
      <c r="DP69" s="151"/>
      <c r="DQ69" s="151"/>
      <c r="DR69" s="862"/>
      <c r="DS69" s="151"/>
      <c r="DT69" s="862"/>
      <c r="DU69" s="862"/>
      <c r="DV69" s="862"/>
      <c r="DW69" s="862"/>
      <c r="DX69" s="151"/>
      <c r="DY69" s="862"/>
      <c r="DZ69" s="862"/>
      <c r="EA69" s="862"/>
      <c r="EB69" s="151"/>
      <c r="EC69" s="151"/>
      <c r="ED69" s="341"/>
      <c r="EE69" s="958"/>
      <c r="EF69" s="341"/>
      <c r="EG69" s="819"/>
      <c r="EH69" s="341"/>
      <c r="EN69" s="341"/>
    </row>
    <row r="70" spans="1:146" s="342" customFormat="1" x14ac:dyDescent="0.35">
      <c r="A70" s="331"/>
      <c r="B70" s="1704"/>
      <c r="C70" s="1756"/>
      <c r="D70" s="1275"/>
      <c r="E70" s="1759"/>
      <c r="F70" s="1756"/>
      <c r="G70" s="1005" t="s">
        <v>293</v>
      </c>
      <c r="H70" s="1005"/>
      <c r="I70" s="1197"/>
      <c r="J70" s="1024">
        <v>11.4</v>
      </c>
      <c r="K70" s="846"/>
      <c r="L70" s="327"/>
      <c r="M70" s="232">
        <v>431</v>
      </c>
      <c r="N70" s="325">
        <v>447</v>
      </c>
      <c r="O70" s="325" t="s">
        <v>41</v>
      </c>
      <c r="P70" s="325" t="s">
        <v>41</v>
      </c>
      <c r="Q70" s="862">
        <f t="shared" si="37"/>
        <v>754.31640000000016</v>
      </c>
      <c r="R70" s="325" t="s">
        <v>41</v>
      </c>
      <c r="S70" s="1025">
        <v>210000</v>
      </c>
      <c r="T70" s="232">
        <v>512</v>
      </c>
      <c r="U70" s="325" t="s">
        <v>41</v>
      </c>
      <c r="V70" s="862">
        <f t="shared" si="38"/>
        <v>92.074662197000009</v>
      </c>
      <c r="W70" s="325" t="s">
        <v>41</v>
      </c>
      <c r="X70" s="325">
        <v>220000</v>
      </c>
      <c r="Y70" s="848">
        <f t="shared" si="40"/>
        <v>439.8115860044623</v>
      </c>
      <c r="Z70" s="325">
        <f t="shared" si="4"/>
        <v>210000</v>
      </c>
      <c r="AA70" s="325">
        <f t="shared" si="39"/>
        <v>2.0943408857355349E-3</v>
      </c>
      <c r="AB70" s="325">
        <f t="shared" si="6"/>
        <v>447</v>
      </c>
      <c r="AC70" s="325"/>
      <c r="AD70" s="1026">
        <v>1500</v>
      </c>
      <c r="AE70" s="1007">
        <v>80.5</v>
      </c>
      <c r="AF70" s="1027">
        <v>80.2</v>
      </c>
      <c r="AG70" s="1007">
        <v>2.81</v>
      </c>
      <c r="AH70" s="1007">
        <v>3.81</v>
      </c>
      <c r="AI70" s="1028">
        <f t="shared" si="7"/>
        <v>67.260000000000005</v>
      </c>
      <c r="AJ70" s="1028">
        <f t="shared" si="8"/>
        <v>66.960000000000008</v>
      </c>
      <c r="AK70" s="1028">
        <f t="shared" si="27"/>
        <v>846.39106219700011</v>
      </c>
      <c r="AL70" s="1028">
        <f t="shared" si="9"/>
        <v>92.074662197000009</v>
      </c>
      <c r="AM70" s="881">
        <f t="shared" si="10"/>
        <v>431</v>
      </c>
      <c r="AN70" s="882">
        <f t="shared" si="10"/>
        <v>447</v>
      </c>
      <c r="AO70" s="1008">
        <f t="shared" si="11"/>
        <v>2.1604010025062658E-3</v>
      </c>
      <c r="AP70" s="998">
        <v>199500</v>
      </c>
      <c r="AQ70" s="592">
        <v>7</v>
      </c>
      <c r="AR70" s="151"/>
      <c r="AS70" s="887"/>
      <c r="AT70" s="887"/>
      <c r="AU70" s="887"/>
      <c r="AV70" s="887"/>
      <c r="AW70" s="887"/>
      <c r="AX70" s="887"/>
      <c r="AY70" s="887"/>
      <c r="AZ70" s="887"/>
      <c r="BA70" s="887"/>
      <c r="BB70" s="887"/>
      <c r="BC70" s="862"/>
      <c r="BD70" s="325"/>
      <c r="BE70" s="151"/>
      <c r="BF70" s="325"/>
      <c r="BG70" s="151"/>
      <c r="BH70" s="1177"/>
      <c r="BI70" s="1177"/>
      <c r="BJ70" s="1177"/>
      <c r="BK70" s="1177"/>
      <c r="BL70" s="1177"/>
      <c r="BM70" s="1177"/>
      <c r="BN70" s="1177"/>
      <c r="BO70" s="1177"/>
      <c r="BP70" s="1177"/>
      <c r="BQ70" s="1177"/>
      <c r="BR70" s="1177"/>
      <c r="BS70" s="1177"/>
      <c r="BT70" s="1177"/>
      <c r="BU70" s="1177"/>
      <c r="BV70" s="1177"/>
      <c r="BW70" s="1177"/>
      <c r="BX70" s="1177"/>
      <c r="BY70" s="1177"/>
      <c r="BZ70" s="1177"/>
      <c r="CA70" s="1177"/>
      <c r="CB70" s="1177"/>
      <c r="CC70" s="1177"/>
      <c r="CD70" s="1177"/>
      <c r="CE70" s="1177"/>
      <c r="CF70" s="1177"/>
      <c r="CG70" s="1177"/>
      <c r="CH70" s="1177"/>
      <c r="CI70" s="1177"/>
      <c r="CJ70" s="1177"/>
      <c r="CK70" s="1177"/>
      <c r="CL70" s="1177"/>
      <c r="CM70" s="1177"/>
      <c r="CN70" s="1177"/>
      <c r="CO70" s="1177"/>
      <c r="CP70" s="1177"/>
      <c r="CQ70" s="1177"/>
      <c r="CR70" s="1177"/>
      <c r="CS70" s="1177"/>
      <c r="CT70" s="1177"/>
      <c r="CU70" s="1177"/>
      <c r="CV70" s="1177"/>
      <c r="CW70" s="1177"/>
      <c r="CX70" s="1177"/>
      <c r="CY70" s="1177"/>
      <c r="CZ70" s="1177"/>
      <c r="DA70" s="1177"/>
      <c r="DB70" s="1177"/>
      <c r="DC70" s="1177"/>
      <c r="DD70" s="1177"/>
      <c r="DE70" s="151"/>
      <c r="DF70" s="862"/>
      <c r="DG70" s="243"/>
      <c r="DH70" s="862"/>
      <c r="DI70" s="862"/>
      <c r="DJ70" s="151"/>
      <c r="DK70" s="151"/>
      <c r="DL70" s="151"/>
      <c r="DM70" s="862"/>
      <c r="DN70" s="151"/>
      <c r="DO70" s="1002"/>
      <c r="DP70" s="151"/>
      <c r="DQ70" s="151"/>
      <c r="DR70" s="862"/>
      <c r="DS70" s="151"/>
      <c r="DT70" s="862"/>
      <c r="DU70" s="862"/>
      <c r="DV70" s="862"/>
      <c r="DW70" s="862"/>
      <c r="DX70" s="151"/>
      <c r="DY70" s="862"/>
      <c r="DZ70" s="862"/>
      <c r="EA70" s="862"/>
      <c r="EB70" s="151"/>
      <c r="EC70" s="151"/>
      <c r="ED70" s="341"/>
      <c r="EE70" s="958"/>
      <c r="EF70" s="341"/>
      <c r="EG70" s="819"/>
      <c r="EH70" s="341"/>
      <c r="EN70" s="341"/>
    </row>
    <row r="71" spans="1:146" s="342" customFormat="1" ht="13.9" thickBot="1" x14ac:dyDescent="0.4">
      <c r="A71" s="331"/>
      <c r="B71" s="1705"/>
      <c r="C71" s="1757"/>
      <c r="D71" s="1276"/>
      <c r="E71" s="1760"/>
      <c r="F71" s="1757"/>
      <c r="G71" s="1030" t="s">
        <v>294</v>
      </c>
      <c r="H71" s="1030"/>
      <c r="I71" s="1198"/>
      <c r="J71" s="1031">
        <v>8.4</v>
      </c>
      <c r="K71" s="864"/>
      <c r="L71" s="302"/>
      <c r="M71" s="234">
        <v>519</v>
      </c>
      <c r="N71" s="235">
        <v>534</v>
      </c>
      <c r="O71" s="235" t="s">
        <v>41</v>
      </c>
      <c r="P71" s="235" t="s">
        <v>41</v>
      </c>
      <c r="Q71" s="878">
        <f t="shared" si="37"/>
        <v>563.09400000000005</v>
      </c>
      <c r="R71" s="235" t="s">
        <v>41</v>
      </c>
      <c r="S71" s="1032">
        <v>218300</v>
      </c>
      <c r="T71" s="234">
        <v>580</v>
      </c>
      <c r="U71" s="235" t="s">
        <v>41</v>
      </c>
      <c r="V71" s="878">
        <f t="shared" si="38"/>
        <v>77.81121527900001</v>
      </c>
      <c r="W71" s="235" t="s">
        <v>41</v>
      </c>
      <c r="X71" s="275">
        <v>225000</v>
      </c>
      <c r="Y71" s="866">
        <f t="shared" si="40"/>
        <v>526.40590655039807</v>
      </c>
      <c r="Z71" s="235">
        <f t="shared" si="4"/>
        <v>218300</v>
      </c>
      <c r="AA71" s="235">
        <f t="shared" si="39"/>
        <v>2.4113875700888599E-3</v>
      </c>
      <c r="AB71" s="235">
        <f t="shared" si="6"/>
        <v>534</v>
      </c>
      <c r="AC71" s="235"/>
      <c r="AD71" s="1033">
        <v>1500</v>
      </c>
      <c r="AE71" s="1034">
        <v>60.6</v>
      </c>
      <c r="AF71" s="1035">
        <v>60.5</v>
      </c>
      <c r="AG71" s="1034">
        <v>2.87</v>
      </c>
      <c r="AH71" s="1034">
        <v>2.88</v>
      </c>
      <c r="AI71" s="1036">
        <f t="shared" si="7"/>
        <v>49.1</v>
      </c>
      <c r="AJ71" s="1036">
        <f t="shared" si="8"/>
        <v>49</v>
      </c>
      <c r="AK71" s="1036">
        <f t="shared" si="27"/>
        <v>640.905215279</v>
      </c>
      <c r="AL71" s="1036">
        <f t="shared" si="9"/>
        <v>77.81121527900001</v>
      </c>
      <c r="AM71" s="872">
        <f t="shared" si="10"/>
        <v>519</v>
      </c>
      <c r="AN71" s="873">
        <f t="shared" si="10"/>
        <v>534</v>
      </c>
      <c r="AO71" s="1037">
        <f t="shared" si="11"/>
        <v>2.6015037593984961E-3</v>
      </c>
      <c r="AP71" s="1038">
        <v>199500</v>
      </c>
      <c r="AQ71" s="1179">
        <v>7</v>
      </c>
      <c r="AR71" s="151"/>
      <c r="AS71" s="887"/>
      <c r="AT71" s="887"/>
      <c r="AU71" s="887"/>
      <c r="AV71" s="887"/>
      <c r="AW71" s="887"/>
      <c r="AX71" s="887"/>
      <c r="AY71" s="887"/>
      <c r="AZ71" s="887"/>
      <c r="BA71" s="887"/>
      <c r="BB71" s="887"/>
      <c r="BC71" s="862"/>
      <c r="BD71" s="325"/>
      <c r="BE71" s="151"/>
      <c r="BF71" s="325"/>
      <c r="BG71" s="151"/>
      <c r="BH71" s="1177"/>
      <c r="BI71" s="1177"/>
      <c r="BJ71" s="1177"/>
      <c r="BK71" s="1177"/>
      <c r="BL71" s="1177"/>
      <c r="BM71" s="1177"/>
      <c r="BN71" s="1177"/>
      <c r="BO71" s="1177"/>
      <c r="BP71" s="1177"/>
      <c r="BQ71" s="1177"/>
      <c r="BR71" s="1177"/>
      <c r="BS71" s="1177"/>
      <c r="BT71" s="1177"/>
      <c r="BU71" s="1177"/>
      <c r="BV71" s="1177"/>
      <c r="BW71" s="1177"/>
      <c r="BX71" s="1177"/>
      <c r="BY71" s="1177"/>
      <c r="BZ71" s="1177"/>
      <c r="CA71" s="1177"/>
      <c r="CB71" s="1177"/>
      <c r="CC71" s="1177"/>
      <c r="CD71" s="1177"/>
      <c r="CE71" s="1177"/>
      <c r="CF71" s="1177"/>
      <c r="CG71" s="1177"/>
      <c r="CH71" s="1177"/>
      <c r="CI71" s="1177"/>
      <c r="CJ71" s="1177"/>
      <c r="CK71" s="1177"/>
      <c r="CL71" s="1177"/>
      <c r="CM71" s="1177"/>
      <c r="CN71" s="1177"/>
      <c r="CO71" s="1177"/>
      <c r="CP71" s="1177"/>
      <c r="CQ71" s="1177"/>
      <c r="CR71" s="1177"/>
      <c r="CS71" s="1177"/>
      <c r="CT71" s="1177"/>
      <c r="CU71" s="1177"/>
      <c r="CV71" s="1177"/>
      <c r="CW71" s="1177"/>
      <c r="CX71" s="1177"/>
      <c r="CY71" s="1177"/>
      <c r="CZ71" s="1177"/>
      <c r="DA71" s="1177"/>
      <c r="DB71" s="1177"/>
      <c r="DC71" s="1177"/>
      <c r="DD71" s="1177"/>
      <c r="DE71" s="151"/>
      <c r="DF71" s="862"/>
      <c r="DG71" s="243"/>
      <c r="DH71" s="862"/>
      <c r="DI71" s="862"/>
      <c r="DJ71" s="151"/>
      <c r="DK71" s="151"/>
      <c r="DL71" s="151"/>
      <c r="DM71" s="862"/>
      <c r="DN71" s="151"/>
      <c r="DO71" s="1002"/>
      <c r="DP71" s="151"/>
      <c r="DQ71" s="151"/>
      <c r="DR71" s="862"/>
      <c r="DS71" s="151"/>
      <c r="DT71" s="862"/>
      <c r="DU71" s="862"/>
      <c r="DV71" s="862"/>
      <c r="DW71" s="862"/>
      <c r="DX71" s="151"/>
      <c r="DY71" s="862"/>
      <c r="DZ71" s="862"/>
      <c r="EA71" s="862"/>
      <c r="EB71" s="151"/>
      <c r="EC71" s="151"/>
      <c r="ED71" s="341"/>
      <c r="EE71" s="958"/>
      <c r="EF71" s="341"/>
      <c r="EG71" s="819"/>
      <c r="EH71" s="341"/>
      <c r="EN71" s="341"/>
    </row>
    <row r="72" spans="1:146" x14ac:dyDescent="0.35">
      <c r="B72" s="593"/>
      <c r="C72" s="137"/>
      <c r="D72" s="137"/>
      <c r="E72" s="194">
        <f>COUNTA(G8:G71,G78:G91)</f>
        <v>78</v>
      </c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7"/>
      <c r="BD72" s="137"/>
      <c r="BE72" s="137"/>
      <c r="BF72" s="137"/>
      <c r="BG72" s="137"/>
      <c r="BH72" s="1177"/>
      <c r="BI72" s="1177"/>
      <c r="BJ72" s="1177"/>
      <c r="BK72" s="1177"/>
      <c r="BL72" s="1177"/>
      <c r="BM72" s="1177"/>
      <c r="BN72" s="1177"/>
      <c r="BO72" s="1177"/>
      <c r="BP72" s="1177"/>
      <c r="BQ72" s="1177"/>
      <c r="BR72" s="1177"/>
      <c r="BS72" s="1177"/>
      <c r="BT72" s="1177"/>
      <c r="BU72" s="1177"/>
      <c r="BV72" s="1177"/>
      <c r="BW72" s="1177"/>
      <c r="BX72" s="1177"/>
      <c r="BY72" s="1177"/>
      <c r="BZ72" s="1177"/>
      <c r="CA72" s="1177"/>
      <c r="CB72" s="1177"/>
      <c r="CC72" s="1177"/>
      <c r="CD72" s="1177"/>
      <c r="CE72" s="1177"/>
      <c r="CF72" s="1177"/>
      <c r="CG72" s="1177"/>
      <c r="CH72" s="1177"/>
      <c r="CI72" s="1177"/>
      <c r="CJ72" s="1177"/>
      <c r="CK72" s="1177"/>
      <c r="CL72" s="1177"/>
      <c r="CM72" s="1177"/>
      <c r="CN72" s="1177"/>
      <c r="CO72" s="1177"/>
      <c r="CP72" s="1177"/>
      <c r="CQ72" s="1177"/>
      <c r="CR72" s="1177"/>
      <c r="CS72" s="1177"/>
      <c r="CT72" s="1177"/>
      <c r="CU72" s="1177"/>
      <c r="CV72" s="1177"/>
      <c r="CW72" s="1177"/>
      <c r="CX72" s="1177"/>
      <c r="CY72" s="1177"/>
      <c r="CZ72" s="1177"/>
      <c r="DA72" s="1177"/>
      <c r="DB72" s="1177"/>
      <c r="DC72" s="1177"/>
      <c r="DD72" s="1177"/>
      <c r="DE72" s="137"/>
      <c r="DF72" s="137"/>
      <c r="DG72" s="151"/>
      <c r="DH72" s="151"/>
      <c r="DI72" s="1039"/>
      <c r="DJ72" s="151"/>
      <c r="DK72" s="151"/>
      <c r="DL72" s="145"/>
      <c r="DM72" s="145"/>
      <c r="DN72" s="145"/>
      <c r="DO72" s="145"/>
      <c r="DP72" s="145"/>
      <c r="DQ72" s="145"/>
      <c r="DR72" s="145"/>
      <c r="DS72" s="145"/>
      <c r="DT72" s="145"/>
      <c r="DU72" s="145"/>
      <c r="DV72" s="151"/>
      <c r="DW72" s="151"/>
      <c r="DX72" s="1040"/>
      <c r="DY72" s="151"/>
      <c r="DZ72" s="151"/>
      <c r="EA72" s="151"/>
      <c r="EB72" s="1039"/>
      <c r="EC72" s="151"/>
      <c r="ED72" s="151"/>
      <c r="EE72" s="148"/>
      <c r="EF72" s="194"/>
      <c r="EG72" s="137"/>
      <c r="EK72" s="818"/>
      <c r="EL72" s="818"/>
    </row>
    <row r="73" spans="1:146" x14ac:dyDescent="0.35">
      <c r="B73" s="1041" t="s">
        <v>295</v>
      </c>
      <c r="C73" s="1041"/>
      <c r="D73" s="1041"/>
      <c r="E73" s="1041"/>
      <c r="F73" s="1041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177"/>
      <c r="BI73" s="1177"/>
      <c r="BJ73" s="1177"/>
      <c r="BK73" s="1177"/>
      <c r="BL73" s="1177"/>
      <c r="BM73" s="1177"/>
      <c r="BN73" s="1177"/>
      <c r="BO73" s="1177"/>
      <c r="BP73" s="1177"/>
      <c r="BQ73" s="1177"/>
      <c r="BR73" s="1177"/>
      <c r="BS73" s="1177"/>
      <c r="BT73" s="1177"/>
      <c r="BU73" s="1177"/>
      <c r="BV73" s="1177"/>
      <c r="BW73" s="1177"/>
      <c r="BX73" s="1177"/>
      <c r="BY73" s="1177"/>
      <c r="BZ73" s="1177"/>
      <c r="CA73" s="1177"/>
      <c r="CB73" s="1177"/>
      <c r="CC73" s="1177"/>
      <c r="CD73" s="1177"/>
      <c r="CE73" s="1177"/>
      <c r="CF73" s="1177"/>
      <c r="CG73" s="1177"/>
      <c r="CH73" s="1177"/>
      <c r="CI73" s="1177"/>
      <c r="CJ73" s="1177"/>
      <c r="CK73" s="1177"/>
      <c r="CL73" s="1177"/>
      <c r="CM73" s="1177"/>
      <c r="CN73" s="1177"/>
      <c r="CO73" s="1177"/>
      <c r="CP73" s="1177"/>
      <c r="CQ73" s="1177"/>
      <c r="CR73" s="1177"/>
      <c r="CS73" s="1177"/>
      <c r="CT73" s="1177"/>
      <c r="CU73" s="1177"/>
      <c r="CV73" s="1177"/>
      <c r="CW73" s="1177"/>
      <c r="CX73" s="1177"/>
      <c r="CY73" s="1177"/>
      <c r="CZ73" s="1177"/>
      <c r="DA73" s="1177"/>
      <c r="DB73" s="1177"/>
      <c r="DC73" s="1177"/>
      <c r="DD73" s="1177"/>
      <c r="DE73" s="137"/>
      <c r="DF73" s="137"/>
      <c r="DG73" s="137"/>
      <c r="DH73" s="137"/>
      <c r="DI73" s="1042"/>
      <c r="DJ73" s="151"/>
      <c r="DK73" s="151"/>
      <c r="DL73" s="152"/>
      <c r="DM73" s="152"/>
      <c r="DN73" s="152"/>
      <c r="DO73" s="152"/>
      <c r="DP73" s="152"/>
      <c r="DQ73" s="152"/>
      <c r="DR73" s="152"/>
      <c r="DS73" s="152"/>
      <c r="DT73" s="152"/>
      <c r="DU73" s="152"/>
      <c r="DV73" s="1092"/>
      <c r="DW73" s="1092"/>
      <c r="DX73" s="1042"/>
      <c r="DY73" s="151"/>
      <c r="DZ73" s="151"/>
      <c r="EA73" s="151"/>
      <c r="EB73" s="1042"/>
      <c r="EC73" s="151"/>
      <c r="ED73" s="151"/>
      <c r="EE73" s="194"/>
      <c r="EF73" s="137"/>
      <c r="EG73" s="137"/>
      <c r="EK73" s="818"/>
      <c r="EL73" s="818"/>
    </row>
    <row r="74" spans="1:146" ht="13.9" thickBot="1" x14ac:dyDescent="0.4">
      <c r="B74" s="593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177"/>
      <c r="BI74" s="1177"/>
      <c r="BJ74" s="1177"/>
      <c r="BK74" s="1177"/>
      <c r="BL74" s="1177"/>
      <c r="BM74" s="1177"/>
      <c r="BN74" s="1177"/>
      <c r="BO74" s="1177"/>
      <c r="BP74" s="1177"/>
      <c r="BQ74" s="1177"/>
      <c r="BR74" s="1177"/>
      <c r="BS74" s="1177"/>
      <c r="BT74" s="1177"/>
      <c r="BU74" s="1177"/>
      <c r="BV74" s="1177"/>
      <c r="BW74" s="1177"/>
      <c r="BX74" s="1177"/>
      <c r="BY74" s="1177"/>
      <c r="BZ74" s="1177"/>
      <c r="CA74" s="1177"/>
      <c r="CB74" s="1177"/>
      <c r="CC74" s="1177"/>
      <c r="CD74" s="1177"/>
      <c r="CE74" s="1177"/>
      <c r="CF74" s="1177"/>
      <c r="CG74" s="1177"/>
      <c r="CH74" s="1177"/>
      <c r="CI74" s="1177"/>
      <c r="CJ74" s="1177"/>
      <c r="CK74" s="1177"/>
      <c r="CL74" s="1177"/>
      <c r="CM74" s="1177"/>
      <c r="CN74" s="1177"/>
      <c r="CO74" s="1177"/>
      <c r="CP74" s="1177"/>
      <c r="CQ74" s="1177"/>
      <c r="CR74" s="1177"/>
      <c r="CS74" s="1177"/>
      <c r="CT74" s="1177"/>
      <c r="CU74" s="1177"/>
      <c r="CV74" s="1177"/>
      <c r="CW74" s="1177"/>
      <c r="CX74" s="1177"/>
      <c r="CY74" s="1177"/>
      <c r="CZ74" s="1177"/>
      <c r="DA74" s="1177"/>
      <c r="DB74" s="1177"/>
      <c r="DC74" s="1177"/>
      <c r="DD74" s="1177"/>
      <c r="DE74" s="137"/>
      <c r="DF74" s="137"/>
      <c r="DG74" s="137"/>
      <c r="DH74" s="137"/>
      <c r="DI74" s="1042"/>
      <c r="DJ74" s="151"/>
      <c r="DK74" s="151"/>
      <c r="DL74" s="152"/>
      <c r="DM74" s="152"/>
      <c r="DN74" s="152"/>
      <c r="DO74" s="152"/>
      <c r="DP74" s="152"/>
      <c r="DQ74" s="152"/>
      <c r="DR74" s="152"/>
      <c r="DS74" s="152"/>
      <c r="DT74" s="152"/>
      <c r="DU74" s="152"/>
      <c r="DV74" s="1092"/>
      <c r="DW74" s="1092"/>
      <c r="DX74" s="1042"/>
      <c r="DY74" s="151"/>
      <c r="DZ74" s="151"/>
      <c r="EA74" s="151"/>
      <c r="EB74" s="1042"/>
      <c r="EC74" s="151"/>
      <c r="ED74" s="151"/>
      <c r="EE74" s="194"/>
      <c r="EF74" s="137"/>
      <c r="EG74" s="137"/>
      <c r="EK74" s="818"/>
      <c r="EL74" s="818"/>
    </row>
    <row r="75" spans="1:146" ht="14.65" customHeight="1" thickBot="1" x14ac:dyDescent="0.4">
      <c r="B75" s="1761" t="s">
        <v>224</v>
      </c>
      <c r="C75" s="1764" t="s">
        <v>225</v>
      </c>
      <c r="D75" s="1271"/>
      <c r="E75" s="1746" t="s">
        <v>226</v>
      </c>
      <c r="F75" s="1746" t="s">
        <v>3</v>
      </c>
      <c r="G75" s="1749" t="s">
        <v>227</v>
      </c>
      <c r="H75" s="1752" t="s">
        <v>398</v>
      </c>
      <c r="I75" s="1752" t="s">
        <v>391</v>
      </c>
      <c r="J75" s="1752" t="s">
        <v>354</v>
      </c>
      <c r="K75" s="1754" t="s">
        <v>375</v>
      </c>
      <c r="L75" s="1743" t="s">
        <v>296</v>
      </c>
      <c r="M75" s="1744"/>
      <c r="N75" s="1744"/>
      <c r="O75" s="1744"/>
      <c r="P75" s="1744"/>
      <c r="Q75" s="1744"/>
      <c r="R75" s="1745"/>
      <c r="S75" s="1743" t="s">
        <v>297</v>
      </c>
      <c r="T75" s="1744"/>
      <c r="U75" s="1744"/>
      <c r="V75" s="1744"/>
      <c r="W75" s="1744"/>
      <c r="X75" s="1744"/>
      <c r="Y75" s="1744"/>
      <c r="Z75" s="1744"/>
      <c r="AA75" s="1744"/>
      <c r="AB75" s="1744"/>
      <c r="AC75" s="1744"/>
      <c r="AD75" s="1745"/>
      <c r="AE75" s="286"/>
      <c r="AH75" s="286"/>
      <c r="AI75" s="286"/>
      <c r="AJ75" s="286"/>
      <c r="AK75" s="286"/>
      <c r="AL75" s="286"/>
      <c r="AM75" s="286"/>
      <c r="AN75" s="286"/>
      <c r="AO75" s="286"/>
      <c r="AP75" s="286"/>
      <c r="AQ75" s="286"/>
      <c r="AR75" s="286"/>
      <c r="AS75" s="286"/>
      <c r="AT75" s="286"/>
      <c r="AU75" s="286"/>
      <c r="AV75" s="286"/>
      <c r="AW75" s="286"/>
      <c r="AX75" s="286"/>
      <c r="AY75" s="286"/>
      <c r="AZ75" s="286"/>
      <c r="BA75" s="286"/>
      <c r="BB75" s="286"/>
      <c r="BC75" s="286"/>
      <c r="BD75" s="286"/>
      <c r="BE75" s="286"/>
      <c r="BF75" s="286"/>
      <c r="BG75" s="286"/>
      <c r="BH75" s="1177"/>
      <c r="BI75" s="1177"/>
      <c r="BJ75" s="1177"/>
      <c r="BK75" s="1177"/>
      <c r="BL75" s="1177"/>
      <c r="BM75" s="1177"/>
      <c r="BN75" s="1177"/>
      <c r="BO75" s="1177"/>
      <c r="BP75" s="1177"/>
      <c r="BQ75" s="1177"/>
      <c r="BR75" s="1177"/>
      <c r="BS75" s="1177"/>
      <c r="BT75" s="1177"/>
      <c r="BU75" s="1177"/>
      <c r="BV75" s="1177"/>
      <c r="BW75" s="1177"/>
      <c r="BX75" s="1177"/>
      <c r="BY75" s="1177"/>
      <c r="BZ75" s="1177"/>
      <c r="CA75" s="1177"/>
      <c r="CB75" s="1177"/>
      <c r="CC75" s="1177"/>
      <c r="CD75" s="1177"/>
      <c r="CE75" s="1177"/>
      <c r="CF75" s="1177"/>
      <c r="CG75" s="1177"/>
      <c r="CH75" s="1177"/>
      <c r="CI75" s="1177"/>
      <c r="CJ75" s="1177"/>
      <c r="CK75" s="1177"/>
      <c r="CL75" s="1177"/>
      <c r="CM75" s="1177"/>
      <c r="CN75" s="1177"/>
      <c r="CO75" s="1177"/>
      <c r="CP75" s="1177"/>
      <c r="CQ75" s="1177"/>
      <c r="CR75" s="1177"/>
      <c r="CS75" s="1177"/>
      <c r="CT75" s="1177"/>
      <c r="CU75" s="1177"/>
      <c r="CV75" s="1177"/>
      <c r="CW75" s="1177"/>
      <c r="CX75" s="1177"/>
      <c r="CY75" s="1177"/>
      <c r="CZ75" s="1177"/>
      <c r="DA75" s="1177"/>
      <c r="DB75" s="1177"/>
      <c r="DC75" s="1177"/>
      <c r="DD75" s="1177"/>
      <c r="DE75" s="844"/>
      <c r="DF75" s="844"/>
      <c r="DG75" s="844"/>
      <c r="DH75" s="844"/>
      <c r="DI75" s="999"/>
      <c r="DJ75" s="999"/>
      <c r="DK75" s="999"/>
      <c r="DL75" s="137"/>
      <c r="DM75" s="137"/>
      <c r="DN75" s="137"/>
      <c r="DO75" s="137"/>
      <c r="DP75" s="137"/>
      <c r="DQ75" s="137"/>
      <c r="DR75" s="137"/>
      <c r="DS75" s="137"/>
      <c r="DT75" s="145"/>
      <c r="DU75" s="137"/>
      <c r="DV75" s="1176"/>
      <c r="DW75" s="1091"/>
      <c r="DX75" s="137"/>
      <c r="DY75" s="653"/>
      <c r="DZ75" s="137"/>
      <c r="EA75" s="137"/>
      <c r="EB75" s="194"/>
      <c r="EC75" s="194"/>
      <c r="ED75" s="194"/>
      <c r="EE75" s="194"/>
      <c r="EF75" s="137"/>
      <c r="EG75" s="137"/>
      <c r="EI75" s="1043"/>
      <c r="EK75" s="818"/>
      <c r="EL75" s="818"/>
    </row>
    <row r="76" spans="1:146" ht="15" x14ac:dyDescent="0.35">
      <c r="B76" s="1762"/>
      <c r="C76" s="1765"/>
      <c r="D76" s="1272"/>
      <c r="E76" s="1747"/>
      <c r="F76" s="1747"/>
      <c r="G76" s="1750"/>
      <c r="H76" s="1753"/>
      <c r="I76" s="1753"/>
      <c r="J76" s="1753"/>
      <c r="K76" s="1537"/>
      <c r="L76" s="1186" t="s">
        <v>8</v>
      </c>
      <c r="M76" s="719" t="s">
        <v>230</v>
      </c>
      <c r="N76" s="52" t="s">
        <v>9</v>
      </c>
      <c r="O76" s="64" t="s">
        <v>376</v>
      </c>
      <c r="P76" s="64" t="s">
        <v>377</v>
      </c>
      <c r="Q76" s="119" t="s">
        <v>298</v>
      </c>
      <c r="R76" s="119" t="s">
        <v>378</v>
      </c>
      <c r="S76" s="1044" t="s">
        <v>379</v>
      </c>
      <c r="T76" s="1125" t="s">
        <v>380</v>
      </c>
      <c r="U76" s="119" t="s">
        <v>381</v>
      </c>
      <c r="V76" s="119" t="s">
        <v>393</v>
      </c>
      <c r="W76" s="124" t="s">
        <v>382</v>
      </c>
      <c r="X76" s="119" t="s">
        <v>383</v>
      </c>
      <c r="Y76" s="119" t="s">
        <v>384</v>
      </c>
      <c r="Z76" s="119" t="s">
        <v>394</v>
      </c>
      <c r="AA76" s="119" t="s">
        <v>385</v>
      </c>
      <c r="AB76" s="1192" t="s">
        <v>16</v>
      </c>
      <c r="AC76" s="119" t="s">
        <v>386</v>
      </c>
      <c r="AD76" s="119" t="s">
        <v>392</v>
      </c>
      <c r="AE76" s="1044" t="s">
        <v>299</v>
      </c>
      <c r="AF76" s="1114"/>
      <c r="AG76" s="1193" t="s">
        <v>395</v>
      </c>
      <c r="AH76" s="1193" t="s">
        <v>396</v>
      </c>
      <c r="AI76" s="1116"/>
      <c r="AJ76" s="1116"/>
      <c r="AK76" s="1116"/>
      <c r="AL76" s="1116"/>
      <c r="AM76" s="1097"/>
      <c r="AN76" s="1097"/>
      <c r="AO76" s="1097"/>
      <c r="AP76" s="1097"/>
      <c r="AQ76" s="1097"/>
      <c r="AR76" s="1097"/>
      <c r="AS76" s="1097"/>
      <c r="AT76" s="1097"/>
      <c r="AU76" s="1097"/>
      <c r="AV76" s="1097"/>
      <c r="AW76" s="1097"/>
      <c r="AX76" s="1097"/>
      <c r="AY76" s="1097"/>
      <c r="AZ76" s="1097"/>
      <c r="BA76" s="1097"/>
      <c r="BB76" s="1097"/>
      <c r="BC76" s="1097"/>
      <c r="BD76" s="1097"/>
      <c r="BE76" s="1097"/>
      <c r="BF76" s="1097"/>
      <c r="BG76" s="1097"/>
      <c r="BH76" s="1097"/>
      <c r="BI76" s="1097"/>
      <c r="BJ76" s="1097"/>
      <c r="BK76" s="1097"/>
      <c r="BL76" s="1177"/>
      <c r="BM76" s="1177"/>
      <c r="BN76" s="1177"/>
      <c r="BO76" s="1177"/>
      <c r="BP76" s="1177"/>
      <c r="BQ76" s="1177"/>
      <c r="BR76" s="1177"/>
      <c r="BS76" s="1177"/>
      <c r="BT76" s="1177"/>
      <c r="BU76" s="1177"/>
      <c r="BV76" s="1177"/>
      <c r="BW76" s="1177"/>
      <c r="BX76" s="1177"/>
      <c r="BY76" s="1177"/>
      <c r="BZ76" s="1177"/>
      <c r="CA76" s="1177"/>
      <c r="CB76" s="1177"/>
      <c r="CC76" s="1177"/>
      <c r="CD76" s="1177"/>
      <c r="CE76" s="1177"/>
      <c r="CF76" s="1177"/>
      <c r="CG76" s="1177"/>
      <c r="CH76" s="1177"/>
      <c r="CI76" s="1177"/>
      <c r="CJ76" s="1177"/>
      <c r="CK76" s="1177"/>
      <c r="CL76" s="1177"/>
      <c r="CM76" s="1177"/>
      <c r="CN76" s="1177"/>
      <c r="CO76" s="1177"/>
      <c r="CP76" s="1177"/>
      <c r="CQ76" s="1177"/>
      <c r="CR76" s="1177"/>
      <c r="CS76" s="1177"/>
      <c r="CT76" s="1177"/>
      <c r="CU76" s="1177"/>
      <c r="CV76" s="1177"/>
      <c r="CW76" s="1177"/>
      <c r="CX76" s="1177"/>
      <c r="CY76" s="1177"/>
      <c r="CZ76" s="1177"/>
      <c r="DA76" s="1177"/>
      <c r="DB76" s="1177"/>
      <c r="DC76" s="1177"/>
      <c r="DD76" s="1177"/>
      <c r="DE76" s="1177"/>
      <c r="DF76" s="1177"/>
      <c r="DG76" s="1177"/>
      <c r="DH76" s="1177"/>
      <c r="DI76" s="844"/>
      <c r="DJ76" s="844"/>
      <c r="DK76" s="844"/>
      <c r="DL76" s="999"/>
      <c r="DM76" s="999"/>
      <c r="DN76" s="999"/>
      <c r="DO76" s="999"/>
      <c r="DP76" s="137"/>
      <c r="DQ76" s="137"/>
      <c r="DR76" s="137"/>
      <c r="DS76" s="137"/>
      <c r="DT76" s="137"/>
      <c r="DU76" s="137"/>
      <c r="DV76" s="137"/>
      <c r="DW76" s="137"/>
      <c r="DX76" s="145"/>
      <c r="DY76" s="137"/>
      <c r="DZ76" s="1091"/>
      <c r="EA76" s="1091"/>
      <c r="EB76" s="137"/>
      <c r="EC76" s="137"/>
      <c r="ED76" s="137"/>
      <c r="EE76" s="137"/>
      <c r="EF76" s="194"/>
      <c r="EG76" s="194"/>
      <c r="EH76" s="194"/>
      <c r="EI76" s="194"/>
      <c r="EJ76" s="137"/>
      <c r="EK76" s="137"/>
      <c r="EL76" s="335"/>
      <c r="EM76" s="1043"/>
      <c r="EO76" s="818"/>
      <c r="EP76" s="818"/>
    </row>
    <row r="77" spans="1:146" ht="14.65" thickBot="1" x14ac:dyDescent="0.4">
      <c r="B77" s="1763"/>
      <c r="C77" s="1766"/>
      <c r="D77" s="1273"/>
      <c r="E77" s="1748"/>
      <c r="F77" s="1748"/>
      <c r="G77" s="1751"/>
      <c r="H77" s="829" t="s">
        <v>232</v>
      </c>
      <c r="I77" s="829" t="s">
        <v>232</v>
      </c>
      <c r="J77" s="829" t="s">
        <v>232</v>
      </c>
      <c r="K77" s="236" t="s">
        <v>25</v>
      </c>
      <c r="L77" s="236" t="s">
        <v>21</v>
      </c>
      <c r="M77" s="731" t="s">
        <v>21</v>
      </c>
      <c r="N77" s="1047" t="s">
        <v>21</v>
      </c>
      <c r="O77" s="237" t="s">
        <v>21</v>
      </c>
      <c r="P77" s="237" t="s">
        <v>21</v>
      </c>
      <c r="Q77" s="120" t="s">
        <v>21</v>
      </c>
      <c r="R77" s="120" t="s">
        <v>21</v>
      </c>
      <c r="S77" s="1048" t="s">
        <v>387</v>
      </c>
      <c r="T77" s="236" t="s">
        <v>23</v>
      </c>
      <c r="U77" s="120" t="s">
        <v>23</v>
      </c>
      <c r="V77" s="120"/>
      <c r="W77" s="837" t="s">
        <v>23</v>
      </c>
      <c r="X77" s="120" t="s">
        <v>23</v>
      </c>
      <c r="Y77" s="120" t="s">
        <v>23</v>
      </c>
      <c r="Z77" s="120"/>
      <c r="AA77" s="120" t="s">
        <v>23</v>
      </c>
      <c r="AB77" s="1049" t="s">
        <v>23</v>
      </c>
      <c r="AC77" s="120" t="s">
        <v>23</v>
      </c>
      <c r="AD77" s="120"/>
      <c r="AE77" s="1048" t="s">
        <v>23</v>
      </c>
      <c r="AF77" s="1165"/>
      <c r="AG77" s="1163"/>
      <c r="AH77" s="1163"/>
      <c r="AI77" s="1163"/>
      <c r="AJ77" s="1163"/>
      <c r="AK77" s="1163"/>
      <c r="AL77" s="1163"/>
      <c r="AM77" s="1114"/>
      <c r="AN77" s="1114"/>
      <c r="AO77" s="1114"/>
      <c r="AP77" s="1114"/>
      <c r="AQ77" s="1114"/>
      <c r="AR77" s="1114"/>
      <c r="AS77" s="1114"/>
      <c r="AT77" s="1114"/>
      <c r="AU77" s="1114"/>
      <c r="AV77" s="1114"/>
      <c r="AW77" s="1114"/>
      <c r="AX77" s="1114"/>
      <c r="AY77" s="1114"/>
      <c r="AZ77" s="1114"/>
      <c r="BA77" s="1114"/>
      <c r="BB77" s="1116"/>
      <c r="BC77" s="1114"/>
      <c r="BD77" s="1114"/>
      <c r="BE77" s="1114"/>
      <c r="BF77" s="1114"/>
      <c r="BG77" s="1114"/>
      <c r="BH77" s="1114"/>
      <c r="BI77" s="1114"/>
      <c r="BJ77" s="1114"/>
      <c r="BK77" s="1114"/>
      <c r="BL77" s="1177"/>
      <c r="BM77" s="1177"/>
      <c r="BN77" s="1177"/>
      <c r="BO77" s="1177"/>
      <c r="BP77" s="1177"/>
      <c r="BQ77" s="1177"/>
      <c r="BR77" s="1177"/>
      <c r="BS77" s="1177"/>
      <c r="BT77" s="1177"/>
      <c r="BU77" s="1177"/>
      <c r="BV77" s="1177"/>
      <c r="BW77" s="1177"/>
      <c r="BX77" s="1177"/>
      <c r="BY77" s="1177"/>
      <c r="BZ77" s="1177"/>
      <c r="CA77" s="1177"/>
      <c r="CB77" s="1177"/>
      <c r="CC77" s="1177"/>
      <c r="CD77" s="1177"/>
      <c r="CE77" s="1177"/>
      <c r="CF77" s="1177"/>
      <c r="CG77" s="1177"/>
      <c r="CH77" s="1177"/>
      <c r="CI77" s="1177"/>
      <c r="CJ77" s="1177"/>
      <c r="CK77" s="1177"/>
      <c r="CL77" s="1177"/>
      <c r="CM77" s="1177"/>
      <c r="CN77" s="1177"/>
      <c r="CO77" s="1177"/>
      <c r="CP77" s="1177"/>
      <c r="CQ77" s="1177"/>
      <c r="CR77" s="1177"/>
      <c r="CS77" s="1177"/>
      <c r="CT77" s="1177"/>
      <c r="CU77" s="1177"/>
      <c r="CV77" s="1177"/>
      <c r="CW77" s="1177"/>
      <c r="CX77" s="1177"/>
      <c r="CY77" s="1177"/>
      <c r="CZ77" s="1177"/>
      <c r="DA77" s="1177"/>
      <c r="DB77" s="1177"/>
      <c r="DC77" s="1177"/>
      <c r="DD77" s="1177"/>
      <c r="DE77" s="1177"/>
      <c r="DF77" s="1177"/>
      <c r="DG77" s="1177"/>
      <c r="DH77" s="1177"/>
      <c r="DI77" s="844"/>
      <c r="DJ77" s="815"/>
      <c r="DK77" s="844"/>
      <c r="DL77" s="817"/>
      <c r="DM77" s="999"/>
      <c r="DN77" s="999"/>
      <c r="DO77" s="999"/>
      <c r="DP77" s="137"/>
      <c r="DQ77" s="137"/>
      <c r="DR77" s="137"/>
      <c r="DS77" s="137"/>
      <c r="DT77" s="137"/>
      <c r="DU77" s="137"/>
      <c r="DV77" s="137"/>
      <c r="DW77" s="137"/>
      <c r="DX77" s="145"/>
      <c r="DY77" s="137"/>
      <c r="DZ77" s="1091"/>
      <c r="EA77" s="1091"/>
      <c r="EB77" s="137"/>
      <c r="EC77" s="137"/>
      <c r="ED77" s="137"/>
      <c r="EE77" s="137"/>
      <c r="EF77" s="194"/>
      <c r="EG77" s="194"/>
      <c r="EH77" s="194"/>
      <c r="EI77" s="194"/>
      <c r="EJ77" s="137"/>
      <c r="EK77" s="137"/>
      <c r="EL77" s="335"/>
      <c r="EM77" s="1043"/>
      <c r="EO77" s="818"/>
      <c r="EP77" s="818"/>
    </row>
    <row r="78" spans="1:146" ht="14.25" customHeight="1" x14ac:dyDescent="0.35">
      <c r="B78" s="1723" t="s">
        <v>300</v>
      </c>
      <c r="C78" s="1718" t="s">
        <v>301</v>
      </c>
      <c r="D78" s="1262"/>
      <c r="E78" s="1718" t="s">
        <v>57</v>
      </c>
      <c r="F78" s="1129">
        <v>1.4300999999999999</v>
      </c>
      <c r="G78" s="1134" t="s">
        <v>302</v>
      </c>
      <c r="H78" s="1188">
        <v>39.748905258937278</v>
      </c>
      <c r="I78" s="1151"/>
      <c r="J78" s="1140">
        <v>54.7</v>
      </c>
      <c r="K78" s="1136">
        <v>409</v>
      </c>
      <c r="L78" s="1187">
        <v>1000</v>
      </c>
      <c r="M78" s="1050">
        <v>161</v>
      </c>
      <c r="N78" s="1051">
        <v>80.3</v>
      </c>
      <c r="O78" s="1052">
        <v>6</v>
      </c>
      <c r="P78" s="1052">
        <v>9.86</v>
      </c>
      <c r="Q78" s="1045">
        <v>3</v>
      </c>
      <c r="R78" s="1045">
        <f t="shared" ref="R78:R83" si="41">(N78-O78)/2-Q78</f>
        <v>34.15</v>
      </c>
      <c r="S78" s="1053">
        <f>(M78-2*P78)*O78+2*N78*P78</f>
        <v>2431.1959999999999</v>
      </c>
      <c r="T78" s="1136">
        <v>300</v>
      </c>
      <c r="U78" s="1045">
        <v>624</v>
      </c>
      <c r="V78" s="1045"/>
      <c r="W78" s="1054">
        <v>198000</v>
      </c>
      <c r="X78" s="1045">
        <v>299</v>
      </c>
      <c r="Y78" s="1045">
        <v>610</v>
      </c>
      <c r="Z78" s="1045"/>
      <c r="AA78" s="1045">
        <v>202000</v>
      </c>
      <c r="AB78" s="1055">
        <f t="shared" ref="AB78:AB91" si="42">AVERAGE(T78,X78)</f>
        <v>299.5</v>
      </c>
      <c r="AC78" s="52">
        <f t="shared" ref="AC78:AC91" si="43">AVERAGE(U78,Y78)</f>
        <v>617</v>
      </c>
      <c r="AD78" s="52">
        <v>7</v>
      </c>
      <c r="AE78" s="1044">
        <f t="shared" ref="AE78:AE83" si="44">MIN(W78,AA78)</f>
        <v>198000</v>
      </c>
      <c r="AF78" s="151"/>
      <c r="AG78" s="1175"/>
      <c r="AH78" s="19"/>
      <c r="AI78" s="19"/>
      <c r="AJ78" s="151"/>
      <c r="AK78" s="151"/>
      <c r="AL78" s="151"/>
      <c r="AM78" s="862"/>
      <c r="AN78" s="325"/>
      <c r="AO78" s="862"/>
      <c r="AP78" s="325"/>
      <c r="AQ78" s="151"/>
      <c r="AR78" s="862"/>
      <c r="AS78" s="151"/>
      <c r="AT78" s="862"/>
      <c r="AU78" s="862"/>
      <c r="AV78" s="243"/>
      <c r="AW78" s="243"/>
      <c r="AX78" s="151"/>
      <c r="AY78" s="151"/>
      <c r="AZ78" s="151"/>
      <c r="BA78" s="151"/>
      <c r="BB78" s="151"/>
      <c r="BC78" s="195"/>
      <c r="BD78" s="862"/>
      <c r="BE78" s="862"/>
      <c r="BF78" s="325"/>
      <c r="BG78" s="862"/>
      <c r="BH78" s="151"/>
      <c r="BI78" s="151"/>
      <c r="BJ78" s="862"/>
      <c r="BK78" s="151"/>
      <c r="BL78" s="1177"/>
      <c r="BM78" s="1177"/>
      <c r="BN78" s="1177"/>
      <c r="BO78" s="1177"/>
      <c r="BP78" s="1177"/>
      <c r="BQ78" s="1177"/>
      <c r="BR78" s="1177"/>
      <c r="BS78" s="1177"/>
      <c r="BT78" s="1177"/>
      <c r="BU78" s="1177"/>
      <c r="BV78" s="1177"/>
      <c r="BW78" s="1177"/>
      <c r="BX78" s="1177"/>
      <c r="BY78" s="1177"/>
      <c r="BZ78" s="1177"/>
      <c r="CA78" s="1177"/>
      <c r="CB78" s="1177"/>
      <c r="CC78" s="1177"/>
      <c r="CD78" s="1177"/>
      <c r="CE78" s="1177"/>
      <c r="CF78" s="1177"/>
      <c r="CG78" s="1177"/>
      <c r="CH78" s="1177"/>
      <c r="CI78" s="1177"/>
      <c r="CJ78" s="1177"/>
      <c r="CK78" s="1177"/>
      <c r="CL78" s="1177"/>
      <c r="CM78" s="1177"/>
      <c r="CN78" s="1177"/>
      <c r="CO78" s="1177"/>
      <c r="CP78" s="1177"/>
      <c r="CQ78" s="1177"/>
      <c r="CR78" s="1177"/>
      <c r="CS78" s="1177"/>
      <c r="CT78" s="1177"/>
      <c r="CU78" s="1177"/>
      <c r="CV78" s="1177"/>
      <c r="CW78" s="1177"/>
      <c r="CX78" s="1177"/>
      <c r="CY78" s="1177"/>
      <c r="CZ78" s="1177"/>
      <c r="DA78" s="1177"/>
      <c r="DB78" s="1177"/>
      <c r="DC78" s="1177"/>
      <c r="DD78" s="1177"/>
      <c r="DE78" s="1177"/>
      <c r="DF78" s="1177"/>
      <c r="DG78" s="1177"/>
      <c r="DH78" s="1177"/>
      <c r="DI78" s="1029"/>
      <c r="DJ78" s="146"/>
      <c r="DK78" s="594"/>
      <c r="DL78" s="142"/>
      <c r="DM78" s="146"/>
      <c r="DN78" s="999"/>
      <c r="DO78" s="999"/>
      <c r="DP78" s="137"/>
      <c r="DQ78" s="137"/>
      <c r="DR78" s="137"/>
      <c r="DS78" s="137"/>
      <c r="DT78" s="137"/>
      <c r="DU78" s="137"/>
      <c r="DV78" s="137"/>
      <c r="DW78" s="137"/>
      <c r="DX78" s="145"/>
      <c r="DY78" s="137"/>
      <c r="DZ78" s="1091"/>
      <c r="EA78" s="1091"/>
      <c r="EB78" s="137"/>
      <c r="EC78" s="137"/>
      <c r="ED78" s="137"/>
      <c r="EE78" s="137"/>
      <c r="EF78" s="194"/>
      <c r="EG78" s="194"/>
      <c r="EH78" s="194"/>
      <c r="EI78" s="194"/>
      <c r="EJ78" s="137"/>
      <c r="EK78" s="137"/>
      <c r="EL78" s="335"/>
      <c r="EM78" s="1043"/>
      <c r="EO78" s="818"/>
      <c r="EP78" s="818"/>
    </row>
    <row r="79" spans="1:146" ht="14.25" customHeight="1" x14ac:dyDescent="0.35">
      <c r="B79" s="1724"/>
      <c r="C79" s="1719"/>
      <c r="D79" s="1263"/>
      <c r="E79" s="1719"/>
      <c r="F79" s="1130">
        <v>1.4300999999999999</v>
      </c>
      <c r="G79" s="1135" t="s">
        <v>303</v>
      </c>
      <c r="H79" s="1189">
        <v>84.689527910248003</v>
      </c>
      <c r="I79" s="1152"/>
      <c r="J79" s="1139">
        <v>89.5</v>
      </c>
      <c r="K79" s="1125">
        <v>687</v>
      </c>
      <c r="L79" s="1186">
        <v>1000</v>
      </c>
      <c r="M79" s="719">
        <v>158.80000000000001</v>
      </c>
      <c r="N79" s="52">
        <v>159.1</v>
      </c>
      <c r="O79" s="64">
        <v>6</v>
      </c>
      <c r="P79" s="64">
        <v>9.89</v>
      </c>
      <c r="Q79" s="119">
        <v>3</v>
      </c>
      <c r="R79" s="52">
        <f t="shared" si="41"/>
        <v>73.55</v>
      </c>
      <c r="S79" s="1056">
        <f t="shared" ref="S79:S91" si="45">(M79-2*P79)*O79+2*N79*P79</f>
        <v>3981.1180000000004</v>
      </c>
      <c r="T79" s="1125">
        <v>300</v>
      </c>
      <c r="U79" s="119">
        <v>624</v>
      </c>
      <c r="V79" s="119"/>
      <c r="W79" s="124">
        <v>198000</v>
      </c>
      <c r="X79" s="119">
        <v>303</v>
      </c>
      <c r="Y79" s="119">
        <v>613</v>
      </c>
      <c r="Z79" s="119"/>
      <c r="AA79" s="119">
        <v>202000</v>
      </c>
      <c r="AB79" s="1055">
        <f t="shared" si="42"/>
        <v>301.5</v>
      </c>
      <c r="AC79" s="52">
        <f t="shared" si="43"/>
        <v>618.5</v>
      </c>
      <c r="AD79" s="52">
        <v>7</v>
      </c>
      <c r="AE79" s="1044">
        <f t="shared" si="44"/>
        <v>198000</v>
      </c>
      <c r="AF79" s="151"/>
      <c r="AG79" s="1175"/>
      <c r="AH79" s="19"/>
      <c r="AI79" s="19"/>
      <c r="AJ79" s="151"/>
      <c r="AK79" s="151"/>
      <c r="AL79" s="151"/>
      <c r="AM79" s="862"/>
      <c r="AN79" s="325"/>
      <c r="AO79" s="862"/>
      <c r="AP79" s="325"/>
      <c r="AQ79" s="151"/>
      <c r="AR79" s="862"/>
      <c r="AS79" s="151"/>
      <c r="AT79" s="862"/>
      <c r="AU79" s="862"/>
      <c r="AV79" s="243"/>
      <c r="AW79" s="243"/>
      <c r="AX79" s="151"/>
      <c r="AY79" s="151"/>
      <c r="AZ79" s="151"/>
      <c r="BA79" s="151"/>
      <c r="BB79" s="151"/>
      <c r="BC79" s="195"/>
      <c r="BD79" s="862"/>
      <c r="BE79" s="862"/>
      <c r="BF79" s="325"/>
      <c r="BG79" s="862"/>
      <c r="BH79" s="151"/>
      <c r="BI79" s="151"/>
      <c r="BJ79" s="862"/>
      <c r="BK79" s="151"/>
      <c r="BL79" s="1177"/>
      <c r="BM79" s="1177"/>
      <c r="BN79" s="1177"/>
      <c r="BO79" s="1177"/>
      <c r="BP79" s="1177"/>
      <c r="BQ79" s="1177"/>
      <c r="BR79" s="1177"/>
      <c r="BS79" s="1177"/>
      <c r="BT79" s="1177"/>
      <c r="BU79" s="1177"/>
      <c r="BV79" s="1177"/>
      <c r="BW79" s="1177"/>
      <c r="BX79" s="1177"/>
      <c r="BY79" s="1177"/>
      <c r="BZ79" s="1177"/>
      <c r="CA79" s="1177"/>
      <c r="CB79" s="1177"/>
      <c r="CC79" s="1177"/>
      <c r="CD79" s="1177"/>
      <c r="CE79" s="1177"/>
      <c r="CF79" s="1177"/>
      <c r="CG79" s="1177"/>
      <c r="CH79" s="1177"/>
      <c r="CI79" s="1177"/>
      <c r="CJ79" s="1177"/>
      <c r="CK79" s="1177"/>
      <c r="CL79" s="1177"/>
      <c r="CM79" s="1177"/>
      <c r="CN79" s="1177"/>
      <c r="CO79" s="1177"/>
      <c r="CP79" s="1177"/>
      <c r="CQ79" s="1177"/>
      <c r="CR79" s="1177"/>
      <c r="CS79" s="1177"/>
      <c r="CT79" s="1177"/>
      <c r="CU79" s="1177"/>
      <c r="CV79" s="1177"/>
      <c r="CW79" s="1177"/>
      <c r="CX79" s="1177"/>
      <c r="CY79" s="1177"/>
      <c r="CZ79" s="1177"/>
      <c r="DA79" s="1177"/>
      <c r="DB79" s="1177"/>
      <c r="DC79" s="1177"/>
      <c r="DD79" s="1177"/>
      <c r="DE79" s="1177"/>
      <c r="DF79" s="1177"/>
      <c r="DG79" s="1177"/>
      <c r="DH79" s="1177"/>
      <c r="DI79" s="1029"/>
      <c r="DJ79" s="146"/>
      <c r="DK79" s="594"/>
      <c r="DL79" s="142"/>
      <c r="DM79" s="146"/>
      <c r="DN79" s="999"/>
      <c r="DO79" s="999"/>
      <c r="DP79" s="137"/>
      <c r="DQ79" s="137"/>
      <c r="DR79" s="137"/>
      <c r="DS79" s="137"/>
      <c r="DT79" s="137"/>
      <c r="DU79" s="137"/>
      <c r="DV79" s="137"/>
      <c r="DW79" s="137"/>
      <c r="DX79" s="145"/>
      <c r="DY79" s="137"/>
      <c r="DZ79" s="1091"/>
      <c r="EA79" s="1091"/>
      <c r="EB79" s="137"/>
      <c r="EC79" s="137"/>
      <c r="ED79" s="137"/>
      <c r="EE79" s="137"/>
      <c r="EF79" s="194"/>
      <c r="EG79" s="194"/>
      <c r="EH79" s="194"/>
      <c r="EI79" s="194"/>
      <c r="EJ79" s="137"/>
      <c r="EK79" s="137"/>
      <c r="EL79" s="335"/>
      <c r="EO79" s="818"/>
      <c r="EP79" s="818"/>
    </row>
    <row r="80" spans="1:146" ht="14.25" customHeight="1" x14ac:dyDescent="0.35">
      <c r="B80" s="1724"/>
      <c r="C80" s="1719"/>
      <c r="D80" s="1263"/>
      <c r="E80" s="1719"/>
      <c r="F80" s="1130">
        <v>1.4300999999999999</v>
      </c>
      <c r="G80" s="1135" t="s">
        <v>304</v>
      </c>
      <c r="H80" s="1189">
        <v>194.24232112809605</v>
      </c>
      <c r="I80" s="1152"/>
      <c r="J80" s="1139">
        <v>212.7</v>
      </c>
      <c r="K80" s="1125">
        <v>835</v>
      </c>
      <c r="L80" s="1186">
        <v>1000</v>
      </c>
      <c r="M80" s="719">
        <v>320</v>
      </c>
      <c r="N80" s="52">
        <v>160.9</v>
      </c>
      <c r="O80" s="64">
        <v>6</v>
      </c>
      <c r="P80" s="64">
        <v>9.84</v>
      </c>
      <c r="Q80" s="119">
        <v>3</v>
      </c>
      <c r="R80" s="119">
        <f t="shared" si="41"/>
        <v>74.45</v>
      </c>
      <c r="S80" s="1056">
        <f t="shared" si="45"/>
        <v>4968.4320000000007</v>
      </c>
      <c r="T80" s="1125">
        <v>300</v>
      </c>
      <c r="U80" s="119">
        <v>624</v>
      </c>
      <c r="V80" s="119"/>
      <c r="W80" s="124">
        <v>198000</v>
      </c>
      <c r="X80" s="119">
        <v>304</v>
      </c>
      <c r="Y80" s="119">
        <v>615</v>
      </c>
      <c r="Z80" s="119"/>
      <c r="AA80" s="119">
        <v>201000</v>
      </c>
      <c r="AB80" s="1055">
        <f t="shared" si="42"/>
        <v>302</v>
      </c>
      <c r="AC80" s="56">
        <f t="shared" si="43"/>
        <v>619.5</v>
      </c>
      <c r="AD80" s="52">
        <v>7</v>
      </c>
      <c r="AE80" s="1044">
        <f t="shared" si="44"/>
        <v>198000</v>
      </c>
      <c r="AF80" s="151"/>
      <c r="AG80" s="1175"/>
      <c r="AH80" s="19"/>
      <c r="AI80" s="19"/>
      <c r="AJ80" s="151"/>
      <c r="AK80" s="151"/>
      <c r="AL80" s="151"/>
      <c r="AM80" s="862"/>
      <c r="AN80" s="325"/>
      <c r="AO80" s="862"/>
      <c r="AP80" s="325"/>
      <c r="AQ80" s="151"/>
      <c r="AR80" s="862"/>
      <c r="AS80" s="151"/>
      <c r="AT80" s="862"/>
      <c r="AU80" s="862"/>
      <c r="AV80" s="243"/>
      <c r="AW80" s="243"/>
      <c r="AX80" s="151"/>
      <c r="AY80" s="151"/>
      <c r="AZ80" s="151"/>
      <c r="BA80" s="151"/>
      <c r="BB80" s="151"/>
      <c r="BC80" s="195"/>
      <c r="BD80" s="862"/>
      <c r="BE80" s="862"/>
      <c r="BF80" s="325"/>
      <c r="BG80" s="862"/>
      <c r="BH80" s="151"/>
      <c r="BI80" s="151"/>
      <c r="BJ80" s="862"/>
      <c r="BK80" s="151"/>
      <c r="BL80" s="1177"/>
      <c r="BM80" s="1177"/>
      <c r="BN80" s="1177"/>
      <c r="BO80" s="1177"/>
      <c r="BP80" s="1177"/>
      <c r="BQ80" s="1177"/>
      <c r="BR80" s="1177"/>
      <c r="BS80" s="1177"/>
      <c r="BT80" s="1177"/>
      <c r="BU80" s="1177"/>
      <c r="BV80" s="1177"/>
      <c r="BW80" s="1177"/>
      <c r="BX80" s="1177"/>
      <c r="BY80" s="1177"/>
      <c r="BZ80" s="1177"/>
      <c r="CA80" s="1177"/>
      <c r="CB80" s="1177"/>
      <c r="CC80" s="1177"/>
      <c r="CD80" s="1177"/>
      <c r="CE80" s="1177"/>
      <c r="CF80" s="1177"/>
      <c r="CG80" s="1177"/>
      <c r="CH80" s="1177"/>
      <c r="CI80" s="1177"/>
      <c r="CJ80" s="1177"/>
      <c r="CK80" s="1177"/>
      <c r="CL80" s="1177"/>
      <c r="CM80" s="1177"/>
      <c r="CN80" s="1177"/>
      <c r="CO80" s="1177"/>
      <c r="CP80" s="1177"/>
      <c r="CQ80" s="1177"/>
      <c r="CR80" s="1177"/>
      <c r="CS80" s="1177"/>
      <c r="CT80" s="1177"/>
      <c r="CU80" s="1177"/>
      <c r="CV80" s="1177"/>
      <c r="CW80" s="1177"/>
      <c r="CX80" s="1177"/>
      <c r="CY80" s="1177"/>
      <c r="CZ80" s="1177"/>
      <c r="DA80" s="1177"/>
      <c r="DB80" s="1177"/>
      <c r="DC80" s="1177"/>
      <c r="DD80" s="1177"/>
      <c r="DE80" s="1177"/>
      <c r="DF80" s="1177"/>
      <c r="DG80" s="1177"/>
      <c r="DH80" s="1177"/>
      <c r="DI80" s="1029"/>
      <c r="DJ80" s="146"/>
      <c r="DK80" s="594"/>
      <c r="DL80" s="142"/>
      <c r="DM80" s="146"/>
      <c r="DN80" s="999"/>
      <c r="DO80" s="999"/>
      <c r="DP80" s="137"/>
      <c r="DQ80" s="137"/>
      <c r="DR80" s="137"/>
      <c r="DS80" s="137"/>
      <c r="DT80" s="137"/>
      <c r="DU80" s="137"/>
      <c r="DV80" s="137"/>
      <c r="DW80" s="137"/>
      <c r="DX80" s="137"/>
      <c r="DY80" s="137"/>
      <c r="DZ80" s="1091"/>
      <c r="EA80" s="1091"/>
      <c r="EB80" s="137"/>
      <c r="EC80" s="137"/>
      <c r="ED80" s="137"/>
      <c r="EE80" s="137"/>
      <c r="EF80" s="194"/>
      <c r="EG80" s="194"/>
      <c r="EH80" s="194"/>
      <c r="EI80" s="194"/>
      <c r="EJ80" s="137"/>
      <c r="EK80" s="137"/>
      <c r="EL80" s="335"/>
      <c r="EO80" s="818"/>
      <c r="EP80" s="818"/>
    </row>
    <row r="81" spans="1:146" ht="14.25" customHeight="1" thickBot="1" x14ac:dyDescent="0.4">
      <c r="B81" s="1724"/>
      <c r="C81" s="1720"/>
      <c r="D81" s="1264"/>
      <c r="E81" s="1720"/>
      <c r="F81" s="1057">
        <v>1.4461999999999999</v>
      </c>
      <c r="G81" s="1058" t="s">
        <v>305</v>
      </c>
      <c r="H81" s="1058">
        <v>152.77895069841071</v>
      </c>
      <c r="I81" s="1058"/>
      <c r="J81" s="1059">
        <v>162.5</v>
      </c>
      <c r="K81" s="1060">
        <v>1225</v>
      </c>
      <c r="L81" s="1060">
        <v>1000</v>
      </c>
      <c r="M81" s="1061">
        <v>159.19999999999999</v>
      </c>
      <c r="N81" s="1062">
        <v>161.75</v>
      </c>
      <c r="O81" s="1063">
        <v>6.8</v>
      </c>
      <c r="P81" s="1063">
        <v>10.06</v>
      </c>
      <c r="Q81" s="1064">
        <v>3</v>
      </c>
      <c r="R81" s="1062">
        <f t="shared" si="41"/>
        <v>74.474999999999994</v>
      </c>
      <c r="S81" s="1065">
        <f t="shared" si="45"/>
        <v>4200.1540000000005</v>
      </c>
      <c r="T81" s="1060">
        <v>524</v>
      </c>
      <c r="U81" s="1064">
        <v>778</v>
      </c>
      <c r="V81" s="1064"/>
      <c r="W81" s="1066">
        <v>202000</v>
      </c>
      <c r="X81" s="1064">
        <v>522</v>
      </c>
      <c r="Y81" s="1064">
        <v>756</v>
      </c>
      <c r="Z81" s="1064"/>
      <c r="AA81" s="1064">
        <v>202000</v>
      </c>
      <c r="AB81" s="1067">
        <f t="shared" si="42"/>
        <v>523</v>
      </c>
      <c r="AC81" s="52">
        <f t="shared" si="43"/>
        <v>767</v>
      </c>
      <c r="AD81" s="52">
        <v>7</v>
      </c>
      <c r="AE81" s="1068">
        <f t="shared" si="44"/>
        <v>202000</v>
      </c>
      <c r="AF81" s="151"/>
      <c r="AG81" s="1175"/>
      <c r="AH81" s="19"/>
      <c r="AI81" s="19"/>
      <c r="AJ81" s="151"/>
      <c r="AK81" s="151"/>
      <c r="AL81" s="151"/>
      <c r="AM81" s="862"/>
      <c r="AN81" s="325"/>
      <c r="AO81" s="862"/>
      <c r="AP81" s="325"/>
      <c r="AQ81" s="151"/>
      <c r="AR81" s="862"/>
      <c r="AS81" s="151"/>
      <c r="AT81" s="862"/>
      <c r="AU81" s="862"/>
      <c r="AV81" s="243"/>
      <c r="AW81" s="243"/>
      <c r="AX81" s="151"/>
      <c r="AY81" s="151"/>
      <c r="AZ81" s="151"/>
      <c r="BA81" s="151"/>
      <c r="BB81" s="151"/>
      <c r="BC81" s="195"/>
      <c r="BD81" s="862"/>
      <c r="BE81" s="862"/>
      <c r="BF81" s="325"/>
      <c r="BG81" s="862"/>
      <c r="BH81" s="151"/>
      <c r="BI81" s="151"/>
      <c r="BJ81" s="862"/>
      <c r="BK81" s="151"/>
      <c r="BL81" s="1177"/>
      <c r="BM81" s="1177"/>
      <c r="BN81" s="1177"/>
      <c r="BO81" s="1177"/>
      <c r="BP81" s="1177"/>
      <c r="BQ81" s="1177"/>
      <c r="BR81" s="1177"/>
      <c r="BS81" s="1177"/>
      <c r="BT81" s="1177"/>
      <c r="BU81" s="1177"/>
      <c r="BV81" s="1177"/>
      <c r="BW81" s="1177"/>
      <c r="BX81" s="1177"/>
      <c r="BY81" s="1177"/>
      <c r="BZ81" s="1177"/>
      <c r="CA81" s="1177"/>
      <c r="CB81" s="1177"/>
      <c r="CC81" s="1177"/>
      <c r="CD81" s="1177"/>
      <c r="CE81" s="1177"/>
      <c r="CF81" s="1177"/>
      <c r="CG81" s="1177"/>
      <c r="CH81" s="1177"/>
      <c r="CI81" s="1177"/>
      <c r="CJ81" s="1177"/>
      <c r="CK81" s="1177"/>
      <c r="CL81" s="1177"/>
      <c r="CM81" s="1177"/>
      <c r="CN81" s="1177"/>
      <c r="CO81" s="1177"/>
      <c r="CP81" s="1177"/>
      <c r="CQ81" s="1177"/>
      <c r="CR81" s="1177"/>
      <c r="CS81" s="1177"/>
      <c r="CT81" s="1177"/>
      <c r="CU81" s="1177"/>
      <c r="CV81" s="1177"/>
      <c r="CW81" s="1177"/>
      <c r="CX81" s="1177"/>
      <c r="CY81" s="1177"/>
      <c r="CZ81" s="1177"/>
      <c r="DA81" s="1177"/>
      <c r="DB81" s="1177"/>
      <c r="DC81" s="1177"/>
      <c r="DD81" s="1177"/>
      <c r="DE81" s="1177"/>
      <c r="DF81" s="1177"/>
      <c r="DG81" s="1177"/>
      <c r="DH81" s="1177"/>
      <c r="DI81" s="1029"/>
      <c r="DJ81" s="146"/>
      <c r="DK81" s="594"/>
      <c r="DL81" s="142"/>
      <c r="DM81" s="146"/>
      <c r="DN81" s="999"/>
      <c r="DO81" s="999"/>
      <c r="DP81" s="137"/>
      <c r="DQ81" s="137"/>
      <c r="DR81" s="137"/>
      <c r="DS81" s="137"/>
      <c r="DT81" s="137"/>
      <c r="DU81" s="137"/>
      <c r="DV81" s="137"/>
      <c r="DW81" s="137"/>
      <c r="DX81" s="137"/>
      <c r="DY81" s="137"/>
      <c r="DZ81" s="1091"/>
      <c r="EA81" s="1091"/>
      <c r="EB81" s="137"/>
      <c r="EC81" s="137"/>
      <c r="ED81" s="137"/>
      <c r="EE81" s="137"/>
      <c r="EF81" s="194"/>
      <c r="EG81" s="194"/>
      <c r="EH81" s="194"/>
      <c r="EI81" s="194"/>
      <c r="EJ81" s="137"/>
      <c r="EK81" s="137"/>
      <c r="EL81" s="335"/>
      <c r="EO81" s="818"/>
      <c r="EP81" s="818"/>
    </row>
    <row r="82" spans="1:146" ht="14.25" customHeight="1" x14ac:dyDescent="0.35">
      <c r="A82" s="331">
        <v>16</v>
      </c>
      <c r="B82" s="1703" t="s">
        <v>233</v>
      </c>
      <c r="C82" s="1731" t="s">
        <v>234</v>
      </c>
      <c r="D82" s="1279"/>
      <c r="E82" s="1721" t="s">
        <v>57</v>
      </c>
      <c r="F82" s="1129">
        <v>1.4306000000000001</v>
      </c>
      <c r="G82" s="1069" t="s">
        <v>306</v>
      </c>
      <c r="H82" s="1069"/>
      <c r="I82" s="1069"/>
      <c r="J82" s="1139">
        <v>44.1</v>
      </c>
      <c r="K82" s="155">
        <v>73.5</v>
      </c>
      <c r="L82" s="155">
        <v>1000</v>
      </c>
      <c r="M82" s="630">
        <v>100</v>
      </c>
      <c r="N82" s="273">
        <v>100</v>
      </c>
      <c r="O82" s="176">
        <v>8</v>
      </c>
      <c r="P82" s="1070">
        <v>8</v>
      </c>
      <c r="Q82" s="119"/>
      <c r="R82" s="119">
        <f t="shared" si="41"/>
        <v>46</v>
      </c>
      <c r="S82" s="1071">
        <f t="shared" si="45"/>
        <v>2272</v>
      </c>
      <c r="T82" s="155">
        <v>414</v>
      </c>
      <c r="U82" s="1114">
        <v>605</v>
      </c>
      <c r="V82" s="1114"/>
      <c r="W82" s="156">
        <v>160110</v>
      </c>
      <c r="X82" s="1114">
        <v>414</v>
      </c>
      <c r="Y82" s="1114"/>
      <c r="Z82" s="1114"/>
      <c r="AA82" s="1114">
        <v>160110</v>
      </c>
      <c r="AB82" s="1072">
        <f t="shared" si="42"/>
        <v>414</v>
      </c>
      <c r="AC82" s="1051">
        <f t="shared" si="43"/>
        <v>605</v>
      </c>
      <c r="AD82" s="1051">
        <v>7</v>
      </c>
      <c r="AE82" s="1046">
        <f t="shared" si="44"/>
        <v>160110</v>
      </c>
      <c r="AF82" s="151"/>
      <c r="AG82" s="1175"/>
      <c r="AH82" s="19"/>
      <c r="AI82" s="19"/>
      <c r="AJ82" s="151"/>
      <c r="AK82" s="151"/>
      <c r="AL82" s="151"/>
      <c r="AM82" s="862"/>
      <c r="AN82" s="325"/>
      <c r="AO82" s="862"/>
      <c r="AP82" s="325"/>
      <c r="AQ82" s="151"/>
      <c r="AR82" s="862"/>
      <c r="AS82" s="151"/>
      <c r="AT82" s="862"/>
      <c r="AU82" s="862"/>
      <c r="AV82" s="243"/>
      <c r="AW82" s="243"/>
      <c r="AX82" s="151"/>
      <c r="AY82" s="151"/>
      <c r="AZ82" s="151"/>
      <c r="BA82" s="151"/>
      <c r="BB82" s="151"/>
      <c r="BC82" s="195"/>
      <c r="BD82" s="862"/>
      <c r="BE82" s="862"/>
      <c r="BF82" s="325"/>
      <c r="BG82" s="862"/>
      <c r="BH82" s="151"/>
      <c r="BI82" s="151"/>
      <c r="BJ82" s="862"/>
      <c r="BK82" s="151"/>
      <c r="BL82" s="1177"/>
      <c r="BM82" s="1177"/>
      <c r="BN82" s="1177"/>
      <c r="BO82" s="1177"/>
      <c r="BP82" s="1177"/>
      <c r="BQ82" s="1177"/>
      <c r="BR82" s="1177"/>
      <c r="BS82" s="1177"/>
      <c r="BT82" s="1177"/>
      <c r="BU82" s="1177"/>
      <c r="BV82" s="1177"/>
      <c r="BW82" s="1177"/>
      <c r="BX82" s="1177"/>
      <c r="BY82" s="1177"/>
      <c r="BZ82" s="1177"/>
      <c r="CA82" s="1177"/>
      <c r="CB82" s="1177"/>
      <c r="CC82" s="1177"/>
      <c r="CD82" s="1177"/>
      <c r="CE82" s="1177"/>
      <c r="CF82" s="1177"/>
      <c r="CG82" s="1177"/>
      <c r="CH82" s="1177"/>
      <c r="CI82" s="1177"/>
      <c r="CJ82" s="1177"/>
      <c r="CK82" s="1177"/>
      <c r="CL82" s="1177"/>
      <c r="CM82" s="1177"/>
      <c r="CN82" s="1177"/>
      <c r="CO82" s="1177"/>
      <c r="CP82" s="1177"/>
      <c r="CQ82" s="1177"/>
      <c r="CR82" s="1177"/>
      <c r="CS82" s="1177"/>
      <c r="CT82" s="1177"/>
      <c r="CU82" s="1177"/>
      <c r="CV82" s="1177"/>
      <c r="CW82" s="1177"/>
      <c r="CX82" s="1177"/>
      <c r="CY82" s="1177"/>
      <c r="CZ82" s="1177"/>
      <c r="DA82" s="1177"/>
      <c r="DB82" s="1177"/>
      <c r="DC82" s="1177"/>
      <c r="DD82" s="1177"/>
      <c r="DE82" s="1177"/>
      <c r="DF82" s="1177"/>
      <c r="DG82" s="1177"/>
      <c r="DH82" s="1177"/>
      <c r="DI82" s="1029"/>
      <c r="DJ82" s="146"/>
      <c r="DK82" s="594"/>
      <c r="DL82" s="142"/>
      <c r="DM82" s="146"/>
      <c r="DN82" s="999"/>
      <c r="DO82" s="999"/>
      <c r="DP82" s="137"/>
      <c r="DQ82" s="137"/>
      <c r="DR82" s="137"/>
      <c r="DS82" s="137"/>
      <c r="DT82" s="137"/>
      <c r="DU82" s="137"/>
      <c r="DV82" s="137"/>
      <c r="DW82" s="137"/>
      <c r="DX82" s="137"/>
      <c r="DY82" s="137"/>
      <c r="DZ82" s="1091"/>
      <c r="EA82" s="1091"/>
      <c r="EB82" s="137"/>
      <c r="EC82" s="137"/>
      <c r="ED82" s="137"/>
      <c r="EE82" s="137"/>
      <c r="EF82" s="194"/>
      <c r="EG82" s="194"/>
      <c r="EH82" s="194"/>
      <c r="EI82" s="194"/>
      <c r="EJ82" s="137"/>
      <c r="EK82" s="137"/>
      <c r="EL82" s="335"/>
      <c r="EO82" s="818"/>
      <c r="EP82" s="818"/>
    </row>
    <row r="83" spans="1:146" ht="14.25" customHeight="1" thickBot="1" x14ac:dyDescent="0.4">
      <c r="B83" s="1705"/>
      <c r="C83" s="1732"/>
      <c r="D83" s="1280"/>
      <c r="E83" s="1722"/>
      <c r="F83" s="1131">
        <v>1.4306000000000001</v>
      </c>
      <c r="G83" s="1073" t="s">
        <v>306</v>
      </c>
      <c r="H83" s="1073"/>
      <c r="I83" s="1073"/>
      <c r="J83" s="1141">
        <v>46.5</v>
      </c>
      <c r="K83" s="1133">
        <v>77.5</v>
      </c>
      <c r="L83" s="1191">
        <v>1000</v>
      </c>
      <c r="M83" s="631">
        <v>100</v>
      </c>
      <c r="N83" s="276">
        <v>100</v>
      </c>
      <c r="O83" s="193">
        <v>8</v>
      </c>
      <c r="P83" s="1074">
        <v>8</v>
      </c>
      <c r="Q83" s="120"/>
      <c r="R83" s="120">
        <f t="shared" si="41"/>
        <v>46</v>
      </c>
      <c r="S83" s="1075">
        <f t="shared" si="45"/>
        <v>2272</v>
      </c>
      <c r="T83" s="1133">
        <v>414</v>
      </c>
      <c r="U83" s="240">
        <v>605</v>
      </c>
      <c r="V83" s="240"/>
      <c r="W83" s="241">
        <v>160110</v>
      </c>
      <c r="X83" s="240">
        <v>414</v>
      </c>
      <c r="Y83" s="240"/>
      <c r="Z83" s="240"/>
      <c r="AA83" s="240">
        <v>160110</v>
      </c>
      <c r="AB83" s="1076">
        <f t="shared" si="42"/>
        <v>414</v>
      </c>
      <c r="AC83" s="1047">
        <f t="shared" si="43"/>
        <v>605</v>
      </c>
      <c r="AD83" s="1047">
        <v>7</v>
      </c>
      <c r="AE83" s="1048">
        <f t="shared" si="44"/>
        <v>160110</v>
      </c>
      <c r="AF83" s="151"/>
      <c r="AG83" s="1175"/>
      <c r="AH83" s="19"/>
      <c r="AI83" s="19"/>
      <c r="AJ83" s="151"/>
      <c r="AK83" s="151"/>
      <c r="AL83" s="151"/>
      <c r="AM83" s="862"/>
      <c r="AN83" s="325"/>
      <c r="AO83" s="862"/>
      <c r="AP83" s="325"/>
      <c r="AQ83" s="151"/>
      <c r="AR83" s="862"/>
      <c r="AS83" s="151"/>
      <c r="AT83" s="862"/>
      <c r="AU83" s="862"/>
      <c r="AV83" s="243"/>
      <c r="AW83" s="243"/>
      <c r="AX83" s="151"/>
      <c r="AY83" s="151"/>
      <c r="AZ83" s="151"/>
      <c r="BA83" s="151"/>
      <c r="BB83" s="151"/>
      <c r="BC83" s="195"/>
      <c r="BD83" s="862"/>
      <c r="BE83" s="862"/>
      <c r="BF83" s="325"/>
      <c r="BG83" s="862"/>
      <c r="BH83" s="151"/>
      <c r="BI83" s="151"/>
      <c r="BJ83" s="862"/>
      <c r="BK83" s="151"/>
      <c r="BL83" s="1177"/>
      <c r="BM83" s="1177"/>
      <c r="BN83" s="1177"/>
      <c r="BO83" s="1177"/>
      <c r="BP83" s="1177"/>
      <c r="BQ83" s="1177"/>
      <c r="BR83" s="1177"/>
      <c r="BS83" s="1177"/>
      <c r="BT83" s="1177"/>
      <c r="BU83" s="1177"/>
      <c r="BV83" s="1177"/>
      <c r="BW83" s="1177"/>
      <c r="BX83" s="1177"/>
      <c r="BY83" s="1177"/>
      <c r="BZ83" s="1177"/>
      <c r="CA83" s="1177"/>
      <c r="CB83" s="1177"/>
      <c r="CC83" s="1177"/>
      <c r="CD83" s="1177"/>
      <c r="CE83" s="1177"/>
      <c r="CF83" s="1177"/>
      <c r="CG83" s="1177"/>
      <c r="CH83" s="1177"/>
      <c r="CI83" s="1177"/>
      <c r="CJ83" s="1177"/>
      <c r="CK83" s="1177"/>
      <c r="CL83" s="1177"/>
      <c r="CM83" s="1177"/>
      <c r="CN83" s="1177"/>
      <c r="CO83" s="1177"/>
      <c r="CP83" s="1177"/>
      <c r="CQ83" s="1177"/>
      <c r="CR83" s="1177"/>
      <c r="CS83" s="1177"/>
      <c r="CT83" s="1177"/>
      <c r="CU83" s="1177"/>
      <c r="CV83" s="1177"/>
      <c r="CW83" s="1177"/>
      <c r="CX83" s="1177"/>
      <c r="CY83" s="1177"/>
      <c r="CZ83" s="1177"/>
      <c r="DA83" s="1177"/>
      <c r="DB83" s="1177"/>
      <c r="DC83" s="1177"/>
      <c r="DD83" s="1177"/>
      <c r="DE83" s="1177"/>
      <c r="DF83" s="1177"/>
      <c r="DG83" s="1177"/>
      <c r="DH83" s="1177"/>
      <c r="DI83" s="1029"/>
      <c r="DJ83" s="146"/>
      <c r="DK83" s="594"/>
      <c r="DL83" s="142"/>
      <c r="DM83" s="146"/>
      <c r="DN83" s="142"/>
      <c r="DO83" s="142"/>
      <c r="DP83" s="137"/>
      <c r="DQ83" s="137"/>
      <c r="DR83" s="137"/>
      <c r="DS83" s="137"/>
      <c r="DT83" s="137"/>
      <c r="DU83" s="137"/>
      <c r="DV83" s="137"/>
      <c r="DW83" s="137"/>
      <c r="DX83" s="137"/>
      <c r="DY83" s="137"/>
      <c r="DZ83" s="1091"/>
      <c r="EA83" s="1091"/>
      <c r="EB83" s="137"/>
      <c r="EC83" s="137"/>
      <c r="ED83" s="137"/>
      <c r="EE83" s="137"/>
      <c r="EF83" s="194"/>
      <c r="EG83" s="194"/>
      <c r="EH83" s="194"/>
      <c r="EI83" s="194"/>
      <c r="EJ83" s="137"/>
      <c r="EK83" s="137"/>
      <c r="EL83" s="335"/>
      <c r="EO83" s="818"/>
      <c r="EP83" s="818"/>
    </row>
    <row r="84" spans="1:146" ht="14.25" customHeight="1" x14ac:dyDescent="0.35">
      <c r="A84" s="331">
        <v>1</v>
      </c>
      <c r="B84" s="1723" t="s">
        <v>388</v>
      </c>
      <c r="C84" s="1725" t="s">
        <v>301</v>
      </c>
      <c r="D84" s="1277"/>
      <c r="E84" s="1721" t="s">
        <v>57</v>
      </c>
      <c r="F84" s="1718" t="s">
        <v>307</v>
      </c>
      <c r="G84" s="1077" t="s">
        <v>171</v>
      </c>
      <c r="H84" s="1077">
        <v>118.84459480546114</v>
      </c>
      <c r="I84" s="1181">
        <v>116</v>
      </c>
      <c r="J84" s="1140">
        <v>132</v>
      </c>
      <c r="K84" s="1132">
        <v>147</v>
      </c>
      <c r="L84" s="1190">
        <v>1000</v>
      </c>
      <c r="M84" s="1078">
        <f t="shared" ref="M84:M91" si="46">202.05+2*P84</f>
        <v>214.27</v>
      </c>
      <c r="N84" s="1079">
        <v>138.6</v>
      </c>
      <c r="O84" s="597">
        <v>6.01</v>
      </c>
      <c r="P84" s="1080">
        <v>6.11</v>
      </c>
      <c r="Q84" s="1045">
        <v>5</v>
      </c>
      <c r="R84" s="1052">
        <f t="shared" ref="R84:R91" si="47">((N84-O84)/2)-(Q84*2^0.5)</f>
        <v>59.223932188134526</v>
      </c>
      <c r="S84" s="1081">
        <f t="shared" si="45"/>
        <v>2908.0124999999998</v>
      </c>
      <c r="T84" s="1132">
        <v>520</v>
      </c>
      <c r="U84" s="153">
        <v>749</v>
      </c>
      <c r="V84" s="153">
        <v>7.9</v>
      </c>
      <c r="W84" s="828">
        <v>195000</v>
      </c>
      <c r="X84" s="827">
        <v>520</v>
      </c>
      <c r="Y84" s="153">
        <v>749</v>
      </c>
      <c r="Z84" s="153">
        <v>7.9</v>
      </c>
      <c r="AA84" s="153">
        <v>195000</v>
      </c>
      <c r="AB84" s="1082">
        <f t="shared" si="42"/>
        <v>520</v>
      </c>
      <c r="AC84" s="52">
        <f t="shared" si="43"/>
        <v>749</v>
      </c>
      <c r="AD84" s="52">
        <f>AVERAGE(V84,Z84)</f>
        <v>7.9</v>
      </c>
      <c r="AE84" s="154">
        <f t="shared" ref="AE84:AE91" si="48">AA84</f>
        <v>195000</v>
      </c>
      <c r="AF84" s="151"/>
      <c r="AG84" s="331">
        <v>124</v>
      </c>
      <c r="AH84" s="1195">
        <v>2.7399999999999999E-5</v>
      </c>
      <c r="AI84" s="19"/>
      <c r="AJ84" s="151"/>
      <c r="AK84" s="151"/>
      <c r="AL84" s="151"/>
      <c r="AM84" s="862"/>
      <c r="AN84" s="325"/>
      <c r="AO84" s="862"/>
      <c r="AP84" s="325"/>
      <c r="AQ84" s="151"/>
      <c r="AR84" s="862"/>
      <c r="AS84" s="151"/>
      <c r="AT84" s="862"/>
      <c r="AU84" s="862"/>
      <c r="AV84" s="243"/>
      <c r="AW84" s="243"/>
      <c r="AX84" s="151"/>
      <c r="AY84" s="151"/>
      <c r="AZ84" s="151"/>
      <c r="BA84" s="151"/>
      <c r="BB84" s="151"/>
      <c r="BC84" s="195"/>
      <c r="BD84" s="862"/>
      <c r="BE84" s="862"/>
      <c r="BF84" s="325"/>
      <c r="BG84" s="862"/>
      <c r="BH84" s="151"/>
      <c r="BI84" s="151"/>
      <c r="BJ84" s="862"/>
      <c r="BK84" s="151"/>
      <c r="BL84" s="1177"/>
      <c r="BM84" s="1177"/>
      <c r="BN84" s="1177"/>
      <c r="BO84" s="1177"/>
      <c r="BP84" s="1177"/>
      <c r="BQ84" s="1177"/>
      <c r="BR84" s="1177"/>
      <c r="BS84" s="1177"/>
      <c r="BT84" s="1177"/>
      <c r="BU84" s="1177"/>
      <c r="BV84" s="1177"/>
      <c r="BW84" s="1177"/>
      <c r="BX84" s="1177"/>
      <c r="BY84" s="1177"/>
      <c r="BZ84" s="1177"/>
      <c r="CA84" s="1177"/>
      <c r="CB84" s="1177"/>
      <c r="CC84" s="1177"/>
      <c r="CD84" s="1177"/>
      <c r="CE84" s="1177"/>
      <c r="CF84" s="1177"/>
      <c r="CG84" s="1177"/>
      <c r="CH84" s="1177"/>
      <c r="CI84" s="1177"/>
      <c r="CJ84" s="1177"/>
      <c r="CK84" s="1177"/>
      <c r="CL84" s="1177"/>
      <c r="CM84" s="1177"/>
      <c r="CN84" s="1177"/>
      <c r="CO84" s="1177"/>
      <c r="CP84" s="1177"/>
      <c r="CQ84" s="1177"/>
      <c r="CR84" s="1177"/>
      <c r="CS84" s="1177"/>
      <c r="CT84" s="1177"/>
      <c r="CU84" s="1177"/>
      <c r="CV84" s="1177"/>
      <c r="CW84" s="1177"/>
      <c r="CX84" s="1177"/>
      <c r="CY84" s="1177"/>
      <c r="CZ84" s="1177"/>
      <c r="DA84" s="1177"/>
      <c r="DB84" s="1177"/>
      <c r="DC84" s="1177"/>
      <c r="DD84" s="1177"/>
      <c r="DE84" s="1177"/>
      <c r="DF84" s="1177"/>
      <c r="DG84" s="1177"/>
      <c r="DH84" s="1177"/>
      <c r="DI84" s="1029"/>
      <c r="DJ84" s="146"/>
      <c r="DK84" s="594"/>
      <c r="DL84" s="142"/>
      <c r="DM84" s="146"/>
      <c r="DN84" s="1083"/>
      <c r="DO84" s="1083"/>
      <c r="DP84" s="137"/>
      <c r="DQ84" s="137"/>
      <c r="DR84" s="137"/>
      <c r="DS84" s="137"/>
      <c r="DT84" s="137"/>
      <c r="DU84" s="137"/>
      <c r="DV84" s="137"/>
      <c r="DW84" s="137"/>
      <c r="DX84" s="137"/>
      <c r="DY84" s="137"/>
      <c r="DZ84" s="1091"/>
      <c r="EA84" s="1091"/>
      <c r="EB84" s="137"/>
      <c r="EC84" s="137"/>
      <c r="ED84" s="137"/>
      <c r="EE84" s="137"/>
      <c r="EF84" s="194"/>
      <c r="EG84" s="194"/>
      <c r="EH84" s="194"/>
      <c r="EI84" s="194"/>
      <c r="EJ84" s="137"/>
      <c r="EK84" s="137"/>
      <c r="EL84" s="335"/>
      <c r="EO84" s="818"/>
      <c r="EP84" s="818"/>
    </row>
    <row r="85" spans="1:146" ht="14.25" customHeight="1" x14ac:dyDescent="0.35">
      <c r="B85" s="1724"/>
      <c r="C85" s="1726"/>
      <c r="D85" s="1278"/>
      <c r="E85" s="1739"/>
      <c r="F85" s="1719"/>
      <c r="G85" s="1069" t="s">
        <v>172</v>
      </c>
      <c r="H85" s="1069">
        <v>150.12884504429456</v>
      </c>
      <c r="I85" s="1180">
        <v>144</v>
      </c>
      <c r="J85" s="1139">
        <v>169</v>
      </c>
      <c r="K85" s="155">
        <v>188</v>
      </c>
      <c r="L85" s="155">
        <v>1000</v>
      </c>
      <c r="M85" s="630">
        <f t="shared" si="46"/>
        <v>218.27</v>
      </c>
      <c r="N85" s="273">
        <v>139.30000000000001</v>
      </c>
      <c r="O85" s="176">
        <v>6.06</v>
      </c>
      <c r="P85" s="1070">
        <v>8.11</v>
      </c>
      <c r="Q85" s="119">
        <v>5</v>
      </c>
      <c r="R85" s="64">
        <f t="shared" si="47"/>
        <v>59.548932188134529</v>
      </c>
      <c r="S85" s="1071">
        <f>(M85-2*P85)*O85+2*N85*P85</f>
        <v>3483.8689999999997</v>
      </c>
      <c r="T85" s="155">
        <v>520</v>
      </c>
      <c r="U85" s="1114">
        <v>749</v>
      </c>
      <c r="V85" s="1114">
        <v>7.9</v>
      </c>
      <c r="W85" s="156">
        <v>195000</v>
      </c>
      <c r="X85" s="157">
        <v>503</v>
      </c>
      <c r="Y85" s="1114">
        <v>747</v>
      </c>
      <c r="Z85" s="1114">
        <v>7.5</v>
      </c>
      <c r="AA85" s="1114">
        <v>210000</v>
      </c>
      <c r="AB85" s="1082">
        <f t="shared" si="42"/>
        <v>511.5</v>
      </c>
      <c r="AC85" s="52">
        <f t="shared" si="43"/>
        <v>748</v>
      </c>
      <c r="AD85" s="52">
        <f t="shared" ref="AD85:AD91" si="49">AVERAGE(V85,Z85)</f>
        <v>7.7</v>
      </c>
      <c r="AE85" s="154">
        <f t="shared" si="48"/>
        <v>210000</v>
      </c>
      <c r="AF85" s="151"/>
      <c r="AG85" s="331">
        <v>151</v>
      </c>
      <c r="AH85" s="1195">
        <v>2.5299999999999998E-5</v>
      </c>
      <c r="AI85" s="19"/>
      <c r="AJ85" s="151"/>
      <c r="AK85" s="151"/>
      <c r="AL85" s="151"/>
      <c r="AM85" s="862"/>
      <c r="AN85" s="325"/>
      <c r="AO85" s="862"/>
      <c r="AP85" s="325"/>
      <c r="AQ85" s="151"/>
      <c r="AR85" s="862"/>
      <c r="AS85" s="151"/>
      <c r="AT85" s="862"/>
      <c r="AU85" s="862"/>
      <c r="AV85" s="243"/>
      <c r="AW85" s="243"/>
      <c r="AX85" s="151"/>
      <c r="AY85" s="151"/>
      <c r="AZ85" s="151"/>
      <c r="BA85" s="151"/>
      <c r="BB85" s="151"/>
      <c r="BC85" s="195"/>
      <c r="BD85" s="862"/>
      <c r="BE85" s="862"/>
      <c r="BF85" s="325"/>
      <c r="BG85" s="862"/>
      <c r="BH85" s="151"/>
      <c r="BI85" s="151"/>
      <c r="BJ85" s="862"/>
      <c r="BK85" s="151"/>
      <c r="BL85" s="1177"/>
      <c r="BM85" s="1177"/>
      <c r="BN85" s="1177"/>
      <c r="BO85" s="1177"/>
      <c r="BP85" s="1177"/>
      <c r="BQ85" s="1177"/>
      <c r="BR85" s="1177"/>
      <c r="BS85" s="1177"/>
      <c r="BT85" s="1177"/>
      <c r="BU85" s="1177"/>
      <c r="BV85" s="1177"/>
      <c r="BW85" s="1177"/>
      <c r="BX85" s="1177"/>
      <c r="BY85" s="1177"/>
      <c r="BZ85" s="1177"/>
      <c r="CA85" s="1177"/>
      <c r="CB85" s="1177"/>
      <c r="CC85" s="1177"/>
      <c r="CD85" s="1177"/>
      <c r="CE85" s="1177"/>
      <c r="CF85" s="1177"/>
      <c r="CG85" s="1177"/>
      <c r="CH85" s="1177"/>
      <c r="CI85" s="1177"/>
      <c r="CJ85" s="1177"/>
      <c r="CK85" s="1177"/>
      <c r="CL85" s="1177"/>
      <c r="CM85" s="1177"/>
      <c r="CN85" s="1177"/>
      <c r="CO85" s="1177"/>
      <c r="CP85" s="1177"/>
      <c r="CQ85" s="1177"/>
      <c r="CR85" s="1177"/>
      <c r="CS85" s="1177"/>
      <c r="CT85" s="1177"/>
      <c r="CU85" s="1177"/>
      <c r="CV85" s="1177"/>
      <c r="CW85" s="1177"/>
      <c r="CX85" s="1177"/>
      <c r="CY85" s="1177"/>
      <c r="CZ85" s="1177"/>
      <c r="DA85" s="1177"/>
      <c r="DB85" s="1177"/>
      <c r="DC85" s="1177"/>
      <c r="DD85" s="1177"/>
      <c r="DE85" s="1177"/>
      <c r="DF85" s="1177"/>
      <c r="DG85" s="1177"/>
      <c r="DH85" s="1177"/>
      <c r="DI85" s="1029"/>
      <c r="DJ85" s="146"/>
      <c r="DK85" s="594"/>
      <c r="DL85" s="142"/>
      <c r="DM85" s="146"/>
      <c r="DN85" s="1083"/>
      <c r="DO85" s="1083"/>
      <c r="DP85" s="137"/>
      <c r="DQ85" s="137"/>
      <c r="DR85" s="137"/>
      <c r="DS85" s="137"/>
      <c r="DT85" s="137"/>
      <c r="DU85" s="137"/>
      <c r="DV85" s="137"/>
      <c r="DW85" s="137"/>
      <c r="DX85" s="137"/>
      <c r="DY85" s="137"/>
      <c r="DZ85" s="1091"/>
      <c r="EA85" s="1091"/>
      <c r="EB85" s="137"/>
      <c r="EC85" s="137"/>
      <c r="ED85" s="137"/>
      <c r="EE85" s="137"/>
      <c r="EF85" s="194"/>
      <c r="EG85" s="194"/>
      <c r="EH85" s="194"/>
      <c r="EI85" s="194"/>
      <c r="EJ85" s="137"/>
      <c r="EK85" s="137"/>
      <c r="EL85" s="335"/>
      <c r="EO85" s="818"/>
      <c r="EP85" s="818"/>
    </row>
    <row r="86" spans="1:146" ht="14.25" customHeight="1" x14ac:dyDescent="0.35">
      <c r="B86" s="1724"/>
      <c r="C86" s="1726"/>
      <c r="D86" s="1278"/>
      <c r="E86" s="1739"/>
      <c r="F86" s="1719"/>
      <c r="G86" s="1069" t="s">
        <v>173</v>
      </c>
      <c r="H86" s="1069">
        <v>194.59347988022745</v>
      </c>
      <c r="I86" s="1180">
        <v>185</v>
      </c>
      <c r="J86" s="1139">
        <v>219</v>
      </c>
      <c r="K86" s="155">
        <v>243</v>
      </c>
      <c r="L86" s="155">
        <v>1000</v>
      </c>
      <c r="M86" s="630">
        <f t="shared" si="46"/>
        <v>222.57000000000002</v>
      </c>
      <c r="N86" s="273">
        <v>139</v>
      </c>
      <c r="O86" s="176">
        <v>7.99</v>
      </c>
      <c r="P86" s="1070">
        <v>10.26</v>
      </c>
      <c r="Q86" s="119">
        <v>6</v>
      </c>
      <c r="R86" s="64">
        <f t="shared" si="47"/>
        <v>57.019718625761428</v>
      </c>
      <c r="S86" s="1071">
        <f>(M86-2*P86)*O86+2*N86*P86</f>
        <v>4466.6594999999998</v>
      </c>
      <c r="T86" s="155">
        <v>503</v>
      </c>
      <c r="U86" s="1114">
        <v>747</v>
      </c>
      <c r="V86" s="1114">
        <v>7.5</v>
      </c>
      <c r="W86" s="156">
        <v>210000</v>
      </c>
      <c r="X86" s="157">
        <v>505</v>
      </c>
      <c r="Y86" s="1114">
        <v>765</v>
      </c>
      <c r="Z86" s="1114">
        <v>7.9</v>
      </c>
      <c r="AA86" s="1114">
        <v>215000</v>
      </c>
      <c r="AB86" s="1082">
        <f t="shared" si="42"/>
        <v>504</v>
      </c>
      <c r="AC86" s="52">
        <f t="shared" si="43"/>
        <v>756</v>
      </c>
      <c r="AD86" s="52">
        <f t="shared" si="49"/>
        <v>7.7</v>
      </c>
      <c r="AE86" s="154">
        <f t="shared" si="48"/>
        <v>215000</v>
      </c>
      <c r="AF86" s="151"/>
      <c r="AG86" s="331">
        <v>185</v>
      </c>
      <c r="AH86" s="1195">
        <v>2.26E-5</v>
      </c>
      <c r="AI86" s="19"/>
      <c r="AJ86" s="151"/>
      <c r="AK86" s="151"/>
      <c r="AL86" s="151"/>
      <c r="AM86" s="862"/>
      <c r="AN86" s="325"/>
      <c r="AO86" s="862"/>
      <c r="AP86" s="325"/>
      <c r="AQ86" s="151"/>
      <c r="AR86" s="862"/>
      <c r="AS86" s="151"/>
      <c r="AT86" s="862"/>
      <c r="AU86" s="862"/>
      <c r="AV86" s="243"/>
      <c r="AW86" s="243"/>
      <c r="AX86" s="151"/>
      <c r="AY86" s="151"/>
      <c r="AZ86" s="151"/>
      <c r="BA86" s="151"/>
      <c r="BB86" s="151"/>
      <c r="BC86" s="195"/>
      <c r="BD86" s="862"/>
      <c r="BE86" s="862"/>
      <c r="BF86" s="325"/>
      <c r="BG86" s="862"/>
      <c r="BH86" s="151"/>
      <c r="BI86" s="151"/>
      <c r="BJ86" s="862"/>
      <c r="BK86" s="151"/>
      <c r="BL86" s="1177"/>
      <c r="BM86" s="1177"/>
      <c r="BN86" s="1177"/>
      <c r="BO86" s="1177"/>
      <c r="BP86" s="1177"/>
      <c r="BQ86" s="1177"/>
      <c r="BR86" s="1177"/>
      <c r="BS86" s="1177"/>
      <c r="BT86" s="1177"/>
      <c r="BU86" s="1177"/>
      <c r="BV86" s="1177"/>
      <c r="BW86" s="1177"/>
      <c r="BX86" s="1177"/>
      <c r="BY86" s="1177"/>
      <c r="BZ86" s="1177"/>
      <c r="CA86" s="1177"/>
      <c r="CB86" s="1177"/>
      <c r="CC86" s="1177"/>
      <c r="CD86" s="1177"/>
      <c r="CE86" s="1177"/>
      <c r="CF86" s="1177"/>
      <c r="CG86" s="1177"/>
      <c r="CH86" s="1177"/>
      <c r="CI86" s="1177"/>
      <c r="CJ86" s="1177"/>
      <c r="CK86" s="1177"/>
      <c r="CL86" s="1177"/>
      <c r="CM86" s="1177"/>
      <c r="CN86" s="1177"/>
      <c r="CO86" s="1177"/>
      <c r="CP86" s="1177"/>
      <c r="CQ86" s="1177"/>
      <c r="CR86" s="1177"/>
      <c r="CS86" s="1177"/>
      <c r="CT86" s="1177"/>
      <c r="CU86" s="1177"/>
      <c r="CV86" s="1177"/>
      <c r="CW86" s="1177"/>
      <c r="CX86" s="1177"/>
      <c r="CY86" s="1177"/>
      <c r="CZ86" s="1177"/>
      <c r="DA86" s="1177"/>
      <c r="DB86" s="1177"/>
      <c r="DC86" s="1177"/>
      <c r="DD86" s="1177"/>
      <c r="DE86" s="1177"/>
      <c r="DF86" s="1177"/>
      <c r="DG86" s="1177"/>
      <c r="DH86" s="1177"/>
      <c r="DI86" s="1029"/>
      <c r="DJ86" s="146"/>
      <c r="DK86" s="594"/>
      <c r="DL86" s="142"/>
      <c r="DM86" s="146"/>
      <c r="DN86" s="1083"/>
      <c r="DO86" s="1083"/>
      <c r="DP86" s="137"/>
      <c r="DQ86" s="137"/>
      <c r="DR86" s="137"/>
      <c r="DS86" s="137"/>
      <c r="DT86" s="137"/>
      <c r="DU86" s="137"/>
      <c r="DV86" s="137"/>
      <c r="DW86" s="137"/>
      <c r="DX86" s="137"/>
      <c r="DY86" s="137"/>
      <c r="DZ86" s="1091"/>
      <c r="EA86" s="1091"/>
      <c r="EB86" s="137"/>
      <c r="EC86" s="137"/>
      <c r="ED86" s="137"/>
      <c r="EE86" s="137"/>
      <c r="EF86" s="194"/>
      <c r="EG86" s="194"/>
      <c r="EH86" s="194"/>
      <c r="EI86" s="194"/>
      <c r="EJ86" s="137"/>
      <c r="EK86" s="137"/>
      <c r="EL86" s="335"/>
      <c r="EO86" s="818"/>
      <c r="EP86" s="818"/>
    </row>
    <row r="87" spans="1:146" ht="14.25" customHeight="1" thickBot="1" x14ac:dyDescent="0.4">
      <c r="B87" s="1724"/>
      <c r="C87" s="1726"/>
      <c r="D87" s="1278"/>
      <c r="E87" s="1739"/>
      <c r="F87" s="1719"/>
      <c r="G87" s="1073" t="s">
        <v>174</v>
      </c>
      <c r="H87" s="1073">
        <v>217.45741779142793</v>
      </c>
      <c r="I87" s="1182">
        <v>214</v>
      </c>
      <c r="J87" s="1150">
        <v>259</v>
      </c>
      <c r="K87" s="1153">
        <v>288</v>
      </c>
      <c r="L87" s="1191">
        <v>1000</v>
      </c>
      <c r="M87" s="631">
        <f t="shared" si="46"/>
        <v>226.69</v>
      </c>
      <c r="N87" s="276">
        <v>139.63999999999999</v>
      </c>
      <c r="O87" s="193">
        <v>8.07</v>
      </c>
      <c r="P87" s="1074">
        <v>12.32</v>
      </c>
      <c r="Q87" s="120">
        <v>6</v>
      </c>
      <c r="R87" s="237">
        <f t="shared" si="47"/>
        <v>57.299718625761429</v>
      </c>
      <c r="S87" s="1075">
        <f>(M87-2*P87)*O87+2*N87*P87</f>
        <v>5071.2731000000003</v>
      </c>
      <c r="T87" s="1153">
        <v>503</v>
      </c>
      <c r="U87" s="240">
        <v>747</v>
      </c>
      <c r="V87" s="240">
        <v>7.5</v>
      </c>
      <c r="W87" s="241">
        <v>210000</v>
      </c>
      <c r="X87" s="1084">
        <v>447</v>
      </c>
      <c r="Y87" s="240">
        <v>711</v>
      </c>
      <c r="Z87" s="240">
        <v>7.9</v>
      </c>
      <c r="AA87" s="240">
        <v>214000</v>
      </c>
      <c r="AB87" s="1076">
        <f t="shared" si="42"/>
        <v>475</v>
      </c>
      <c r="AC87" s="1047">
        <f t="shared" si="43"/>
        <v>729</v>
      </c>
      <c r="AD87" s="52">
        <f t="shared" si="49"/>
        <v>7.7</v>
      </c>
      <c r="AE87" s="242">
        <f t="shared" si="48"/>
        <v>214000</v>
      </c>
      <c r="AF87" s="151"/>
      <c r="AG87" s="331">
        <v>207</v>
      </c>
      <c r="AH87" s="1196">
        <v>2.234E-5</v>
      </c>
      <c r="AI87" s="19"/>
      <c r="AJ87" s="151"/>
      <c r="AK87" s="151"/>
      <c r="AL87" s="151"/>
      <c r="AM87" s="862"/>
      <c r="AN87" s="325"/>
      <c r="AO87" s="862"/>
      <c r="AP87" s="325"/>
      <c r="AQ87" s="151"/>
      <c r="AR87" s="862"/>
      <c r="AS87" s="151"/>
      <c r="AT87" s="862"/>
      <c r="AU87" s="862"/>
      <c r="AV87" s="243"/>
      <c r="AW87" s="243"/>
      <c r="AX87" s="151"/>
      <c r="AY87" s="151"/>
      <c r="AZ87" s="151"/>
      <c r="BA87" s="151"/>
      <c r="BB87" s="151"/>
      <c r="BC87" s="195"/>
      <c r="BD87" s="862"/>
      <c r="BE87" s="862"/>
      <c r="BF87" s="325"/>
      <c r="BG87" s="862"/>
      <c r="BH87" s="151"/>
      <c r="BI87" s="151"/>
      <c r="BJ87" s="862"/>
      <c r="BK87" s="151"/>
      <c r="BL87" s="1177"/>
      <c r="BM87" s="1177"/>
      <c r="BN87" s="1177"/>
      <c r="BO87" s="1177"/>
      <c r="BP87" s="1177"/>
      <c r="BQ87" s="1177"/>
      <c r="BR87" s="1177"/>
      <c r="BS87" s="1177"/>
      <c r="BT87" s="1177"/>
      <c r="BU87" s="1177"/>
      <c r="BV87" s="1177"/>
      <c r="BW87" s="1177"/>
      <c r="BX87" s="1177"/>
      <c r="BY87" s="1177"/>
      <c r="BZ87" s="1177"/>
      <c r="CA87" s="1177"/>
      <c r="CB87" s="1177"/>
      <c r="CC87" s="1177"/>
      <c r="CD87" s="1177"/>
      <c r="CE87" s="1177"/>
      <c r="CF87" s="1177"/>
      <c r="CG87" s="1177"/>
      <c r="CH87" s="1177"/>
      <c r="CI87" s="1177"/>
      <c r="CJ87" s="1177"/>
      <c r="CK87" s="1177"/>
      <c r="CL87" s="1177"/>
      <c r="CM87" s="1177"/>
      <c r="CN87" s="1177"/>
      <c r="CO87" s="1177"/>
      <c r="CP87" s="1177"/>
      <c r="CQ87" s="1177"/>
      <c r="CR87" s="1177"/>
      <c r="CS87" s="1177"/>
      <c r="CT87" s="1177"/>
      <c r="CU87" s="1177"/>
      <c r="CV87" s="1177"/>
      <c r="CW87" s="1177"/>
      <c r="CX87" s="1177"/>
      <c r="CY87" s="1177"/>
      <c r="CZ87" s="1177"/>
      <c r="DA87" s="1177"/>
      <c r="DB87" s="1177"/>
      <c r="DC87" s="1177"/>
      <c r="DD87" s="1177"/>
      <c r="DE87" s="1177"/>
      <c r="DF87" s="1177"/>
      <c r="DG87" s="1177"/>
      <c r="DH87" s="1177"/>
      <c r="DI87" s="1029"/>
      <c r="DJ87" s="146"/>
      <c r="DK87" s="594"/>
      <c r="DL87" s="142"/>
      <c r="DM87" s="146"/>
      <c r="DN87" s="1083"/>
      <c r="DO87" s="1083"/>
      <c r="DP87" s="137"/>
      <c r="DQ87" s="137"/>
      <c r="DR87" s="137"/>
      <c r="DS87" s="137"/>
      <c r="DT87" s="137"/>
      <c r="DU87" s="137"/>
      <c r="DV87" s="137"/>
      <c r="DW87" s="137"/>
      <c r="DX87" s="137"/>
      <c r="DY87" s="137"/>
      <c r="DZ87" s="1091"/>
      <c r="EA87" s="1091"/>
      <c r="EB87" s="137"/>
      <c r="EC87" s="137"/>
      <c r="ED87" s="137"/>
      <c r="EE87" s="137"/>
      <c r="EF87" s="194"/>
      <c r="EG87" s="194"/>
      <c r="EH87" s="194"/>
      <c r="EI87" s="194"/>
      <c r="EJ87" s="137"/>
      <c r="EK87" s="137"/>
      <c r="EL87" s="335"/>
      <c r="EO87" s="818"/>
      <c r="EP87" s="818"/>
    </row>
    <row r="88" spans="1:146" ht="14.25" customHeight="1" x14ac:dyDescent="0.35">
      <c r="B88" s="1724"/>
      <c r="C88" s="1726" t="s">
        <v>390</v>
      </c>
      <c r="D88" s="1278"/>
      <c r="E88" s="1721" t="s">
        <v>57</v>
      </c>
      <c r="F88" s="1718" t="s">
        <v>307</v>
      </c>
      <c r="G88" s="1069" t="s">
        <v>171</v>
      </c>
      <c r="H88" s="1069"/>
      <c r="I88" s="1180"/>
      <c r="J88" s="1139">
        <v>134</v>
      </c>
      <c r="K88" s="155">
        <v>192</v>
      </c>
      <c r="L88" s="155">
        <v>1000</v>
      </c>
      <c r="M88" s="630">
        <f t="shared" si="46"/>
        <v>214.29000000000002</v>
      </c>
      <c r="N88" s="273">
        <v>138.88999999999999</v>
      </c>
      <c r="O88" s="176">
        <v>6.01</v>
      </c>
      <c r="P88" s="1070">
        <v>6.12</v>
      </c>
      <c r="Q88" s="119">
        <v>5</v>
      </c>
      <c r="R88" s="64">
        <f t="shared" si="47"/>
        <v>59.368932188134522</v>
      </c>
      <c r="S88" s="1071">
        <f>(M88-2*P88)*O88+2*N88*P88</f>
        <v>2914.3341</v>
      </c>
      <c r="T88" s="155">
        <v>520</v>
      </c>
      <c r="U88" s="1114">
        <v>749</v>
      </c>
      <c r="V88" s="153">
        <v>7.9</v>
      </c>
      <c r="W88" s="156">
        <v>195000</v>
      </c>
      <c r="X88" s="157">
        <v>520</v>
      </c>
      <c r="Y88" s="1114">
        <v>749</v>
      </c>
      <c r="Z88" s="153">
        <v>7.9</v>
      </c>
      <c r="AA88" s="1114">
        <v>195000</v>
      </c>
      <c r="AB88" s="1082">
        <f t="shared" si="42"/>
        <v>520</v>
      </c>
      <c r="AC88" s="52">
        <f t="shared" si="43"/>
        <v>749</v>
      </c>
      <c r="AD88" s="1051">
        <v>4</v>
      </c>
      <c r="AE88" s="154">
        <f t="shared" si="48"/>
        <v>195000</v>
      </c>
      <c r="AF88" s="151"/>
      <c r="AG88" s="1194">
        <v>124</v>
      </c>
      <c r="AH88" s="19"/>
      <c r="AI88" s="19"/>
      <c r="AJ88" s="151"/>
      <c r="AK88" s="151"/>
      <c r="AL88" s="151"/>
      <c r="AM88" s="862"/>
      <c r="AN88" s="325"/>
      <c r="AO88" s="862"/>
      <c r="AP88" s="325"/>
      <c r="AQ88" s="151"/>
      <c r="AR88" s="862"/>
      <c r="AS88" s="151"/>
      <c r="AT88" s="862"/>
      <c r="AU88" s="862"/>
      <c r="AV88" s="243"/>
      <c r="AW88" s="243"/>
      <c r="AX88" s="151"/>
      <c r="AY88" s="151"/>
      <c r="AZ88" s="151"/>
      <c r="BA88" s="151"/>
      <c r="BB88" s="151"/>
      <c r="BC88" s="195"/>
      <c r="BD88" s="862"/>
      <c r="BE88" s="862"/>
      <c r="BF88" s="325"/>
      <c r="BG88" s="862"/>
      <c r="BH88" s="151"/>
      <c r="BI88" s="151"/>
      <c r="BJ88" s="862"/>
      <c r="BK88" s="151"/>
      <c r="BL88" s="1177"/>
      <c r="BM88" s="1177"/>
      <c r="BN88" s="1177"/>
      <c r="BO88" s="1177"/>
      <c r="BP88" s="1177"/>
      <c r="BQ88" s="1177"/>
      <c r="BR88" s="1177"/>
      <c r="BS88" s="1177"/>
      <c r="BT88" s="1177"/>
      <c r="BU88" s="1177"/>
      <c r="BV88" s="1177"/>
      <c r="BW88" s="1177"/>
      <c r="BX88" s="1177"/>
      <c r="BY88" s="1177"/>
      <c r="BZ88" s="1177"/>
      <c r="CA88" s="1177"/>
      <c r="CB88" s="1177"/>
      <c r="CC88" s="1177"/>
      <c r="CD88" s="1177"/>
      <c r="CE88" s="1177"/>
      <c r="CF88" s="1177"/>
      <c r="CG88" s="1177"/>
      <c r="CH88" s="1177"/>
      <c r="CI88" s="1177"/>
      <c r="CJ88" s="1177"/>
      <c r="CK88" s="1177"/>
      <c r="CL88" s="1177"/>
      <c r="CM88" s="1177"/>
      <c r="CN88" s="1177"/>
      <c r="CO88" s="1177"/>
      <c r="CP88" s="1177"/>
      <c r="CQ88" s="1177"/>
      <c r="CR88" s="1177"/>
      <c r="CS88" s="1177"/>
      <c r="CT88" s="1177"/>
      <c r="CU88" s="1177"/>
      <c r="CV88" s="1177"/>
      <c r="CW88" s="1177"/>
      <c r="CX88" s="1177"/>
      <c r="CY88" s="1177"/>
      <c r="CZ88" s="1177"/>
      <c r="DA88" s="1177"/>
      <c r="DB88" s="1177"/>
      <c r="DC88" s="1177"/>
      <c r="DD88" s="1177"/>
      <c r="DE88" s="1177"/>
      <c r="DF88" s="1177"/>
      <c r="DG88" s="1177"/>
      <c r="DH88" s="1177"/>
      <c r="DI88" s="1029"/>
      <c r="DJ88" s="146"/>
      <c r="DK88" s="594"/>
      <c r="DL88" s="142"/>
      <c r="DM88" s="146"/>
      <c r="DN88" s="1083"/>
      <c r="DO88" s="1083"/>
      <c r="DP88" s="137"/>
      <c r="DQ88" s="137"/>
      <c r="DR88" s="137"/>
      <c r="DS88" s="137"/>
      <c r="DT88" s="137"/>
      <c r="DU88" s="137"/>
      <c r="DV88" s="137"/>
      <c r="DW88" s="137"/>
      <c r="DX88" s="137"/>
      <c r="DY88" s="137"/>
      <c r="DZ88" s="1091"/>
      <c r="EA88" s="1091"/>
      <c r="EB88" s="137"/>
      <c r="EC88" s="137"/>
      <c r="ED88" s="137"/>
      <c r="EE88" s="137"/>
      <c r="EF88" s="194"/>
      <c r="EG88" s="194"/>
      <c r="EH88" s="194"/>
      <c r="EI88" s="194"/>
      <c r="EJ88" s="137"/>
      <c r="EK88" s="137"/>
      <c r="EL88" s="335"/>
      <c r="EO88" s="818"/>
      <c r="EP88" s="818"/>
    </row>
    <row r="89" spans="1:146" ht="14.25" customHeight="1" x14ac:dyDescent="0.35">
      <c r="B89" s="1724"/>
      <c r="C89" s="1726"/>
      <c r="D89" s="1278"/>
      <c r="E89" s="1739"/>
      <c r="F89" s="1719"/>
      <c r="G89" s="1069" t="s">
        <v>172</v>
      </c>
      <c r="H89" s="1069"/>
      <c r="I89" s="1180"/>
      <c r="J89" s="1139">
        <v>195</v>
      </c>
      <c r="K89" s="155">
        <v>279</v>
      </c>
      <c r="L89" s="155">
        <v>1000</v>
      </c>
      <c r="M89" s="630">
        <f t="shared" si="46"/>
        <v>218.27</v>
      </c>
      <c r="N89" s="273">
        <v>139.04</v>
      </c>
      <c r="O89" s="176">
        <v>6.03</v>
      </c>
      <c r="P89" s="1070">
        <v>8.11</v>
      </c>
      <c r="Q89" s="119">
        <v>5</v>
      </c>
      <c r="R89" s="64">
        <f t="shared" si="47"/>
        <v>59.43393218813452</v>
      </c>
      <c r="S89" s="1071">
        <f>(M89-2*P89)*O89+2*N89*P89</f>
        <v>3473.5902999999998</v>
      </c>
      <c r="T89" s="155">
        <v>520</v>
      </c>
      <c r="U89" s="1114">
        <v>749</v>
      </c>
      <c r="V89" s="1114">
        <v>7.9</v>
      </c>
      <c r="W89" s="156">
        <v>195000</v>
      </c>
      <c r="X89" s="157">
        <v>503</v>
      </c>
      <c r="Y89" s="1114">
        <v>747</v>
      </c>
      <c r="Z89" s="1114">
        <v>7.5</v>
      </c>
      <c r="AA89" s="1114">
        <v>210000</v>
      </c>
      <c r="AB89" s="1082">
        <f t="shared" si="42"/>
        <v>511.5</v>
      </c>
      <c r="AC89" s="52">
        <f t="shared" si="43"/>
        <v>748</v>
      </c>
      <c r="AD89" s="52">
        <f t="shared" si="49"/>
        <v>7.7</v>
      </c>
      <c r="AE89" s="154">
        <f t="shared" si="48"/>
        <v>210000</v>
      </c>
      <c r="AF89" s="151"/>
      <c r="AG89" s="1194">
        <v>151</v>
      </c>
      <c r="AH89" s="19"/>
      <c r="AI89" s="19"/>
      <c r="AJ89" s="151"/>
      <c r="AK89" s="151"/>
      <c r="AL89" s="151"/>
      <c r="AM89" s="862"/>
      <c r="AN89" s="325"/>
      <c r="AO89" s="862"/>
      <c r="AP89" s="325"/>
      <c r="AQ89" s="151"/>
      <c r="AR89" s="862"/>
      <c r="AS89" s="151"/>
      <c r="AT89" s="862"/>
      <c r="AU89" s="862"/>
      <c r="AV89" s="243"/>
      <c r="AW89" s="243"/>
      <c r="AX89" s="151"/>
      <c r="AY89" s="151"/>
      <c r="AZ89" s="151"/>
      <c r="BA89" s="151"/>
      <c r="BB89" s="151"/>
      <c r="BC89" s="195"/>
      <c r="BD89" s="862"/>
      <c r="BE89" s="862"/>
      <c r="BF89" s="325"/>
      <c r="BG89" s="862"/>
      <c r="BH89" s="151"/>
      <c r="BI89" s="151"/>
      <c r="BJ89" s="862"/>
      <c r="BK89" s="151"/>
      <c r="BL89" s="1177"/>
      <c r="BM89" s="1177"/>
      <c r="BN89" s="1177"/>
      <c r="BO89" s="1177"/>
      <c r="BP89" s="1177"/>
      <c r="BQ89" s="1177"/>
      <c r="BR89" s="1177"/>
      <c r="BS89" s="1177"/>
      <c r="BT89" s="1177"/>
      <c r="BU89" s="1177"/>
      <c r="BV89" s="1177"/>
      <c r="BW89" s="1177"/>
      <c r="BX89" s="1177"/>
      <c r="BY89" s="1177"/>
      <c r="BZ89" s="1177"/>
      <c r="CA89" s="1177"/>
      <c r="CB89" s="1177"/>
      <c r="CC89" s="1177"/>
      <c r="CD89" s="1177"/>
      <c r="CE89" s="1177"/>
      <c r="CF89" s="1177"/>
      <c r="CG89" s="1177"/>
      <c r="CH89" s="1177"/>
      <c r="CI89" s="1177"/>
      <c r="CJ89" s="1177"/>
      <c r="CK89" s="1177"/>
      <c r="CL89" s="1177"/>
      <c r="CM89" s="1177"/>
      <c r="CN89" s="1177"/>
      <c r="CO89" s="1177"/>
      <c r="CP89" s="1177"/>
      <c r="CQ89" s="1177"/>
      <c r="CR89" s="1177"/>
      <c r="CS89" s="1177"/>
      <c r="CT89" s="1177"/>
      <c r="CU89" s="1177"/>
      <c r="CV89" s="1177"/>
      <c r="CW89" s="1177"/>
      <c r="CX89" s="1177"/>
      <c r="CY89" s="1177"/>
      <c r="CZ89" s="1177"/>
      <c r="DA89" s="1177"/>
      <c r="DB89" s="1177"/>
      <c r="DC89" s="1177"/>
      <c r="DD89" s="1177"/>
      <c r="DE89" s="1177"/>
      <c r="DF89" s="1177"/>
      <c r="DG89" s="1177"/>
      <c r="DH89" s="1177"/>
      <c r="DI89" s="1029"/>
      <c r="DJ89" s="146"/>
      <c r="DK89" s="594"/>
      <c r="DL89" s="142"/>
      <c r="DM89" s="146"/>
      <c r="DN89" s="1083"/>
      <c r="DO89" s="1083"/>
      <c r="DP89" s="137"/>
      <c r="DQ89" s="137"/>
      <c r="DR89" s="137"/>
      <c r="DS89" s="137"/>
      <c r="DT89" s="137"/>
      <c r="DU89" s="137"/>
      <c r="DV89" s="137"/>
      <c r="DW89" s="137"/>
      <c r="DX89" s="137"/>
      <c r="DY89" s="137"/>
      <c r="DZ89" s="1091"/>
      <c r="EA89" s="1091"/>
      <c r="EB89" s="137"/>
      <c r="EC89" s="137"/>
      <c r="ED89" s="137"/>
      <c r="EE89" s="137"/>
      <c r="EF89" s="194"/>
      <c r="EG89" s="194"/>
      <c r="EH89" s="194"/>
      <c r="EI89" s="194"/>
      <c r="EJ89" s="137"/>
      <c r="EK89" s="137"/>
      <c r="EL89" s="335"/>
      <c r="EO89" s="818"/>
      <c r="EP89" s="818"/>
    </row>
    <row r="90" spans="1:146" ht="14.25" customHeight="1" x14ac:dyDescent="0.35">
      <c r="B90" s="1724"/>
      <c r="C90" s="1726"/>
      <c r="D90" s="1278"/>
      <c r="E90" s="1739"/>
      <c r="F90" s="1719"/>
      <c r="G90" s="1069" t="s">
        <v>173</v>
      </c>
      <c r="H90" s="1069"/>
      <c r="I90" s="1180"/>
      <c r="J90" s="1139">
        <v>264</v>
      </c>
      <c r="K90" s="155">
        <v>377</v>
      </c>
      <c r="L90" s="155">
        <v>1000</v>
      </c>
      <c r="M90" s="630">
        <f t="shared" si="46"/>
        <v>222.41000000000003</v>
      </c>
      <c r="N90" s="273">
        <v>139</v>
      </c>
      <c r="O90" s="176">
        <v>8</v>
      </c>
      <c r="P90" s="1070">
        <v>10.18</v>
      </c>
      <c r="Q90" s="119">
        <v>6</v>
      </c>
      <c r="R90" s="64">
        <f t="shared" si="47"/>
        <v>57.014718625761432</v>
      </c>
      <c r="S90" s="1071">
        <f t="shared" si="45"/>
        <v>4446.4400000000005</v>
      </c>
      <c r="T90" s="155">
        <v>503</v>
      </c>
      <c r="U90" s="1114">
        <v>747</v>
      </c>
      <c r="V90" s="1114">
        <v>7.5</v>
      </c>
      <c r="W90" s="156">
        <v>210000</v>
      </c>
      <c r="X90" s="157">
        <v>505</v>
      </c>
      <c r="Y90" s="1114">
        <v>765</v>
      </c>
      <c r="Z90" s="1114">
        <v>7.9</v>
      </c>
      <c r="AA90" s="1114">
        <v>215000</v>
      </c>
      <c r="AB90" s="1082">
        <f t="shared" si="42"/>
        <v>504</v>
      </c>
      <c r="AC90" s="52">
        <f t="shared" si="43"/>
        <v>756</v>
      </c>
      <c r="AD90" s="52">
        <f t="shared" si="49"/>
        <v>7.7</v>
      </c>
      <c r="AE90" s="154">
        <f t="shared" si="48"/>
        <v>215000</v>
      </c>
      <c r="AF90" s="151"/>
      <c r="AG90" s="1194">
        <v>183</v>
      </c>
      <c r="AH90" s="19"/>
      <c r="AI90" s="19"/>
      <c r="AJ90" s="151"/>
      <c r="AK90" s="151"/>
      <c r="AL90" s="151"/>
      <c r="AM90" s="862"/>
      <c r="AN90" s="325"/>
      <c r="AO90" s="862"/>
      <c r="AP90" s="325"/>
      <c r="AQ90" s="151"/>
      <c r="AR90" s="862"/>
      <c r="AS90" s="151"/>
      <c r="AT90" s="862"/>
      <c r="AU90" s="862"/>
      <c r="AV90" s="243"/>
      <c r="AW90" s="243"/>
      <c r="AX90" s="151"/>
      <c r="AY90" s="151"/>
      <c r="AZ90" s="151"/>
      <c r="BA90" s="151"/>
      <c r="BB90" s="151"/>
      <c r="BC90" s="195"/>
      <c r="BD90" s="862"/>
      <c r="BE90" s="862"/>
      <c r="BF90" s="325"/>
      <c r="BG90" s="862"/>
      <c r="BH90" s="151"/>
      <c r="BI90" s="151"/>
      <c r="BJ90" s="862"/>
      <c r="BK90" s="151"/>
      <c r="BL90" s="1177"/>
      <c r="BM90" s="1177"/>
      <c r="BN90" s="1177"/>
      <c r="BO90" s="1177"/>
      <c r="BP90" s="1177"/>
      <c r="BQ90" s="1177"/>
      <c r="BR90" s="1177"/>
      <c r="BS90" s="1177"/>
      <c r="BT90" s="1177"/>
      <c r="BU90" s="1177"/>
      <c r="BV90" s="1177"/>
      <c r="BW90" s="1177"/>
      <c r="BX90" s="1177"/>
      <c r="BY90" s="1177"/>
      <c r="BZ90" s="1177"/>
      <c r="CA90" s="1177"/>
      <c r="CB90" s="1177"/>
      <c r="CC90" s="1177"/>
      <c r="CD90" s="1177"/>
      <c r="CE90" s="1177"/>
      <c r="CF90" s="1177"/>
      <c r="CG90" s="1177"/>
      <c r="CH90" s="1177"/>
      <c r="CI90" s="1177"/>
      <c r="CJ90" s="1177"/>
      <c r="CK90" s="1177"/>
      <c r="CL90" s="1177"/>
      <c r="CM90" s="1177"/>
      <c r="CN90" s="1177"/>
      <c r="CO90" s="1177"/>
      <c r="CP90" s="1177"/>
      <c r="CQ90" s="1177"/>
      <c r="CR90" s="1177"/>
      <c r="CS90" s="1177"/>
      <c r="CT90" s="1177"/>
      <c r="CU90" s="1177"/>
      <c r="CV90" s="1177"/>
      <c r="CW90" s="1177"/>
      <c r="CX90" s="1177"/>
      <c r="CY90" s="1177"/>
      <c r="CZ90" s="1177"/>
      <c r="DA90" s="1177"/>
      <c r="DB90" s="1177"/>
      <c r="DC90" s="1177"/>
      <c r="DD90" s="1177"/>
      <c r="DE90" s="1177"/>
      <c r="DF90" s="1177"/>
      <c r="DG90" s="1177"/>
      <c r="DH90" s="1177"/>
      <c r="DI90" s="1029"/>
      <c r="DJ90" s="146"/>
      <c r="DK90" s="594"/>
      <c r="DL90" s="142"/>
      <c r="DM90" s="146"/>
      <c r="DN90" s="1083"/>
      <c r="DO90" s="1083"/>
      <c r="DP90" s="137"/>
      <c r="DQ90" s="137"/>
      <c r="DR90" s="137"/>
      <c r="DS90" s="137"/>
      <c r="DT90" s="137"/>
      <c r="DU90" s="137"/>
      <c r="DV90" s="137"/>
      <c r="DW90" s="137"/>
      <c r="DX90" s="137"/>
      <c r="DY90" s="137"/>
      <c r="DZ90" s="1091"/>
      <c r="EA90" s="1091"/>
      <c r="EB90" s="137"/>
      <c r="EC90" s="137"/>
      <c r="ED90" s="137"/>
      <c r="EE90" s="137"/>
      <c r="EF90" s="194"/>
      <c r="EG90" s="194"/>
      <c r="EH90" s="194"/>
      <c r="EI90" s="194"/>
      <c r="EJ90" s="137"/>
      <c r="EK90" s="137"/>
      <c r="EL90" s="335"/>
      <c r="EO90" s="818"/>
      <c r="EP90" s="818"/>
    </row>
    <row r="91" spans="1:146" ht="14.25" customHeight="1" thickBot="1" x14ac:dyDescent="0.4">
      <c r="B91" s="1733"/>
      <c r="C91" s="1734"/>
      <c r="D91" s="1281"/>
      <c r="E91" s="1722"/>
      <c r="F91" s="1720"/>
      <c r="G91" s="1073" t="s">
        <v>174</v>
      </c>
      <c r="H91" s="1073"/>
      <c r="I91" s="1182"/>
      <c r="J91" s="1141">
        <v>305</v>
      </c>
      <c r="K91" s="1133">
        <v>436</v>
      </c>
      <c r="L91" s="1191">
        <v>1000</v>
      </c>
      <c r="M91" s="631">
        <f t="shared" si="46"/>
        <v>227.13</v>
      </c>
      <c r="N91" s="276">
        <v>139.29</v>
      </c>
      <c r="O91" s="193">
        <v>8.0500000000000007</v>
      </c>
      <c r="P91" s="1074">
        <v>12.54</v>
      </c>
      <c r="Q91" s="120">
        <v>6</v>
      </c>
      <c r="R91" s="237">
        <f t="shared" si="47"/>
        <v>57.134718625761423</v>
      </c>
      <c r="S91" s="1075">
        <f t="shared" si="45"/>
        <v>5119.8957</v>
      </c>
      <c r="T91" s="1133">
        <v>503</v>
      </c>
      <c r="U91" s="240">
        <v>747</v>
      </c>
      <c r="V91" s="240">
        <v>7.5</v>
      </c>
      <c r="W91" s="241">
        <v>210000</v>
      </c>
      <c r="X91" s="1084">
        <v>447</v>
      </c>
      <c r="Y91" s="240">
        <v>711</v>
      </c>
      <c r="Z91" s="240">
        <v>7.9</v>
      </c>
      <c r="AA91" s="240">
        <v>214000</v>
      </c>
      <c r="AB91" s="1076">
        <f t="shared" si="42"/>
        <v>475</v>
      </c>
      <c r="AC91" s="1047">
        <f t="shared" si="43"/>
        <v>729</v>
      </c>
      <c r="AD91" s="1047">
        <f t="shared" si="49"/>
        <v>7.7</v>
      </c>
      <c r="AE91" s="242">
        <f t="shared" si="48"/>
        <v>214000</v>
      </c>
      <c r="AF91" s="151"/>
      <c r="AG91" s="1194">
        <v>210</v>
      </c>
      <c r="AH91" s="19"/>
      <c r="AI91" s="19"/>
      <c r="AJ91" s="151"/>
      <c r="AK91" s="151"/>
      <c r="AL91" s="151"/>
      <c r="AM91" s="862"/>
      <c r="AN91" s="325"/>
      <c r="AO91" s="862"/>
      <c r="AP91" s="325"/>
      <c r="AQ91" s="151"/>
      <c r="AR91" s="862"/>
      <c r="AS91" s="151"/>
      <c r="AT91" s="862"/>
      <c r="AU91" s="862"/>
      <c r="AV91" s="243"/>
      <c r="AW91" s="243"/>
      <c r="AX91" s="151"/>
      <c r="AY91" s="151"/>
      <c r="AZ91" s="151"/>
      <c r="BA91" s="151"/>
      <c r="BB91" s="151"/>
      <c r="BC91" s="195"/>
      <c r="BD91" s="862"/>
      <c r="BE91" s="862"/>
      <c r="BF91" s="325"/>
      <c r="BG91" s="862"/>
      <c r="BH91" s="151"/>
      <c r="BI91" s="151"/>
      <c r="BJ91" s="862"/>
      <c r="BK91" s="151"/>
      <c r="BL91" s="1177"/>
      <c r="BM91" s="1177"/>
      <c r="BN91" s="1177"/>
      <c r="BO91" s="1177"/>
      <c r="BP91" s="1177"/>
      <c r="BQ91" s="1177"/>
      <c r="BR91" s="1177"/>
      <c r="BS91" s="1177"/>
      <c r="BT91" s="1177"/>
      <c r="BU91" s="1177"/>
      <c r="BV91" s="1177"/>
      <c r="BW91" s="1177"/>
      <c r="BX91" s="1177"/>
      <c r="BY91" s="1177"/>
      <c r="BZ91" s="1177"/>
      <c r="CA91" s="1177"/>
      <c r="CB91" s="1177"/>
      <c r="CC91" s="1177"/>
      <c r="CD91" s="1177"/>
      <c r="CE91" s="1177"/>
      <c r="CF91" s="1177"/>
      <c r="CG91" s="1177"/>
      <c r="CH91" s="1177"/>
      <c r="CI91" s="1177"/>
      <c r="CJ91" s="1177"/>
      <c r="CK91" s="1177"/>
      <c r="CL91" s="1177"/>
      <c r="CM91" s="1177"/>
      <c r="CN91" s="1177"/>
      <c r="CO91" s="1177"/>
      <c r="CP91" s="1177"/>
      <c r="CQ91" s="1177"/>
      <c r="CR91" s="1177"/>
      <c r="CS91" s="1177"/>
      <c r="CT91" s="1177"/>
      <c r="CU91" s="1177"/>
      <c r="CV91" s="1177"/>
      <c r="CW91" s="1177"/>
      <c r="CX91" s="1177"/>
      <c r="CY91" s="1177"/>
      <c r="CZ91" s="1177"/>
      <c r="DA91" s="1177"/>
      <c r="DB91" s="1177"/>
      <c r="DC91" s="1177"/>
      <c r="DD91" s="1177"/>
      <c r="DE91" s="1177"/>
      <c r="DF91" s="1177"/>
      <c r="DG91" s="1177"/>
      <c r="DH91" s="1177"/>
      <c r="DI91" s="1029"/>
      <c r="DJ91" s="146"/>
      <c r="DK91" s="594"/>
      <c r="DL91" s="142"/>
      <c r="DM91" s="146"/>
      <c r="DN91" s="1083"/>
      <c r="DO91" s="1083"/>
      <c r="DP91" s="137"/>
      <c r="DQ91" s="137"/>
      <c r="DR91" s="137"/>
      <c r="DS91" s="137"/>
      <c r="DT91" s="137"/>
      <c r="DU91" s="137"/>
      <c r="DV91" s="137"/>
      <c r="DW91" s="137"/>
      <c r="DX91" s="137"/>
      <c r="DY91" s="137"/>
      <c r="DZ91" s="1091"/>
      <c r="EA91" s="1091"/>
      <c r="EB91" s="137"/>
      <c r="EC91" s="137"/>
      <c r="ED91" s="137"/>
      <c r="EE91" s="137"/>
      <c r="EF91" s="194"/>
      <c r="EG91" s="194"/>
      <c r="EH91" s="194"/>
      <c r="EI91" s="194"/>
      <c r="EJ91" s="137"/>
      <c r="EK91" s="137"/>
      <c r="EL91" s="335"/>
    </row>
    <row r="92" spans="1:146" x14ac:dyDescent="0.35">
      <c r="B92" s="119"/>
      <c r="C92" s="816"/>
      <c r="D92" s="1114"/>
      <c r="E92" s="816"/>
      <c r="F92" s="119"/>
      <c r="G92" s="816"/>
      <c r="H92" s="1114"/>
      <c r="I92" s="1114"/>
      <c r="J92" s="816"/>
      <c r="K92" s="816"/>
      <c r="L92" s="273"/>
      <c r="M92" s="273"/>
      <c r="N92" s="176"/>
      <c r="O92" s="1070"/>
      <c r="P92" s="119"/>
      <c r="Q92" s="119"/>
      <c r="R92" s="1085"/>
      <c r="S92" s="816"/>
      <c r="T92" s="816"/>
      <c r="U92" s="816"/>
      <c r="V92" s="816"/>
      <c r="W92" s="816"/>
      <c r="X92" s="816"/>
      <c r="Y92" s="816"/>
      <c r="Z92" s="114"/>
      <c r="AA92" s="816"/>
      <c r="AB92" s="145"/>
      <c r="AC92" s="999"/>
      <c r="AD92" s="19"/>
      <c r="AE92" s="119"/>
      <c r="AF92" s="145"/>
      <c r="AG92" s="145"/>
      <c r="AH92" s="145"/>
      <c r="AI92" s="146"/>
      <c r="AJ92" s="142"/>
      <c r="AK92" s="146"/>
      <c r="AL92" s="142"/>
      <c r="AM92" s="999"/>
      <c r="AN92" s="145"/>
      <c r="AO92" s="145"/>
      <c r="AP92" s="146"/>
      <c r="AQ92" s="146"/>
      <c r="AR92" s="1029"/>
      <c r="AS92" s="145"/>
      <c r="AT92" s="145"/>
      <c r="AU92" s="173"/>
      <c r="AV92" s="145"/>
      <c r="AW92" s="145"/>
      <c r="AX92" s="145"/>
      <c r="AY92" s="145"/>
      <c r="AZ92" s="145"/>
      <c r="BA92" s="145"/>
      <c r="BB92" s="142"/>
      <c r="BC92" s="145"/>
      <c r="BD92" s="145"/>
      <c r="BE92" s="145"/>
      <c r="BF92" s="145"/>
      <c r="BG92" s="145"/>
      <c r="BH92" s="1177"/>
      <c r="BI92" s="1177"/>
      <c r="BJ92" s="1177"/>
      <c r="BK92" s="1177"/>
      <c r="BL92" s="1177"/>
      <c r="BM92" s="1177"/>
      <c r="BN92" s="1177"/>
      <c r="BO92" s="1177"/>
      <c r="BP92" s="1177"/>
      <c r="BQ92" s="1177"/>
      <c r="BR92" s="1177"/>
      <c r="BS92" s="1177"/>
      <c r="BT92" s="1177"/>
      <c r="BU92" s="1177"/>
      <c r="BV92" s="1177"/>
      <c r="BW92" s="1177"/>
      <c r="BX92" s="1177"/>
      <c r="BY92" s="1177"/>
      <c r="BZ92" s="1177"/>
      <c r="CA92" s="1177"/>
      <c r="CB92" s="1177"/>
      <c r="CC92" s="1177"/>
      <c r="CD92" s="1177"/>
      <c r="CE92" s="1177"/>
      <c r="CF92" s="1177"/>
      <c r="CG92" s="1177"/>
      <c r="CH92" s="1177"/>
      <c r="CI92" s="1177"/>
      <c r="CJ92" s="1177"/>
      <c r="CK92" s="1177"/>
      <c r="CL92" s="1177"/>
      <c r="CM92" s="1177"/>
      <c r="CN92" s="1177"/>
      <c r="CO92" s="1177"/>
      <c r="CP92" s="1177"/>
      <c r="CQ92" s="1177"/>
      <c r="CR92" s="1177"/>
      <c r="CS92" s="1177"/>
      <c r="CT92" s="1177"/>
      <c r="CU92" s="1177"/>
      <c r="CV92" s="1177"/>
      <c r="CW92" s="1177"/>
      <c r="CX92" s="1177"/>
      <c r="CY92" s="1177"/>
      <c r="CZ92" s="1177"/>
      <c r="DA92" s="1177"/>
      <c r="DB92" s="1177"/>
      <c r="DC92" s="1177"/>
      <c r="DD92" s="1177"/>
      <c r="DE92" s="999"/>
      <c r="DF92" s="999"/>
      <c r="DG92" s="999"/>
      <c r="DH92" s="999"/>
      <c r="DI92" s="999"/>
      <c r="DJ92" s="999"/>
      <c r="DK92" s="999"/>
      <c r="DL92" s="137"/>
      <c r="DM92" s="137"/>
      <c r="DN92" s="137"/>
      <c r="DO92" s="137"/>
      <c r="DP92" s="137"/>
      <c r="DQ92" s="137"/>
      <c r="DR92" s="137"/>
      <c r="DS92" s="137"/>
      <c r="DT92" s="137"/>
      <c r="DU92" s="137"/>
      <c r="DV92" s="1091"/>
      <c r="DW92" s="1091"/>
      <c r="DX92" s="137"/>
      <c r="DY92" s="137"/>
      <c r="DZ92" s="137"/>
      <c r="EA92" s="137"/>
      <c r="EB92" s="194"/>
      <c r="EC92" s="194"/>
      <c r="ED92" s="194"/>
      <c r="EE92" s="194"/>
      <c r="EF92" s="137"/>
      <c r="EG92" s="137"/>
    </row>
    <row r="93" spans="1:146" x14ac:dyDescent="0.35">
      <c r="B93" s="119"/>
      <c r="C93" s="1114"/>
      <c r="D93" s="1114"/>
      <c r="E93" s="1114"/>
      <c r="F93" s="119"/>
      <c r="G93" s="1114"/>
      <c r="H93" s="1114"/>
      <c r="I93" s="1114"/>
      <c r="J93" s="1114"/>
      <c r="K93" s="1114"/>
      <c r="L93" s="273"/>
      <c r="M93" s="273"/>
      <c r="N93" s="176"/>
      <c r="O93" s="1070"/>
      <c r="P93" s="119"/>
      <c r="Q93" s="119"/>
      <c r="R93" s="1085"/>
      <c r="S93" s="1114"/>
      <c r="T93" s="1114"/>
      <c r="U93" s="1114"/>
      <c r="V93" s="1114"/>
      <c r="W93" s="1114"/>
      <c r="X93" s="1114"/>
      <c r="Y93" s="1114"/>
      <c r="Z93" s="114"/>
      <c r="AA93" s="1114"/>
      <c r="AB93" s="145"/>
      <c r="AC93" s="999"/>
      <c r="AD93" s="19"/>
      <c r="AE93" s="119"/>
      <c r="AF93" s="145"/>
      <c r="AG93" s="145"/>
      <c r="AH93" s="145"/>
      <c r="AI93" s="146"/>
      <c r="AJ93" s="142"/>
      <c r="AK93" s="146"/>
      <c r="AL93" s="142"/>
      <c r="AM93" s="999"/>
      <c r="AN93" s="145"/>
      <c r="AO93" s="145"/>
      <c r="AP93" s="146"/>
      <c r="AQ93" s="146"/>
      <c r="AR93" s="1029"/>
      <c r="AS93" s="145"/>
      <c r="AT93" s="145"/>
      <c r="AU93" s="173"/>
      <c r="AV93" s="145"/>
      <c r="AW93" s="145"/>
      <c r="AX93" s="145"/>
      <c r="AY93" s="145"/>
      <c r="AZ93" s="145"/>
      <c r="BA93" s="145"/>
      <c r="BB93" s="142"/>
      <c r="BC93" s="145"/>
      <c r="BD93" s="145"/>
      <c r="BE93" s="145"/>
      <c r="BF93" s="145"/>
      <c r="BG93" s="145"/>
      <c r="BH93" s="1177"/>
      <c r="BI93" s="1177"/>
      <c r="BJ93" s="1177"/>
      <c r="BK93" s="1177"/>
      <c r="BL93" s="1177"/>
      <c r="BM93" s="1177"/>
      <c r="BN93" s="1177"/>
      <c r="BO93" s="1177"/>
      <c r="BP93" s="1177"/>
      <c r="BQ93" s="1177"/>
      <c r="BR93" s="1177"/>
      <c r="BS93" s="1177"/>
      <c r="BT93" s="1177"/>
      <c r="BU93" s="1177"/>
      <c r="BV93" s="1177"/>
      <c r="BW93" s="1177"/>
      <c r="BX93" s="1177"/>
      <c r="BY93" s="1177"/>
      <c r="BZ93" s="1177"/>
      <c r="CA93" s="1177"/>
      <c r="CB93" s="1177"/>
      <c r="CC93" s="1177"/>
      <c r="CD93" s="1177"/>
      <c r="CE93" s="1177"/>
      <c r="CF93" s="1177"/>
      <c r="CG93" s="1177"/>
      <c r="CH93" s="1177"/>
      <c r="CI93" s="1177"/>
      <c r="CJ93" s="1177"/>
      <c r="CK93" s="1177"/>
      <c r="CL93" s="1177"/>
      <c r="CM93" s="1177"/>
      <c r="CN93" s="1177"/>
      <c r="CO93" s="1177"/>
      <c r="CP93" s="1177"/>
      <c r="CQ93" s="1177"/>
      <c r="CR93" s="1177"/>
      <c r="CS93" s="1177"/>
      <c r="CT93" s="1177"/>
      <c r="CU93" s="1177"/>
      <c r="CV93" s="1177"/>
      <c r="CW93" s="1177"/>
      <c r="CX93" s="1177"/>
      <c r="CY93" s="1177"/>
      <c r="CZ93" s="1177"/>
      <c r="DA93" s="1177"/>
      <c r="DB93" s="1177"/>
      <c r="DC93" s="1177"/>
      <c r="DD93" s="1177"/>
      <c r="DE93" s="999"/>
      <c r="DF93" s="999"/>
      <c r="DG93" s="999"/>
      <c r="DH93" s="999"/>
      <c r="DI93" s="999"/>
      <c r="DJ93" s="999"/>
      <c r="DK93" s="999"/>
      <c r="DL93" s="137"/>
      <c r="DM93" s="137"/>
      <c r="DN93" s="137"/>
      <c r="DO93" s="137"/>
      <c r="DP93" s="137"/>
      <c r="DQ93" s="137"/>
      <c r="DR93" s="137"/>
      <c r="DS93" s="137"/>
      <c r="DT93" s="137"/>
      <c r="DU93" s="137"/>
      <c r="DV93" s="1091"/>
      <c r="DW93" s="1091"/>
      <c r="DX93" s="137"/>
      <c r="DY93" s="137"/>
      <c r="DZ93" s="137"/>
      <c r="EA93" s="137"/>
      <c r="EB93" s="194"/>
      <c r="EC93" s="194"/>
      <c r="ED93" s="194"/>
      <c r="EE93" s="194"/>
      <c r="EF93" s="137"/>
      <c r="EG93" s="137"/>
    </row>
    <row r="94" spans="1:146" x14ac:dyDescent="0.35">
      <c r="B94" s="119"/>
      <c r="C94" s="1114"/>
      <c r="D94" s="1114"/>
      <c r="E94" s="1114"/>
      <c r="F94" s="119"/>
      <c r="G94" s="1114"/>
      <c r="H94" s="1114"/>
      <c r="I94" s="1114"/>
      <c r="J94" s="1114"/>
      <c r="K94" s="1114"/>
      <c r="L94" s="273"/>
      <c r="M94" s="273"/>
      <c r="N94" s="176"/>
      <c r="O94" s="1070"/>
      <c r="P94" s="119"/>
      <c r="Q94" s="119"/>
      <c r="R94" s="1085"/>
      <c r="S94" s="1114"/>
      <c r="T94" s="1114"/>
      <c r="U94" s="1114"/>
      <c r="V94" s="1114"/>
      <c r="W94" s="1114"/>
      <c r="X94" s="1114"/>
      <c r="Y94" s="1114"/>
      <c r="Z94" s="114"/>
      <c r="AA94" s="1114"/>
      <c r="AB94" s="145"/>
      <c r="AC94" s="999"/>
      <c r="AD94" s="19"/>
      <c r="AE94" s="119"/>
      <c r="AF94" s="145"/>
      <c r="AG94" s="145"/>
      <c r="AH94" s="145"/>
      <c r="AI94" s="146"/>
      <c r="AJ94" s="142"/>
      <c r="AK94" s="146"/>
      <c r="AL94" s="142"/>
      <c r="AM94" s="999"/>
      <c r="AN94" s="145"/>
      <c r="AO94" s="145"/>
      <c r="AP94" s="146"/>
      <c r="AQ94" s="146"/>
      <c r="AR94" s="1029"/>
      <c r="AS94" s="145"/>
      <c r="AT94" s="145"/>
      <c r="AU94" s="173"/>
      <c r="AV94" s="145"/>
      <c r="AW94" s="145"/>
      <c r="AX94" s="145"/>
      <c r="AY94" s="145"/>
      <c r="AZ94" s="145"/>
      <c r="BA94" s="145"/>
      <c r="BB94" s="142"/>
      <c r="BC94" s="145"/>
      <c r="BD94" s="145"/>
      <c r="BE94" s="145"/>
      <c r="BF94" s="145"/>
      <c r="BG94" s="145"/>
      <c r="BH94" s="1177"/>
      <c r="BI94" s="1177"/>
      <c r="BJ94" s="1177"/>
      <c r="BK94" s="1177"/>
      <c r="BL94" s="1177"/>
      <c r="BM94" s="1177"/>
      <c r="BN94" s="1177"/>
      <c r="BO94" s="1177"/>
      <c r="BP94" s="1177"/>
      <c r="BQ94" s="1177"/>
      <c r="BR94" s="1177"/>
      <c r="BS94" s="1177"/>
      <c r="BT94" s="1177"/>
      <c r="BU94" s="1177"/>
      <c r="BV94" s="1177"/>
      <c r="BW94" s="1177"/>
      <c r="BX94" s="1177"/>
      <c r="BY94" s="1177"/>
      <c r="BZ94" s="1177"/>
      <c r="CA94" s="1177"/>
      <c r="CB94" s="1177"/>
      <c r="CC94" s="1177"/>
      <c r="CD94" s="1177"/>
      <c r="CE94" s="1177"/>
      <c r="CF94" s="1177"/>
      <c r="CG94" s="1177"/>
      <c r="CH94" s="1177"/>
      <c r="CI94" s="1177"/>
      <c r="CJ94" s="1177"/>
      <c r="CK94" s="1177"/>
      <c r="CL94" s="1177"/>
      <c r="CM94" s="1177"/>
      <c r="CN94" s="1177"/>
      <c r="CO94" s="1177"/>
      <c r="CP94" s="1177"/>
      <c r="CQ94" s="1177"/>
      <c r="CR94" s="1177"/>
      <c r="CS94" s="1177"/>
      <c r="CT94" s="1177"/>
      <c r="CU94" s="1177"/>
      <c r="CV94" s="1177"/>
      <c r="CW94" s="1177"/>
      <c r="CX94" s="1177"/>
      <c r="CY94" s="1177"/>
      <c r="CZ94" s="1177"/>
      <c r="DA94" s="1177"/>
      <c r="DB94" s="1177"/>
      <c r="DC94" s="1177"/>
      <c r="DD94" s="1177"/>
      <c r="DE94" s="999"/>
      <c r="DF94" s="999"/>
      <c r="DG94" s="999"/>
      <c r="DH94" s="999"/>
      <c r="DI94" s="999"/>
      <c r="DJ94" s="999"/>
      <c r="DK94" s="999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091"/>
      <c r="DW94" s="1091"/>
      <c r="DX94" s="137"/>
      <c r="DY94" s="137"/>
      <c r="DZ94" s="137"/>
      <c r="EA94" s="137"/>
      <c r="EB94" s="194"/>
      <c r="EC94" s="194"/>
      <c r="ED94" s="194"/>
      <c r="EE94" s="194"/>
      <c r="EF94" s="137"/>
      <c r="EG94" s="137"/>
    </row>
    <row r="95" spans="1:146" x14ac:dyDescent="0.35">
      <c r="B95" s="119"/>
      <c r="C95" s="1114"/>
      <c r="D95" s="1114"/>
      <c r="E95" s="1114"/>
      <c r="F95" s="119"/>
      <c r="G95" s="1114"/>
      <c r="H95" s="1114"/>
      <c r="I95" s="1114"/>
      <c r="J95" s="1114"/>
      <c r="K95" s="1114"/>
      <c r="L95" s="273"/>
      <c r="M95" s="273"/>
      <c r="N95" s="176"/>
      <c r="O95" s="1070"/>
      <c r="P95" s="119"/>
      <c r="Q95" s="119"/>
      <c r="R95" s="1085"/>
      <c r="S95" s="1114"/>
      <c r="T95" s="1114"/>
      <c r="U95" s="1114"/>
      <c r="V95" s="1114"/>
      <c r="W95" s="1114"/>
      <c r="X95" s="1114"/>
      <c r="Y95" s="1114"/>
      <c r="Z95" s="114"/>
      <c r="AA95" s="1114"/>
      <c r="AB95" s="145"/>
      <c r="AC95" s="999"/>
      <c r="AD95" s="19"/>
      <c r="AE95" s="119"/>
      <c r="AF95" s="145"/>
      <c r="AG95" s="145"/>
      <c r="AH95" s="145"/>
      <c r="AI95" s="146"/>
      <c r="AJ95" s="142"/>
      <c r="AK95" s="1296" t="s">
        <v>459</v>
      </c>
      <c r="AL95" s="142"/>
      <c r="AM95" s="999"/>
      <c r="AN95" s="145"/>
      <c r="AO95" s="145"/>
      <c r="AP95" s="146"/>
      <c r="AQ95" s="146"/>
      <c r="AR95" s="1029"/>
      <c r="AS95" s="145"/>
      <c r="AT95" s="145"/>
      <c r="AU95" s="173"/>
      <c r="AV95" s="145"/>
      <c r="AW95" s="145"/>
      <c r="AX95" s="145"/>
      <c r="AY95" s="145"/>
      <c r="AZ95" s="145"/>
      <c r="BA95" s="145"/>
      <c r="BB95" s="142"/>
      <c r="BC95" s="145"/>
      <c r="BD95" s="145"/>
      <c r="BE95" s="145"/>
      <c r="BF95" s="145"/>
      <c r="BG95" s="145"/>
      <c r="BH95" s="1177"/>
      <c r="BI95" s="1177"/>
      <c r="BJ95" s="1177"/>
      <c r="BK95" s="1177"/>
      <c r="BL95" s="1177"/>
      <c r="BM95" s="1177"/>
      <c r="BN95" s="1177"/>
      <c r="BO95" s="1177"/>
      <c r="BP95" s="1177"/>
      <c r="BQ95" s="1177"/>
      <c r="BR95" s="1177"/>
      <c r="BS95" s="1177"/>
      <c r="BT95" s="1177"/>
      <c r="BU95" s="1177"/>
      <c r="BV95" s="1177"/>
      <c r="BW95" s="1177"/>
      <c r="BX95" s="1177"/>
      <c r="BY95" s="1177"/>
      <c r="BZ95" s="1177"/>
      <c r="CA95" s="1177"/>
      <c r="CB95" s="1177"/>
      <c r="CC95" s="1177"/>
      <c r="CD95" s="1177"/>
      <c r="CE95" s="1177"/>
      <c r="CF95" s="1177"/>
      <c r="CG95" s="1177"/>
      <c r="CH95" s="1177"/>
      <c r="CI95" s="1177"/>
      <c r="CJ95" s="1177"/>
      <c r="CK95" s="1177"/>
      <c r="CL95" s="1177"/>
      <c r="CM95" s="1177"/>
      <c r="CN95" s="1177"/>
      <c r="CO95" s="1177"/>
      <c r="CP95" s="1177"/>
      <c r="CQ95" s="1177"/>
      <c r="CR95" s="1177"/>
      <c r="CS95" s="1177"/>
      <c r="CT95" s="1177"/>
      <c r="CU95" s="1177"/>
      <c r="CV95" s="1177"/>
      <c r="CW95" s="1177"/>
      <c r="CX95" s="1177"/>
      <c r="CY95" s="1177"/>
      <c r="CZ95" s="1177"/>
      <c r="DA95" s="1177"/>
      <c r="DB95" s="1177"/>
      <c r="DC95" s="1177"/>
      <c r="DD95" s="1177"/>
      <c r="DE95" s="999"/>
      <c r="DF95" s="999"/>
      <c r="DG95" s="999"/>
      <c r="DH95" s="999"/>
      <c r="DI95" s="999"/>
      <c r="DJ95" s="999"/>
      <c r="DK95" s="999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091"/>
      <c r="DW95" s="1091"/>
      <c r="DX95" s="137"/>
      <c r="DY95" s="137"/>
      <c r="DZ95" s="137"/>
      <c r="EA95" s="137"/>
      <c r="EB95" s="194"/>
      <c r="EC95" s="194"/>
      <c r="ED95" s="194"/>
      <c r="EE95" s="194"/>
      <c r="EF95" s="137"/>
      <c r="EG95" s="137"/>
    </row>
    <row r="96" spans="1:146" x14ac:dyDescent="0.35">
      <c r="B96" s="288"/>
      <c r="C96" s="288"/>
      <c r="D96" s="288"/>
      <c r="E96" s="288"/>
      <c r="F96" s="288"/>
      <c r="G96" s="1086"/>
      <c r="H96" s="1086"/>
      <c r="I96" s="1086"/>
      <c r="J96" s="1086"/>
      <c r="K96" s="1087"/>
      <c r="L96" s="1087"/>
      <c r="M96" s="1088"/>
      <c r="N96" s="1089"/>
      <c r="O96" s="1086"/>
      <c r="P96" s="1086"/>
      <c r="Q96" s="1086"/>
      <c r="R96" s="1090"/>
      <c r="S96" s="1090"/>
      <c r="T96" s="1091"/>
      <c r="U96" s="1091"/>
      <c r="V96" s="1091"/>
      <c r="W96" s="1091"/>
      <c r="X96" s="1091"/>
      <c r="Y96" s="1091"/>
      <c r="Z96" s="1091"/>
      <c r="AA96" s="1091"/>
      <c r="AB96" s="1091"/>
      <c r="AC96" s="1091"/>
      <c r="AD96" s="1091"/>
      <c r="AE96" s="1091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7"/>
      <c r="BH96" s="1177"/>
      <c r="BI96" s="1177"/>
      <c r="BJ96" s="1177"/>
      <c r="BK96" s="1177"/>
      <c r="BL96" s="1177"/>
      <c r="BM96" s="1177"/>
      <c r="BN96" s="1177"/>
      <c r="BO96" s="1177"/>
      <c r="BP96" s="1177"/>
      <c r="BQ96" s="1177"/>
      <c r="BR96" s="1177"/>
      <c r="BS96" s="1177"/>
      <c r="BT96" s="1177"/>
      <c r="BU96" s="1177"/>
      <c r="BV96" s="1177"/>
      <c r="BW96" s="1177"/>
      <c r="BX96" s="1177"/>
      <c r="BY96" s="1177"/>
      <c r="BZ96" s="1177"/>
      <c r="CA96" s="1177"/>
      <c r="CB96" s="1177"/>
      <c r="CC96" s="1177"/>
      <c r="CD96" s="1177"/>
      <c r="CE96" s="1177"/>
      <c r="CF96" s="1177"/>
      <c r="CG96" s="1177"/>
      <c r="CH96" s="1177"/>
      <c r="CI96" s="1177"/>
      <c r="CJ96" s="1177"/>
      <c r="CK96" s="1177"/>
      <c r="CL96" s="1177"/>
      <c r="CM96" s="1177"/>
      <c r="CN96" s="1177"/>
      <c r="CO96" s="1177"/>
      <c r="CP96" s="1177"/>
      <c r="CQ96" s="1177"/>
      <c r="CR96" s="1177"/>
      <c r="CS96" s="1177"/>
      <c r="CT96" s="1177"/>
      <c r="CU96" s="1177"/>
      <c r="CV96" s="1177"/>
      <c r="CW96" s="1177"/>
      <c r="CX96" s="1177"/>
      <c r="CY96" s="1177"/>
      <c r="CZ96" s="1177"/>
      <c r="DA96" s="1177"/>
      <c r="DB96" s="1177"/>
      <c r="DC96" s="1177"/>
      <c r="DD96" s="1177"/>
      <c r="DE96" s="999"/>
      <c r="DF96" s="999"/>
      <c r="DG96" s="999"/>
      <c r="DH96" s="999"/>
      <c r="DI96" s="999"/>
      <c r="DJ96" s="999"/>
      <c r="DK96" s="999"/>
      <c r="DL96" s="137"/>
      <c r="DM96" s="137"/>
      <c r="DN96" s="137"/>
      <c r="DO96" s="137"/>
      <c r="DP96" s="137"/>
      <c r="DQ96" s="137"/>
      <c r="DR96" s="137"/>
      <c r="DS96" s="137"/>
      <c r="DT96" s="137"/>
      <c r="DU96" s="137"/>
      <c r="DV96" s="1091"/>
      <c r="DW96" s="1091"/>
      <c r="DX96" s="137"/>
      <c r="DY96" s="137"/>
      <c r="DZ96" s="137"/>
      <c r="EA96" s="137"/>
      <c r="EB96" s="194"/>
      <c r="EC96" s="194"/>
      <c r="ED96" s="194"/>
      <c r="EE96" s="194"/>
      <c r="EF96" s="137"/>
      <c r="EG96" s="137"/>
    </row>
    <row r="97" spans="1:142" x14ac:dyDescent="0.35">
      <c r="B97" s="1093"/>
      <c r="C97" s="1093"/>
      <c r="D97" s="1093"/>
      <c r="E97" s="1093"/>
      <c r="F97" s="1093"/>
      <c r="G97" s="1093"/>
      <c r="H97" s="1093"/>
      <c r="I97" s="1093"/>
      <c r="J97" s="1093"/>
      <c r="K97" s="1093"/>
      <c r="L97" s="1093"/>
      <c r="M97" s="1094"/>
      <c r="N97" s="1089"/>
      <c r="O97" s="1086"/>
      <c r="P97" s="1086"/>
      <c r="Q97" s="1086"/>
      <c r="R97" s="1090"/>
      <c r="S97" s="1090"/>
      <c r="T97" s="327"/>
      <c r="U97" s="327"/>
      <c r="V97" s="327"/>
      <c r="W97" s="999"/>
      <c r="X97" s="999"/>
      <c r="Y97" s="999"/>
      <c r="Z97" s="999"/>
      <c r="AA97" s="999"/>
      <c r="AB97" s="999"/>
      <c r="AC97" s="999"/>
      <c r="AD97" s="999"/>
      <c r="AE97" s="999"/>
      <c r="AF97" s="999"/>
      <c r="AG97" s="999"/>
      <c r="AH97" s="999"/>
      <c r="AI97" s="999"/>
      <c r="AJ97" s="999"/>
      <c r="AK97" s="999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  <c r="BD97" s="137"/>
      <c r="BE97" s="137"/>
      <c r="BF97" s="137"/>
      <c r="BG97" s="137"/>
      <c r="BH97" s="1177"/>
      <c r="BI97" s="1177"/>
      <c r="BJ97" s="1177"/>
      <c r="BK97" s="1177"/>
      <c r="BL97" s="1177"/>
      <c r="BM97" s="1177"/>
      <c r="BN97" s="1177"/>
      <c r="BO97" s="1177"/>
      <c r="BP97" s="1177"/>
      <c r="BQ97" s="1177"/>
      <c r="BR97" s="1177"/>
      <c r="BS97" s="1177"/>
      <c r="BT97" s="1177"/>
      <c r="BU97" s="1177"/>
      <c r="BV97" s="1177"/>
      <c r="BW97" s="1177"/>
      <c r="BX97" s="1177"/>
      <c r="BY97" s="1177"/>
      <c r="BZ97" s="1177"/>
      <c r="CA97" s="1177"/>
      <c r="CB97" s="1177"/>
      <c r="CC97" s="1177"/>
      <c r="CD97" s="1177"/>
      <c r="CE97" s="1177"/>
      <c r="CF97" s="1177"/>
      <c r="CG97" s="1177"/>
      <c r="CH97" s="1177"/>
      <c r="CI97" s="1177"/>
      <c r="CJ97" s="1177"/>
      <c r="CK97" s="1177"/>
      <c r="CL97" s="1177"/>
      <c r="CM97" s="1177"/>
      <c r="CN97" s="1177"/>
      <c r="CO97" s="1177"/>
      <c r="CP97" s="1177"/>
      <c r="CQ97" s="1177"/>
      <c r="CR97" s="1177"/>
      <c r="CS97" s="1177"/>
      <c r="CT97" s="1177"/>
      <c r="CU97" s="1177"/>
      <c r="CV97" s="1177"/>
      <c r="CW97" s="1177"/>
      <c r="CX97" s="1177"/>
      <c r="CY97" s="1177"/>
      <c r="CZ97" s="1177"/>
      <c r="DA97" s="1177"/>
      <c r="DB97" s="1177"/>
      <c r="DC97" s="1177"/>
      <c r="DD97" s="117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091"/>
      <c r="DW97" s="1091"/>
      <c r="DX97" s="137"/>
      <c r="DY97" s="137"/>
      <c r="DZ97" s="137"/>
      <c r="EA97" s="137"/>
      <c r="EB97" s="194"/>
      <c r="EC97" s="194"/>
      <c r="ED97" s="194"/>
      <c r="EE97" s="194"/>
      <c r="EF97" s="137"/>
      <c r="EG97" s="137"/>
    </row>
    <row r="98" spans="1:142" ht="14.25" customHeight="1" thickBot="1" x14ac:dyDescent="0.45">
      <c r="A98" s="1218"/>
      <c r="B98" s="1218" t="s">
        <v>410</v>
      </c>
      <c r="C98" s="1216" t="s">
        <v>224</v>
      </c>
      <c r="D98" s="1216" t="s">
        <v>440</v>
      </c>
      <c r="E98" s="1216" t="s">
        <v>227</v>
      </c>
      <c r="F98" s="1219" t="s">
        <v>226</v>
      </c>
      <c r="G98" s="1216" t="s">
        <v>399</v>
      </c>
      <c r="H98" s="1216" t="s">
        <v>8</v>
      </c>
      <c r="I98" s="1216" t="s">
        <v>400</v>
      </c>
      <c r="J98" s="1216" t="s">
        <v>228</v>
      </c>
      <c r="K98" s="1216"/>
      <c r="L98" s="1216"/>
      <c r="M98" s="1216"/>
      <c r="N98" s="1216"/>
      <c r="O98" s="1216"/>
      <c r="P98" s="1729" t="s">
        <v>424</v>
      </c>
      <c r="Q98" s="1729"/>
      <c r="R98" s="1729"/>
      <c r="S98" s="1729"/>
      <c r="T98" s="1729"/>
      <c r="U98" s="1729"/>
      <c r="V98" s="1729" t="s">
        <v>425</v>
      </c>
      <c r="W98" s="1729"/>
      <c r="X98" s="1729"/>
      <c r="Y98" s="1729"/>
      <c r="Z98" s="1729"/>
      <c r="AA98" s="1729"/>
      <c r="AB98" s="1730"/>
      <c r="AC98" s="1735" t="s">
        <v>419</v>
      </c>
      <c r="AD98" s="1735"/>
      <c r="AE98" s="1735"/>
      <c r="AF98" s="1735"/>
      <c r="AG98" s="1735" t="s">
        <v>421</v>
      </c>
      <c r="AH98" s="1735"/>
      <c r="AI98" s="1735"/>
      <c r="AJ98" s="1735"/>
      <c r="AK98" s="1716" t="s">
        <v>438</v>
      </c>
      <c r="AL98" s="1716"/>
      <c r="AM98" s="1717" t="s">
        <v>439</v>
      </c>
      <c r="AN98" s="171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  <c r="BD98" s="137"/>
      <c r="BE98" s="137"/>
      <c r="BF98" s="137"/>
      <c r="BG98" s="137"/>
      <c r="BH98" s="137"/>
      <c r="BI98" s="137"/>
      <c r="BJ98" s="1177"/>
      <c r="BK98" s="1177"/>
      <c r="BL98" s="1177"/>
      <c r="BM98" s="1177"/>
      <c r="BN98" s="1177"/>
      <c r="BO98" s="1177"/>
      <c r="BP98" s="1177"/>
      <c r="BQ98" s="1177"/>
      <c r="BR98" s="1177"/>
      <c r="BS98" s="1177"/>
      <c r="BT98" s="1177"/>
      <c r="BU98" s="1177"/>
      <c r="BV98" s="1177"/>
      <c r="BW98" s="1177"/>
      <c r="BX98" s="1177"/>
      <c r="BY98" s="1177"/>
      <c r="BZ98" s="1177"/>
      <c r="CA98" s="1177"/>
      <c r="CB98" s="1177"/>
      <c r="CC98" s="1177"/>
      <c r="CD98" s="1177"/>
      <c r="CE98" s="1177"/>
      <c r="CF98" s="1177"/>
      <c r="CG98" s="1177"/>
      <c r="CH98" s="1177"/>
      <c r="CI98" s="1177"/>
      <c r="CJ98" s="1177"/>
      <c r="CK98" s="1177"/>
      <c r="CL98" s="1177"/>
      <c r="CM98" s="1177"/>
      <c r="CN98" s="1177"/>
      <c r="CO98" s="1177"/>
      <c r="CP98" s="1177"/>
      <c r="CQ98" s="1177"/>
      <c r="CR98" s="1177"/>
      <c r="CS98" s="1177"/>
      <c r="CT98" s="1177"/>
      <c r="CU98" s="1177"/>
      <c r="CV98" s="1177"/>
      <c r="CW98" s="1177"/>
      <c r="CX98" s="1177"/>
      <c r="CY98" s="1177"/>
      <c r="CZ98" s="1177"/>
      <c r="DA98" s="1177"/>
      <c r="DB98" s="1177"/>
      <c r="DC98" s="1177"/>
      <c r="DD98" s="1177"/>
      <c r="DE98" s="1177"/>
      <c r="DF98" s="117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091"/>
      <c r="DY98" s="1091"/>
      <c r="DZ98" s="137"/>
      <c r="EA98" s="137"/>
      <c r="EB98" s="137"/>
      <c r="EC98" s="137"/>
      <c r="ED98" s="194"/>
      <c r="EE98" s="194"/>
      <c r="EF98" s="194"/>
      <c r="EG98" s="194"/>
      <c r="EH98" s="137"/>
      <c r="EI98" s="137"/>
      <c r="EJ98" s="335"/>
    </row>
    <row r="99" spans="1:142" ht="15.4" thickBot="1" x14ac:dyDescent="0.45">
      <c r="A99" s="1218"/>
      <c r="B99" s="1218"/>
      <c r="C99" s="1218"/>
      <c r="D99" s="1218"/>
      <c r="E99" s="1219"/>
      <c r="F99" s="1219"/>
      <c r="G99" s="1216"/>
      <c r="H99" s="1216"/>
      <c r="I99" s="1219"/>
      <c r="J99" s="1216" t="s">
        <v>9</v>
      </c>
      <c r="K99" s="1216" t="s">
        <v>49</v>
      </c>
      <c r="L99" s="1216" t="s">
        <v>401</v>
      </c>
      <c r="M99" s="1216" t="s">
        <v>404</v>
      </c>
      <c r="N99" s="1216" t="s">
        <v>402</v>
      </c>
      <c r="O99" s="1216" t="s">
        <v>403</v>
      </c>
      <c r="P99" s="1219" t="s">
        <v>405</v>
      </c>
      <c r="Q99" s="1221" t="s">
        <v>413</v>
      </c>
      <c r="R99" s="457" t="s">
        <v>392</v>
      </c>
      <c r="S99" s="457" t="s">
        <v>406</v>
      </c>
      <c r="T99" s="1219" t="s">
        <v>407</v>
      </c>
      <c r="U99" s="1228" t="s">
        <v>414</v>
      </c>
      <c r="V99" s="1217" t="s">
        <v>408</v>
      </c>
      <c r="W99" s="1219" t="s">
        <v>405</v>
      </c>
      <c r="X99" s="1221" t="s">
        <v>415</v>
      </c>
      <c r="Y99" s="457" t="s">
        <v>392</v>
      </c>
      <c r="Z99" s="457" t="s">
        <v>406</v>
      </c>
      <c r="AA99" s="1219" t="s">
        <v>407</v>
      </c>
      <c r="AB99" s="1380" t="s">
        <v>414</v>
      </c>
      <c r="AC99" s="999" t="s">
        <v>416</v>
      </c>
      <c r="AD99" s="339" t="s">
        <v>418</v>
      </c>
      <c r="AE99" s="999" t="s">
        <v>417</v>
      </c>
      <c r="AF99" s="339" t="s">
        <v>486</v>
      </c>
      <c r="AG99" s="999" t="s">
        <v>488</v>
      </c>
      <c r="AH99" s="339" t="s">
        <v>470</v>
      </c>
      <c r="AI99" s="999" t="s">
        <v>417</v>
      </c>
      <c r="AJ99" s="339" t="s">
        <v>420</v>
      </c>
      <c r="AK99" s="331" t="s">
        <v>436</v>
      </c>
      <c r="AL99" s="331" t="s">
        <v>437</v>
      </c>
      <c r="AM99" s="331" t="s">
        <v>436</v>
      </c>
      <c r="AN99" s="331" t="s">
        <v>437</v>
      </c>
      <c r="AO99" s="137"/>
      <c r="AP99" s="137"/>
      <c r="AQ99" s="137" t="s">
        <v>484</v>
      </c>
      <c r="AR99" s="137" t="s">
        <v>463</v>
      </c>
      <c r="AS99" s="137" t="s">
        <v>461</v>
      </c>
      <c r="AT99" s="137" t="s">
        <v>418</v>
      </c>
      <c r="AU99" s="137" t="s">
        <v>462</v>
      </c>
      <c r="AV99" s="1402" t="s">
        <v>466</v>
      </c>
      <c r="AW99" s="1303" t="s">
        <v>467</v>
      </c>
      <c r="AX99" s="1303" t="s">
        <v>465</v>
      </c>
      <c r="AY99" s="1303" t="s">
        <v>469</v>
      </c>
      <c r="AZ99" s="1303" t="s">
        <v>485</v>
      </c>
      <c r="BA99" s="1485"/>
      <c r="BB99" s="1404" t="s">
        <v>468</v>
      </c>
      <c r="BD99" s="137">
        <v>0.92928099399075437</v>
      </c>
      <c r="BE99" s="137"/>
      <c r="BF99" s="137" t="s">
        <v>473</v>
      </c>
      <c r="BG99" s="137">
        <v>1.5363033215535182</v>
      </c>
      <c r="BH99" s="331" t="s">
        <v>474</v>
      </c>
      <c r="BI99" s="137">
        <v>1.3330895032417398</v>
      </c>
      <c r="BJ99" s="137" t="s">
        <v>475</v>
      </c>
      <c r="BK99" s="137"/>
      <c r="BL99" s="653"/>
      <c r="BM99" s="653"/>
      <c r="BN99" s="653"/>
      <c r="BO99" s="653"/>
      <c r="BP99" s="653"/>
      <c r="BQ99" s="653"/>
      <c r="BR99" s="653"/>
      <c r="BS99" s="653"/>
      <c r="BT99" s="1177"/>
      <c r="BU99" s="1177"/>
      <c r="BV99" s="1177"/>
      <c r="BW99" s="1177"/>
      <c r="BX99" s="1177"/>
      <c r="BY99" s="1177"/>
      <c r="BZ99" s="1177"/>
      <c r="CA99" s="1177"/>
      <c r="CB99" s="1177"/>
      <c r="CC99" s="1177"/>
      <c r="CD99" s="1177"/>
      <c r="CE99" s="1177"/>
      <c r="CF99" s="1177"/>
      <c r="CG99" s="1177"/>
      <c r="CH99" s="1177"/>
      <c r="CI99" s="1177"/>
      <c r="CJ99" s="1177"/>
      <c r="CK99" s="1177"/>
      <c r="CL99" s="1177"/>
      <c r="CM99" s="1177"/>
      <c r="CN99" s="1177"/>
      <c r="CO99" s="1177"/>
      <c r="CP99" s="1177"/>
      <c r="CQ99" s="1177"/>
      <c r="CR99" s="1177"/>
      <c r="CS99" s="1177"/>
      <c r="CT99" s="1177"/>
      <c r="CU99" s="1177"/>
      <c r="CV99" s="1177"/>
      <c r="CW99" s="1177"/>
      <c r="CX99" s="1177"/>
      <c r="CY99" s="1177"/>
      <c r="CZ99" s="1177"/>
      <c r="DA99" s="1177"/>
      <c r="DB99" s="1177"/>
      <c r="DC99" s="1177"/>
      <c r="DD99" s="1177"/>
      <c r="DE99" s="1177"/>
      <c r="DF99" s="1177"/>
      <c r="DG99" s="1177"/>
      <c r="DH99" s="1177"/>
      <c r="DI99" s="137"/>
      <c r="DJ99" s="137"/>
      <c r="DK99" s="137"/>
      <c r="DL99" s="137"/>
      <c r="DM99" s="137"/>
      <c r="DN99" s="137"/>
      <c r="DO99" s="137"/>
      <c r="DP99" s="137"/>
      <c r="DQ99" s="137"/>
      <c r="DR99" s="137"/>
      <c r="DS99" s="137"/>
      <c r="DT99" s="137"/>
      <c r="DU99" s="137"/>
      <c r="DV99" s="137"/>
      <c r="DW99" s="137"/>
      <c r="DX99" s="137"/>
      <c r="DY99" s="137"/>
      <c r="DZ99" s="1091"/>
      <c r="EA99" s="1091"/>
      <c r="EB99" s="137"/>
      <c r="EC99" s="137"/>
      <c r="ED99" s="137"/>
      <c r="EE99" s="137"/>
      <c r="EF99" s="194"/>
      <c r="EG99" s="194"/>
      <c r="EH99" s="194"/>
      <c r="EI99" s="194"/>
      <c r="EJ99" s="137"/>
      <c r="EK99" s="137"/>
      <c r="EL99" s="335"/>
    </row>
    <row r="100" spans="1:142" x14ac:dyDescent="0.35">
      <c r="B100" s="1220" t="s">
        <v>412</v>
      </c>
      <c r="C100" s="1727" t="s">
        <v>426</v>
      </c>
      <c r="D100" s="1293" t="s">
        <v>441</v>
      </c>
      <c r="E100" s="1230" t="s">
        <v>287</v>
      </c>
      <c r="F100" s="115" t="s">
        <v>409</v>
      </c>
      <c r="G100" s="1231">
        <v>4</v>
      </c>
      <c r="H100" s="1232">
        <v>1500</v>
      </c>
      <c r="I100" s="115" t="s">
        <v>411</v>
      </c>
      <c r="J100" s="1233">
        <v>79.900000000000006</v>
      </c>
      <c r="K100" s="1232">
        <v>120</v>
      </c>
      <c r="L100" s="1232">
        <v>3.78</v>
      </c>
      <c r="M100" s="1232">
        <v>2.84</v>
      </c>
      <c r="N100" s="115"/>
      <c r="O100" s="115"/>
      <c r="P100" s="1232">
        <v>211150</v>
      </c>
      <c r="Q100" s="1234">
        <v>423</v>
      </c>
      <c r="R100" s="1232">
        <v>5.8</v>
      </c>
      <c r="S100" s="1235">
        <v>0.3</v>
      </c>
      <c r="T100" s="1232">
        <v>-0.5</v>
      </c>
      <c r="U100" s="1234">
        <v>472</v>
      </c>
      <c r="V100" s="1234" t="s">
        <v>412</v>
      </c>
      <c r="W100" s="1234">
        <v>226000</v>
      </c>
      <c r="X100" s="1234">
        <v>535</v>
      </c>
      <c r="Y100" s="1236">
        <v>6</v>
      </c>
      <c r="Z100" s="1235">
        <v>0.3</v>
      </c>
      <c r="AA100" s="1232">
        <v>-0.5</v>
      </c>
      <c r="AB100" s="1381">
        <v>554</v>
      </c>
      <c r="AC100" s="1237">
        <v>20</v>
      </c>
      <c r="AD100" s="1238"/>
      <c r="AE100" s="1239">
        <v>19</v>
      </c>
      <c r="AF100" s="1238"/>
      <c r="AG100" s="1238"/>
      <c r="AH100" s="1405">
        <v>7.5539172074727307E-5</v>
      </c>
      <c r="AI100" s="1240">
        <v>18.097634811690298</v>
      </c>
      <c r="AJ100" s="1241" t="s">
        <v>422</v>
      </c>
      <c r="AK100" s="1285">
        <v>432.48951506774802</v>
      </c>
      <c r="AL100" s="1286">
        <v>12044.603288455801</v>
      </c>
      <c r="AM100" s="1286">
        <v>537.07578313808699</v>
      </c>
      <c r="AN100" s="1241">
        <v>31949.0814554608</v>
      </c>
      <c r="AO100" s="137" t="s">
        <v>422</v>
      </c>
      <c r="AP100" s="1282"/>
      <c r="AQ100" s="137">
        <v>5.7042876099719635E-2</v>
      </c>
      <c r="AR100" s="137">
        <f>AC100/AI100</f>
        <v>1.1051167850442454</v>
      </c>
      <c r="AS100" s="137">
        <f>AE100/AI100</f>
        <v>1.0498609457920332</v>
      </c>
      <c r="AT100" s="137">
        <v>19.047140416230601</v>
      </c>
      <c r="AU100" s="137">
        <v>470.91637625080801</v>
      </c>
      <c r="AV100" s="1399">
        <v>1368.09</v>
      </c>
      <c r="AW100" s="1403">
        <f>MAX((J100-2*(M100+L100))/(J100-M100),(K100-2*(M100+L100))/(K100-M100))</f>
        <v>0.91123250256060095</v>
      </c>
      <c r="AX100" s="331">
        <v>0.50668967145855681</v>
      </c>
      <c r="AY100" s="331" t="e">
        <f>IF(AX100&lt;=0.68,MIN($AP$3/(CV8^$AQ$3),$AS$3,$AT$3*CX8/AL8),"NA")</f>
        <v>#NUM!</v>
      </c>
      <c r="BD100" s="137">
        <v>0.546791802797158</v>
      </c>
      <c r="BE100" s="137"/>
      <c r="BF100" s="137" t="s">
        <v>473</v>
      </c>
      <c r="BG100" s="1512">
        <v>1.1568383466006047</v>
      </c>
      <c r="BH100" s="331" t="s">
        <v>474</v>
      </c>
      <c r="BI100" s="137">
        <v>1.0925541760908473</v>
      </c>
      <c r="BJ100" s="137" t="s">
        <v>475</v>
      </c>
      <c r="BK100" s="137"/>
      <c r="BL100" s="653"/>
      <c r="BM100" s="653"/>
      <c r="BN100" s="653"/>
      <c r="BO100" s="653"/>
      <c r="BP100" s="653"/>
      <c r="BQ100" s="653"/>
      <c r="BR100" s="653"/>
      <c r="BS100" s="653" t="s">
        <v>501</v>
      </c>
      <c r="BT100" s="1177" t="s">
        <v>500</v>
      </c>
      <c r="BU100" s="1177"/>
      <c r="BV100" s="1177" t="s">
        <v>502</v>
      </c>
      <c r="BW100" s="1177"/>
      <c r="BX100" s="1177"/>
      <c r="BY100" s="1177"/>
      <c r="BZ100" s="1177"/>
      <c r="CA100" s="1177"/>
      <c r="CB100" s="1177"/>
      <c r="CC100" s="1177"/>
      <c r="CD100" s="1177"/>
      <c r="CE100" s="1177"/>
      <c r="CF100" s="1177"/>
      <c r="CG100" s="1177"/>
      <c r="CH100" s="1177"/>
      <c r="CI100" s="1177"/>
      <c r="CJ100" s="1177"/>
      <c r="CK100" s="1177"/>
      <c r="CL100" s="1177"/>
      <c r="CM100" s="1177"/>
      <c r="CN100" s="1177"/>
      <c r="CO100" s="1177"/>
      <c r="CP100" s="1177"/>
      <c r="CQ100" s="1177"/>
      <c r="CR100" s="1177"/>
      <c r="CS100" s="1177"/>
      <c r="CT100" s="1177"/>
      <c r="CU100" s="1177"/>
      <c r="CV100" s="1177"/>
      <c r="CW100" s="1177"/>
      <c r="CX100" s="1177"/>
      <c r="CY100" s="1177"/>
      <c r="CZ100" s="1177"/>
      <c r="DA100" s="1177"/>
      <c r="DB100" s="1177"/>
      <c r="DC100" s="1177"/>
      <c r="DD100" s="1177"/>
      <c r="DE100" s="1177"/>
      <c r="DF100" s="1177"/>
      <c r="DG100" s="1177"/>
      <c r="DH100" s="1177"/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37"/>
      <c r="DY100" s="137"/>
      <c r="DZ100" s="1091"/>
      <c r="EA100" s="1091"/>
      <c r="EB100" s="137"/>
      <c r="EC100" s="137"/>
      <c r="ED100" s="137"/>
      <c r="EE100" s="137"/>
      <c r="EF100" s="194"/>
      <c r="EG100" s="194"/>
      <c r="EH100" s="194"/>
      <c r="EI100" s="194"/>
      <c r="EJ100" s="137"/>
      <c r="EK100" s="137"/>
    </row>
    <row r="101" spans="1:142" x14ac:dyDescent="0.35">
      <c r="B101" s="1220" t="s">
        <v>412</v>
      </c>
      <c r="C101" s="1728"/>
      <c r="D101" s="1293" t="s">
        <v>441</v>
      </c>
      <c r="E101" s="1242" t="s">
        <v>288</v>
      </c>
      <c r="F101" s="114" t="s">
        <v>409</v>
      </c>
      <c r="G101" s="1227">
        <v>4</v>
      </c>
      <c r="H101" s="1226">
        <v>1500</v>
      </c>
      <c r="I101" s="114" t="s">
        <v>411</v>
      </c>
      <c r="J101" s="1225">
        <v>39.9</v>
      </c>
      <c r="K101" s="1226">
        <v>60.2</v>
      </c>
      <c r="L101" s="1226">
        <v>3.15</v>
      </c>
      <c r="M101" s="1226">
        <v>2.86</v>
      </c>
      <c r="N101" s="114"/>
      <c r="O101" s="114"/>
      <c r="P101" s="1226">
        <v>217200</v>
      </c>
      <c r="Q101" s="1223">
        <v>454</v>
      </c>
      <c r="R101" s="1226">
        <v>6.4</v>
      </c>
      <c r="S101" s="1222">
        <v>0.3</v>
      </c>
      <c r="T101" s="1226">
        <v>-0.5</v>
      </c>
      <c r="U101" s="1223">
        <v>475</v>
      </c>
      <c r="V101" s="1223" t="s">
        <v>412</v>
      </c>
      <c r="W101" s="1223">
        <v>200000</v>
      </c>
      <c r="X101" s="1223">
        <v>545</v>
      </c>
      <c r="Y101" s="1224">
        <v>4.7</v>
      </c>
      <c r="Z101" s="1222">
        <v>0.3</v>
      </c>
      <c r="AA101" s="1226">
        <v>-0.5</v>
      </c>
      <c r="AB101" s="1382">
        <v>597</v>
      </c>
      <c r="AC101" s="1007">
        <v>5.3</v>
      </c>
      <c r="AD101" s="142"/>
      <c r="AE101" s="1001">
        <v>5</v>
      </c>
      <c r="AF101" s="142"/>
      <c r="AG101" s="142"/>
      <c r="AH101" s="1238">
        <v>2.0527423161653099E-4</v>
      </c>
      <c r="AI101" s="146">
        <v>4.7259422773927504</v>
      </c>
      <c r="AJ101" s="150" t="s">
        <v>490</v>
      </c>
      <c r="AK101" s="1287">
        <v>463.61021442295402</v>
      </c>
      <c r="AL101" s="339">
        <v>1424.2061782882199</v>
      </c>
      <c r="AM101" s="339">
        <v>561.91776294381702</v>
      </c>
      <c r="AN101" s="150">
        <v>4616.4401732835704</v>
      </c>
      <c r="AO101" s="137" t="s">
        <v>490</v>
      </c>
      <c r="AP101" s="1282"/>
      <c r="AQ101" s="137">
        <v>6.5571186845682318E-3</v>
      </c>
      <c r="AR101" s="137">
        <f t="shared" ref="AR101:AR125" si="50">AC101/AI101</f>
        <v>1.1214694740038067</v>
      </c>
      <c r="AS101" s="137">
        <f t="shared" ref="AS101:AS125" si="51">AE101/AI101</f>
        <v>1.0579900698149121</v>
      </c>
      <c r="AT101" s="137">
        <v>4.8228575363550297</v>
      </c>
      <c r="AU101" s="137">
        <v>57.069206428968798</v>
      </c>
      <c r="AV101" s="1400">
        <v>5932.64</v>
      </c>
      <c r="AW101" s="1403">
        <f>MAX((J101-2*(M101+L101))/(J101-M101),(K101-2*(M101+L101))/(K101-M101))</f>
        <v>0.84025113358911763</v>
      </c>
      <c r="AX101" s="331">
        <v>0.23244116083188454</v>
      </c>
      <c r="BD101" s="137">
        <v>0.49121546110728231</v>
      </c>
      <c r="BE101" s="137"/>
      <c r="BF101" s="137" t="s">
        <v>473</v>
      </c>
      <c r="BG101" s="1512">
        <v>0.94608442621867361</v>
      </c>
      <c r="BH101" s="331" t="s">
        <v>474</v>
      </c>
      <c r="BI101" s="137">
        <v>1.3515482318505583</v>
      </c>
      <c r="BJ101" s="137" t="s">
        <v>475</v>
      </c>
      <c r="BK101" s="137"/>
      <c r="BL101" s="653"/>
      <c r="BM101" s="653"/>
      <c r="BN101" s="653"/>
      <c r="BO101" s="653"/>
      <c r="BP101" s="653"/>
      <c r="BQ101" s="653"/>
      <c r="BR101" s="653"/>
      <c r="BS101" s="1514">
        <v>1.2626179363196899</v>
      </c>
      <c r="BT101" s="1515">
        <v>1.2347831160696281</v>
      </c>
      <c r="BU101" s="1515">
        <v>0.5587451159971345</v>
      </c>
      <c r="BV101" s="1516">
        <v>1.5482402450536048</v>
      </c>
      <c r="BW101" s="1177"/>
      <c r="BX101" s="1043">
        <f>AVERAGE(BS101:BS139)</f>
        <v>1.192774868968256</v>
      </c>
      <c r="BY101" s="1043">
        <f>AVERAGE(BT101:BT139)</f>
        <v>1.1467785111785347</v>
      </c>
      <c r="BZ101" s="1043">
        <f>AVERAGE(BU101:BU139)</f>
        <v>0.42237529659272482</v>
      </c>
      <c r="CA101" s="1043">
        <f>AVERAGE(BV101:BV139)</f>
        <v>1.4054188501243452</v>
      </c>
      <c r="CC101" s="1177"/>
      <c r="CD101" s="137" t="s">
        <v>473</v>
      </c>
      <c r="CE101" s="1523">
        <v>0.4557431570430171</v>
      </c>
      <c r="CF101" s="331" t="s">
        <v>474</v>
      </c>
      <c r="CG101" s="331">
        <v>1.3317612348350953</v>
      </c>
      <c r="CH101" s="137" t="s">
        <v>475</v>
      </c>
      <c r="CI101" s="1177"/>
      <c r="CJ101" s="1177"/>
      <c r="CK101" s="1177"/>
      <c r="CL101" s="1177"/>
      <c r="CM101" s="1177"/>
      <c r="CN101" s="1177"/>
      <c r="CO101" s="1177"/>
      <c r="CP101" s="1177"/>
      <c r="CQ101" s="1177"/>
      <c r="CR101" s="1177"/>
      <c r="CS101" s="1177"/>
      <c r="CT101" s="1177"/>
      <c r="CU101" s="1177"/>
      <c r="CV101" s="1177"/>
      <c r="CW101" s="1177"/>
      <c r="CX101" s="1177"/>
      <c r="CY101" s="1177"/>
      <c r="CZ101" s="1177"/>
      <c r="DA101" s="1177"/>
      <c r="DB101" s="1177"/>
      <c r="DC101" s="1177"/>
      <c r="DD101" s="1177"/>
      <c r="DE101" s="1177"/>
      <c r="DF101" s="1177"/>
      <c r="DG101" s="1177"/>
      <c r="DH101" s="117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/>
      <c r="DY101" s="137"/>
      <c r="DZ101" s="1091"/>
      <c r="EA101" s="1091"/>
      <c r="EB101" s="137"/>
      <c r="EC101" s="137"/>
      <c r="ED101" s="137"/>
      <c r="EE101" s="137"/>
      <c r="EF101" s="194"/>
      <c r="EG101" s="194"/>
      <c r="EH101" s="194"/>
      <c r="EI101" s="194"/>
      <c r="EJ101" s="137"/>
      <c r="EK101" s="137"/>
    </row>
    <row r="102" spans="1:142" x14ac:dyDescent="0.35">
      <c r="B102" s="1220" t="s">
        <v>412</v>
      </c>
      <c r="C102" s="1728"/>
      <c r="D102" s="1293" t="s">
        <v>441</v>
      </c>
      <c r="E102" s="1242" t="s">
        <v>289</v>
      </c>
      <c r="F102" s="114" t="s">
        <v>409</v>
      </c>
      <c r="G102" s="1227">
        <v>4</v>
      </c>
      <c r="H102" s="1226">
        <v>1500</v>
      </c>
      <c r="I102" s="114" t="s">
        <v>411</v>
      </c>
      <c r="J102" s="1225">
        <v>80</v>
      </c>
      <c r="K102" s="1226">
        <v>80.400000000000006</v>
      </c>
      <c r="L102" s="1226">
        <v>3.95</v>
      </c>
      <c r="M102" s="1226">
        <v>2.8</v>
      </c>
      <c r="N102" s="114"/>
      <c r="O102" s="114"/>
      <c r="P102" s="1226">
        <v>211250</v>
      </c>
      <c r="Q102" s="1223">
        <v>431</v>
      </c>
      <c r="R102" s="1226">
        <v>6.3</v>
      </c>
      <c r="S102" s="1222">
        <v>0.3</v>
      </c>
      <c r="T102" s="1226">
        <v>-0.5</v>
      </c>
      <c r="U102" s="1223">
        <v>447</v>
      </c>
      <c r="V102" s="1223" t="s">
        <v>412</v>
      </c>
      <c r="W102" s="1223">
        <v>220000</v>
      </c>
      <c r="X102" s="1223">
        <v>512</v>
      </c>
      <c r="Y102" s="1223">
        <v>7.8</v>
      </c>
      <c r="Z102" s="1222">
        <v>0.3</v>
      </c>
      <c r="AA102" s="1226">
        <v>-0.5</v>
      </c>
      <c r="AB102" s="1382">
        <v>520</v>
      </c>
      <c r="AC102" s="1007">
        <v>11.3</v>
      </c>
      <c r="AD102" s="142"/>
      <c r="AE102" s="1001">
        <v>11.1</v>
      </c>
      <c r="AF102" s="142"/>
      <c r="AG102" s="142"/>
      <c r="AH102" s="1238">
        <v>1.07796618460699E-4</v>
      </c>
      <c r="AI102" s="146">
        <v>10.203408722315499</v>
      </c>
      <c r="AJ102" s="150" t="s">
        <v>422</v>
      </c>
      <c r="AK102" s="1287">
        <v>434.22899557373398</v>
      </c>
      <c r="AL102" s="339">
        <v>12799.401368799699</v>
      </c>
      <c r="AM102" s="339">
        <v>507.76609831032403</v>
      </c>
      <c r="AN102" s="150">
        <v>29992.6982760992</v>
      </c>
      <c r="AO102" s="137" t="s">
        <v>422</v>
      </c>
      <c r="AP102" s="1282"/>
      <c r="AQ102" s="137">
        <v>6.0588882219170172E-2</v>
      </c>
      <c r="AR102" s="137">
        <f t="shared" si="50"/>
        <v>1.1074730325451128</v>
      </c>
      <c r="AS102" s="137">
        <f t="shared" si="51"/>
        <v>1.0878717399336948</v>
      </c>
      <c r="AT102" s="137">
        <v>10.740915677797901</v>
      </c>
      <c r="AU102" s="137">
        <v>293.09720682229403</v>
      </c>
      <c r="AV102" s="1400">
        <v>1343.79</v>
      </c>
      <c r="AW102" s="1403">
        <f>MAX((J102-2*(M102+L102))/(J102-M102),(K102-2*(M102+L102))/(K102-M102))</f>
        <v>0.8621134020618556</v>
      </c>
      <c r="AX102" s="331">
        <v>0.48824446561256313</v>
      </c>
      <c r="BD102" s="137">
        <v>7.5646057846900597E-3</v>
      </c>
      <c r="BE102" s="137"/>
      <c r="BF102" s="137" t="s">
        <v>473</v>
      </c>
      <c r="BG102" s="331">
        <v>0.5587451159971345</v>
      </c>
      <c r="BH102" s="331" t="s">
        <v>474</v>
      </c>
      <c r="BI102" s="137">
        <v>1.2626179363196899</v>
      </c>
      <c r="BJ102" s="137" t="s">
        <v>475</v>
      </c>
      <c r="BK102" s="137"/>
      <c r="BL102" s="653"/>
      <c r="BM102" s="653"/>
      <c r="BN102" s="653"/>
      <c r="BO102" s="653"/>
      <c r="BP102" s="653"/>
      <c r="BQ102" s="653"/>
      <c r="BR102" s="653"/>
      <c r="BS102" s="1514">
        <v>1.265164152617835</v>
      </c>
      <c r="BT102" s="1515">
        <v>1.2368565455010143</v>
      </c>
      <c r="BU102" s="1515">
        <v>0.5592177114430229</v>
      </c>
      <c r="BV102" s="1516">
        <v>1.5506268338359899</v>
      </c>
      <c r="BW102" s="1177"/>
      <c r="BX102" s="331">
        <f>_xlfn.STDEV.P(BS101:BS139)</f>
        <v>0.10125742741035751</v>
      </c>
      <c r="BY102" s="331">
        <f>_xlfn.STDEV.P(BT101:BT139)</f>
        <v>9.9672851501272655E-2</v>
      </c>
      <c r="BZ102" s="331">
        <f>_xlfn.STDEV.P(BU101:BU139)</f>
        <v>0.1324329946973262</v>
      </c>
      <c r="CA102" s="331">
        <f>_xlfn.STDEV.P(BV101:BV139)</f>
        <v>0.16601308776768373</v>
      </c>
      <c r="CC102" s="1177"/>
      <c r="CD102" s="137" t="s">
        <v>473</v>
      </c>
      <c r="CE102" s="1523">
        <v>0.22952184486798491</v>
      </c>
      <c r="CF102" s="331" t="s">
        <v>474</v>
      </c>
      <c r="CG102" s="331">
        <v>0.65886486032920855</v>
      </c>
      <c r="CH102" s="137" t="s">
        <v>475</v>
      </c>
      <c r="CI102" s="1177"/>
      <c r="CJ102" s="1177"/>
      <c r="CK102" s="1177"/>
      <c r="CL102" s="1177"/>
      <c r="CM102" s="1177"/>
      <c r="CN102" s="1177"/>
      <c r="CO102" s="1177"/>
      <c r="CP102" s="1177"/>
      <c r="CQ102" s="1177"/>
      <c r="CR102" s="1177"/>
      <c r="CS102" s="1177"/>
      <c r="CT102" s="1177"/>
      <c r="CU102" s="1177"/>
      <c r="CV102" s="1177"/>
      <c r="CW102" s="1177"/>
      <c r="CX102" s="1177"/>
      <c r="CY102" s="1177"/>
      <c r="CZ102" s="1177"/>
      <c r="DA102" s="1177"/>
      <c r="DB102" s="1177"/>
      <c r="DC102" s="1177"/>
      <c r="DD102" s="1177"/>
      <c r="DE102" s="1177"/>
      <c r="DF102" s="1177"/>
      <c r="DG102" s="1177"/>
      <c r="DH102" s="117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/>
      <c r="DY102" s="137"/>
      <c r="DZ102" s="1091"/>
      <c r="EA102" s="1091"/>
      <c r="EB102" s="137"/>
      <c r="EC102" s="137"/>
      <c r="ED102" s="137"/>
      <c r="EE102" s="137"/>
      <c r="EF102" s="194"/>
      <c r="EG102" s="194"/>
      <c r="EH102" s="194"/>
      <c r="EI102" s="194"/>
      <c r="EJ102" s="137"/>
      <c r="EK102" s="137"/>
    </row>
    <row r="103" spans="1:142" x14ac:dyDescent="0.35">
      <c r="B103" s="1220" t="s">
        <v>412</v>
      </c>
      <c r="C103" s="1728"/>
      <c r="D103" s="1293" t="s">
        <v>441</v>
      </c>
      <c r="E103" s="1242" t="s">
        <v>290</v>
      </c>
      <c r="F103" s="114" t="s">
        <v>409</v>
      </c>
      <c r="G103" s="1227">
        <v>4</v>
      </c>
      <c r="H103" s="1226">
        <v>1500</v>
      </c>
      <c r="I103" s="114" t="s">
        <v>411</v>
      </c>
      <c r="J103" s="1225">
        <v>60.7</v>
      </c>
      <c r="K103" s="1226">
        <v>60.7</v>
      </c>
      <c r="L103" s="1226">
        <v>2.86</v>
      </c>
      <c r="M103" s="1226">
        <v>2.89</v>
      </c>
      <c r="N103" s="114"/>
      <c r="O103" s="114"/>
      <c r="P103" s="1226">
        <v>215130</v>
      </c>
      <c r="Q103" s="1223">
        <v>519</v>
      </c>
      <c r="R103" s="1226">
        <v>6.3</v>
      </c>
      <c r="S103" s="1222">
        <v>0.3</v>
      </c>
      <c r="T103" s="1226">
        <v>-0.5</v>
      </c>
      <c r="U103" s="1223">
        <v>534</v>
      </c>
      <c r="V103" s="1223" t="s">
        <v>412</v>
      </c>
      <c r="W103" s="1223">
        <v>225000</v>
      </c>
      <c r="X103" s="1223">
        <v>580</v>
      </c>
      <c r="Y103" s="1223">
        <v>7.4</v>
      </c>
      <c r="Z103" s="1222">
        <v>0.3</v>
      </c>
      <c r="AA103" s="1226">
        <v>-0.5</v>
      </c>
      <c r="AB103" s="1382">
        <v>665</v>
      </c>
      <c r="AC103" s="1007">
        <v>7.9</v>
      </c>
      <c r="AD103" s="142"/>
      <c r="AE103" s="1001">
        <v>7</v>
      </c>
      <c r="AF103" s="142"/>
      <c r="AG103" s="142"/>
      <c r="AH103" s="1238">
        <v>1.7605178183274301E-4</v>
      </c>
      <c r="AI103" s="146">
        <v>7.11187396545502</v>
      </c>
      <c r="AJ103" s="150" t="s">
        <v>422</v>
      </c>
      <c r="AK103" s="1287">
        <v>525.01281269603203</v>
      </c>
      <c r="AL103" s="339">
        <v>2520.89782431502</v>
      </c>
      <c r="AM103" s="339">
        <v>594.11733689305095</v>
      </c>
      <c r="AN103" s="150">
        <v>18062.112823462299</v>
      </c>
      <c r="AO103" s="137" t="s">
        <v>422</v>
      </c>
      <c r="AP103" s="1282"/>
      <c r="AQ103" s="137">
        <v>1.1718020844675405E-2</v>
      </c>
      <c r="AR103" s="137">
        <f t="shared" si="50"/>
        <v>1.1108183354166845</v>
      </c>
      <c r="AS103" s="137">
        <f t="shared" si="51"/>
        <v>0.98426941112870769</v>
      </c>
      <c r="AT103" s="137">
        <v>7.3848806429260598</v>
      </c>
      <c r="AU103" s="137">
        <v>130.933000938318</v>
      </c>
      <c r="AV103" s="1400">
        <v>2598.0169999999998</v>
      </c>
      <c r="AW103" s="1403">
        <f>MAX((J103-2*(M103+L103))/(J103-M103),(K103-2*(M103+L103))/(K103-M103))</f>
        <v>0.85106382978723405</v>
      </c>
      <c r="AX103" s="331">
        <v>0.38038625713638113</v>
      </c>
      <c r="BD103" s="137">
        <v>7.6152035485841192E-3</v>
      </c>
      <c r="BE103" s="137"/>
      <c r="BF103" s="137" t="s">
        <v>473</v>
      </c>
      <c r="BG103" s="331">
        <v>0.5592177114430229</v>
      </c>
      <c r="BH103" s="331" t="s">
        <v>474</v>
      </c>
      <c r="BI103" s="137">
        <v>1.265164152617835</v>
      </c>
      <c r="BJ103" s="137" t="s">
        <v>475</v>
      </c>
      <c r="BK103" s="137"/>
      <c r="BL103" s="653"/>
      <c r="BM103" s="653"/>
      <c r="BN103" s="653"/>
      <c r="BO103" s="653"/>
      <c r="BP103" s="653"/>
      <c r="BQ103" s="653"/>
      <c r="BR103" s="653"/>
      <c r="BS103" s="1514">
        <v>1.2626179363196899</v>
      </c>
      <c r="BT103" s="1515">
        <v>1.2347831160696281</v>
      </c>
      <c r="BU103" s="1515">
        <v>0.5587451159971345</v>
      </c>
      <c r="BV103" s="1516">
        <v>1.5482402450536048</v>
      </c>
      <c r="BW103" s="1177"/>
      <c r="BX103" s="1043"/>
      <c r="CC103" s="1177"/>
      <c r="CD103" s="137" t="s">
        <v>473</v>
      </c>
      <c r="CE103" s="1523">
        <v>0.61629503379247896</v>
      </c>
      <c r="CF103" s="331" t="s">
        <v>474</v>
      </c>
      <c r="CG103" s="331">
        <v>2.068702196495658</v>
      </c>
      <c r="CH103" s="137" t="s">
        <v>475</v>
      </c>
      <c r="CI103" s="1177"/>
      <c r="CJ103" s="1177"/>
      <c r="CK103" s="1177"/>
      <c r="CL103" s="1177"/>
      <c r="CM103" s="1177"/>
      <c r="CN103" s="1177"/>
      <c r="CO103" s="1177"/>
      <c r="CP103" s="1177"/>
      <c r="CQ103" s="1177"/>
      <c r="CR103" s="1177"/>
      <c r="CS103" s="1177"/>
      <c r="CT103" s="1177"/>
      <c r="CU103" s="1177"/>
      <c r="CV103" s="1177"/>
      <c r="CW103" s="1177"/>
      <c r="CX103" s="1177"/>
      <c r="CY103" s="1177"/>
      <c r="CZ103" s="1177"/>
      <c r="DA103" s="1177"/>
      <c r="DB103" s="1177"/>
      <c r="DC103" s="1177"/>
      <c r="DD103" s="1177"/>
      <c r="DE103" s="1177"/>
      <c r="DF103" s="1177"/>
      <c r="DG103" s="1177"/>
      <c r="DH103" s="117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/>
      <c r="DY103" s="137"/>
      <c r="DZ103" s="1091"/>
      <c r="EA103" s="1091"/>
      <c r="EB103" s="137"/>
      <c r="EC103" s="137"/>
      <c r="ED103" s="137"/>
      <c r="EE103" s="137"/>
      <c r="EF103" s="194"/>
      <c r="EG103" s="194"/>
      <c r="EH103" s="194"/>
      <c r="EI103" s="194"/>
      <c r="EJ103" s="137"/>
      <c r="EK103" s="137"/>
    </row>
    <row r="104" spans="1:142" ht="13.9" x14ac:dyDescent="0.4">
      <c r="B104" s="1220" t="s">
        <v>412</v>
      </c>
      <c r="C104" s="1712" t="s">
        <v>427</v>
      </c>
      <c r="D104" s="1293" t="s">
        <v>441</v>
      </c>
      <c r="E104" s="1247" t="s">
        <v>171</v>
      </c>
      <c r="F104" s="1248" t="s">
        <v>57</v>
      </c>
      <c r="G104" s="1248">
        <v>4</v>
      </c>
      <c r="H104" s="1248">
        <v>1000</v>
      </c>
      <c r="I104" s="1248" t="s">
        <v>423</v>
      </c>
      <c r="J104" s="272">
        <v>138.6</v>
      </c>
      <c r="K104" s="272">
        <f>202.05+2*N104</f>
        <v>214.27</v>
      </c>
      <c r="L104" s="1148">
        <v>5</v>
      </c>
      <c r="M104" s="172">
        <v>6.01</v>
      </c>
      <c r="N104" s="1249">
        <v>6.11</v>
      </c>
      <c r="O104" s="1238"/>
      <c r="P104" s="1238">
        <v>199950</v>
      </c>
      <c r="Q104" s="1238">
        <v>494</v>
      </c>
      <c r="R104" s="1238">
        <v>7.9</v>
      </c>
      <c r="S104" s="1235">
        <v>0.3</v>
      </c>
      <c r="T104" s="1232">
        <v>-0.5</v>
      </c>
      <c r="U104" s="1238" t="b">
        <v>0</v>
      </c>
      <c r="V104" s="1234" t="s">
        <v>412</v>
      </c>
      <c r="W104" s="1238">
        <v>199950</v>
      </c>
      <c r="X104" s="1238">
        <v>494</v>
      </c>
      <c r="Y104" s="1238">
        <v>7.9</v>
      </c>
      <c r="Z104" s="1235">
        <v>0.3</v>
      </c>
      <c r="AA104" s="1232">
        <v>-0.5</v>
      </c>
      <c r="AB104" s="1241" t="b">
        <v>0</v>
      </c>
      <c r="AC104" s="1250">
        <v>132</v>
      </c>
      <c r="AD104" s="1251"/>
      <c r="AE104" s="1250">
        <v>116</v>
      </c>
      <c r="AF104" s="1238"/>
      <c r="AG104" s="1238"/>
      <c r="AH104" s="1405">
        <v>3.3484364953315601E-5</v>
      </c>
      <c r="AI104" s="1238">
        <v>113.38559563532201</v>
      </c>
      <c r="AJ104" s="1241" t="s">
        <v>490</v>
      </c>
      <c r="AK104" s="1286">
        <v>461.85224559317402</v>
      </c>
      <c r="AL104" s="1241">
        <v>39832.0979456731</v>
      </c>
      <c r="AM104" s="1286">
        <v>461.85224559317402</v>
      </c>
      <c r="AN104" s="1241">
        <v>39832.0979456731</v>
      </c>
      <c r="AO104" s="137" t="s">
        <v>490</v>
      </c>
      <c r="AP104" s="1282" t="s">
        <v>434</v>
      </c>
      <c r="AQ104" s="137">
        <v>0.19921029230144086</v>
      </c>
      <c r="AR104" s="137">
        <f t="shared" si="50"/>
        <v>1.1641690398183102</v>
      </c>
      <c r="AS104" s="137">
        <f t="shared" si="51"/>
        <v>1.0230576410524543</v>
      </c>
      <c r="AT104" s="137">
        <v>127.95147766183</v>
      </c>
      <c r="AU104" s="137">
        <v>575.23692357704499</v>
      </c>
      <c r="AV104" s="331">
        <v>1244.4341011398801</v>
      </c>
      <c r="AW104" s="332">
        <f>MAX(((J104-M104)/2-L104)/(0.5*J104),(K104-2*(N104+L104))/(K104-N104))</f>
        <v>0.92260760953112997</v>
      </c>
      <c r="AX104" s="331" t="s">
        <v>509</v>
      </c>
      <c r="BD104" s="137">
        <v>4.6632670018930443E-3</v>
      </c>
      <c r="BE104" s="137"/>
      <c r="BF104" s="137" t="s">
        <v>473</v>
      </c>
      <c r="BG104" s="331">
        <v>0.5587451159971345</v>
      </c>
      <c r="BH104" s="331" t="s">
        <v>474</v>
      </c>
      <c r="BI104" s="137">
        <v>1.2626179363196899</v>
      </c>
      <c r="BJ104" s="137" t="s">
        <v>475</v>
      </c>
      <c r="BK104" s="653"/>
      <c r="BL104" s="653"/>
      <c r="BM104" s="653"/>
      <c r="BN104" s="653"/>
      <c r="BO104" s="653"/>
      <c r="BP104" s="653"/>
      <c r="BQ104" s="653"/>
      <c r="BR104" s="653"/>
      <c r="BS104" s="1514">
        <v>1.213237143848273</v>
      </c>
      <c r="BT104" s="1515">
        <v>1.1371846347817494</v>
      </c>
      <c r="BU104" s="1515">
        <v>0.28209426797961062</v>
      </c>
      <c r="BV104" s="1516">
        <v>1.4971827005431646</v>
      </c>
      <c r="BW104" s="1177"/>
      <c r="CC104" s="1177"/>
      <c r="CD104" s="137" t="s">
        <v>473</v>
      </c>
      <c r="CE104" s="1523">
        <v>0.28413755018822406</v>
      </c>
      <c r="CF104" s="331" t="s">
        <v>474</v>
      </c>
      <c r="CG104" s="331">
        <v>0.92711262043548737</v>
      </c>
      <c r="CH104" s="137" t="s">
        <v>475</v>
      </c>
      <c r="CI104" s="1177"/>
      <c r="CJ104" s="1177"/>
      <c r="CK104" s="1177"/>
      <c r="CL104" s="1177"/>
      <c r="CM104" s="1177"/>
      <c r="CN104" s="1177"/>
      <c r="CO104" s="1177"/>
      <c r="CP104" s="1177"/>
      <c r="CQ104" s="1177"/>
      <c r="CR104" s="1177"/>
      <c r="CS104" s="1177"/>
      <c r="CT104" s="1177"/>
      <c r="CU104" s="1177"/>
      <c r="CV104" s="1177"/>
      <c r="CW104" s="1177"/>
      <c r="CX104" s="1177"/>
      <c r="CY104" s="1177"/>
      <c r="CZ104" s="1177"/>
      <c r="DA104" s="1177"/>
      <c r="DB104" s="1177"/>
      <c r="DC104" s="1177"/>
      <c r="DD104" s="1095"/>
      <c r="DE104" s="1095"/>
      <c r="DF104" s="1095"/>
      <c r="DG104" s="1095"/>
      <c r="DH104" s="1095"/>
      <c r="DI104" s="1095"/>
      <c r="DJ104" s="1095"/>
      <c r="DK104" s="1095"/>
      <c r="DL104" s="1095"/>
      <c r="DM104" s="1095"/>
      <c r="DN104" s="1095"/>
      <c r="DO104" s="1095"/>
      <c r="DP104" s="1095"/>
      <c r="DQ104" s="1095"/>
      <c r="DR104" s="1095"/>
      <c r="DS104" s="1095"/>
      <c r="DT104" s="1095"/>
      <c r="DU104" s="1095"/>
      <c r="DV104" s="1095"/>
      <c r="DW104" s="1095"/>
      <c r="DX104" s="1095"/>
      <c r="DY104" s="1095"/>
      <c r="DZ104" s="1095"/>
      <c r="EA104" s="1096"/>
      <c r="EB104" s="1096"/>
      <c r="EC104" s="1096"/>
      <c r="ED104" s="1096"/>
      <c r="EE104" s="1095"/>
      <c r="EF104" s="1095"/>
      <c r="EH104" s="331"/>
    </row>
    <row r="105" spans="1:142" ht="13.9" x14ac:dyDescent="0.4">
      <c r="B105" s="1220" t="s">
        <v>412</v>
      </c>
      <c r="C105" s="1713"/>
      <c r="D105" s="1293" t="s">
        <v>441</v>
      </c>
      <c r="E105" s="738" t="s">
        <v>172</v>
      </c>
      <c r="F105" s="844" t="s">
        <v>57</v>
      </c>
      <c r="G105" s="844">
        <v>4</v>
      </c>
      <c r="H105" s="844">
        <v>1000</v>
      </c>
      <c r="I105" s="844" t="s">
        <v>423</v>
      </c>
      <c r="J105" s="273">
        <v>139.30000000000001</v>
      </c>
      <c r="K105" s="273">
        <f>202.05+2*N105</f>
        <v>218.27</v>
      </c>
      <c r="L105" s="119">
        <v>5</v>
      </c>
      <c r="M105" s="176">
        <v>6.06</v>
      </c>
      <c r="N105" s="1070">
        <v>8.11</v>
      </c>
      <c r="O105" s="142"/>
      <c r="P105" s="142">
        <v>199950</v>
      </c>
      <c r="Q105" s="142">
        <v>494</v>
      </c>
      <c r="R105" s="142">
        <v>7.9</v>
      </c>
      <c r="S105" s="1222">
        <v>0.3</v>
      </c>
      <c r="T105" s="1226">
        <v>-0.5</v>
      </c>
      <c r="U105" s="142" t="b">
        <v>0</v>
      </c>
      <c r="V105" s="1223" t="s">
        <v>412</v>
      </c>
      <c r="W105" s="142">
        <v>199750</v>
      </c>
      <c r="X105" s="142">
        <v>490</v>
      </c>
      <c r="Y105" s="142">
        <v>7.3</v>
      </c>
      <c r="Z105" s="1222">
        <v>0.3</v>
      </c>
      <c r="AA105" s="1226">
        <v>-0.5</v>
      </c>
      <c r="AB105" s="150" t="b">
        <v>0</v>
      </c>
      <c r="AC105" s="1229">
        <v>169</v>
      </c>
      <c r="AD105" s="999"/>
      <c r="AE105" s="1229">
        <v>144</v>
      </c>
      <c r="AF105" s="142"/>
      <c r="AG105" s="142"/>
      <c r="AH105" s="1406">
        <v>3.5492495145548198E-5</v>
      </c>
      <c r="AI105" s="1486">
        <v>144.58002253854301</v>
      </c>
      <c r="AJ105" s="150" t="s">
        <v>490</v>
      </c>
      <c r="AK105" s="339">
        <v>471.063140825738</v>
      </c>
      <c r="AL105" s="1290">
        <v>35663.2547050625</v>
      </c>
      <c r="AM105" s="339">
        <v>466.39416011455398</v>
      </c>
      <c r="AN105" s="1290">
        <v>37262.161779004098</v>
      </c>
      <c r="AO105" s="331" t="s">
        <v>490</v>
      </c>
      <c r="AP105" s="1282"/>
      <c r="AQ105" s="137">
        <v>0.17836086374124782</v>
      </c>
      <c r="AR105" s="137">
        <f t="shared" si="50"/>
        <v>1.1689028472446599</v>
      </c>
      <c r="AS105" s="137">
        <f t="shared" si="51"/>
        <v>0.99598822487118943</v>
      </c>
      <c r="AT105" s="331">
        <v>158.395279784434</v>
      </c>
      <c r="AU105" s="331">
        <v>794.37679857826402</v>
      </c>
      <c r="AV105" s="331">
        <v>1731.9185023994401</v>
      </c>
      <c r="AW105" s="332">
        <f>MAX(((J105-M105)/2-L105)/(0.5*J105),(K105-2*(N105+L105))/(K105-N105))</f>
        <v>0.91382755995432041</v>
      </c>
      <c r="AX105" s="331">
        <f>SQRT(Q105/AV105)*AW105</f>
        <v>0.48804964391057654</v>
      </c>
      <c r="BD105" s="331">
        <v>8.9610014659543529E-3</v>
      </c>
      <c r="BF105" s="137" t="s">
        <v>473</v>
      </c>
      <c r="BG105" s="331">
        <v>0.28209426797961062</v>
      </c>
      <c r="BH105" s="331" t="s">
        <v>474</v>
      </c>
      <c r="BI105" s="137">
        <v>1.213237143848273</v>
      </c>
      <c r="BJ105" s="137" t="s">
        <v>475</v>
      </c>
      <c r="BK105" s="653"/>
      <c r="BL105" s="653"/>
      <c r="BM105" s="653"/>
      <c r="BN105" s="653"/>
      <c r="BO105" s="653"/>
      <c r="BP105" s="653"/>
      <c r="BQ105" s="653"/>
      <c r="BR105" s="653"/>
      <c r="BS105" s="1514">
        <v>1.2103132664105891</v>
      </c>
      <c r="BT105" s="1515">
        <v>1.1344440423815096</v>
      </c>
      <c r="BU105" s="1515">
        <v>0.28220611472903623</v>
      </c>
      <c r="BV105" s="1516">
        <v>1.493574519949284</v>
      </c>
      <c r="BW105" s="1177"/>
      <c r="BX105" s="1043"/>
      <c r="CC105" s="1177"/>
      <c r="CD105" s="137" t="s">
        <v>473</v>
      </c>
      <c r="CE105" s="1523">
        <v>0.50905382807088806</v>
      </c>
      <c r="CF105" s="331" t="s">
        <v>474</v>
      </c>
      <c r="CG105" s="331">
        <v>1.0203665831046533</v>
      </c>
      <c r="CH105" s="137" t="s">
        <v>475</v>
      </c>
      <c r="CI105" s="1177"/>
      <c r="CJ105" s="1177"/>
      <c r="CK105" s="1177"/>
      <c r="CL105" s="1177"/>
      <c r="CM105" s="1177"/>
      <c r="CN105" s="1177"/>
      <c r="CO105" s="1177"/>
      <c r="CP105" s="1177"/>
      <c r="CQ105" s="1177"/>
      <c r="CR105" s="1177"/>
      <c r="CS105" s="1177"/>
      <c r="CT105" s="1177"/>
      <c r="CU105" s="1177"/>
      <c r="CV105" s="1177"/>
      <c r="CW105" s="1177"/>
      <c r="CX105" s="1177"/>
      <c r="CY105" s="1177"/>
      <c r="CZ105" s="1177"/>
      <c r="DA105" s="1177"/>
      <c r="DB105" s="1177"/>
      <c r="DC105" s="1177"/>
      <c r="DD105" s="343"/>
      <c r="DE105" s="343"/>
      <c r="DF105" s="343"/>
      <c r="DG105" s="343"/>
      <c r="DH105" s="343"/>
      <c r="DI105" s="343"/>
      <c r="DJ105" s="343"/>
      <c r="DK105" s="343"/>
      <c r="DL105" s="343"/>
      <c r="DM105" s="343"/>
      <c r="DN105" s="343"/>
      <c r="DO105" s="343"/>
      <c r="DP105" s="343"/>
      <c r="DQ105" s="343"/>
      <c r="DR105" s="343"/>
      <c r="DS105" s="343"/>
      <c r="DT105" s="343"/>
      <c r="DU105" s="343"/>
      <c r="DV105" s="343"/>
      <c r="DW105" s="343"/>
      <c r="DX105" s="343"/>
      <c r="DY105" s="343"/>
      <c r="DZ105" s="343"/>
      <c r="EA105" s="344"/>
      <c r="EB105" s="344"/>
      <c r="EC105" s="344"/>
      <c r="ED105" s="344"/>
      <c r="EE105" s="343"/>
      <c r="EF105" s="343"/>
      <c r="EH105" s="331"/>
    </row>
    <row r="106" spans="1:142" ht="13.9" x14ac:dyDescent="0.4">
      <c r="B106" s="1220" t="s">
        <v>412</v>
      </c>
      <c r="C106" s="1713"/>
      <c r="D106" s="1293" t="s">
        <v>441</v>
      </c>
      <c r="E106" s="738" t="s">
        <v>173</v>
      </c>
      <c r="F106" s="844" t="s">
        <v>57</v>
      </c>
      <c r="G106" s="844">
        <v>4</v>
      </c>
      <c r="H106" s="844">
        <v>1000</v>
      </c>
      <c r="I106" s="844" t="s">
        <v>423</v>
      </c>
      <c r="J106" s="273">
        <v>139</v>
      </c>
      <c r="K106" s="273">
        <f>202.05+2*N106</f>
        <v>222.57000000000002</v>
      </c>
      <c r="L106" s="119">
        <v>6</v>
      </c>
      <c r="M106" s="176">
        <v>7.99</v>
      </c>
      <c r="N106" s="1070">
        <v>10.26</v>
      </c>
      <c r="O106" s="142"/>
      <c r="P106" s="142">
        <v>199750</v>
      </c>
      <c r="Q106" s="142">
        <v>490</v>
      </c>
      <c r="R106" s="142">
        <v>7.3</v>
      </c>
      <c r="S106" s="1222">
        <v>0.3</v>
      </c>
      <c r="T106" s="1226">
        <v>-0.5</v>
      </c>
      <c r="U106" s="142" t="b">
        <v>0</v>
      </c>
      <c r="V106" s="1223" t="s">
        <v>412</v>
      </c>
      <c r="W106" s="142">
        <v>202200</v>
      </c>
      <c r="X106" s="142">
        <v>473</v>
      </c>
      <c r="Y106" s="142">
        <v>8.1</v>
      </c>
      <c r="Z106" s="1222">
        <v>0.3</v>
      </c>
      <c r="AA106" s="1226">
        <v>-0.5</v>
      </c>
      <c r="AB106" s="150" t="b">
        <v>0</v>
      </c>
      <c r="AC106" s="1229">
        <v>219</v>
      </c>
      <c r="AD106" s="999"/>
      <c r="AE106" s="1229">
        <v>185</v>
      </c>
      <c r="AF106" s="142"/>
      <c r="AG106" s="142"/>
      <c r="AH106" s="1406">
        <v>3.3235518002238599E-5</v>
      </c>
      <c r="AI106" s="1486">
        <v>181.99789805973899</v>
      </c>
      <c r="AJ106" s="150" t="s">
        <v>490</v>
      </c>
      <c r="AK106" s="339">
        <v>458.56093843672602</v>
      </c>
      <c r="AL106" s="1290">
        <v>40605.280230935001</v>
      </c>
      <c r="AM106" s="339">
        <v>448.85707324808402</v>
      </c>
      <c r="AN106" s="1290">
        <v>35018.6621139255</v>
      </c>
      <c r="AO106" s="331" t="s">
        <v>490</v>
      </c>
      <c r="AP106" s="1282"/>
      <c r="AQ106" s="137">
        <v>0.20328050178190238</v>
      </c>
      <c r="AR106" s="137">
        <f t="shared" si="50"/>
        <v>1.203310600478009</v>
      </c>
      <c r="AS106" s="137">
        <f t="shared" si="51"/>
        <v>1.0164952561115601</v>
      </c>
      <c r="AT106" s="331">
        <v>201.31643320054999</v>
      </c>
      <c r="AU106" s="331">
        <v>1036.1168664720899</v>
      </c>
      <c r="AV106" s="331">
        <v>2427.0426430441998</v>
      </c>
      <c r="AW106" s="332">
        <f>MAX(((J106-M106)/2-L106)/(0.5*J106),(K106-2*(N106+L106))/(K106-N106))</f>
        <v>0.89515331355093963</v>
      </c>
      <c r="AX106" s="331">
        <f>SQRT(Q106/AV106)*AW106</f>
        <v>0.40221360824670005</v>
      </c>
      <c r="BD106" s="331">
        <v>7.410167930325598E-2</v>
      </c>
      <c r="BF106" s="137" t="s">
        <v>473</v>
      </c>
      <c r="BG106" s="331">
        <v>0.28220611472903623</v>
      </c>
      <c r="BH106" s="331" t="s">
        <v>474</v>
      </c>
      <c r="BI106" s="137">
        <v>1.2103132664105891</v>
      </c>
      <c r="BJ106" s="137" t="s">
        <v>475</v>
      </c>
      <c r="BK106" s="653"/>
      <c r="BL106" s="653"/>
      <c r="BM106" s="653"/>
      <c r="BN106" s="653"/>
      <c r="BO106" s="653"/>
      <c r="BP106" s="653"/>
      <c r="BQ106" s="653"/>
      <c r="BR106" s="653"/>
      <c r="BS106" s="1514">
        <v>1.2096017153519376</v>
      </c>
      <c r="BT106" s="1515">
        <v>1.1336841947921967</v>
      </c>
      <c r="BU106" s="1515">
        <v>0.28179352610886116</v>
      </c>
      <c r="BV106" s="1516">
        <v>1.4926135834558278</v>
      </c>
      <c r="BW106" s="1177"/>
      <c r="CC106" s="1177"/>
      <c r="CD106" s="137" t="s">
        <v>473</v>
      </c>
      <c r="CE106" s="1523">
        <v>0.59628222804591868</v>
      </c>
      <c r="CF106" s="331" t="s">
        <v>474</v>
      </c>
      <c r="CG106" s="331">
        <v>1.4457561520417481</v>
      </c>
      <c r="CH106" s="137" t="s">
        <v>475</v>
      </c>
      <c r="CI106" s="1177"/>
      <c r="CJ106" s="1177"/>
      <c r="CK106" s="1177"/>
      <c r="CL106" s="1177"/>
      <c r="CM106" s="1177"/>
      <c r="CN106" s="1177"/>
      <c r="CO106" s="1177"/>
      <c r="CP106" s="1177"/>
      <c r="CQ106" s="1177"/>
      <c r="CR106" s="1177"/>
      <c r="CS106" s="1177"/>
      <c r="CT106" s="1177"/>
      <c r="CU106" s="1177"/>
      <c r="CV106" s="1177"/>
      <c r="CW106" s="1177"/>
      <c r="CX106" s="1177"/>
      <c r="CY106" s="1177"/>
      <c r="CZ106" s="1177"/>
      <c r="DA106" s="1177"/>
      <c r="DB106" s="1177"/>
      <c r="DC106" s="1177"/>
      <c r="DD106" s="343"/>
      <c r="DE106" s="343"/>
      <c r="DF106" s="343"/>
      <c r="DG106" s="343"/>
      <c r="DH106" s="343"/>
      <c r="DI106" s="343"/>
      <c r="DJ106" s="343"/>
      <c r="DK106" s="343"/>
      <c r="DL106" s="343"/>
      <c r="DM106" s="343"/>
      <c r="DN106" s="343"/>
      <c r="DO106" s="343"/>
      <c r="DP106" s="343"/>
      <c r="DQ106" s="343"/>
      <c r="DR106" s="343"/>
      <c r="DS106" s="343"/>
      <c r="DT106" s="343"/>
      <c r="DU106" s="343"/>
      <c r="DV106" s="343"/>
      <c r="DW106" s="343"/>
      <c r="DX106" s="343"/>
      <c r="DY106" s="343"/>
      <c r="DZ106" s="343"/>
      <c r="EA106" s="344"/>
      <c r="EB106" s="344"/>
      <c r="EC106" s="344"/>
      <c r="ED106" s="344"/>
      <c r="EE106" s="343"/>
      <c r="EF106" s="343"/>
      <c r="EH106" s="331"/>
    </row>
    <row r="107" spans="1:142" ht="13.9" x14ac:dyDescent="0.4">
      <c r="B107" s="1220" t="s">
        <v>412</v>
      </c>
      <c r="C107" s="1713"/>
      <c r="D107" s="1293" t="s">
        <v>441</v>
      </c>
      <c r="E107" s="738" t="s">
        <v>174</v>
      </c>
      <c r="F107" s="844" t="s">
        <v>57</v>
      </c>
      <c r="G107" s="844">
        <v>4</v>
      </c>
      <c r="H107" s="844">
        <v>1000</v>
      </c>
      <c r="I107" s="844" t="s">
        <v>423</v>
      </c>
      <c r="J107" s="273">
        <v>139.63999999999999</v>
      </c>
      <c r="K107" s="273">
        <f>202.05+2*N107</f>
        <v>226.69</v>
      </c>
      <c r="L107" s="119">
        <v>6</v>
      </c>
      <c r="M107" s="176">
        <v>8.07</v>
      </c>
      <c r="N107" s="1070">
        <v>12.32</v>
      </c>
      <c r="O107" s="142"/>
      <c r="P107" s="142">
        <v>199750</v>
      </c>
      <c r="Q107" s="142">
        <v>490</v>
      </c>
      <c r="R107" s="142">
        <v>7.3</v>
      </c>
      <c r="S107" s="1222">
        <v>0.3</v>
      </c>
      <c r="T107" s="1226">
        <v>-0.5</v>
      </c>
      <c r="U107" s="142" t="b">
        <v>0</v>
      </c>
      <c r="V107" s="1223" t="s">
        <v>412</v>
      </c>
      <c r="W107" s="142">
        <v>197250</v>
      </c>
      <c r="X107" s="142">
        <v>460</v>
      </c>
      <c r="Y107" s="142">
        <v>7.9</v>
      </c>
      <c r="Z107" s="1222">
        <v>0.3</v>
      </c>
      <c r="AA107" s="1226">
        <v>-0.5</v>
      </c>
      <c r="AB107" s="150" t="b">
        <v>0</v>
      </c>
      <c r="AC107" s="1229">
        <v>259</v>
      </c>
      <c r="AD107" s="999"/>
      <c r="AE107" s="1229">
        <v>214</v>
      </c>
      <c r="AF107" s="142"/>
      <c r="AG107" s="142"/>
      <c r="AH107" s="1406">
        <v>3.4194423877611801E-5</v>
      </c>
      <c r="AI107" s="1486">
        <v>210.37813228628801</v>
      </c>
      <c r="AJ107" s="150" t="s">
        <v>490</v>
      </c>
      <c r="AK107" s="339">
        <v>463.96144019238199</v>
      </c>
      <c r="AL107" s="1290">
        <v>38271.148739147102</v>
      </c>
      <c r="AM107" s="339">
        <v>440.87921199368901</v>
      </c>
      <c r="AN107" s="1290">
        <v>32578.170488035299</v>
      </c>
      <c r="AO107" s="331" t="s">
        <v>490</v>
      </c>
      <c r="AP107" s="1282"/>
      <c r="AQ107" s="137">
        <v>0.19159523774291415</v>
      </c>
      <c r="AR107" s="137">
        <f t="shared" si="50"/>
        <v>1.2311165480238511</v>
      </c>
      <c r="AS107" s="137">
        <f t="shared" si="51"/>
        <v>1.0172159894868886</v>
      </c>
      <c r="AT107" s="331">
        <v>229.02116859237901</v>
      </c>
      <c r="AU107" s="331">
        <v>1297.1321460214999</v>
      </c>
      <c r="AV107" s="331">
        <v>2544.4809067485298</v>
      </c>
      <c r="AW107" s="332">
        <f>MAX(((J107-M107)/2-L107)/(0.5*J107),(K107-2*(N107+L107))/(K107-N107))</f>
        <v>0.88655128982600184</v>
      </c>
      <c r="AX107" s="331">
        <f>SQRT(Q107/AV107)*AW107</f>
        <v>0.38904721236575557</v>
      </c>
      <c r="BD107" s="331">
        <v>4.7943610726538001E-3</v>
      </c>
      <c r="BF107" s="137" t="s">
        <v>473</v>
      </c>
      <c r="BG107" s="331">
        <v>0.28179352610886116</v>
      </c>
      <c r="BH107" s="331" t="s">
        <v>474</v>
      </c>
      <c r="BI107" s="137">
        <v>1.2096017153519376</v>
      </c>
      <c r="BJ107" s="137" t="s">
        <v>475</v>
      </c>
      <c r="BK107" s="653"/>
      <c r="BL107" s="653">
        <f>CORREL($BG99:$BG144,$BI99:$BI144)^2</f>
        <v>3.2265817380745625E-2</v>
      </c>
      <c r="BM107" s="653">
        <f>CORREL($BG99:$BG101,$BI99:$BI101)^2</f>
        <v>9.8957930753388514E-3</v>
      </c>
      <c r="BN107" s="653" t="e">
        <f>CORREL(#REF!,#REF!)^2</f>
        <v>#REF!</v>
      </c>
      <c r="BO107" s="653">
        <f>CORREL($BG102:$BG136,$BI102:$BI136)^2</f>
        <v>1.6778375349073012E-2</v>
      </c>
      <c r="BP107" s="653">
        <f>CORREL($BG137:$BG144,$BI137:$BI144)^2</f>
        <v>8.432596379237994E-3</v>
      </c>
      <c r="BQ107" s="653"/>
      <c r="BR107" s="653"/>
      <c r="BS107" s="1514">
        <v>1.3193825802216212</v>
      </c>
      <c r="BT107" s="1515">
        <v>1.3016515898959944</v>
      </c>
      <c r="BU107" s="1515">
        <v>0.4318757581413028</v>
      </c>
      <c r="BV107" s="1516">
        <v>1.5146084587564381</v>
      </c>
      <c r="BW107" s="1177"/>
      <c r="BX107" s="1043">
        <f>AVERAGE(BS141:BS145)</f>
        <v>1.2304212974964606</v>
      </c>
      <c r="BY107" s="1043" t="e">
        <f t="shared" ref="BY107:CA107" si="52">AVERAGE(BT141:BT145)</f>
        <v>#DIV/0!</v>
      </c>
      <c r="BZ107" s="1043">
        <f t="shared" si="52"/>
        <v>0.8553461691830696</v>
      </c>
      <c r="CA107" s="1043">
        <f t="shared" si="52"/>
        <v>1.3533821604427902</v>
      </c>
      <c r="CC107" s="1177"/>
      <c r="CD107" s="137" t="s">
        <v>473</v>
      </c>
      <c r="CE107" s="1523">
        <v>0.58061403806919676</v>
      </c>
      <c r="CF107" s="331" t="s">
        <v>474</v>
      </c>
      <c r="CG107" s="331">
        <v>1.3817217054938014</v>
      </c>
      <c r="CH107" s="137" t="s">
        <v>475</v>
      </c>
      <c r="CI107" s="1177"/>
      <c r="CJ107" s="1177"/>
      <c r="CK107" s="1177"/>
      <c r="CL107" s="1177"/>
      <c r="CM107" s="1177"/>
      <c r="CN107" s="1177"/>
      <c r="CO107" s="1177"/>
      <c r="CP107" s="1177"/>
      <c r="CQ107" s="1177"/>
      <c r="CR107" s="1177"/>
      <c r="CS107" s="1177"/>
      <c r="CT107" s="1177"/>
      <c r="CU107" s="1177"/>
      <c r="CV107" s="1177"/>
      <c r="CW107" s="1177"/>
      <c r="CX107" s="1177"/>
      <c r="CY107" s="1177"/>
      <c r="CZ107" s="1177"/>
      <c r="DA107" s="1177"/>
      <c r="DB107" s="1177"/>
      <c r="DC107" s="1177"/>
      <c r="DD107" s="343"/>
      <c r="DE107" s="343"/>
      <c r="DF107" s="343"/>
      <c r="DG107" s="343"/>
      <c r="DH107" s="343"/>
      <c r="DI107" s="343"/>
      <c r="DJ107" s="343"/>
      <c r="DK107" s="343"/>
      <c r="DL107" s="343"/>
      <c r="DM107" s="343"/>
      <c r="DN107" s="343"/>
      <c r="DO107" s="343"/>
      <c r="DP107" s="343"/>
      <c r="DQ107" s="343"/>
      <c r="DR107" s="343"/>
      <c r="DS107" s="343"/>
      <c r="DT107" s="343"/>
      <c r="DU107" s="343"/>
      <c r="DV107" s="343"/>
      <c r="DW107" s="343"/>
      <c r="DX107" s="343"/>
      <c r="DY107" s="343"/>
      <c r="DZ107" s="343"/>
      <c r="EA107" s="344"/>
      <c r="EB107" s="344"/>
      <c r="EC107" s="344"/>
      <c r="ED107" s="344"/>
      <c r="EE107" s="343"/>
      <c r="EF107" s="343"/>
      <c r="EH107" s="331"/>
    </row>
    <row r="108" spans="1:142" x14ac:dyDescent="0.35">
      <c r="B108" s="340" t="s">
        <v>412</v>
      </c>
      <c r="C108" s="1736" t="s">
        <v>428</v>
      </c>
      <c r="D108" s="1293" t="s">
        <v>441</v>
      </c>
      <c r="E108" s="1251" t="s">
        <v>430</v>
      </c>
      <c r="F108" s="1252" t="s">
        <v>409</v>
      </c>
      <c r="G108" s="1252">
        <v>4</v>
      </c>
      <c r="H108" s="1253">
        <v>1800</v>
      </c>
      <c r="I108" s="1254" t="s">
        <v>429</v>
      </c>
      <c r="J108" s="1254">
        <v>90.26</v>
      </c>
      <c r="K108" s="1252">
        <v>400.5</v>
      </c>
      <c r="L108" s="1252">
        <v>2</v>
      </c>
      <c r="M108" s="1252">
        <v>1.7849999999999999</v>
      </c>
      <c r="N108" s="1238"/>
      <c r="O108" s="1238">
        <v>19.87</v>
      </c>
      <c r="P108" s="1238">
        <v>196202</v>
      </c>
      <c r="Q108" s="1238">
        <v>266.77</v>
      </c>
      <c r="R108" s="1238">
        <v>6.53</v>
      </c>
      <c r="S108" s="1235">
        <v>0.3</v>
      </c>
      <c r="T108" s="1232">
        <v>-0.5</v>
      </c>
      <c r="U108" s="1238">
        <v>720.1</v>
      </c>
      <c r="V108" s="1238" t="s">
        <v>412</v>
      </c>
      <c r="W108" s="1238">
        <v>191928</v>
      </c>
      <c r="X108" s="1238">
        <v>394.3</v>
      </c>
      <c r="Y108" s="1238">
        <v>4.59</v>
      </c>
      <c r="Z108" s="1235">
        <v>0.3</v>
      </c>
      <c r="AA108" s="1232">
        <v>-0.5</v>
      </c>
      <c r="AB108" s="1241">
        <v>800.64</v>
      </c>
      <c r="AC108" s="1238">
        <v>18.02</v>
      </c>
      <c r="AD108" s="1238"/>
      <c r="AE108" s="1238">
        <v>12.4</v>
      </c>
      <c r="AF108" s="1238"/>
      <c r="AG108" s="1238"/>
      <c r="AH108" s="1405">
        <v>2.8765655084319101E-6</v>
      </c>
      <c r="AI108" s="1238">
        <v>13.5174719748223</v>
      </c>
      <c r="AJ108" s="1241" t="s">
        <v>422</v>
      </c>
      <c r="AK108" s="1285">
        <v>111.221187247426</v>
      </c>
      <c r="AL108" s="1286">
        <v>182326.78958297399</v>
      </c>
      <c r="AM108" s="1285">
        <v>109.01407875816101</v>
      </c>
      <c r="AN108" s="1292">
        <v>183798.91705159601</v>
      </c>
      <c r="AO108" s="331" t="s">
        <v>422</v>
      </c>
      <c r="AP108" s="1282"/>
      <c r="AQ108" s="137">
        <v>0.92928099399075437</v>
      </c>
      <c r="AR108" s="137">
        <f t="shared" si="50"/>
        <v>1.3330895032417398</v>
      </c>
      <c r="AS108" s="137">
        <f t="shared" si="51"/>
        <v>0.9173312896890996</v>
      </c>
      <c r="AT108" s="331">
        <v>39.385133064364098</v>
      </c>
      <c r="AU108" s="331">
        <v>193.94833503155499</v>
      </c>
      <c r="AV108" s="331">
        <v>113.027221003897</v>
      </c>
      <c r="AW108" s="332">
        <f>MAX((J108-2*(M108+L108))/(J108-M108),(K108-2*(M108+L108))/(K108-M108))</f>
        <v>0.98549088948246244</v>
      </c>
      <c r="AX108" s="331">
        <f t="shared" ref="AX108:AX125" si="53">SQRT(Q108/AV108)</f>
        <v>1.5363033215535182</v>
      </c>
      <c r="AZ108" s="331">
        <v>17.604103614217202</v>
      </c>
      <c r="BA108" s="331">
        <f>AC108/AZ108</f>
        <v>1.0236249680697695</v>
      </c>
      <c r="BD108" s="331">
        <v>4.5936605895379266E-3</v>
      </c>
      <c r="BF108" s="137" t="s">
        <v>473</v>
      </c>
      <c r="BG108" s="331">
        <v>0.4318757581413028</v>
      </c>
      <c r="BH108" s="331" t="s">
        <v>474</v>
      </c>
      <c r="BI108" s="137">
        <v>1.3193825802216212</v>
      </c>
      <c r="BJ108" s="137" t="s">
        <v>475</v>
      </c>
      <c r="BK108" s="653"/>
      <c r="BL108" s="653">
        <f>SLOPE($BI99:$BI144,$BG99:$BG144)</f>
        <v>7.2890233000467958E-2</v>
      </c>
      <c r="BM108" s="653">
        <f>SLOPE($BI99:$BI101,$BG99:$BG101)</f>
        <v>4.8057950417681204E-2</v>
      </c>
      <c r="BN108" s="653" t="e">
        <f>SLOPE(#REF!,#REF!)</f>
        <v>#REF!</v>
      </c>
      <c r="BO108" s="653">
        <f>SLOPE($BI102:$BI136,$BG102:$BG136)</f>
        <v>7.008909923936732E-2</v>
      </c>
      <c r="BP108" s="653">
        <f>SLOPE($BI137:$BI144,$BG137:$BG144)</f>
        <v>0.14520388902602333</v>
      </c>
      <c r="BQ108" s="653"/>
      <c r="BR108" s="653"/>
      <c r="BS108" s="1514">
        <v>1.4719027008074979</v>
      </c>
      <c r="BT108" s="1515">
        <v>1.2623547250980225</v>
      </c>
      <c r="BU108" s="1515">
        <v>0.21706536169325091</v>
      </c>
      <c r="BV108" s="1516">
        <v>1.7110119309537346</v>
      </c>
      <c r="BW108" s="1177"/>
      <c r="BX108" s="331">
        <f>_xlfn.STDEV.P(BS141:BS145)</f>
        <v>8.291161381937108E-2</v>
      </c>
      <c r="BY108" s="331" t="e">
        <f t="shared" ref="BY108:CA108" si="54">_xlfn.STDEV.P(BT141:BT145)</f>
        <v>#DIV/0!</v>
      </c>
      <c r="BZ108" s="331">
        <f t="shared" si="54"/>
        <v>0.17357755777608824</v>
      </c>
      <c r="CA108" s="331">
        <f t="shared" si="54"/>
        <v>0.10297471006597897</v>
      </c>
      <c r="CC108" s="1177"/>
      <c r="CD108" s="137" t="s">
        <v>473</v>
      </c>
      <c r="CE108" s="1523">
        <v>0.54687553483925333</v>
      </c>
      <c r="CF108" s="331" t="s">
        <v>474</v>
      </c>
      <c r="CG108" s="331">
        <v>2.6535071581366365</v>
      </c>
      <c r="CH108" s="137" t="s">
        <v>475</v>
      </c>
      <c r="CI108" s="1177"/>
      <c r="CJ108" s="1177"/>
      <c r="CK108" s="1177"/>
      <c r="CL108" s="1177"/>
      <c r="CM108" s="1177"/>
      <c r="CN108" s="1177"/>
      <c r="CO108" s="1177"/>
      <c r="CP108" s="1177"/>
      <c r="CQ108" s="1177"/>
      <c r="CR108" s="1177"/>
      <c r="CS108" s="1177"/>
      <c r="CT108" s="1177"/>
      <c r="CU108" s="1177"/>
      <c r="CV108" s="1177"/>
      <c r="CW108" s="1177"/>
      <c r="CX108" s="1177"/>
      <c r="CY108" s="1177"/>
      <c r="CZ108" s="1177"/>
      <c r="DA108" s="1177"/>
      <c r="DB108" s="1177"/>
      <c r="DC108" s="1177"/>
      <c r="DD108" s="1177"/>
      <c r="DE108" s="1177"/>
      <c r="DF108" s="1177"/>
      <c r="DG108" s="1177"/>
      <c r="EB108" s="331"/>
      <c r="EC108" s="331"/>
      <c r="ED108" s="331"/>
      <c r="EE108" s="331"/>
      <c r="EH108" s="331"/>
    </row>
    <row r="109" spans="1:142" x14ac:dyDescent="0.35">
      <c r="B109" s="340" t="s">
        <v>412</v>
      </c>
      <c r="C109" s="1737"/>
      <c r="D109" s="1293" t="s">
        <v>441</v>
      </c>
      <c r="E109" s="999" t="s">
        <v>431</v>
      </c>
      <c r="F109" s="325" t="s">
        <v>409</v>
      </c>
      <c r="G109" s="325">
        <v>4</v>
      </c>
      <c r="H109" s="889">
        <v>1800</v>
      </c>
      <c r="I109" s="151" t="s">
        <v>429</v>
      </c>
      <c r="J109" s="325">
        <v>80.209999999999994</v>
      </c>
      <c r="K109" s="325">
        <v>301</v>
      </c>
      <c r="L109" s="325">
        <v>2</v>
      </c>
      <c r="M109" s="325">
        <v>1.8</v>
      </c>
      <c r="N109" s="142"/>
      <c r="O109" s="142">
        <v>19.78</v>
      </c>
      <c r="P109" s="142">
        <v>196202</v>
      </c>
      <c r="Q109" s="142">
        <v>266.77</v>
      </c>
      <c r="R109" s="142">
        <v>6.53</v>
      </c>
      <c r="S109" s="1222">
        <v>0.3</v>
      </c>
      <c r="T109" s="1226">
        <v>-0.5</v>
      </c>
      <c r="U109" s="142">
        <v>720.1</v>
      </c>
      <c r="V109" s="142" t="s">
        <v>412</v>
      </c>
      <c r="W109" s="142">
        <v>191928</v>
      </c>
      <c r="X109" s="142">
        <v>394.3</v>
      </c>
      <c r="Y109" s="142">
        <v>4.59</v>
      </c>
      <c r="Z109" s="1222">
        <v>0.3</v>
      </c>
      <c r="AA109" s="1226">
        <v>-0.5</v>
      </c>
      <c r="AB109" s="150">
        <v>800.64</v>
      </c>
      <c r="AC109" s="142">
        <v>14.82</v>
      </c>
      <c r="AD109" s="142"/>
      <c r="AE109" s="142">
        <v>11.25</v>
      </c>
      <c r="AF109" s="142"/>
      <c r="AG109" s="142"/>
      <c r="AH109" s="1406">
        <v>6.5763894327889299E-6</v>
      </c>
      <c r="AI109" s="1486">
        <v>13.564544737750101</v>
      </c>
      <c r="AJ109" s="150" t="s">
        <v>422</v>
      </c>
      <c r="AK109" s="1287">
        <v>171.28755218713999</v>
      </c>
      <c r="AL109" s="339">
        <v>107281.64529240799</v>
      </c>
      <c r="AM109" s="339">
        <v>178.67746773251901</v>
      </c>
      <c r="AN109" s="1290">
        <v>152244.623398809</v>
      </c>
      <c r="AO109" s="331" t="s">
        <v>422</v>
      </c>
      <c r="AP109" s="1282" t="s">
        <v>433</v>
      </c>
      <c r="AQ109" s="137">
        <v>0.546791802797158</v>
      </c>
      <c r="AR109" s="137">
        <f t="shared" si="50"/>
        <v>1.0925541760908473</v>
      </c>
      <c r="AS109" s="137">
        <f t="shared" si="51"/>
        <v>0.82936804865195901</v>
      </c>
      <c r="AT109" s="331">
        <v>24.726876671995701</v>
      </c>
      <c r="AU109" s="331">
        <v>130.156635779336</v>
      </c>
      <c r="AV109" s="331">
        <v>199.33870687305199</v>
      </c>
      <c r="AW109" s="332">
        <f>MAX((J109-2*(M109+L109))/(J109-M109),(K109-2*(M109+L109))/(K109-M109))</f>
        <v>0.98061497326203206</v>
      </c>
      <c r="AX109" s="331">
        <f t="shared" si="53"/>
        <v>1.1568383466006047</v>
      </c>
      <c r="AZ109" s="331">
        <v>12.72209489716526</v>
      </c>
      <c r="BA109" s="331">
        <f t="shared" ref="BA109:BA110" si="55">AC109/AZ109</f>
        <v>1.1649024881352046</v>
      </c>
      <c r="BD109" s="331">
        <v>6.9313819688670581E-3</v>
      </c>
      <c r="BF109" s="137" t="s">
        <v>473</v>
      </c>
      <c r="BG109" s="331">
        <v>0.21706536169325091</v>
      </c>
      <c r="BH109" s="331" t="s">
        <v>474</v>
      </c>
      <c r="BI109" s="137">
        <v>1.4719027008074979</v>
      </c>
      <c r="BJ109" s="137" t="s">
        <v>475</v>
      </c>
      <c r="BK109" s="653"/>
      <c r="BL109" s="653">
        <f>INTERCEPT($BI99:$BI144,$BG99:$BG144)</f>
        <v>1.1678013940615795</v>
      </c>
      <c r="BM109" s="653">
        <f>INTERCEPT($BI99:$BI101,$BG99:$BG101)</f>
        <v>1.2007660546603487</v>
      </c>
      <c r="BN109" s="653" t="e">
        <f>INTERCEPT(#REF!,#REF!)</f>
        <v>#REF!</v>
      </c>
      <c r="BO109" s="653">
        <f>INTERCEPT($BI102:$BI136,$BG102:$BG136)</f>
        <v>1.175959756048689</v>
      </c>
      <c r="BP109" s="653">
        <f>INTERCEPT($BI137:$BI144,$BG137:$BG144)</f>
        <v>1.1033726849232921</v>
      </c>
      <c r="BQ109" s="653"/>
      <c r="BR109" s="653"/>
      <c r="BS109" s="1514">
        <v>1.1751569006517701</v>
      </c>
      <c r="BT109" s="1515">
        <v>1.1631085417136124</v>
      </c>
      <c r="BU109" s="1515">
        <v>0.5954688669822793</v>
      </c>
      <c r="BV109" s="1516">
        <v>1.4649431409516618</v>
      </c>
      <c r="BW109" s="1177"/>
      <c r="CC109" s="1177"/>
      <c r="CD109" s="137" t="s">
        <v>473</v>
      </c>
      <c r="CE109" s="1523">
        <v>0.45182758836569253</v>
      </c>
      <c r="CF109" s="331" t="s">
        <v>474</v>
      </c>
      <c r="CG109" s="331">
        <v>1.5505590802511913</v>
      </c>
      <c r="CH109" s="137" t="s">
        <v>475</v>
      </c>
      <c r="CI109" s="1177"/>
      <c r="CJ109" s="1177"/>
      <c r="CK109" s="1177"/>
      <c r="CL109" s="1177"/>
      <c r="CM109" s="1177"/>
      <c r="CN109" s="1177"/>
      <c r="CO109" s="1177"/>
      <c r="CP109" s="1177"/>
      <c r="CQ109" s="1177"/>
      <c r="CR109" s="1177"/>
      <c r="CS109" s="1177"/>
      <c r="CT109" s="1177"/>
      <c r="CU109" s="1177"/>
      <c r="CV109" s="1177"/>
      <c r="CW109" s="1177"/>
      <c r="CX109" s="1177"/>
      <c r="CY109" s="1177"/>
      <c r="CZ109" s="1177"/>
      <c r="DA109" s="1177"/>
      <c r="DB109" s="1177"/>
      <c r="DC109" s="1177"/>
      <c r="DD109" s="1177"/>
      <c r="DE109" s="1177"/>
      <c r="DF109" s="1177"/>
      <c r="DG109" s="1177"/>
      <c r="EB109" s="331"/>
      <c r="EC109" s="331"/>
      <c r="ED109" s="331"/>
      <c r="EE109" s="331"/>
      <c r="EH109" s="331"/>
    </row>
    <row r="110" spans="1:142" ht="13.9" thickBot="1" x14ac:dyDescent="0.4">
      <c r="B110" s="340" t="s">
        <v>412</v>
      </c>
      <c r="C110" s="1738"/>
      <c r="D110" s="1293" t="s">
        <v>441</v>
      </c>
      <c r="E110" s="1255" t="s">
        <v>432</v>
      </c>
      <c r="F110" s="904" t="s">
        <v>409</v>
      </c>
      <c r="G110" s="904">
        <v>4</v>
      </c>
      <c r="H110" s="889">
        <v>1800</v>
      </c>
      <c r="I110" s="260" t="s">
        <v>429</v>
      </c>
      <c r="J110" s="904">
        <v>50.41</v>
      </c>
      <c r="K110" s="904">
        <v>250</v>
      </c>
      <c r="L110" s="1245">
        <v>2</v>
      </c>
      <c r="M110" s="1245">
        <v>1.7949999999999999</v>
      </c>
      <c r="N110" s="1245"/>
      <c r="O110" s="1245">
        <v>19.97</v>
      </c>
      <c r="P110" s="1245">
        <v>196202</v>
      </c>
      <c r="Q110" s="1245">
        <v>266.77</v>
      </c>
      <c r="R110" s="1245">
        <v>6.53</v>
      </c>
      <c r="S110" s="1222">
        <v>0.3</v>
      </c>
      <c r="T110" s="1243">
        <v>-0.5</v>
      </c>
      <c r="U110" s="1245">
        <v>720.1</v>
      </c>
      <c r="V110" s="1245" t="s">
        <v>412</v>
      </c>
      <c r="W110" s="1245">
        <v>191928</v>
      </c>
      <c r="X110" s="1245">
        <v>394.3</v>
      </c>
      <c r="Y110" s="1245">
        <v>4.59</v>
      </c>
      <c r="Z110" s="1244">
        <v>0.3</v>
      </c>
      <c r="AA110" s="1243">
        <v>-0.5</v>
      </c>
      <c r="AB110" s="1246">
        <v>800.64</v>
      </c>
      <c r="AC110" s="1245">
        <v>11.67</v>
      </c>
      <c r="AD110" s="1245"/>
      <c r="AE110" s="1245">
        <v>9.6</v>
      </c>
      <c r="AF110" s="1245"/>
      <c r="AG110" s="1245"/>
      <c r="AH110" s="1407">
        <v>8.4856197598200794E-6</v>
      </c>
      <c r="AI110" s="1245">
        <v>8.6345420200219394</v>
      </c>
      <c r="AJ110" s="1246" t="s">
        <v>490</v>
      </c>
      <c r="AK110" s="1288">
        <v>178.33139762296699</v>
      </c>
      <c r="AL110" s="1289">
        <v>96377.455900171</v>
      </c>
      <c r="AM110" s="1289">
        <v>188.989660423516</v>
      </c>
      <c r="AN110" s="1291">
        <v>145529.84111380199</v>
      </c>
      <c r="AO110" s="331" t="s">
        <v>490</v>
      </c>
      <c r="AP110" s="1282" t="s">
        <v>435</v>
      </c>
      <c r="AQ110" s="137">
        <v>0.49121546110728231</v>
      </c>
      <c r="AR110" s="137">
        <f t="shared" si="50"/>
        <v>1.3515482318505583</v>
      </c>
      <c r="AS110" s="137">
        <f t="shared" si="51"/>
        <v>1.1118134555068859</v>
      </c>
      <c r="AT110" s="331">
        <v>15.3888513523962</v>
      </c>
      <c r="AU110" s="331">
        <v>57.1564820074842</v>
      </c>
      <c r="AV110" s="331">
        <v>298.04181659861302</v>
      </c>
      <c r="AW110" s="332">
        <f>MAX((J110-2*(M110+L110))/(J110-M110),(K110-2*(M110+L110))/(K110-M110))</f>
        <v>0.97665236397332844</v>
      </c>
      <c r="AX110" s="331">
        <f t="shared" si="53"/>
        <v>0.94608442621867361</v>
      </c>
      <c r="AZ110" s="331">
        <v>8.4235366314309239</v>
      </c>
      <c r="BA110" s="331">
        <f t="shared" si="55"/>
        <v>1.385403840526493</v>
      </c>
      <c r="BD110" s="331">
        <v>7.2372599348215522E-2</v>
      </c>
      <c r="BF110" s="137" t="s">
        <v>473</v>
      </c>
      <c r="BG110" s="331">
        <v>0.5954688669822793</v>
      </c>
      <c r="BH110" s="331" t="s">
        <v>474</v>
      </c>
      <c r="BI110" s="137">
        <v>1.1751569006517701</v>
      </c>
      <c r="BJ110" s="137" t="s">
        <v>475</v>
      </c>
      <c r="BK110" s="653"/>
      <c r="BL110" s="653"/>
      <c r="BM110" s="653"/>
      <c r="BN110" s="653"/>
      <c r="BO110" s="653"/>
      <c r="BP110" s="653"/>
      <c r="BQ110" s="653"/>
      <c r="BR110" s="653"/>
      <c r="BS110" s="1514">
        <v>1.4644849407672311</v>
      </c>
      <c r="BT110" s="1515">
        <v>1.2321729596404178</v>
      </c>
      <c r="BU110" s="1515">
        <v>0.26429016800686722</v>
      </c>
      <c r="BV110" s="1516">
        <v>1.7951033767228868</v>
      </c>
      <c r="BW110" s="1177"/>
      <c r="CC110" s="1177"/>
      <c r="CD110" s="137" t="s">
        <v>473</v>
      </c>
      <c r="CE110" s="1523">
        <v>0.61823645413370176</v>
      </c>
      <c r="CF110" s="331" t="s">
        <v>474</v>
      </c>
      <c r="CG110" s="331">
        <v>2.9864213840598128</v>
      </c>
      <c r="CH110" s="137" t="s">
        <v>475</v>
      </c>
      <c r="CI110" s="1177"/>
      <c r="CJ110" s="1177"/>
      <c r="CK110" s="1177"/>
      <c r="CL110" s="1177"/>
      <c r="CM110" s="1177"/>
      <c r="CN110" s="1177"/>
      <c r="CO110" s="1177"/>
      <c r="CP110" s="1177"/>
      <c r="CQ110" s="1177"/>
      <c r="CR110" s="1177"/>
      <c r="CS110" s="1177"/>
      <c r="CT110" s="1177"/>
      <c r="CU110" s="1177"/>
      <c r="CV110" s="1177"/>
      <c r="CW110" s="1177"/>
      <c r="CX110" s="1177"/>
      <c r="CY110" s="1177"/>
      <c r="CZ110" s="1177"/>
      <c r="DA110" s="1177"/>
      <c r="DB110" s="1177"/>
      <c r="DC110" s="1177"/>
      <c r="DD110" s="1177"/>
      <c r="DE110" s="1177"/>
      <c r="DF110" s="1177"/>
      <c r="DG110" s="1177"/>
      <c r="EB110" s="331"/>
      <c r="EC110" s="331"/>
      <c r="ED110" s="331"/>
      <c r="EE110" s="331"/>
      <c r="EH110" s="331"/>
    </row>
    <row r="111" spans="1:142" x14ac:dyDescent="0.35">
      <c r="B111" s="340" t="s">
        <v>412</v>
      </c>
      <c r="C111" s="1714" t="s">
        <v>460</v>
      </c>
      <c r="D111" s="325" t="s">
        <v>464</v>
      </c>
      <c r="E111" s="1294" t="s">
        <v>442</v>
      </c>
      <c r="F111" s="325" t="s">
        <v>458</v>
      </c>
      <c r="G111" s="325">
        <v>4</v>
      </c>
      <c r="H111" s="1295">
        <v>990</v>
      </c>
      <c r="I111" s="115" t="s">
        <v>411</v>
      </c>
      <c r="J111" s="1295">
        <v>69.900000000000006</v>
      </c>
      <c r="K111" s="1295">
        <v>54.9</v>
      </c>
      <c r="L111" s="1283">
        <v>0.1</v>
      </c>
      <c r="M111" s="1295">
        <v>4.09</v>
      </c>
      <c r="N111" s="1283"/>
      <c r="O111" s="1283"/>
      <c r="P111" s="1295">
        <v>67000</v>
      </c>
      <c r="Q111" s="1295">
        <v>207</v>
      </c>
      <c r="R111" s="1295">
        <v>16</v>
      </c>
      <c r="S111" s="1283">
        <v>0.3</v>
      </c>
      <c r="T111" s="1283">
        <v>-0.5</v>
      </c>
      <c r="U111" s="1295">
        <v>222</v>
      </c>
      <c r="V111" s="1283" t="s">
        <v>457</v>
      </c>
      <c r="W111" s="1283"/>
      <c r="X111" s="1283"/>
      <c r="Y111" s="1283"/>
      <c r="Z111" s="1283"/>
      <c r="AA111" s="1283"/>
      <c r="AB111" s="150"/>
      <c r="AC111" s="1297">
        <v>4.72</v>
      </c>
      <c r="AD111" s="999"/>
      <c r="AE111" s="999">
        <v>4</v>
      </c>
      <c r="AF111" s="999"/>
      <c r="AG111" s="999"/>
      <c r="AH111" s="999">
        <v>3.6981083708148099E-4</v>
      </c>
      <c r="AI111" s="999">
        <v>3.9822043990637499</v>
      </c>
      <c r="AJ111" s="999" t="s">
        <v>422</v>
      </c>
      <c r="AK111" s="331">
        <v>214.266263557938</v>
      </c>
      <c r="AL111" s="331">
        <v>506.82858757423401</v>
      </c>
      <c r="AN111" s="339"/>
      <c r="AO111" s="331" t="s">
        <v>422</v>
      </c>
      <c r="AQ111" s="137">
        <v>7.5646057846900597E-3</v>
      </c>
      <c r="AR111" s="137">
        <f t="shared" si="50"/>
        <v>1.1852731620480637</v>
      </c>
      <c r="AS111" s="137">
        <f t="shared" si="51"/>
        <v>1.0044687813966642</v>
      </c>
      <c r="AT111" s="331">
        <v>3.9200383001861199</v>
      </c>
      <c r="AU111" s="331">
        <v>101.017711195803</v>
      </c>
      <c r="AV111" s="331">
        <v>1234.5139076017899</v>
      </c>
      <c r="AW111" s="332">
        <f>MAX((J111-2*(M111+L111))/(J111-M111),(K111-2*(M111+L111))/(K111-M111))</f>
        <v>0.93481233855037238</v>
      </c>
      <c r="AX111" s="331">
        <f t="shared" si="53"/>
        <v>0.40948422844081911</v>
      </c>
      <c r="AZ111" s="1297">
        <v>4.72</v>
      </c>
      <c r="BA111" s="1298"/>
      <c r="BD111" s="331">
        <v>7.8828481893637621E-3</v>
      </c>
      <c r="BF111" s="137" t="s">
        <v>473</v>
      </c>
      <c r="BG111" s="331">
        <v>0.26429016800686722</v>
      </c>
      <c r="BH111" s="331" t="s">
        <v>474</v>
      </c>
      <c r="BI111" s="137">
        <v>1.4644849407672311</v>
      </c>
      <c r="BJ111" s="137" t="s">
        <v>475</v>
      </c>
      <c r="BK111" s="653"/>
      <c r="BL111" s="653"/>
      <c r="BM111" s="653"/>
      <c r="BN111" s="653"/>
      <c r="BO111" s="653"/>
      <c r="BP111" s="653"/>
      <c r="BQ111" s="653"/>
      <c r="BR111" s="653"/>
      <c r="BS111" s="1514">
        <v>1.1375964317481169</v>
      </c>
      <c r="BT111" s="1515">
        <v>1.1009918234175342</v>
      </c>
      <c r="BU111" s="1515">
        <v>0.49399520055251012</v>
      </c>
      <c r="BV111" s="1516">
        <v>1.4508687385102002</v>
      </c>
      <c r="BW111" s="1177"/>
      <c r="CC111" s="1177"/>
      <c r="CD111" s="137" t="s">
        <v>473</v>
      </c>
      <c r="CE111" s="1523">
        <v>0.50412282018425258</v>
      </c>
      <c r="CF111" s="331" t="s">
        <v>474</v>
      </c>
      <c r="CG111" s="331">
        <v>1.9107996337408084</v>
      </c>
      <c r="CH111" s="137" t="s">
        <v>475</v>
      </c>
      <c r="CI111" s="1177"/>
      <c r="CJ111" s="1177"/>
      <c r="CK111" s="1177"/>
      <c r="CL111" s="1177"/>
      <c r="CM111" s="1177"/>
      <c r="CN111" s="1177"/>
      <c r="CO111" s="1177"/>
      <c r="CP111" s="1177"/>
      <c r="CQ111" s="1177"/>
      <c r="CR111" s="1177"/>
      <c r="CS111" s="1177"/>
      <c r="CT111" s="1177"/>
      <c r="CU111" s="1177"/>
      <c r="CV111" s="1177"/>
      <c r="CW111" s="1177"/>
      <c r="CX111" s="1177"/>
      <c r="CY111" s="1177"/>
      <c r="CZ111" s="1177"/>
      <c r="DA111" s="1177"/>
      <c r="DB111" s="1177"/>
      <c r="DC111" s="1177"/>
      <c r="DD111" s="1177"/>
      <c r="DE111" s="1177"/>
      <c r="EB111" s="331"/>
      <c r="EC111" s="331"/>
      <c r="ED111" s="331"/>
      <c r="EE111" s="331"/>
      <c r="EH111" s="331"/>
    </row>
    <row r="112" spans="1:142" x14ac:dyDescent="0.35">
      <c r="B112" s="340" t="s">
        <v>412</v>
      </c>
      <c r="C112" s="1715"/>
      <c r="D112" s="325" t="s">
        <v>464</v>
      </c>
      <c r="E112" s="1294" t="s">
        <v>443</v>
      </c>
      <c r="F112" s="325" t="s">
        <v>458</v>
      </c>
      <c r="G112" s="325">
        <v>4</v>
      </c>
      <c r="H112" s="1295">
        <v>993.1</v>
      </c>
      <c r="I112" s="114" t="s">
        <v>411</v>
      </c>
      <c r="J112" s="1295">
        <v>54.9</v>
      </c>
      <c r="K112" s="1295">
        <v>69.900000000000006</v>
      </c>
      <c r="L112" s="1283">
        <v>0.1</v>
      </c>
      <c r="M112" s="1295">
        <v>4.0999999999999996</v>
      </c>
      <c r="N112" s="1283"/>
      <c r="O112" s="1283"/>
      <c r="P112" s="1295">
        <v>67000</v>
      </c>
      <c r="Q112" s="1295">
        <v>207</v>
      </c>
      <c r="R112" s="1295">
        <v>16</v>
      </c>
      <c r="S112" s="1283">
        <v>0.3</v>
      </c>
      <c r="T112" s="1283">
        <v>-0.5</v>
      </c>
      <c r="U112" s="1295">
        <v>222</v>
      </c>
      <c r="V112" s="1283" t="s">
        <v>457</v>
      </c>
      <c r="W112" s="1283"/>
      <c r="X112" s="1283"/>
      <c r="Y112" s="1283"/>
      <c r="Z112" s="1283"/>
      <c r="AA112" s="1283"/>
      <c r="AB112" s="150"/>
      <c r="AC112" s="1295">
        <v>6.49</v>
      </c>
      <c r="AD112" s="999"/>
      <c r="AE112" s="999">
        <v>5.0999999999999996</v>
      </c>
      <c r="AF112" s="999"/>
      <c r="AG112" s="999"/>
      <c r="AH112" s="999">
        <v>2.8459385522615203E-4</v>
      </c>
      <c r="AI112" s="999">
        <v>4.7053326704657596</v>
      </c>
      <c r="AJ112" s="999" t="s">
        <v>490</v>
      </c>
      <c r="AK112" s="339">
        <v>214.250038479907</v>
      </c>
      <c r="AL112" s="331">
        <v>510.218637755136</v>
      </c>
      <c r="AO112" s="331" t="s">
        <v>490</v>
      </c>
      <c r="AQ112" s="137">
        <v>7.6152035485841192E-3</v>
      </c>
      <c r="AR112" s="137">
        <f t="shared" si="50"/>
        <v>1.3792861109983079</v>
      </c>
      <c r="AS112" s="137">
        <f t="shared" si="51"/>
        <v>1.083876604944741</v>
      </c>
      <c r="AT112" s="331">
        <v>4.6692723461834298</v>
      </c>
      <c r="AU112" s="331">
        <v>83.417537162337695</v>
      </c>
      <c r="AV112" s="331">
        <v>1993.76705303685</v>
      </c>
      <c r="AW112" s="332">
        <f t="shared" ref="AW112:AW175" si="56">MAX((J112-2*(M112+L112))/(J112-M112),(K112-2*(M112+L112))/(K112-M112))</f>
        <v>0.93465045592705165</v>
      </c>
      <c r="AX112" s="331">
        <f t="shared" si="53"/>
        <v>0.32221664044869369</v>
      </c>
      <c r="AZ112" s="1295">
        <v>6.49</v>
      </c>
      <c r="BA112" s="1295"/>
      <c r="BD112" s="331">
        <v>7.6197783489727307E-3</v>
      </c>
      <c r="BF112" s="137" t="s">
        <v>473</v>
      </c>
      <c r="BG112" s="331">
        <v>0.49399520055251012</v>
      </c>
      <c r="BH112" s="331" t="s">
        <v>474</v>
      </c>
      <c r="BI112" s="137">
        <v>1.1375964317481169</v>
      </c>
      <c r="BJ112" s="137" t="s">
        <v>475</v>
      </c>
      <c r="BK112" s="653"/>
      <c r="BL112" s="653"/>
      <c r="BM112" s="653"/>
      <c r="BN112" s="653"/>
      <c r="BO112" s="653"/>
      <c r="BP112" s="653"/>
      <c r="BQ112" s="653"/>
      <c r="BR112" s="653"/>
      <c r="BS112" s="1514">
        <v>1.0947855027768283</v>
      </c>
      <c r="BT112" s="1515">
        <v>1.0951407921624965</v>
      </c>
      <c r="BU112" s="1515">
        <v>0.58531000574556924</v>
      </c>
      <c r="BV112" s="1516">
        <v>1.3402769430183457</v>
      </c>
      <c r="BW112" s="1177"/>
      <c r="CC112" s="1177"/>
      <c r="CD112" s="137" t="s">
        <v>473</v>
      </c>
      <c r="CE112" s="1523">
        <v>0.50430305249123053</v>
      </c>
      <c r="CF112" s="331" t="s">
        <v>474</v>
      </c>
      <c r="CG112" s="331">
        <v>1.4041254570299377</v>
      </c>
      <c r="CH112" s="137" t="s">
        <v>475</v>
      </c>
      <c r="CI112" s="1177"/>
      <c r="CJ112" s="1177"/>
      <c r="CK112" s="1177"/>
      <c r="CL112" s="1177"/>
      <c r="CM112" s="1177"/>
      <c r="CN112" s="1177"/>
      <c r="CO112" s="1177"/>
      <c r="CP112" s="1177"/>
      <c r="CQ112" s="1177"/>
      <c r="CR112" s="1177"/>
      <c r="CS112" s="1177"/>
      <c r="CT112" s="1177"/>
      <c r="CU112" s="1177"/>
      <c r="CV112" s="1177"/>
      <c r="CW112" s="1177"/>
      <c r="CX112" s="1177"/>
      <c r="CY112" s="1177"/>
      <c r="CZ112" s="1177"/>
      <c r="DA112" s="1177"/>
      <c r="DB112" s="1177"/>
      <c r="DC112" s="1177"/>
      <c r="DD112" s="1177"/>
      <c r="DE112" s="1177"/>
      <c r="EB112" s="331"/>
      <c r="EC112" s="331"/>
      <c r="ED112" s="331"/>
      <c r="EE112" s="331"/>
      <c r="EH112" s="331"/>
    </row>
    <row r="113" spans="2:154" x14ac:dyDescent="0.35">
      <c r="B113" s="340" t="s">
        <v>412</v>
      </c>
      <c r="C113" s="1715"/>
      <c r="D113" s="325" t="s">
        <v>464</v>
      </c>
      <c r="E113" s="1294" t="s">
        <v>444</v>
      </c>
      <c r="F113" s="325" t="s">
        <v>458</v>
      </c>
      <c r="G113" s="325">
        <v>4</v>
      </c>
      <c r="H113" s="1295">
        <v>993.8</v>
      </c>
      <c r="I113" s="114" t="s">
        <v>411</v>
      </c>
      <c r="J113" s="1295">
        <v>94.7</v>
      </c>
      <c r="K113" s="1295">
        <v>49.6</v>
      </c>
      <c r="L113" s="1283">
        <v>0.1</v>
      </c>
      <c r="M113" s="1295">
        <v>10.35</v>
      </c>
      <c r="N113" s="1283"/>
      <c r="O113" s="1283"/>
      <c r="P113" s="1295">
        <v>68000</v>
      </c>
      <c r="Q113" s="1295">
        <v>229</v>
      </c>
      <c r="R113" s="1295">
        <v>11</v>
      </c>
      <c r="S113" s="1283">
        <v>0.3</v>
      </c>
      <c r="T113" s="1283">
        <v>-0.5</v>
      </c>
      <c r="U113" s="1295">
        <v>243</v>
      </c>
      <c r="V113" s="1283" t="s">
        <v>457</v>
      </c>
      <c r="W113" s="1283"/>
      <c r="X113" s="1283"/>
      <c r="Y113" s="1283"/>
      <c r="Z113" s="1283"/>
      <c r="AA113" s="1283"/>
      <c r="AB113" s="150"/>
      <c r="AC113" s="1298">
        <v>10.35</v>
      </c>
      <c r="AD113" s="999"/>
      <c r="AE113" s="999">
        <v>9.4</v>
      </c>
      <c r="AF113" s="999"/>
      <c r="AG113" s="999"/>
      <c r="AH113" s="999">
        <v>6.1601648749421702E-4</v>
      </c>
      <c r="AI113" s="999">
        <v>9.9132081075729008</v>
      </c>
      <c r="AJ113" s="999" t="s">
        <v>422</v>
      </c>
      <c r="AK113" s="339">
        <v>237.21047869342999</v>
      </c>
      <c r="AL113" s="331">
        <v>317.10215612872702</v>
      </c>
      <c r="AO113" s="331" t="s">
        <v>422</v>
      </c>
      <c r="AQ113" s="137">
        <v>4.6632670018930443E-3</v>
      </c>
      <c r="AR113" s="137">
        <f t="shared" si="50"/>
        <v>1.0440616082793042</v>
      </c>
      <c r="AS113" s="137">
        <f t="shared" si="51"/>
        <v>0.94822986645656615</v>
      </c>
      <c r="AT113" s="331">
        <v>9.6644459576956603</v>
      </c>
      <c r="AU113" s="331">
        <v>361.37571301612002</v>
      </c>
      <c r="AV113" s="331">
        <v>4468.0167804679504</v>
      </c>
      <c r="AW113" s="332">
        <f t="shared" si="56"/>
        <v>0.87492590397154713</v>
      </c>
      <c r="AX113" s="331">
        <f t="shared" si="53"/>
        <v>0.22639161803231408</v>
      </c>
      <c r="AZ113" s="1298">
        <v>10.35</v>
      </c>
      <c r="BA113" s="1298"/>
      <c r="BD113" s="331">
        <v>1.2009253016271391E-2</v>
      </c>
      <c r="BF113" s="137" t="s">
        <v>473</v>
      </c>
      <c r="BG113" s="331">
        <v>0.58531000574556924</v>
      </c>
      <c r="BH113" s="331" t="s">
        <v>474</v>
      </c>
      <c r="BI113" s="137">
        <v>1.0947855027768283</v>
      </c>
      <c r="BJ113" s="137" t="s">
        <v>475</v>
      </c>
      <c r="BK113" s="653"/>
      <c r="BL113" s="653"/>
      <c r="BM113" s="653"/>
      <c r="BN113" s="653"/>
      <c r="BO113" s="653"/>
      <c r="BP113" s="653"/>
      <c r="BQ113" s="653"/>
      <c r="BR113" s="653"/>
      <c r="BS113" s="1514">
        <v>1.0112998455318123</v>
      </c>
      <c r="BT113" s="1515">
        <v>0.98120608138343701</v>
      </c>
      <c r="BU113" s="1515">
        <v>0.54587781436399352</v>
      </c>
      <c r="BV113" s="1516">
        <v>1.3173133880247869</v>
      </c>
      <c r="BW113" s="1177"/>
      <c r="CC113" s="1177"/>
      <c r="CD113" s="137" t="s">
        <v>473</v>
      </c>
      <c r="CE113" s="1523">
        <v>0.37328741674358334</v>
      </c>
      <c r="CF113" s="331" t="s">
        <v>474</v>
      </c>
      <c r="CG113" s="331">
        <v>0.79207502995063694</v>
      </c>
      <c r="CH113" s="137" t="s">
        <v>475</v>
      </c>
      <c r="CI113" s="1177"/>
      <c r="CJ113" s="1177"/>
      <c r="CK113" s="1177"/>
      <c r="CL113" s="1177"/>
      <c r="CM113" s="1177"/>
      <c r="CN113" s="1177"/>
      <c r="CO113" s="1177"/>
      <c r="CP113" s="1177"/>
      <c r="CQ113" s="1177"/>
      <c r="CR113" s="1177"/>
      <c r="CS113" s="1177"/>
      <c r="CT113" s="1177"/>
      <c r="CU113" s="1177"/>
      <c r="CV113" s="1177"/>
      <c r="CW113" s="1177"/>
      <c r="CX113" s="1177"/>
      <c r="CY113" s="1177"/>
      <c r="CZ113" s="1177"/>
      <c r="DA113" s="1177"/>
      <c r="DB113" s="1177"/>
      <c r="DC113" s="1177"/>
      <c r="DD113" s="1177"/>
      <c r="DE113" s="1177"/>
      <c r="EB113" s="331"/>
      <c r="EC113" s="331"/>
      <c r="ED113" s="331"/>
      <c r="EE113" s="331"/>
      <c r="EH113" s="331"/>
    </row>
    <row r="114" spans="2:154" x14ac:dyDescent="0.35">
      <c r="B114" s="340" t="s">
        <v>412</v>
      </c>
      <c r="C114" s="1715"/>
      <c r="D114" s="325" t="s">
        <v>464</v>
      </c>
      <c r="E114" s="1294" t="s">
        <v>445</v>
      </c>
      <c r="F114" s="325" t="s">
        <v>458</v>
      </c>
      <c r="G114" s="325">
        <v>4</v>
      </c>
      <c r="H114" s="1295">
        <v>988.3</v>
      </c>
      <c r="I114" s="114" t="s">
        <v>411</v>
      </c>
      <c r="J114" s="1295">
        <v>49.6</v>
      </c>
      <c r="K114" s="1295">
        <v>94.7</v>
      </c>
      <c r="L114" s="1283">
        <v>0.1</v>
      </c>
      <c r="M114" s="1295">
        <v>10.37</v>
      </c>
      <c r="N114" s="1283"/>
      <c r="O114" s="1283"/>
      <c r="P114" s="1295">
        <v>68000</v>
      </c>
      <c r="Q114" s="1295">
        <v>229</v>
      </c>
      <c r="R114" s="1295">
        <v>11</v>
      </c>
      <c r="S114" s="1283">
        <v>0.3</v>
      </c>
      <c r="T114" s="1283">
        <v>-0.5</v>
      </c>
      <c r="U114" s="1295">
        <v>243</v>
      </c>
      <c r="V114" s="1283" t="s">
        <v>457</v>
      </c>
      <c r="W114" s="1283"/>
      <c r="X114" s="1283"/>
      <c r="Y114" s="1283"/>
      <c r="Z114" s="1283"/>
      <c r="AA114" s="1283"/>
      <c r="AB114" s="150"/>
      <c r="AC114" s="1298">
        <v>18.04</v>
      </c>
      <c r="AD114" s="999"/>
      <c r="AE114" s="999">
        <v>14.8</v>
      </c>
      <c r="AF114" s="999"/>
      <c r="AG114" s="999"/>
      <c r="AH114" s="999">
        <v>2.0109602671901201E-4</v>
      </c>
      <c r="AI114" s="999">
        <v>15.9759454467364</v>
      </c>
      <c r="AJ114" s="999" t="s">
        <v>490</v>
      </c>
      <c r="AK114" s="339">
        <v>235.66610955874401</v>
      </c>
      <c r="AL114" s="331">
        <v>609.34809968489606</v>
      </c>
      <c r="AO114" s="331" t="s">
        <v>490</v>
      </c>
      <c r="AQ114" s="137">
        <v>8.9610014659543529E-3</v>
      </c>
      <c r="AR114" s="137">
        <f t="shared" si="50"/>
        <v>1.1291976465583919</v>
      </c>
      <c r="AS114" s="137">
        <f t="shared" si="51"/>
        <v>0.92639274773083158</v>
      </c>
      <c r="AT114" s="331">
        <v>16.2826409216174</v>
      </c>
      <c r="AU114" s="331">
        <v>205.72207447211599</v>
      </c>
      <c r="AV114" s="331">
        <v>2622.4545251432601</v>
      </c>
      <c r="AW114" s="332">
        <f t="shared" si="56"/>
        <v>0.87465907743389071</v>
      </c>
      <c r="AX114" s="331">
        <f t="shared" si="53"/>
        <v>0.2955042682292186</v>
      </c>
      <c r="AZ114" s="1298">
        <v>18.04</v>
      </c>
      <c r="BA114" s="1298"/>
      <c r="BD114" s="331">
        <v>5.0829700778800427E-3</v>
      </c>
      <c r="BF114" s="137" t="s">
        <v>473</v>
      </c>
      <c r="BG114" s="331">
        <v>0.54587781436399352</v>
      </c>
      <c r="BH114" s="331" t="s">
        <v>474</v>
      </c>
      <c r="BI114" s="137">
        <v>1.0112998455318123</v>
      </c>
      <c r="BJ114" s="137" t="s">
        <v>475</v>
      </c>
      <c r="BK114" s="653"/>
      <c r="BL114" s="653"/>
      <c r="BM114" s="653"/>
      <c r="BN114" s="653"/>
      <c r="BO114" s="653"/>
      <c r="BP114" s="653"/>
      <c r="BQ114" s="653"/>
      <c r="BR114" s="653"/>
      <c r="BS114" s="1514">
        <v>1.1934276888639874</v>
      </c>
      <c r="BT114" s="1515">
        <v>1.1503015334630662</v>
      </c>
      <c r="BU114" s="1515">
        <v>0.52816004868933941</v>
      </c>
      <c r="BV114" s="1516">
        <v>1.5017171688708877</v>
      </c>
      <c r="BW114" s="1177"/>
      <c r="CC114" s="1177"/>
      <c r="CD114" s="137" t="s">
        <v>473</v>
      </c>
      <c r="CE114" s="1523">
        <v>0.26093642738112288</v>
      </c>
      <c r="CF114" s="331" t="s">
        <v>474</v>
      </c>
      <c r="CG114" s="331">
        <v>0.97387307323765993</v>
      </c>
      <c r="CH114" s="137" t="s">
        <v>475</v>
      </c>
      <c r="CI114" s="1177"/>
      <c r="CJ114" s="1177"/>
      <c r="CK114" s="1177"/>
      <c r="CL114" s="1177"/>
      <c r="CM114" s="1177"/>
      <c r="CN114" s="1177"/>
      <c r="CO114" s="1177"/>
      <c r="CP114" s="1177"/>
      <c r="CQ114" s="1177"/>
      <c r="CR114" s="1177"/>
      <c r="CS114" s="1177"/>
      <c r="CT114" s="1177"/>
      <c r="CU114" s="1177"/>
      <c r="CV114" s="1177"/>
      <c r="CW114" s="1177"/>
      <c r="CX114" s="1177"/>
      <c r="CY114" s="1177"/>
      <c r="CZ114" s="1177"/>
      <c r="DA114" s="1177"/>
      <c r="DB114" s="1177"/>
      <c r="DC114" s="1177"/>
      <c r="DD114" s="1177"/>
      <c r="DE114" s="1177"/>
      <c r="EB114" s="331"/>
      <c r="EC114" s="331"/>
      <c r="ED114" s="331"/>
      <c r="EE114" s="331"/>
      <c r="EH114" s="331"/>
    </row>
    <row r="115" spans="2:154" x14ac:dyDescent="0.35">
      <c r="B115" s="340" t="s">
        <v>412</v>
      </c>
      <c r="C115" s="1715"/>
      <c r="D115" s="325" t="s">
        <v>464</v>
      </c>
      <c r="E115" s="1294" t="s">
        <v>446</v>
      </c>
      <c r="F115" s="325" t="s">
        <v>458</v>
      </c>
      <c r="G115" s="325">
        <v>4</v>
      </c>
      <c r="H115" s="1295">
        <v>991.2</v>
      </c>
      <c r="I115" s="114" t="s">
        <v>411</v>
      </c>
      <c r="J115" s="1295">
        <v>63.9</v>
      </c>
      <c r="K115" s="1295">
        <v>63.9</v>
      </c>
      <c r="L115" s="1283">
        <v>0.1</v>
      </c>
      <c r="M115" s="1295">
        <v>2.86</v>
      </c>
      <c r="N115" s="1283"/>
      <c r="O115" s="1283"/>
      <c r="P115" s="1295">
        <v>67000</v>
      </c>
      <c r="Q115" s="1295">
        <v>232</v>
      </c>
      <c r="R115" s="1295">
        <v>10</v>
      </c>
      <c r="S115" s="1283">
        <v>0.3</v>
      </c>
      <c r="T115" s="1283">
        <v>-0.5</v>
      </c>
      <c r="U115" s="1295">
        <v>245</v>
      </c>
      <c r="V115" s="1283" t="s">
        <v>457</v>
      </c>
      <c r="W115" s="1283"/>
      <c r="X115" s="1283"/>
      <c r="Y115" s="1283"/>
      <c r="Z115" s="1283"/>
      <c r="AA115" s="1283"/>
      <c r="AB115" s="150"/>
      <c r="AC115" s="1298">
        <v>3.59</v>
      </c>
      <c r="AD115" s="999"/>
      <c r="AE115" s="999">
        <v>3.4</v>
      </c>
      <c r="AF115" s="999"/>
      <c r="AG115" s="999"/>
      <c r="AH115" s="999">
        <v>1.9012689480709099E-4</v>
      </c>
      <c r="AI115" s="999">
        <v>3.5318560742654901</v>
      </c>
      <c r="AJ115" s="999" t="s">
        <v>422</v>
      </c>
      <c r="AK115" s="339">
        <v>234.73351668561</v>
      </c>
      <c r="AL115" s="331">
        <v>4964.8125133181502</v>
      </c>
      <c r="AO115" s="331" t="s">
        <v>422</v>
      </c>
      <c r="AQ115" s="137">
        <v>7.410167930325598E-2</v>
      </c>
      <c r="AR115" s="137">
        <f t="shared" si="50"/>
        <v>1.0164627109689348</v>
      </c>
      <c r="AS115" s="137">
        <f t="shared" si="51"/>
        <v>0.96266663434383803</v>
      </c>
      <c r="AT115" s="331">
        <v>3.7047350593466599</v>
      </c>
      <c r="AU115" s="331">
        <v>72.989882758461405</v>
      </c>
      <c r="AV115" s="331">
        <v>700.38363800332195</v>
      </c>
      <c r="AW115" s="332">
        <f t="shared" si="56"/>
        <v>0.94986893840104847</v>
      </c>
      <c r="AX115" s="331">
        <f t="shared" si="53"/>
        <v>0.57554064154717877</v>
      </c>
      <c r="AZ115" s="1298">
        <v>3.59</v>
      </c>
      <c r="BA115" s="1298"/>
      <c r="BD115" s="331">
        <v>8.9721788930990712E-3</v>
      </c>
      <c r="BF115" s="137" t="s">
        <v>473</v>
      </c>
      <c r="BG115" s="331">
        <v>0.52816004868933941</v>
      </c>
      <c r="BH115" s="331" t="s">
        <v>474</v>
      </c>
      <c r="BI115" s="137">
        <v>1.1934276888639874</v>
      </c>
      <c r="BJ115" s="137" t="s">
        <v>475</v>
      </c>
      <c r="BK115" s="653"/>
      <c r="BL115" s="653"/>
      <c r="BM115" s="653"/>
      <c r="BN115" s="653"/>
      <c r="BO115" s="653"/>
      <c r="BP115" s="653"/>
      <c r="BQ115" s="653"/>
      <c r="BR115" s="653"/>
      <c r="BS115" s="1514">
        <v>1.1612470392467487</v>
      </c>
      <c r="BT115" s="1515">
        <v>1.1404921418497564</v>
      </c>
      <c r="BU115" s="1515">
        <v>0.43689990407608209</v>
      </c>
      <c r="BV115" s="1516">
        <v>1.6392366361809501</v>
      </c>
      <c r="BW115" s="1177"/>
      <c r="CC115" s="1177"/>
      <c r="CD115" s="137" t="s">
        <v>473</v>
      </c>
      <c r="CE115" s="1523">
        <v>0.43436454826771281</v>
      </c>
      <c r="CF115" s="331" t="s">
        <v>474</v>
      </c>
      <c r="CG115" s="331">
        <v>0.74988661665063183</v>
      </c>
      <c r="CH115" s="137" t="s">
        <v>475</v>
      </c>
      <c r="CI115" s="1177"/>
      <c r="CJ115" s="1177"/>
      <c r="CK115" s="1177"/>
      <c r="CL115" s="1177"/>
      <c r="CM115" s="1177"/>
      <c r="CN115" s="1177"/>
      <c r="CO115" s="1177"/>
      <c r="CP115" s="1177"/>
      <c r="CQ115" s="1177"/>
      <c r="CR115" s="1177"/>
      <c r="CS115" s="1177"/>
      <c r="CT115" s="1177"/>
      <c r="CU115" s="1177"/>
      <c r="CV115" s="1177"/>
      <c r="CW115" s="1177"/>
      <c r="CX115" s="1177"/>
      <c r="CY115" s="1177"/>
      <c r="CZ115" s="1177"/>
      <c r="DA115" s="1177"/>
      <c r="DB115" s="1177"/>
      <c r="DC115" s="1177"/>
      <c r="DD115" s="1177"/>
      <c r="DE115" s="1177"/>
      <c r="EB115" s="331"/>
      <c r="EC115" s="331"/>
      <c r="ED115" s="331"/>
      <c r="EE115" s="331"/>
      <c r="EH115" s="331"/>
    </row>
    <row r="116" spans="2:154" x14ac:dyDescent="0.35">
      <c r="B116" s="340" t="s">
        <v>412</v>
      </c>
      <c r="C116" s="1715"/>
      <c r="D116" s="325" t="s">
        <v>464</v>
      </c>
      <c r="E116" s="1294" t="s">
        <v>447</v>
      </c>
      <c r="F116" s="325" t="s">
        <v>458</v>
      </c>
      <c r="G116" s="325">
        <v>4</v>
      </c>
      <c r="H116" s="1295">
        <v>995.8</v>
      </c>
      <c r="I116" s="114" t="s">
        <v>411</v>
      </c>
      <c r="J116" s="1295">
        <v>120</v>
      </c>
      <c r="K116" s="1295">
        <v>112</v>
      </c>
      <c r="L116" s="1283">
        <v>0.1</v>
      </c>
      <c r="M116" s="1295">
        <v>8.92</v>
      </c>
      <c r="N116" s="1283"/>
      <c r="O116" s="1283"/>
      <c r="P116" s="1295">
        <v>65000</v>
      </c>
      <c r="Q116" s="1295">
        <v>225</v>
      </c>
      <c r="R116" s="1295">
        <v>13</v>
      </c>
      <c r="S116" s="1283">
        <v>0.3</v>
      </c>
      <c r="T116" s="1283">
        <v>-0.5</v>
      </c>
      <c r="U116" s="1295">
        <v>234</v>
      </c>
      <c r="V116" s="1283" t="s">
        <v>457</v>
      </c>
      <c r="W116" s="1283"/>
      <c r="X116" s="1283"/>
      <c r="Y116" s="1283"/>
      <c r="Z116" s="1283"/>
      <c r="AA116" s="1283"/>
      <c r="AB116" s="150"/>
      <c r="AC116" s="1298">
        <v>38.75</v>
      </c>
      <c r="AD116" s="999"/>
      <c r="AE116" s="331">
        <v>33.799999999999997</v>
      </c>
      <c r="AF116" s="999"/>
      <c r="AG116" s="999"/>
      <c r="AH116" s="999">
        <v>1.91431499015293E-4</v>
      </c>
      <c r="AI116" s="999">
        <v>33.670934598518997</v>
      </c>
      <c r="AJ116" s="999" t="s">
        <v>422</v>
      </c>
      <c r="AK116" s="339">
        <v>230.268841690128</v>
      </c>
      <c r="AL116" s="331">
        <v>311.63346972249701</v>
      </c>
      <c r="AO116" s="331" t="s">
        <v>422</v>
      </c>
      <c r="AQ116" s="137">
        <v>4.7943610726538001E-3</v>
      </c>
      <c r="AR116" s="137">
        <f t="shared" si="50"/>
        <v>1.1508442061986721</v>
      </c>
      <c r="AS116" s="137">
        <f t="shared" si="51"/>
        <v>1.0038331398584546</v>
      </c>
      <c r="AT116" s="331">
        <v>33.6248971900892</v>
      </c>
      <c r="AU116" s="331">
        <v>1301.0930563081299</v>
      </c>
      <c r="AV116" s="331">
        <v>1949.5758803052399</v>
      </c>
      <c r="AW116" s="332">
        <f t="shared" si="56"/>
        <v>0.91789701116312572</v>
      </c>
      <c r="AX116" s="331">
        <f t="shared" si="53"/>
        <v>0.33972005634640756</v>
      </c>
      <c r="AZ116" s="1298">
        <v>38.75</v>
      </c>
      <c r="BA116" s="1298"/>
      <c r="BD116" s="331">
        <v>6.3311780291978263E-3</v>
      </c>
      <c r="BF116" s="137" t="s">
        <v>473</v>
      </c>
      <c r="BG116" s="331">
        <v>0.43689990407608209</v>
      </c>
      <c r="BH116" s="331" t="s">
        <v>474</v>
      </c>
      <c r="BI116" s="137">
        <v>1.1612470392467487</v>
      </c>
      <c r="BJ116" s="137" t="s">
        <v>475</v>
      </c>
      <c r="BK116" s="653"/>
      <c r="BL116" s="653"/>
      <c r="BM116" s="653"/>
      <c r="BN116" s="653"/>
      <c r="BO116" s="653"/>
      <c r="BP116" s="653"/>
      <c r="BQ116" s="653"/>
      <c r="BR116" s="653"/>
      <c r="BS116" s="1514">
        <v>1.1642580128594266</v>
      </c>
      <c r="BT116" s="1515">
        <v>1.1582060893793602</v>
      </c>
      <c r="BU116" s="1515">
        <v>0.60164875439353072</v>
      </c>
      <c r="BV116" s="1516">
        <v>1.4456661315965982</v>
      </c>
      <c r="BW116" s="1177"/>
      <c r="CC116" s="1177"/>
      <c r="CD116" s="137" t="s">
        <v>473</v>
      </c>
      <c r="CE116" s="1523">
        <v>0.50095812841783383</v>
      </c>
      <c r="CF116" s="331" t="s">
        <v>474</v>
      </c>
      <c r="CG116" s="331">
        <v>1.3769147993742064</v>
      </c>
      <c r="CH116" s="137" t="s">
        <v>475</v>
      </c>
      <c r="CI116" s="1177"/>
      <c r="CJ116" s="1177"/>
      <c r="CK116" s="1177"/>
      <c r="CL116" s="1177"/>
      <c r="CM116" s="1177"/>
      <c r="CN116" s="1177"/>
      <c r="CO116" s="1177"/>
      <c r="CP116" s="1177"/>
      <c r="CQ116" s="1177"/>
      <c r="CR116" s="1177"/>
      <c r="CS116" s="1177"/>
      <c r="CT116" s="1177"/>
      <c r="CU116" s="1177"/>
      <c r="CV116" s="1177"/>
      <c r="CW116" s="1177"/>
      <c r="CX116" s="1177"/>
      <c r="CY116" s="1177"/>
      <c r="CZ116" s="1177"/>
      <c r="DA116" s="1177"/>
      <c r="DB116" s="1177"/>
      <c r="DC116" s="1177"/>
      <c r="DD116" s="1177"/>
      <c r="DE116" s="1177"/>
      <c r="EB116" s="331"/>
      <c r="EF116" s="335"/>
      <c r="EH116" s="331"/>
      <c r="EI116" s="335"/>
    </row>
    <row r="117" spans="2:154" x14ac:dyDescent="0.35">
      <c r="B117" s="340" t="s">
        <v>412</v>
      </c>
      <c r="C117" s="1715"/>
      <c r="D117" s="325" t="s">
        <v>464</v>
      </c>
      <c r="E117" s="1294" t="s">
        <v>448</v>
      </c>
      <c r="F117" s="325" t="s">
        <v>458</v>
      </c>
      <c r="G117" s="325">
        <v>4</v>
      </c>
      <c r="H117" s="1295">
        <v>993.6</v>
      </c>
      <c r="I117" s="114" t="s">
        <v>411</v>
      </c>
      <c r="J117" s="1295">
        <v>119.8</v>
      </c>
      <c r="K117" s="1295">
        <v>69.8</v>
      </c>
      <c r="L117" s="1283">
        <v>0.1</v>
      </c>
      <c r="M117" s="1295">
        <v>10.4</v>
      </c>
      <c r="N117" s="1283"/>
      <c r="O117" s="1283"/>
      <c r="P117" s="1295">
        <v>68000</v>
      </c>
      <c r="Q117" s="1295">
        <v>226</v>
      </c>
      <c r="R117" s="1295">
        <v>10</v>
      </c>
      <c r="S117" s="1283">
        <v>0.3</v>
      </c>
      <c r="T117" s="1283">
        <v>-0.5</v>
      </c>
      <c r="U117" s="1295">
        <v>238</v>
      </c>
      <c r="V117" s="1283" t="s">
        <v>457</v>
      </c>
      <c r="W117" s="1283"/>
      <c r="X117" s="1283"/>
      <c r="Y117" s="1283"/>
      <c r="Z117" s="1283"/>
      <c r="AA117" s="1283"/>
      <c r="AB117" s="150"/>
      <c r="AC117" s="1298">
        <v>19.66</v>
      </c>
      <c r="AD117" s="999"/>
      <c r="AE117" s="999">
        <v>17</v>
      </c>
      <c r="AF117" s="999"/>
      <c r="AG117" s="999"/>
      <c r="AH117" s="999">
        <v>3.7377631539611399E-4</v>
      </c>
      <c r="AI117" s="999">
        <v>19.7671484529968</v>
      </c>
      <c r="AJ117" s="999" t="s">
        <v>422</v>
      </c>
      <c r="AK117" s="339">
        <v>233.047797042555</v>
      </c>
      <c r="AL117" s="331">
        <v>312.36892008857899</v>
      </c>
      <c r="AO117" s="331" t="s">
        <v>422</v>
      </c>
      <c r="AQ117" s="137">
        <v>4.5936605895379266E-3</v>
      </c>
      <c r="AR117" s="137">
        <f t="shared" si="50"/>
        <v>0.99457946839163058</v>
      </c>
      <c r="AS117" s="137">
        <f t="shared" si="51"/>
        <v>0.86001276514027059</v>
      </c>
      <c r="AT117" s="331">
        <v>19.408000666049201</v>
      </c>
      <c r="AU117" s="331">
        <v>879.26912356329103</v>
      </c>
      <c r="AV117" s="331">
        <v>2839.0735870599201</v>
      </c>
      <c r="AW117" s="332">
        <f t="shared" si="56"/>
        <v>0.90310786106032914</v>
      </c>
      <c r="AX117" s="331">
        <f t="shared" si="53"/>
        <v>0.28214080096040128</v>
      </c>
      <c r="AZ117" s="1298">
        <v>19.66</v>
      </c>
      <c r="BA117" s="1298"/>
      <c r="BD117" s="331">
        <v>9.3979032859244735E-2</v>
      </c>
      <c r="BF117" s="137" t="s">
        <v>473</v>
      </c>
      <c r="BG117" s="331">
        <v>0.60164875439353072</v>
      </c>
      <c r="BH117" s="331" t="s">
        <v>474</v>
      </c>
      <c r="BI117" s="137">
        <v>1.1642580128594266</v>
      </c>
      <c r="BJ117" s="137" t="s">
        <v>475</v>
      </c>
      <c r="BK117" s="653"/>
      <c r="BL117" s="653"/>
      <c r="BM117" s="653"/>
      <c r="BN117" s="653"/>
      <c r="BO117" s="653"/>
      <c r="BP117" s="653"/>
      <c r="BQ117" s="653"/>
      <c r="BR117" s="653"/>
      <c r="BS117" s="1514">
        <v>1.1551099301601213</v>
      </c>
      <c r="BT117" s="1515">
        <v>1.1418719507330886</v>
      </c>
      <c r="BU117" s="1515">
        <v>0.48663022872071232</v>
      </c>
      <c r="BV117" s="1516">
        <v>1.5955796217664775</v>
      </c>
      <c r="BW117" s="1177"/>
      <c r="CC117" s="1177"/>
      <c r="CD117" s="137" t="s">
        <v>473</v>
      </c>
      <c r="CE117" s="1523">
        <v>0.66975134775048206</v>
      </c>
      <c r="CF117" s="331" t="s">
        <v>474</v>
      </c>
      <c r="CG117" s="331">
        <v>3.9495107910874596</v>
      </c>
      <c r="CH117" s="137" t="s">
        <v>475</v>
      </c>
      <c r="CI117" s="1177"/>
      <c r="CJ117" s="1177"/>
      <c r="CK117" s="1177"/>
      <c r="CL117" s="1177"/>
      <c r="CM117" s="1177"/>
      <c r="CN117" s="1177"/>
      <c r="CO117" s="1177"/>
      <c r="CP117" s="1177"/>
      <c r="CQ117" s="1177"/>
      <c r="CR117" s="1177"/>
      <c r="CS117" s="1177"/>
      <c r="CT117" s="1177"/>
      <c r="CU117" s="1177"/>
      <c r="CV117" s="1177"/>
      <c r="CW117" s="1177">
        <f>MAX($CX122:$CX141)</f>
        <v>6.7003817305910998</v>
      </c>
      <c r="CX117" s="1177">
        <f>MIN($CX122:$CX141)</f>
        <v>0.65886486032920855</v>
      </c>
      <c r="CY117" s="1177">
        <f>MIN($CU122:$CU145)</f>
        <v>1.1499325220096401</v>
      </c>
      <c r="CZ117" s="1177">
        <f>CORREL($CU122:$CU145,$CP122:$CP145)^2</f>
        <v>0.13010771232298091</v>
      </c>
      <c r="DA117" s="1177">
        <f>INTERCEPT($CU122:$CU145,$CP122:$CP145)</f>
        <v>1.2464091704876537</v>
      </c>
      <c r="DB117" s="1177">
        <f>SLOPE($CU122:$CU145,$CP122:$CP145)</f>
        <v>1.0308402815756146</v>
      </c>
      <c r="DC117" s="1177">
        <f>CORREL($CX122:$CX141,$CP122:$CP141)^2</f>
        <v>6.72109515777084E-2</v>
      </c>
      <c r="DD117" s="1177">
        <f>INTERCEPT($CX122:$CX141,$CP122:$CP141)</f>
        <v>0.41581772429154706</v>
      </c>
      <c r="DE117" s="1177">
        <f>SLOPE($CX122:$CX141,$CP122:$CP141)</f>
        <v>3.205253972756573</v>
      </c>
      <c r="EB117" s="331"/>
      <c r="EF117" s="335"/>
      <c r="EH117" s="331"/>
      <c r="EI117" s="335"/>
    </row>
    <row r="118" spans="2:154" x14ac:dyDescent="0.35">
      <c r="B118" s="340" t="s">
        <v>412</v>
      </c>
      <c r="C118" s="1715"/>
      <c r="D118" s="325" t="s">
        <v>464</v>
      </c>
      <c r="E118" s="1294" t="s">
        <v>449</v>
      </c>
      <c r="F118" s="325" t="s">
        <v>458</v>
      </c>
      <c r="G118" s="325">
        <v>4</v>
      </c>
      <c r="H118" s="1295">
        <v>996.5</v>
      </c>
      <c r="I118" s="114" t="s">
        <v>411</v>
      </c>
      <c r="J118" s="1295">
        <v>69.900000000000006</v>
      </c>
      <c r="K118" s="1295">
        <v>119.8</v>
      </c>
      <c r="L118" s="1283">
        <v>0.1</v>
      </c>
      <c r="M118" s="1295">
        <v>10.3</v>
      </c>
      <c r="N118" s="1283"/>
      <c r="O118" s="1283"/>
      <c r="P118" s="1295">
        <v>68000</v>
      </c>
      <c r="Q118" s="1295">
        <v>226</v>
      </c>
      <c r="R118" s="1295">
        <v>10</v>
      </c>
      <c r="S118" s="1283">
        <v>0.3</v>
      </c>
      <c r="T118" s="1283">
        <v>-0.5</v>
      </c>
      <c r="U118" s="1295">
        <v>238</v>
      </c>
      <c r="V118" s="1283" t="s">
        <v>457</v>
      </c>
      <c r="W118" s="1283"/>
      <c r="X118" s="1283"/>
      <c r="Y118" s="1283"/>
      <c r="Z118" s="1283"/>
      <c r="AA118" s="1283"/>
      <c r="AB118" s="150"/>
      <c r="AC118" s="1298">
        <v>33</v>
      </c>
      <c r="AD118" s="999"/>
      <c r="AE118" s="999">
        <v>28.1</v>
      </c>
      <c r="AF118" s="999"/>
      <c r="AG118" s="999"/>
      <c r="AH118" s="999">
        <v>1.61730738788234E-4</v>
      </c>
      <c r="AI118" s="999">
        <v>28.748025190965599</v>
      </c>
      <c r="AJ118" s="999" t="s">
        <v>490</v>
      </c>
      <c r="AK118" s="339">
        <v>232.195307433886</v>
      </c>
      <c r="AL118" s="331">
        <v>471.33397388295998</v>
      </c>
      <c r="AO118" s="331" t="s">
        <v>490</v>
      </c>
      <c r="AQ118" s="137">
        <v>6.9313819688670581E-3</v>
      </c>
      <c r="AR118" s="137">
        <f t="shared" si="50"/>
        <v>1.1479049354099855</v>
      </c>
      <c r="AS118" s="137">
        <f t="shared" si="51"/>
        <v>0.97745844500062395</v>
      </c>
      <c r="AT118" s="331">
        <v>29.124739047156901</v>
      </c>
      <c r="AU118" s="331">
        <v>555.46011742208395</v>
      </c>
      <c r="AV118" s="331">
        <v>3549.5173722960899</v>
      </c>
      <c r="AW118" s="332">
        <f t="shared" si="56"/>
        <v>0.90410958904109584</v>
      </c>
      <c r="AX118" s="331">
        <f t="shared" si="53"/>
        <v>0.25233039441610944</v>
      </c>
      <c r="AZ118" s="1298">
        <v>33</v>
      </c>
      <c r="BA118" s="1298"/>
      <c r="BD118" s="331">
        <v>9.4289754685818045E-2</v>
      </c>
      <c r="BF118" s="137" t="s">
        <v>473</v>
      </c>
      <c r="BG118" s="331">
        <v>0.48663022872071232</v>
      </c>
      <c r="BH118" s="331" t="s">
        <v>474</v>
      </c>
      <c r="BI118" s="137">
        <v>1.1551099301601213</v>
      </c>
      <c r="BJ118" s="137" t="s">
        <v>475</v>
      </c>
      <c r="BK118" s="653">
        <f>MIN(BI99:BI109)</f>
        <v>1.0925541760908473</v>
      </c>
      <c r="BL118" s="653"/>
      <c r="BM118" s="653"/>
      <c r="BN118" s="653"/>
      <c r="BO118" s="653"/>
      <c r="BP118" s="653"/>
      <c r="BQ118" s="653"/>
      <c r="BR118" s="653"/>
      <c r="BS118" s="1514">
        <v>1.1284557429962938</v>
      </c>
      <c r="BT118" s="1515">
        <v>1.0947230805935246</v>
      </c>
      <c r="BU118" s="1515">
        <v>0.22649078289584409</v>
      </c>
      <c r="BV118" s="1516">
        <v>1.3036844479560723</v>
      </c>
      <c r="BW118" s="1177"/>
      <c r="CC118" s="1177"/>
      <c r="CD118" s="137" t="s">
        <v>473</v>
      </c>
      <c r="CE118" s="1523">
        <v>0.51243205790590274</v>
      </c>
      <c r="CF118" s="331" t="s">
        <v>474</v>
      </c>
      <c r="CG118" s="331">
        <v>0.93195763245222329</v>
      </c>
      <c r="CH118" s="137" t="s">
        <v>475</v>
      </c>
      <c r="CI118" s="1177"/>
      <c r="CJ118" s="1177"/>
      <c r="CK118" s="1177"/>
      <c r="CL118" s="1177"/>
      <c r="CM118" s="1177"/>
      <c r="CN118" s="1177"/>
      <c r="CO118" s="1177"/>
      <c r="CP118" s="1177"/>
      <c r="CQ118" s="1177"/>
      <c r="CR118" s="1177"/>
      <c r="CS118" s="1177"/>
      <c r="CT118" s="1177"/>
      <c r="CU118" s="1177"/>
      <c r="CV118" s="1177"/>
      <c r="CW118" s="1177"/>
      <c r="CX118" s="1177"/>
      <c r="CY118" s="1177"/>
      <c r="CZ118" s="1177">
        <f>AVERAGE(CU122:CU145)</f>
        <v>1.7961792748666217</v>
      </c>
      <c r="DA118" s="1177">
        <f>_xlfn.STDEV.P(CU122:CU145)</f>
        <v>0.50408262972008611</v>
      </c>
      <c r="DB118" s="1177"/>
      <c r="DC118" s="1177">
        <f>AVERAGE(CX122:CX141)</f>
        <v>1.9423475564451773</v>
      </c>
      <c r="DD118" s="1177">
        <f>_xlfn.STDEV.P(CX122:CX141)</f>
        <v>1.459081656728431</v>
      </c>
      <c r="DE118" s="1177"/>
      <c r="EB118" s="331"/>
      <c r="EF118" s="335"/>
      <c r="EH118" s="331"/>
      <c r="EI118" s="335"/>
    </row>
    <row r="119" spans="2:154" x14ac:dyDescent="0.35">
      <c r="B119" s="340" t="s">
        <v>412</v>
      </c>
      <c r="C119" s="1715"/>
      <c r="D119" s="325" t="s">
        <v>464</v>
      </c>
      <c r="E119" s="1294" t="s">
        <v>450</v>
      </c>
      <c r="F119" s="325" t="s">
        <v>458</v>
      </c>
      <c r="G119" s="325">
        <v>4</v>
      </c>
      <c r="H119" s="1295">
        <v>993.4</v>
      </c>
      <c r="I119" s="114" t="s">
        <v>411</v>
      </c>
      <c r="J119" s="1295">
        <v>63.8</v>
      </c>
      <c r="K119" s="1295">
        <v>63.9</v>
      </c>
      <c r="L119" s="1283">
        <v>0.1</v>
      </c>
      <c r="M119" s="1295">
        <v>2.87</v>
      </c>
      <c r="N119" s="1283"/>
      <c r="O119" s="1283"/>
      <c r="P119" s="1295">
        <v>67000</v>
      </c>
      <c r="Q119" s="1295">
        <v>232</v>
      </c>
      <c r="R119" s="1295">
        <v>10</v>
      </c>
      <c r="S119" s="1283">
        <v>0.3</v>
      </c>
      <c r="T119" s="1283">
        <v>-0.5</v>
      </c>
      <c r="U119" s="1295">
        <v>245</v>
      </c>
      <c r="V119" s="1283" t="s">
        <v>457</v>
      </c>
      <c r="W119" s="1283"/>
      <c r="X119" s="1283"/>
      <c r="Y119" s="1283"/>
      <c r="Z119" s="1283"/>
      <c r="AA119" s="1283"/>
      <c r="AB119" s="150"/>
      <c r="AC119" s="1256">
        <v>3.59</v>
      </c>
      <c r="AD119" s="999"/>
      <c r="AE119" s="999">
        <v>3.4</v>
      </c>
      <c r="AF119" s="999"/>
      <c r="AG119" s="999"/>
      <c r="AH119" s="999">
        <v>1.9041804678507501E-4</v>
      </c>
      <c r="AI119" s="999">
        <v>3.53989588774578</v>
      </c>
      <c r="AJ119" s="999" t="s">
        <v>422</v>
      </c>
      <c r="AK119" s="339">
        <v>234.77244720349199</v>
      </c>
      <c r="AL119" s="331">
        <v>4848.9641563304403</v>
      </c>
      <c r="AO119" s="331" t="s">
        <v>422</v>
      </c>
      <c r="AQ119" s="137">
        <v>7.2372599348215522E-2</v>
      </c>
      <c r="AR119" s="137">
        <f t="shared" si="50"/>
        <v>1.0141541203027093</v>
      </c>
      <c r="AS119" s="137">
        <f t="shared" si="51"/>
        <v>0.96048022535632638</v>
      </c>
      <c r="AT119" s="331">
        <v>3.7124064555602501</v>
      </c>
      <c r="AU119" s="331">
        <v>72.841746399310907</v>
      </c>
      <c r="AV119" s="331">
        <v>707.67594301086501</v>
      </c>
      <c r="AW119" s="332">
        <f t="shared" si="56"/>
        <v>0.94969687039161066</v>
      </c>
      <c r="AX119" s="331">
        <f t="shared" si="53"/>
        <v>0.57256760979324461</v>
      </c>
      <c r="AZ119" s="1311">
        <v>3.59</v>
      </c>
      <c r="BA119" s="1488"/>
      <c r="BD119" s="331">
        <v>9.3979032859244735E-2</v>
      </c>
      <c r="BF119" s="137" t="s">
        <v>473</v>
      </c>
      <c r="BG119" s="331">
        <v>0.22649078289584409</v>
      </c>
      <c r="BH119" s="331" t="s">
        <v>474</v>
      </c>
      <c r="BI119" s="137">
        <v>1.1284557429962938</v>
      </c>
      <c r="BJ119" s="137" t="s">
        <v>475</v>
      </c>
      <c r="BK119" s="653"/>
      <c r="BL119" s="653"/>
      <c r="BM119" s="653"/>
      <c r="BN119" s="653"/>
      <c r="BO119" s="653"/>
      <c r="BP119" s="653"/>
      <c r="BQ119" s="653"/>
      <c r="BR119" s="653"/>
      <c r="BS119" s="1043">
        <v>1.0976961312604003</v>
      </c>
      <c r="BT119" s="1043">
        <v>1.0852950918512398</v>
      </c>
      <c r="BU119" s="1043">
        <v>0.21777870605728875</v>
      </c>
      <c r="BV119" s="331">
        <v>1.2382231109464141</v>
      </c>
      <c r="BW119" s="1177"/>
      <c r="CC119" s="1177"/>
      <c r="CD119" s="137" t="s">
        <v>473</v>
      </c>
      <c r="CE119" s="1523">
        <v>0.49335141239367603</v>
      </c>
      <c r="CF119" s="331" t="s">
        <v>474</v>
      </c>
      <c r="CG119" s="331">
        <v>4.0326533896055992</v>
      </c>
      <c r="CH119" s="137" t="s">
        <v>475</v>
      </c>
      <c r="CI119" s="1177"/>
      <c r="CJ119" s="1177"/>
      <c r="CK119" s="1177"/>
      <c r="CL119" s="1177"/>
      <c r="CM119" s="1177"/>
      <c r="CN119" s="1177"/>
      <c r="CO119" s="1177"/>
      <c r="CP119" s="1177"/>
      <c r="CQ119" s="1177"/>
      <c r="CR119" s="1177"/>
      <c r="CS119" s="1177"/>
      <c r="CT119" s="1177"/>
      <c r="CU119" s="1177"/>
      <c r="CV119" s="1177"/>
      <c r="CW119" s="1177"/>
      <c r="CX119" s="1177"/>
      <c r="CY119" s="1177"/>
      <c r="CZ119" s="1177"/>
      <c r="DA119" s="1177"/>
      <c r="DB119" s="1177"/>
      <c r="DC119" s="1177"/>
      <c r="DD119" s="1177"/>
    </row>
    <row r="120" spans="2:154" x14ac:dyDescent="0.35">
      <c r="B120" s="340" t="s">
        <v>412</v>
      </c>
      <c r="C120" s="1715"/>
      <c r="D120" s="325" t="s">
        <v>464</v>
      </c>
      <c r="E120" s="1294" t="s">
        <v>451</v>
      </c>
      <c r="F120" s="325" t="s">
        <v>458</v>
      </c>
      <c r="G120" s="325">
        <v>4</v>
      </c>
      <c r="H120" s="1295">
        <v>989.5</v>
      </c>
      <c r="I120" s="114" t="s">
        <v>411</v>
      </c>
      <c r="J120" s="1295">
        <v>70</v>
      </c>
      <c r="K120" s="1295">
        <v>54.9</v>
      </c>
      <c r="L120" s="1283">
        <v>0.1</v>
      </c>
      <c r="M120" s="1295">
        <v>4.08</v>
      </c>
      <c r="N120" s="1283"/>
      <c r="O120" s="1283"/>
      <c r="P120" s="1295">
        <v>67000</v>
      </c>
      <c r="Q120" s="1295">
        <v>207</v>
      </c>
      <c r="R120" s="1295">
        <v>16</v>
      </c>
      <c r="S120" s="1283">
        <v>0.3</v>
      </c>
      <c r="T120" s="1283">
        <v>-0.5</v>
      </c>
      <c r="U120" s="1295">
        <v>222</v>
      </c>
      <c r="V120" s="1283" t="s">
        <v>457</v>
      </c>
      <c r="W120" s="1283"/>
      <c r="X120" s="1283"/>
      <c r="Y120" s="1283"/>
      <c r="Z120" s="1283"/>
      <c r="AA120" s="1283"/>
      <c r="AB120" s="150"/>
      <c r="AC120" s="1298">
        <v>4.6900000000000004</v>
      </c>
      <c r="AD120" s="999"/>
      <c r="AE120" s="999">
        <v>4.5</v>
      </c>
      <c r="AF120" s="999"/>
      <c r="AG120" s="999"/>
      <c r="AH120" s="999">
        <v>3.6212199638610901E-4</v>
      </c>
      <c r="AI120" s="999">
        <v>3.97412829909976</v>
      </c>
      <c r="AJ120" s="999" t="s">
        <v>422</v>
      </c>
      <c r="AK120" s="339">
        <v>214.16638236483001</v>
      </c>
      <c r="AL120" s="331">
        <v>528.15082868737204</v>
      </c>
      <c r="AO120" s="331" t="s">
        <v>422</v>
      </c>
      <c r="AQ120" s="137">
        <v>7.8828481893637621E-3</v>
      </c>
      <c r="AR120" s="137">
        <f t="shared" si="50"/>
        <v>1.1801330120777438</v>
      </c>
      <c r="AS120" s="137">
        <f t="shared" si="51"/>
        <v>1.1323237855756603</v>
      </c>
      <c r="AT120" s="331">
        <v>3.9161593398841101</v>
      </c>
      <c r="AU120" s="331">
        <v>101.12758139485101</v>
      </c>
      <c r="AV120" s="331">
        <v>1224.75485555164</v>
      </c>
      <c r="AW120" s="332">
        <f t="shared" si="56"/>
        <v>0.93507281553398058</v>
      </c>
      <c r="AX120" s="331">
        <f t="shared" si="53"/>
        <v>0.41111241096467049</v>
      </c>
      <c r="AZ120" s="1298">
        <v>4.6900000000000004</v>
      </c>
      <c r="BA120" s="1298"/>
      <c r="BD120" s="331">
        <v>1.4310021936834404E-2</v>
      </c>
      <c r="BF120" s="137" t="s">
        <v>473</v>
      </c>
      <c r="BG120" s="331">
        <v>0.21777870605728875</v>
      </c>
      <c r="BH120" s="331" t="s">
        <v>474</v>
      </c>
      <c r="BI120" s="137">
        <v>1.0976961312604003</v>
      </c>
      <c r="BJ120" s="137" t="s">
        <v>475</v>
      </c>
      <c r="BK120" s="653"/>
      <c r="BL120" s="653"/>
      <c r="BM120" s="653"/>
      <c r="BN120" s="653"/>
      <c r="BO120" s="653"/>
      <c r="BP120" s="653"/>
      <c r="BQ120" s="653"/>
      <c r="BR120" s="653"/>
      <c r="BS120" s="1043">
        <v>1.1460868406283427</v>
      </c>
      <c r="BT120" s="1043">
        <v>1.1103779001017864</v>
      </c>
      <c r="BU120" s="1043">
        <v>0.23117654166795612</v>
      </c>
      <c r="BV120" s="331">
        <v>1.3216820160346359</v>
      </c>
      <c r="BW120" s="1177"/>
      <c r="CC120" s="1177"/>
      <c r="CD120" s="137" t="s">
        <v>473</v>
      </c>
      <c r="CE120" s="1523">
        <v>0.38307792068403523</v>
      </c>
      <c r="CF120" s="331" t="s">
        <v>474</v>
      </c>
      <c r="CG120" s="331">
        <v>6.7003817305910998</v>
      </c>
      <c r="CH120" s="137" t="s">
        <v>475</v>
      </c>
      <c r="CI120" s="1177"/>
      <c r="CJ120" s="1177"/>
      <c r="CK120" s="1177"/>
      <c r="CL120" s="1177"/>
      <c r="CM120" s="1177"/>
      <c r="CN120" s="1177"/>
      <c r="CO120" s="1177"/>
      <c r="CP120" s="1177"/>
      <c r="CQ120" s="1177"/>
      <c r="CR120" s="1177"/>
      <c r="CS120" s="1177"/>
      <c r="CT120" s="1177"/>
      <c r="CU120" s="1177"/>
      <c r="CV120" s="1177"/>
      <c r="CW120" s="1177"/>
      <c r="CX120" s="1177"/>
      <c r="CY120" s="1177"/>
      <c r="CZ120" s="1177"/>
      <c r="DA120" s="1177"/>
      <c r="DB120" s="1177"/>
      <c r="DC120" s="1177"/>
      <c r="DD120" s="1177"/>
    </row>
    <row r="121" spans="2:154" x14ac:dyDescent="0.35">
      <c r="B121" s="340" t="s">
        <v>412</v>
      </c>
      <c r="C121" s="1715"/>
      <c r="D121" s="325" t="s">
        <v>464</v>
      </c>
      <c r="E121" s="1294" t="s">
        <v>452</v>
      </c>
      <c r="F121" s="325" t="s">
        <v>458</v>
      </c>
      <c r="G121" s="325">
        <v>4</v>
      </c>
      <c r="H121" s="1295">
        <v>989.5</v>
      </c>
      <c r="I121" s="114" t="s">
        <v>411</v>
      </c>
      <c r="J121" s="1295">
        <v>54.9</v>
      </c>
      <c r="K121" s="1295">
        <v>70</v>
      </c>
      <c r="L121" s="1283">
        <v>0.1</v>
      </c>
      <c r="M121" s="1295">
        <v>4.09</v>
      </c>
      <c r="N121" s="1283"/>
      <c r="O121" s="1283"/>
      <c r="P121" s="1295">
        <v>67000</v>
      </c>
      <c r="Q121" s="1295">
        <v>207</v>
      </c>
      <c r="R121" s="1295">
        <v>16</v>
      </c>
      <c r="S121" s="1283">
        <v>0.3</v>
      </c>
      <c r="T121" s="1283">
        <v>-0.5</v>
      </c>
      <c r="U121" s="1295">
        <v>222</v>
      </c>
      <c r="V121" s="1283" t="s">
        <v>457</v>
      </c>
      <c r="W121" s="1283"/>
      <c r="X121" s="1283"/>
      <c r="Y121" s="1283"/>
      <c r="Z121" s="1283"/>
      <c r="AA121" s="1283"/>
      <c r="AB121" s="150"/>
      <c r="AC121" s="1298">
        <v>6.01</v>
      </c>
      <c r="AD121" s="999"/>
      <c r="AE121" s="999">
        <v>5.4</v>
      </c>
      <c r="AF121" s="999"/>
      <c r="AG121" s="999"/>
      <c r="AH121" s="999">
        <v>2.8403205603946298E-4</v>
      </c>
      <c r="AI121" s="999">
        <v>4.70515446647783</v>
      </c>
      <c r="AJ121" s="999" t="s">
        <v>490</v>
      </c>
      <c r="AK121" s="339">
        <v>214.24857808532599</v>
      </c>
      <c r="AL121" s="331">
        <v>510.52514938117298</v>
      </c>
      <c r="AO121" s="331" t="s">
        <v>490</v>
      </c>
      <c r="AQ121" s="137">
        <v>7.6197783489727307E-3</v>
      </c>
      <c r="AR121" s="137">
        <f t="shared" si="50"/>
        <v>1.2773225709843585</v>
      </c>
      <c r="AS121" s="137">
        <f t="shared" si="51"/>
        <v>1.147677518022552</v>
      </c>
      <c r="AT121" s="331">
        <v>4.6692977074510997</v>
      </c>
      <c r="AU121" s="331">
        <v>83.6833074987928</v>
      </c>
      <c r="AV121" s="331">
        <v>1983.5149858040299</v>
      </c>
      <c r="AW121" s="332">
        <f t="shared" si="56"/>
        <v>0.93491124260355041</v>
      </c>
      <c r="AX121" s="331">
        <f t="shared" si="53"/>
        <v>0.32304827751213033</v>
      </c>
      <c r="AZ121" s="1298">
        <v>6.01</v>
      </c>
      <c r="BA121" s="1298"/>
      <c r="BD121" s="331">
        <v>1.4310021936834404E-2</v>
      </c>
      <c r="BF121" s="137" t="s">
        <v>473</v>
      </c>
      <c r="BG121" s="331">
        <v>0.23117654166795612</v>
      </c>
      <c r="BH121" s="331" t="s">
        <v>474</v>
      </c>
      <c r="BI121" s="137">
        <v>1.1460868406283427</v>
      </c>
      <c r="BJ121" s="137" t="s">
        <v>475</v>
      </c>
      <c r="BK121" s="653"/>
      <c r="BL121" s="653"/>
      <c r="BM121" s="653"/>
      <c r="BN121" s="653"/>
      <c r="BO121" s="653"/>
      <c r="BP121" s="653"/>
      <c r="BQ121" s="653"/>
      <c r="BR121" s="653"/>
      <c r="BS121" s="1043">
        <v>1.3546009463044382</v>
      </c>
      <c r="BT121" s="1043">
        <v>1.2761269850246544</v>
      </c>
      <c r="BU121" s="1043">
        <v>0.48207976774924355</v>
      </c>
      <c r="BV121" s="331">
        <v>1.7084892396321181</v>
      </c>
      <c r="CC121" s="1177"/>
      <c r="CD121" s="137" t="s">
        <v>473</v>
      </c>
      <c r="CE121" s="1523">
        <v>0.73807546520434975</v>
      </c>
      <c r="CF121" s="331" t="s">
        <v>474</v>
      </c>
      <c r="CG121" s="331" t="e">
        <v>#VALUE!</v>
      </c>
      <c r="CH121" s="137" t="s">
        <v>475</v>
      </c>
      <c r="CI121" s="1177"/>
      <c r="CJ121" s="1177"/>
      <c r="CK121" s="1177"/>
      <c r="CL121" s="1177"/>
      <c r="CM121" s="1177"/>
      <c r="CN121" s="1177"/>
      <c r="CO121" s="1177"/>
      <c r="CP121" s="1177"/>
      <c r="CQ121" s="1177"/>
      <c r="CR121" s="1177" t="s">
        <v>489</v>
      </c>
      <c r="CS121" s="1177"/>
      <c r="CT121" s="1177"/>
      <c r="CV121" s="1177"/>
      <c r="CW121" s="1177"/>
      <c r="CX121" s="1177"/>
      <c r="CY121" s="1177"/>
      <c r="CZ121" s="1177"/>
      <c r="DA121" s="1177"/>
      <c r="DB121" s="1177"/>
      <c r="DC121" s="1177"/>
      <c r="DD121" s="1177"/>
    </row>
    <row r="122" spans="2:154" x14ac:dyDescent="0.35">
      <c r="B122" s="340" t="s">
        <v>412</v>
      </c>
      <c r="C122" s="1715"/>
      <c r="D122" s="325" t="s">
        <v>464</v>
      </c>
      <c r="E122" s="1294" t="s">
        <v>453</v>
      </c>
      <c r="F122" s="325" t="s">
        <v>458</v>
      </c>
      <c r="G122" s="325">
        <v>4</v>
      </c>
      <c r="H122" s="1295">
        <v>995.3</v>
      </c>
      <c r="I122" s="114" t="s">
        <v>411</v>
      </c>
      <c r="J122" s="1295">
        <v>49.7</v>
      </c>
      <c r="K122" s="1295">
        <v>94.8</v>
      </c>
      <c r="L122" s="1283">
        <v>0.1</v>
      </c>
      <c r="M122" s="1295">
        <v>10.36</v>
      </c>
      <c r="N122" s="1283"/>
      <c r="O122" s="1283"/>
      <c r="P122" s="1295">
        <v>69000</v>
      </c>
      <c r="Q122" s="1295">
        <v>164</v>
      </c>
      <c r="R122" s="1295">
        <v>10</v>
      </c>
      <c r="S122" s="1283">
        <v>0.3</v>
      </c>
      <c r="T122" s="1283">
        <v>-0.5</v>
      </c>
      <c r="U122" s="1295">
        <v>211</v>
      </c>
      <c r="V122" s="1283" t="s">
        <v>457</v>
      </c>
      <c r="W122" s="1283"/>
      <c r="X122" s="1283"/>
      <c r="Y122" s="1283"/>
      <c r="Z122" s="1283"/>
      <c r="AA122" s="1283"/>
      <c r="AB122" s="150"/>
      <c r="AC122" s="1283">
        <v>15.92</v>
      </c>
      <c r="AD122" s="999"/>
      <c r="AE122" s="999">
        <v>11.7</v>
      </c>
      <c r="AF122" s="999"/>
      <c r="AG122" s="999"/>
      <c r="AH122" s="999">
        <v>2.7222978362930101E-4</v>
      </c>
      <c r="AI122" s="999">
        <v>12.4979217488253</v>
      </c>
      <c r="AJ122" s="999" t="s">
        <v>490</v>
      </c>
      <c r="AK122" s="339">
        <v>180.78091927927201</v>
      </c>
      <c r="AL122" s="331">
        <v>828.63845812272598</v>
      </c>
      <c r="AO122" s="331" t="s">
        <v>490</v>
      </c>
      <c r="AQ122" s="137">
        <v>1.2009253016271391E-2</v>
      </c>
      <c r="AR122" s="137">
        <f t="shared" si="50"/>
        <v>1.2738117840669267</v>
      </c>
      <c r="AS122" s="137">
        <f t="shared" si="51"/>
        <v>0.93615564532556794</v>
      </c>
      <c r="AT122" s="331">
        <v>12.1161836518804</v>
      </c>
      <c r="AU122" s="331">
        <v>208.29499211805199</v>
      </c>
      <c r="AV122" s="331">
        <v>2655.1043858707199</v>
      </c>
      <c r="AW122" s="332">
        <f t="shared" si="56"/>
        <v>0.87494078635717665</v>
      </c>
      <c r="AX122" s="331">
        <f t="shared" si="53"/>
        <v>0.24853131857703373</v>
      </c>
      <c r="AZ122" s="1310">
        <v>15.92</v>
      </c>
      <c r="BA122" s="1486"/>
      <c r="BD122" s="331">
        <v>1.4321908139758446E-2</v>
      </c>
      <c r="BF122" s="137" t="s">
        <v>473</v>
      </c>
      <c r="BG122" s="331">
        <v>0.48207976774924355</v>
      </c>
      <c r="BH122" s="331" t="s">
        <v>474</v>
      </c>
      <c r="BI122" s="137">
        <v>1.3546009463044382</v>
      </c>
      <c r="BJ122" s="137" t="s">
        <v>475</v>
      </c>
      <c r="BK122" s="653"/>
      <c r="BL122" s="653"/>
      <c r="BM122" s="653"/>
      <c r="BN122" s="653"/>
      <c r="BO122" s="653"/>
      <c r="BP122" s="653"/>
      <c r="BQ122" s="653"/>
      <c r="BR122" s="653"/>
      <c r="BS122" s="1043">
        <v>1.1108283951859665</v>
      </c>
      <c r="BT122" s="1043">
        <v>1.006820255793992</v>
      </c>
      <c r="BU122" s="1043">
        <v>0.35523463218133777</v>
      </c>
      <c r="BV122" s="331">
        <v>1.2893209632039593</v>
      </c>
      <c r="CC122" s="1177"/>
      <c r="CD122" s="137" t="s">
        <v>473</v>
      </c>
      <c r="CE122" s="1523">
        <v>0.71985542111400336</v>
      </c>
      <c r="CF122" s="331" t="s">
        <v>474</v>
      </c>
      <c r="CG122" s="331" t="e">
        <v>#VALUE!</v>
      </c>
      <c r="CH122" s="137" t="s">
        <v>475</v>
      </c>
      <c r="CI122" s="1177"/>
      <c r="CJ122" s="1177"/>
      <c r="CK122" s="1177"/>
      <c r="CL122" s="1177"/>
      <c r="CM122" s="1177"/>
      <c r="CN122" s="1177"/>
      <c r="CO122" s="1177"/>
      <c r="CP122" s="1523">
        <v>0.4557431570430171</v>
      </c>
      <c r="CQ122" s="1177"/>
      <c r="CR122" s="331">
        <v>2.0306999999999999E-4</v>
      </c>
      <c r="CT122" s="331">
        <v>1.6915943854810099E-4</v>
      </c>
      <c r="CU122" s="331">
        <v>1.2004650863289337</v>
      </c>
      <c r="CV122" s="1177"/>
      <c r="CW122" s="331">
        <v>1.524822878818402E-4</v>
      </c>
      <c r="CX122" s="1177">
        <f>CR122/CW122</f>
        <v>1.3317612348350953</v>
      </c>
      <c r="CY122" s="1177"/>
      <c r="CZ122" s="1177"/>
      <c r="DA122" s="1177"/>
      <c r="DB122" s="1177"/>
      <c r="DC122" s="1177"/>
      <c r="DD122" s="1177"/>
    </row>
    <row r="123" spans="2:154" x14ac:dyDescent="0.35">
      <c r="B123" s="340" t="s">
        <v>412</v>
      </c>
      <c r="C123" s="1715"/>
      <c r="D123" s="325" t="s">
        <v>464</v>
      </c>
      <c r="E123" s="1294" t="s">
        <v>454</v>
      </c>
      <c r="F123" s="325" t="s">
        <v>458</v>
      </c>
      <c r="G123" s="325">
        <v>4</v>
      </c>
      <c r="H123" s="1295">
        <v>989.1</v>
      </c>
      <c r="I123" s="114" t="s">
        <v>411</v>
      </c>
      <c r="J123" s="1295">
        <v>119.8</v>
      </c>
      <c r="K123" s="1295">
        <v>69.900000000000006</v>
      </c>
      <c r="L123" s="1283">
        <v>0.1</v>
      </c>
      <c r="M123" s="1295">
        <v>10.42</v>
      </c>
      <c r="N123" s="1284"/>
      <c r="O123" s="1283"/>
      <c r="P123" s="1295">
        <v>71000</v>
      </c>
      <c r="Q123" s="1295">
        <v>139</v>
      </c>
      <c r="R123" s="1295">
        <v>9</v>
      </c>
      <c r="S123" s="1283">
        <v>0.3</v>
      </c>
      <c r="T123" s="1283">
        <v>-0.5</v>
      </c>
      <c r="U123" s="1295">
        <v>194</v>
      </c>
      <c r="V123" s="1283" t="s">
        <v>457</v>
      </c>
      <c r="W123" s="1284"/>
      <c r="X123" s="1284"/>
      <c r="Y123" s="1284"/>
      <c r="Z123" s="1284"/>
      <c r="AA123" s="1284"/>
      <c r="AB123" s="150"/>
      <c r="AC123" s="1298">
        <v>14.97</v>
      </c>
      <c r="AD123" s="137"/>
      <c r="AE123" s="137">
        <v>14.8</v>
      </c>
      <c r="AF123" s="137"/>
      <c r="AG123" s="137"/>
      <c r="AH123" s="137">
        <v>8.9796842731118998E-4</v>
      </c>
      <c r="AI123" s="137">
        <v>14.0472878871799</v>
      </c>
      <c r="AJ123" s="137" t="s">
        <v>490</v>
      </c>
      <c r="AK123" s="331">
        <v>164.48663294577301</v>
      </c>
      <c r="AL123" s="331">
        <v>360.89087552948303</v>
      </c>
      <c r="AO123" s="331" t="s">
        <v>490</v>
      </c>
      <c r="AQ123" s="137">
        <v>5.0829700778800427E-3</v>
      </c>
      <c r="AR123" s="137">
        <f t="shared" si="50"/>
        <v>1.0656861395758965</v>
      </c>
      <c r="AS123" s="137">
        <f t="shared" si="51"/>
        <v>1.0535841593669519</v>
      </c>
      <c r="AT123" s="331">
        <v>11.9775649009086</v>
      </c>
      <c r="AU123" s="331">
        <v>925.40112788931197</v>
      </c>
      <c r="AV123" s="331">
        <v>2975.8495073940999</v>
      </c>
      <c r="AW123" s="332">
        <f t="shared" si="56"/>
        <v>0.90290729566648376</v>
      </c>
      <c r="AX123" s="331">
        <f t="shared" si="53"/>
        <v>0.21612346305043331</v>
      </c>
      <c r="AZ123" s="1298">
        <v>14.97</v>
      </c>
      <c r="BA123" s="1298"/>
      <c r="BD123" s="331">
        <v>2.5424350074854291E-2</v>
      </c>
      <c r="BF123" s="137" t="s">
        <v>473</v>
      </c>
      <c r="BG123" s="331">
        <v>0.35523463218133777</v>
      </c>
      <c r="BH123" s="331" t="s">
        <v>474</v>
      </c>
      <c r="BI123" s="137">
        <v>1.1108283951859665</v>
      </c>
      <c r="BJ123" s="137" t="s">
        <v>475</v>
      </c>
      <c r="BK123" s="1474">
        <f>AVERAGE(BI99:BI101)</f>
        <v>1.2590639703943818</v>
      </c>
      <c r="BL123" s="331">
        <f>_xlfn.STDEV.P(BI99:BI101)</f>
        <v>0.11798111392568314</v>
      </c>
      <c r="BM123" s="331">
        <f>COUNT(BI99:BI101)</f>
        <v>3</v>
      </c>
      <c r="BN123" s="653"/>
      <c r="BO123" s="653"/>
      <c r="BP123" s="653"/>
      <c r="BQ123" s="653"/>
      <c r="BR123" s="653"/>
      <c r="BS123" s="1043">
        <v>1.1856057834555538</v>
      </c>
      <c r="BT123" s="1043">
        <v>1.1326393226480216</v>
      </c>
      <c r="BU123" s="1043">
        <v>0.14305170880961199</v>
      </c>
      <c r="BV123" s="331">
        <v>1.3135647240573891</v>
      </c>
      <c r="CC123" s="1177"/>
      <c r="CD123" s="137" t="s">
        <v>473</v>
      </c>
      <c r="CE123" s="1524">
        <v>1.0583923998642484</v>
      </c>
      <c r="CF123" s="331" t="s">
        <v>474</v>
      </c>
      <c r="CG123" s="331" t="e">
        <v>#VALUE!</v>
      </c>
      <c r="CH123" s="137" t="s">
        <v>475</v>
      </c>
      <c r="CI123" s="1177"/>
      <c r="CJ123" s="1177"/>
      <c r="CK123" s="1177"/>
      <c r="CL123" s="1177"/>
      <c r="CM123" s="1177"/>
      <c r="CN123" s="1177"/>
      <c r="CO123" s="1177"/>
      <c r="CP123" s="1523">
        <v>0.22952184486798491</v>
      </c>
      <c r="CQ123" s="1177"/>
      <c r="CR123" s="331">
        <v>3.9534999999999999E-4</v>
      </c>
      <c r="CT123" s="331">
        <v>2.2303838061780301E-4</v>
      </c>
      <c r="CU123" s="331">
        <v>1.7725648783178216</v>
      </c>
      <c r="CV123" s="1177"/>
      <c r="CW123" s="331">
        <v>6.0004717781194056E-4</v>
      </c>
      <c r="CX123" s="1177">
        <f t="shared" ref="CX123:CX141" si="57">CR123/CW123</f>
        <v>0.65886486032920855</v>
      </c>
      <c r="CY123" s="1177"/>
      <c r="CZ123" s="1177"/>
      <c r="DA123" s="1177"/>
      <c r="DB123" s="1177"/>
      <c r="DC123" s="1177"/>
      <c r="DD123" s="1177"/>
      <c r="ED123" s="335" t="s">
        <v>493</v>
      </c>
      <c r="EG123" s="335" t="s">
        <v>496</v>
      </c>
      <c r="EM123" s="335" t="s">
        <v>497</v>
      </c>
      <c r="EN123" s="335"/>
    </row>
    <row r="124" spans="2:154" x14ac:dyDescent="0.35">
      <c r="B124" s="340" t="s">
        <v>412</v>
      </c>
      <c r="C124" s="1715"/>
      <c r="D124" s="325" t="s">
        <v>464</v>
      </c>
      <c r="E124" s="1294" t="s">
        <v>455</v>
      </c>
      <c r="F124" s="325" t="s">
        <v>458</v>
      </c>
      <c r="G124" s="325">
        <v>4</v>
      </c>
      <c r="H124" s="1295">
        <v>996.3</v>
      </c>
      <c r="I124" s="114" t="s">
        <v>411</v>
      </c>
      <c r="J124" s="1295">
        <v>69.900000000000006</v>
      </c>
      <c r="K124" s="1295">
        <v>119.8</v>
      </c>
      <c r="L124" s="1283">
        <v>0.1</v>
      </c>
      <c r="M124" s="1295">
        <v>10.42</v>
      </c>
      <c r="N124" s="1284"/>
      <c r="O124" s="1283"/>
      <c r="P124" s="1295">
        <v>71000</v>
      </c>
      <c r="Q124" s="1295">
        <v>139</v>
      </c>
      <c r="R124" s="1295">
        <v>9</v>
      </c>
      <c r="S124" s="1283">
        <v>0.3</v>
      </c>
      <c r="T124" s="1283">
        <v>-0.5</v>
      </c>
      <c r="U124" s="1295">
        <v>194</v>
      </c>
      <c r="V124" s="1283" t="s">
        <v>457</v>
      </c>
      <c r="W124" s="1284"/>
      <c r="X124" s="1284"/>
      <c r="Y124" s="1284"/>
      <c r="Z124" s="1284"/>
      <c r="AA124" s="1284"/>
      <c r="AB124" s="150"/>
      <c r="AC124" s="1298">
        <v>26.45</v>
      </c>
      <c r="AD124" s="137"/>
      <c r="AE124" s="137">
        <v>18.100000000000001</v>
      </c>
      <c r="AF124" s="137"/>
      <c r="AG124" s="137"/>
      <c r="AH124" s="137">
        <v>2.7332184619499302E-4</v>
      </c>
      <c r="AI124" s="137">
        <v>20.175497002485901</v>
      </c>
      <c r="AJ124" s="137" t="s">
        <v>490</v>
      </c>
      <c r="AK124" s="331">
        <v>158.975949601623</v>
      </c>
      <c r="AL124" s="331">
        <v>637.02470141003403</v>
      </c>
      <c r="AO124" s="331" t="s">
        <v>490</v>
      </c>
      <c r="AQ124" s="137">
        <v>8.9721788930990712E-3</v>
      </c>
      <c r="AR124" s="137">
        <f t="shared" si="50"/>
        <v>1.3109962047894528</v>
      </c>
      <c r="AS124" s="137">
        <f t="shared" si="51"/>
        <v>0.89712783768200755</v>
      </c>
      <c r="AT124" s="331">
        <v>18.073322717029399</v>
      </c>
      <c r="AU124" s="331">
        <v>585.25716633606703</v>
      </c>
      <c r="AV124" s="331">
        <v>3714.7661030343402</v>
      </c>
      <c r="AW124" s="332">
        <f t="shared" si="56"/>
        <v>0.90290729566648376</v>
      </c>
      <c r="AX124" s="331">
        <f t="shared" si="53"/>
        <v>0.19343794203610515</v>
      </c>
      <c r="AZ124" s="1298">
        <v>26.45</v>
      </c>
      <c r="BA124" s="1298"/>
      <c r="BD124" s="331">
        <v>1.7781833808898924E-2</v>
      </c>
      <c r="BF124" s="137" t="s">
        <v>473</v>
      </c>
      <c r="BG124" s="331">
        <v>0.14305170880961199</v>
      </c>
      <c r="BH124" s="331" t="s">
        <v>474</v>
      </c>
      <c r="BI124" s="137">
        <v>1.1856057834555538</v>
      </c>
      <c r="BJ124" s="137" t="s">
        <v>475</v>
      </c>
      <c r="BK124" s="1474" t="e">
        <f>AVERAGE(#REF!)</f>
        <v>#REF!</v>
      </c>
      <c r="BL124" s="331" t="e">
        <f>_xlfn.STDEV.P(#REF!)</f>
        <v>#REF!</v>
      </c>
      <c r="BM124" s="331">
        <f>COUNT(#REF!)</f>
        <v>0</v>
      </c>
      <c r="BN124" s="653"/>
      <c r="BO124" s="653"/>
      <c r="BP124" s="653"/>
      <c r="BQ124" s="653"/>
      <c r="BR124" s="653"/>
      <c r="BS124" s="1043">
        <v>1.274243677506337</v>
      </c>
      <c r="BT124" s="1043">
        <v>1.2084096497132237</v>
      </c>
      <c r="BU124" s="1043">
        <v>0.25215787497754283</v>
      </c>
      <c r="BV124" s="331">
        <v>1.4870782478057785</v>
      </c>
      <c r="CC124" s="1177"/>
      <c r="CD124" s="137" t="s">
        <v>473</v>
      </c>
      <c r="CE124" s="1523">
        <v>0.75823939558119724</v>
      </c>
      <c r="CF124" s="331" t="s">
        <v>474</v>
      </c>
      <c r="CG124" s="331" t="e">
        <v>#VALUE!</v>
      </c>
      <c r="CH124" s="137" t="s">
        <v>475</v>
      </c>
      <c r="CI124" s="1177"/>
      <c r="CJ124" s="1177"/>
      <c r="CK124" s="1177"/>
      <c r="CL124" s="1177"/>
      <c r="CM124" s="1177"/>
      <c r="CN124" s="1177"/>
      <c r="CO124" s="1177"/>
      <c r="CP124" s="1523">
        <v>0.61629503379247896</v>
      </c>
      <c r="CQ124" s="1177"/>
      <c r="CR124" s="331">
        <v>9.5030000000000003E-5</v>
      </c>
      <c r="CT124" s="1511">
        <v>6.9286843248100104E-5</v>
      </c>
      <c r="CU124" s="331">
        <v>1.3715446619456977</v>
      </c>
      <c r="CV124" s="1177"/>
      <c r="CW124" s="331">
        <v>4.5937013148136555E-5</v>
      </c>
      <c r="CX124" s="1177">
        <f t="shared" si="57"/>
        <v>2.068702196495658</v>
      </c>
      <c r="CY124" s="1177"/>
      <c r="CZ124" s="1177"/>
      <c r="DA124" s="1177"/>
      <c r="DB124" s="1177"/>
      <c r="DC124" s="1177"/>
      <c r="DD124" s="1177"/>
      <c r="DV124" s="331" t="s">
        <v>11</v>
      </c>
      <c r="DW124" s="331" t="s">
        <v>491</v>
      </c>
      <c r="DX124" s="331" t="s">
        <v>483</v>
      </c>
      <c r="DY124" s="331" t="s">
        <v>10</v>
      </c>
      <c r="EA124" s="331" t="s">
        <v>403</v>
      </c>
      <c r="EB124" s="335" t="s">
        <v>494</v>
      </c>
      <c r="EC124" s="335" t="s">
        <v>14</v>
      </c>
      <c r="ED124" s="335" t="s">
        <v>11</v>
      </c>
      <c r="EE124" s="335" t="s">
        <v>492</v>
      </c>
      <c r="EF124" s="331" t="s">
        <v>495</v>
      </c>
      <c r="EG124" s="335" t="s">
        <v>11</v>
      </c>
      <c r="EH124" s="335" t="s">
        <v>492</v>
      </c>
      <c r="EI124" s="331" t="s">
        <v>495</v>
      </c>
      <c r="EM124" s="335" t="s">
        <v>11</v>
      </c>
      <c r="EN124" s="335" t="s">
        <v>492</v>
      </c>
      <c r="EO124" s="331" t="s">
        <v>495</v>
      </c>
      <c r="ES124" s="331" t="s">
        <v>498</v>
      </c>
    </row>
    <row r="125" spans="2:154" x14ac:dyDescent="0.35">
      <c r="B125" s="340" t="s">
        <v>412</v>
      </c>
      <c r="C125" s="1715"/>
      <c r="D125" s="325" t="s">
        <v>464</v>
      </c>
      <c r="E125" s="1294" t="s">
        <v>456</v>
      </c>
      <c r="F125" s="325" t="s">
        <v>458</v>
      </c>
      <c r="G125" s="325">
        <v>4</v>
      </c>
      <c r="H125" s="1295">
        <v>993.2</v>
      </c>
      <c r="I125" s="114" t="s">
        <v>411</v>
      </c>
      <c r="J125" s="1295">
        <v>119.9</v>
      </c>
      <c r="K125" s="1295">
        <v>119.9</v>
      </c>
      <c r="L125" s="1283">
        <v>0.1</v>
      </c>
      <c r="M125" s="1295">
        <v>8.91</v>
      </c>
      <c r="N125" s="335"/>
      <c r="O125" s="1283"/>
      <c r="P125" s="1295">
        <v>69000</v>
      </c>
      <c r="Q125" s="1295">
        <v>181</v>
      </c>
      <c r="R125" s="1295">
        <v>9</v>
      </c>
      <c r="S125" s="1283">
        <v>0.3</v>
      </c>
      <c r="T125" s="1283">
        <v>-0.5</v>
      </c>
      <c r="U125" s="1295">
        <v>228</v>
      </c>
      <c r="V125" s="1283" t="s">
        <v>457</v>
      </c>
      <c r="W125" s="335"/>
      <c r="X125" s="335"/>
      <c r="Y125" s="335"/>
      <c r="Z125" s="335"/>
      <c r="AA125" s="335"/>
      <c r="AB125" s="1290"/>
      <c r="AC125" s="1295">
        <v>36.22</v>
      </c>
      <c r="AE125" s="999">
        <v>29.6</v>
      </c>
      <c r="AH125" s="331">
        <v>3.6452983349957198E-4</v>
      </c>
      <c r="AI125" s="331">
        <v>33.060317510862802</v>
      </c>
      <c r="AJ125" s="331" t="s">
        <v>490</v>
      </c>
      <c r="AK125" s="331">
        <v>203.630804913047</v>
      </c>
      <c r="AL125" s="331">
        <v>436.85128401464999</v>
      </c>
      <c r="AO125" s="331" t="s">
        <v>490</v>
      </c>
      <c r="AQ125" s="137">
        <v>6.3311780291978263E-3</v>
      </c>
      <c r="AR125" s="137">
        <f t="shared" si="50"/>
        <v>1.0955732650812868</v>
      </c>
      <c r="AS125" s="137">
        <f t="shared" si="51"/>
        <v>0.89533320393169769</v>
      </c>
      <c r="AT125" s="331">
        <v>29.7841989613412</v>
      </c>
      <c r="AU125" s="331">
        <v>1498.42514304767</v>
      </c>
      <c r="AV125" s="331">
        <v>2062.7035319650799</v>
      </c>
      <c r="AW125" s="332">
        <f t="shared" si="56"/>
        <v>0.91792053338138568</v>
      </c>
      <c r="AX125" s="331">
        <f t="shared" si="53"/>
        <v>0.29622443603546378</v>
      </c>
      <c r="AZ125" s="1295">
        <v>36.22</v>
      </c>
      <c r="BA125" s="1295"/>
      <c r="BD125" s="331">
        <v>0.11663889192041149</v>
      </c>
      <c r="BF125" s="137" t="s">
        <v>473</v>
      </c>
      <c r="BG125" s="331">
        <v>0.71890421861666365</v>
      </c>
      <c r="BH125" s="331" t="s">
        <v>474</v>
      </c>
      <c r="BI125" s="137">
        <v>1.2203040531340843</v>
      </c>
      <c r="BJ125" s="137" t="s">
        <v>475</v>
      </c>
      <c r="BK125" s="331">
        <f>AVERAGE(BI102:BI134)</f>
        <v>1.2139852811058196</v>
      </c>
      <c r="BL125" s="331">
        <f>_xlfn.STDEV.P(BI102:BI134)</f>
        <v>0.10233416646804472</v>
      </c>
      <c r="BM125" s="331">
        <f>COUNT(BI102:BI136)</f>
        <v>35</v>
      </c>
      <c r="BR125" s="653"/>
      <c r="BS125" s="1043">
        <v>1.2052954216071621</v>
      </c>
      <c r="BT125" s="1043">
        <v>1.1222816864213363</v>
      </c>
      <c r="BU125" s="1043">
        <v>0.43650830195139273</v>
      </c>
      <c r="BV125" s="331">
        <v>1.4377177495867737</v>
      </c>
      <c r="CD125" s="137" t="s">
        <v>473</v>
      </c>
      <c r="CE125" s="1043">
        <v>0.43650830195139273</v>
      </c>
      <c r="CF125" s="331" t="s">
        <v>474</v>
      </c>
      <c r="CG125" s="331">
        <v>1.4377177495867737</v>
      </c>
      <c r="CH125" s="137" t="s">
        <v>475</v>
      </c>
      <c r="CP125" s="1523">
        <v>0.28413755018822406</v>
      </c>
      <c r="CR125" s="331">
        <v>5.25078E-4</v>
      </c>
      <c r="CT125" s="331">
        <v>2.20055345004915E-4</v>
      </c>
      <c r="CU125" s="331">
        <v>2.3861179104205457</v>
      </c>
      <c r="CW125" s="331">
        <v>5.6635837807208155E-4</v>
      </c>
      <c r="CX125" s="1177">
        <f t="shared" si="57"/>
        <v>0.92711262043548737</v>
      </c>
      <c r="DV125" s="1254">
        <v>90.26</v>
      </c>
      <c r="DW125" s="1252">
        <v>400.5</v>
      </c>
      <c r="DX125" s="1252">
        <v>2</v>
      </c>
      <c r="DY125" s="1252">
        <v>1.7849999999999999</v>
      </c>
      <c r="DZ125" s="1238"/>
      <c r="EA125" s="1238">
        <v>19.87</v>
      </c>
      <c r="EB125" s="335">
        <f>SQRT(235/266.7)</f>
        <v>0.93869050145285393</v>
      </c>
      <c r="EC125" s="335">
        <f>(DW125+DV125+DV125+DY125+DY125)*DX125</f>
        <v>1169.1799999999998</v>
      </c>
      <c r="ED125" s="335">
        <f>EA125-DY125-DX125</f>
        <v>16.085000000000001</v>
      </c>
      <c r="EE125" s="335">
        <f>ED125/$DY125/(28.4*$EB125*SQRT(0.43))</f>
        <v>0.51547529241242884</v>
      </c>
      <c r="EF125" s="331">
        <f>(EE125-0.188)/(EE125^2)</f>
        <v>1.2324316170958396</v>
      </c>
      <c r="EG125" s="335">
        <f>DV125-2*DX125-2*DY125</f>
        <v>82.690000000000012</v>
      </c>
      <c r="EH125" s="335">
        <f>EG125/$DY125/(28.4*$EB125*SQRT(3.4))</f>
        <v>0.94239842066235369</v>
      </c>
      <c r="EI125" s="331">
        <f>(EH125-0.188)/(EH125^2)</f>
        <v>0.84943797229376827</v>
      </c>
      <c r="EJ125" s="331">
        <f>(1-EI125)*EG125*DY125</f>
        <v>22.22320371678552</v>
      </c>
      <c r="EK125" s="331">
        <f>EJ125*DY125*DW125^2/4</f>
        <v>1590706.066518097</v>
      </c>
      <c r="EL125" s="331">
        <f>EJ125*DY125*DW125/2</f>
        <v>7943.6008315510453</v>
      </c>
      <c r="EM125" s="335">
        <f>DW125-2*DX125-2*DY125</f>
        <v>392.93</v>
      </c>
      <c r="EN125" s="335">
        <f>EM125/$DY125/(28.4*$EB125*SQRT(23.9))</f>
        <v>1.6890295742856767</v>
      </c>
      <c r="EO125" s="331">
        <f>(EN125-0.188)/(EN125^2)</f>
        <v>0.52615625916309972</v>
      </c>
      <c r="EP125" s="331">
        <f>(1-EO125)*EM125*0.5</f>
        <v>93.09371054352161</v>
      </c>
      <c r="EQ125" s="331">
        <f>EP125*DY125*((0.3-0.1*EO125)*EM125)^2</f>
        <v>1570122.2430598382</v>
      </c>
      <c r="ER125" s="331">
        <f>EP125*DY125*((0.3-0.1*EO125)*EM125)</f>
        <v>16152.732973705813</v>
      </c>
      <c r="ES125" s="331">
        <f>DW125^3*DY125/12 +(DV125+12)*DY125*(DW125/2)^2</f>
        <v>16875373.461975001</v>
      </c>
      <c r="ET125" s="331">
        <f>ES125-EQ125-EK125</f>
        <v>13714545.152397066</v>
      </c>
      <c r="EU125" s="331">
        <f>(EL125+ER125)/EC125</f>
        <v>20.609601434558289</v>
      </c>
      <c r="EV125" s="331">
        <f>ET125-EC125*EU125^2</f>
        <v>13217929.31663665</v>
      </c>
      <c r="EW125" s="331">
        <f>EV125/(0.5*DW125)</f>
        <v>66007.13766110687</v>
      </c>
      <c r="EX125" s="331">
        <f>EW125*266.7/1000000</f>
        <v>17.604103614217202</v>
      </c>
    </row>
    <row r="126" spans="2:154" x14ac:dyDescent="0.35">
      <c r="C126" s="1696" t="s">
        <v>236</v>
      </c>
      <c r="D126" s="1293" t="s">
        <v>441</v>
      </c>
      <c r="E126" s="1312" t="s">
        <v>238</v>
      </c>
      <c r="F126" s="1327" t="s">
        <v>237</v>
      </c>
      <c r="G126" s="325">
        <v>4</v>
      </c>
      <c r="H126" s="1330">
        <v>4000</v>
      </c>
      <c r="I126" s="114" t="s">
        <v>411</v>
      </c>
      <c r="J126" s="1339">
        <v>100.2</v>
      </c>
      <c r="K126" s="1339">
        <v>150.6</v>
      </c>
      <c r="L126" s="1339">
        <v>3</v>
      </c>
      <c r="M126" s="1359">
        <v>2.89</v>
      </c>
      <c r="P126" s="150">
        <v>196750</v>
      </c>
      <c r="Q126" s="1300">
        <v>296</v>
      </c>
      <c r="R126" s="885">
        <v>7</v>
      </c>
      <c r="S126" s="1299">
        <v>0.3</v>
      </c>
      <c r="T126" s="1299">
        <v>-0.5</v>
      </c>
      <c r="U126" s="1300">
        <v>627</v>
      </c>
      <c r="V126" s="331" t="s">
        <v>412</v>
      </c>
      <c r="W126" s="150">
        <v>196750</v>
      </c>
      <c r="X126" s="331">
        <v>477.89632165402378</v>
      </c>
      <c r="Y126" s="331">
        <f>R126</f>
        <v>7</v>
      </c>
      <c r="Z126" s="331">
        <f t="shared" ref="Z126:AA141" si="58">S126</f>
        <v>0.3</v>
      </c>
      <c r="AA126" s="331">
        <f t="shared" si="58"/>
        <v>-0.5</v>
      </c>
      <c r="AB126" s="1300">
        <v>627</v>
      </c>
      <c r="AC126" s="1383">
        <v>26.25</v>
      </c>
      <c r="AH126" s="1511">
        <v>4.9544534432979803E-5</v>
      </c>
      <c r="AI126" s="331">
        <v>20.790137099203701</v>
      </c>
      <c r="AJ126" s="331" t="s">
        <v>422</v>
      </c>
      <c r="AK126" s="331">
        <v>298.91701168869997</v>
      </c>
      <c r="AL126" s="331">
        <v>18490.374715056401</v>
      </c>
      <c r="AM126" s="331">
        <v>452.29563700462802</v>
      </c>
      <c r="AN126" s="331">
        <v>38261.1033163834</v>
      </c>
      <c r="AO126" s="331" t="s">
        <v>422</v>
      </c>
      <c r="AQ126" s="137">
        <v>9.3979032859244735E-2</v>
      </c>
      <c r="AR126" s="137">
        <f>AC126/AI126</f>
        <v>1.2626179363196899</v>
      </c>
      <c r="AS126" s="137" t="e">
        <f>AE126/#REF!</f>
        <v>#REF!</v>
      </c>
      <c r="AV126" s="148">
        <v>837.43</v>
      </c>
      <c r="AW126" s="332">
        <f t="shared" si="56"/>
        <v>0.9398145013878545</v>
      </c>
      <c r="AX126" s="331">
        <v>0.5587451159971345</v>
      </c>
      <c r="AZ126" s="331">
        <v>16.954733016316304</v>
      </c>
      <c r="BA126" s="331">
        <f>AC126/AZ126</f>
        <v>1.5482402450536048</v>
      </c>
      <c r="BB126" s="331">
        <v>21.258794081631894</v>
      </c>
      <c r="BC126" s="331">
        <f t="shared" ref="BC126:BC162" si="59">AC126/BB126</f>
        <v>1.2347831160696281</v>
      </c>
      <c r="BD126" s="331">
        <v>1.7036267154552701E-2</v>
      </c>
      <c r="BF126" s="137" t="s">
        <v>473</v>
      </c>
      <c r="BG126" s="331">
        <v>0.25215787497754283</v>
      </c>
      <c r="BH126" s="331" t="s">
        <v>474</v>
      </c>
      <c r="BI126" s="137">
        <v>1.274243677506337</v>
      </c>
      <c r="BJ126" s="137" t="s">
        <v>475</v>
      </c>
      <c r="BK126" s="331">
        <f>AVERAGE(BI135:BI142)</f>
        <v>1.1776754213843144</v>
      </c>
      <c r="BL126" s="331">
        <f>_xlfn.STDEV.P(BI135:BI142)</f>
        <v>9.154156360085855E-2</v>
      </c>
      <c r="BM126" s="331">
        <f>COUNT(BI135:BI142)</f>
        <v>8</v>
      </c>
      <c r="BR126" s="653"/>
      <c r="BS126" s="1043">
        <v>1.1813677757608576</v>
      </c>
      <c r="BT126" s="1043">
        <v>1.1130368069748784</v>
      </c>
      <c r="BU126" s="1043">
        <v>0.48381396318765241</v>
      </c>
      <c r="BV126" s="331">
        <v>1.4757902965481267</v>
      </c>
      <c r="CD126" s="137" t="s">
        <v>473</v>
      </c>
      <c r="CE126" s="1043">
        <v>0.48381396318765241</v>
      </c>
      <c r="CF126" s="331" t="s">
        <v>474</v>
      </c>
      <c r="CG126" s="331">
        <v>1.4757902965481267</v>
      </c>
      <c r="CH126" s="137" t="s">
        <v>475</v>
      </c>
      <c r="CP126" s="1523">
        <v>0.50905382807088806</v>
      </c>
      <c r="CR126" s="331">
        <v>1.00624E-4</v>
      </c>
      <c r="CT126" s="1511">
        <v>8.5469448574416196E-5</v>
      </c>
      <c r="CU126" s="331">
        <v>1.1773095729334102</v>
      </c>
      <c r="CW126" s="331">
        <v>9.8615538440932605E-5</v>
      </c>
      <c r="CX126" s="1177">
        <f t="shared" si="57"/>
        <v>1.0203665831046533</v>
      </c>
      <c r="DV126" s="325">
        <v>80.209999999999994</v>
      </c>
      <c r="DW126" s="325">
        <v>301</v>
      </c>
      <c r="DX126" s="325">
        <v>2</v>
      </c>
      <c r="DY126" s="325">
        <v>1.8</v>
      </c>
      <c r="DZ126" s="1510"/>
      <c r="EA126" s="1510">
        <v>19.78</v>
      </c>
      <c r="EB126" s="335">
        <f t="shared" ref="EB126:EB127" si="60">SQRT(235/266.7)</f>
        <v>0.93869050145285393</v>
      </c>
      <c r="EC126" s="335">
        <f t="shared" ref="EC126:EC127" si="61">(DW126+DV126+DV126+DY126+DY126)*DX126</f>
        <v>930.04</v>
      </c>
      <c r="ED126" s="335">
        <f t="shared" ref="ED126:ED127" si="62">EA126-DY126-DX126</f>
        <v>15.98</v>
      </c>
      <c r="EE126" s="335">
        <f t="shared" ref="EE126:EE127" si="63">ED126/$DY126/(28.4*$EB126*SQRT(0.43))</f>
        <v>0.50784277564880465</v>
      </c>
      <c r="EF126" s="331">
        <f t="shared" ref="EF126:EF127" si="64">(EE126-0.188)/(EE126^2)</f>
        <v>1.2401607670972756</v>
      </c>
      <c r="EG126" s="335">
        <f t="shared" ref="EG126:EG127" si="65">DV126-2*DX126-2*DY126</f>
        <v>72.61</v>
      </c>
      <c r="EH126" s="335">
        <f>EG126/$DY126/(28.4*$EB126*SQRT(3.6))</f>
        <v>0.79750225169409539</v>
      </c>
      <c r="EI126" s="331">
        <f t="shared" ref="EI126:EI127" si="66">(EH126-0.188)/(EH126^2)</f>
        <v>0.95832204466785331</v>
      </c>
      <c r="EJ126" s="331">
        <f>(1-EI126)*EG126*DY126</f>
        <v>5.447225406000908</v>
      </c>
      <c r="EK126" s="331">
        <f>EJ126*DY126*DW126^2/4</f>
        <v>222085.83105408971</v>
      </c>
      <c r="EL126" s="331">
        <f>EJ126*DY126*DW126/2</f>
        <v>1475.6533624856459</v>
      </c>
      <c r="EM126" s="335">
        <f>DW126-2*DX126-2*DY126</f>
        <v>293.39999999999998</v>
      </c>
      <c r="EN126" s="335">
        <f>EM126/$DY126/(28.4*$EB126*SQRT(23.9))</f>
        <v>1.2506848542648537</v>
      </c>
      <c r="EO126" s="331">
        <f t="shared" ref="EO126:EO127" si="67">(EN126-0.188)/(EN126^2)</f>
        <v>0.67937366767170326</v>
      </c>
      <c r="EP126" s="331">
        <f t="shared" ref="EP126:EP127" si="68">(1-EO126)*EM126*0.5</f>
        <v>47.035882952561124</v>
      </c>
      <c r="EQ126" s="331">
        <f>EP126*DY126*((0.3-0.1*EO126)*EM126)^2</f>
        <v>392493.48917290586</v>
      </c>
      <c r="ER126" s="331">
        <f t="shared" ref="ER126:ER127" si="69">EP126*DY126*((0.3-0.1*EO126)*EM126)</f>
        <v>5764.5728436270465</v>
      </c>
      <c r="ES126" s="331">
        <f>DW126^3*DY126/12 +(DV126+12)*DY126*(DW126/2)^2</f>
        <v>7850078.3444999997</v>
      </c>
      <c r="ET126" s="331">
        <f>ES126-EQ126-EK126</f>
        <v>7235499.0242730044</v>
      </c>
      <c r="EU126" s="331">
        <f t="shared" ref="EU126:EU127" si="70">(EL126+ER126)/EC126</f>
        <v>7.7848546364808957</v>
      </c>
      <c r="EV126" s="331">
        <f t="shared" ref="EV126:EV127" si="71">ET126-EC126*EU126^2</f>
        <v>7179134.9157231776</v>
      </c>
      <c r="EW126" s="331">
        <f t="shared" ref="EW126:EW127" si="72">EV126/(0.5*DW126)</f>
        <v>47701.893127728756</v>
      </c>
      <c r="EX126" s="331">
        <f t="shared" ref="EX126:EX127" si="73">EW126*266.7/1000000</f>
        <v>12.72209489716526</v>
      </c>
    </row>
    <row r="127" spans="2:154" x14ac:dyDescent="0.35">
      <c r="C127" s="1696"/>
      <c r="D127" s="1293" t="s">
        <v>441</v>
      </c>
      <c r="E127" s="1312" t="s">
        <v>238</v>
      </c>
      <c r="F127" s="1327" t="s">
        <v>237</v>
      </c>
      <c r="G127" s="325">
        <v>4</v>
      </c>
      <c r="H127" s="1330">
        <v>4000</v>
      </c>
      <c r="I127" s="114" t="s">
        <v>411</v>
      </c>
      <c r="J127" s="1339">
        <v>100.3</v>
      </c>
      <c r="K127" s="1339">
        <v>150.4</v>
      </c>
      <c r="L127" s="1339">
        <v>3</v>
      </c>
      <c r="M127" s="1359">
        <v>2.89</v>
      </c>
      <c r="P127" s="150">
        <v>196750</v>
      </c>
      <c r="Q127" s="1300">
        <v>296</v>
      </c>
      <c r="R127" s="885">
        <v>7</v>
      </c>
      <c r="S127" s="1299">
        <v>0.3</v>
      </c>
      <c r="T127" s="1299">
        <v>-0.5</v>
      </c>
      <c r="U127" s="1300">
        <v>627</v>
      </c>
      <c r="V127" s="331" t="s">
        <v>412</v>
      </c>
      <c r="W127" s="1300">
        <v>196750</v>
      </c>
      <c r="X127" s="331">
        <v>477.89632165402378</v>
      </c>
      <c r="Y127" s="331">
        <f t="shared" ref="Y127:AA187" si="74">R127</f>
        <v>7</v>
      </c>
      <c r="Z127" s="331">
        <f t="shared" si="58"/>
        <v>0.3</v>
      </c>
      <c r="AA127" s="331">
        <f t="shared" si="58"/>
        <v>-0.5</v>
      </c>
      <c r="AB127" s="1300">
        <v>627</v>
      </c>
      <c r="AC127" s="1383">
        <v>26.25</v>
      </c>
      <c r="AH127" s="1511">
        <v>4.9473465701172902E-5</v>
      </c>
      <c r="AI127" s="331">
        <v>20.748295741453301</v>
      </c>
      <c r="AJ127" s="331" t="s">
        <v>422</v>
      </c>
      <c r="AK127" s="331">
        <v>298.728164273564</v>
      </c>
      <c r="AL127" s="331">
        <v>18551.509234434699</v>
      </c>
      <c r="AM127" s="331">
        <v>451.90470409333898</v>
      </c>
      <c r="AN127" s="331">
        <v>38421.261242615903</v>
      </c>
      <c r="AO127" s="331" t="s">
        <v>422</v>
      </c>
      <c r="AQ127" s="137">
        <v>9.4289754685818045E-2</v>
      </c>
      <c r="AR127" s="137">
        <f t="shared" ref="AR127:AR183" si="75">AC127/AI127</f>
        <v>1.265164152617835</v>
      </c>
      <c r="AS127" s="137" t="e">
        <f>AE127/#REF!</f>
        <v>#REF!</v>
      </c>
      <c r="AV127" s="148">
        <v>835.87</v>
      </c>
      <c r="AW127" s="332">
        <f t="shared" si="56"/>
        <v>0.93973289946444305</v>
      </c>
      <c r="AX127" s="331">
        <v>0.5592177114430229</v>
      </c>
      <c r="AZ127" s="331">
        <v>16.928637778737464</v>
      </c>
      <c r="BA127" s="331">
        <f t="shared" ref="BA127:BA191" si="76">AC127/AZ127</f>
        <v>1.5506268338359899</v>
      </c>
      <c r="BB127" s="331">
        <v>21.223156473143693</v>
      </c>
      <c r="BC127" s="331">
        <f t="shared" si="59"/>
        <v>1.2368565455010143</v>
      </c>
      <c r="BD127" s="331">
        <v>6.0575902429726415E-2</v>
      </c>
      <c r="BF127" s="137" t="s">
        <v>473</v>
      </c>
      <c r="BG127" s="331">
        <v>0.43650830195139273</v>
      </c>
      <c r="BH127" s="331" t="s">
        <v>474</v>
      </c>
      <c r="BI127" s="137">
        <v>1.2052954216071621</v>
      </c>
      <c r="BJ127" s="137" t="s">
        <v>475</v>
      </c>
      <c r="BK127" s="331">
        <f>AVERAGE(BI99:BI144)</f>
        <v>1.2047572908307664</v>
      </c>
      <c r="BL127" s="331">
        <f>_xlfn.STDEV.P(BI99:BI144)</f>
        <v>0.10467151136622393</v>
      </c>
      <c r="BM127" s="331">
        <f>COUNT(BI99:BI144)</f>
        <v>46</v>
      </c>
      <c r="BR127" s="653"/>
      <c r="BS127" s="1043">
        <v>1.2544604876453112</v>
      </c>
      <c r="BT127" s="1043">
        <v>1.2160531291377623</v>
      </c>
      <c r="BU127" s="1043">
        <v>0.64554780347065355</v>
      </c>
      <c r="BV127" s="331">
        <v>1.5081473152781499</v>
      </c>
      <c r="CD127" s="137" t="s">
        <v>473</v>
      </c>
      <c r="CE127" s="1043">
        <v>0.64554780347065355</v>
      </c>
      <c r="CF127" s="331" t="s">
        <v>474</v>
      </c>
      <c r="CG127" s="331">
        <v>1.5081473152781499</v>
      </c>
      <c r="CH127" s="137" t="s">
        <v>475</v>
      </c>
      <c r="CP127" s="1523">
        <v>0.59628222804591868</v>
      </c>
      <c r="CR127" s="331">
        <v>7.7433000000000002E-5</v>
      </c>
      <c r="CT127" s="1511">
        <v>6.6835315987683495E-5</v>
      </c>
      <c r="CU127" s="331">
        <v>1.1585641341812383</v>
      </c>
      <c r="CW127" s="331">
        <v>5.3558824488241932E-5</v>
      </c>
      <c r="CX127" s="1177">
        <f t="shared" si="57"/>
        <v>1.4457561520417481</v>
      </c>
      <c r="DV127" s="904">
        <v>50.41</v>
      </c>
      <c r="DW127" s="904">
        <v>250</v>
      </c>
      <c r="DX127" s="1245">
        <v>2</v>
      </c>
      <c r="DY127" s="1245">
        <v>1.7949999999999999</v>
      </c>
      <c r="DZ127" s="1245"/>
      <c r="EA127" s="1245">
        <v>19.97</v>
      </c>
      <c r="EB127" s="335">
        <f t="shared" si="60"/>
        <v>0.93869050145285393</v>
      </c>
      <c r="EC127" s="335">
        <f t="shared" si="61"/>
        <v>708.81999999999994</v>
      </c>
      <c r="ED127" s="335">
        <f t="shared" si="62"/>
        <v>16.174999999999997</v>
      </c>
      <c r="EE127" s="335">
        <f t="shared" si="63"/>
        <v>0.5154717217209166</v>
      </c>
      <c r="EF127" s="331">
        <f t="shared" si="64"/>
        <v>1.2324352531052967</v>
      </c>
      <c r="EG127" s="335">
        <f t="shared" si="65"/>
        <v>42.819999999999993</v>
      </c>
      <c r="EH127" s="335">
        <f>EG127/$DY127/(28.4*$EB127*SQRT(4))</f>
        <v>0.44741593843563421</v>
      </c>
      <c r="EI127" s="331">
        <f t="shared" si="66"/>
        <v>1.2959067542345999</v>
      </c>
      <c r="EM127" s="335">
        <f>DW127-2*DX127-2*DY127</f>
        <v>242.41</v>
      </c>
      <c r="EN127" s="335">
        <f>EM127/$DY127/(28.4*$EB127*SQRT(23.9))</f>
        <v>1.036206625501455</v>
      </c>
      <c r="EO127" s="331">
        <f t="shared" si="67"/>
        <v>0.78996696602472893</v>
      </c>
      <c r="EP127" s="331">
        <f t="shared" si="68"/>
        <v>25.45705388297273</v>
      </c>
      <c r="EQ127" s="331">
        <f>EP127*DY127*((0.3-0.1*EO127)*EM127)^2</f>
        <v>131150.87377019992</v>
      </c>
      <c r="ER127" s="331">
        <f t="shared" si="69"/>
        <v>2448.0590626777462</v>
      </c>
      <c r="ES127" s="331">
        <f>DW127^3*DY127/12 +(DV127+12)*DY127*(DW127/2)^2</f>
        <v>4087645.0520833335</v>
      </c>
      <c r="ET127" s="331">
        <f>ES127-EQ127-EK127</f>
        <v>3956494.1783131338</v>
      </c>
      <c r="EU127" s="331">
        <f t="shared" si="70"/>
        <v>3.4537104803444407</v>
      </c>
      <c r="EV127" s="331">
        <f t="shared" si="71"/>
        <v>3948039.2910718615</v>
      </c>
      <c r="EW127" s="331">
        <f t="shared" si="72"/>
        <v>31584.314328574892</v>
      </c>
      <c r="EX127" s="331">
        <f t="shared" si="73"/>
        <v>8.4235366314309239</v>
      </c>
    </row>
    <row r="128" spans="2:154" x14ac:dyDescent="0.35">
      <c r="C128" s="1696"/>
      <c r="D128" s="1293" t="s">
        <v>441</v>
      </c>
      <c r="E128" s="1312" t="s">
        <v>238</v>
      </c>
      <c r="F128" s="1327" t="s">
        <v>237</v>
      </c>
      <c r="G128" s="325">
        <v>4</v>
      </c>
      <c r="H128" s="1330">
        <v>4000</v>
      </c>
      <c r="I128" s="114" t="s">
        <v>411</v>
      </c>
      <c r="J128" s="1339">
        <v>100.2</v>
      </c>
      <c r="K128" s="1339">
        <v>150.6</v>
      </c>
      <c r="L128" s="1339">
        <v>3</v>
      </c>
      <c r="M128" s="1359">
        <v>2.89</v>
      </c>
      <c r="P128" s="150">
        <v>196750</v>
      </c>
      <c r="Q128" s="1300">
        <v>296</v>
      </c>
      <c r="R128" s="885">
        <v>7</v>
      </c>
      <c r="S128" s="1299">
        <v>0.3</v>
      </c>
      <c r="T128" s="1299">
        <v>-0.5</v>
      </c>
      <c r="U128" s="1300">
        <v>627</v>
      </c>
      <c r="V128" s="331" t="s">
        <v>412</v>
      </c>
      <c r="W128" s="1300">
        <v>196750</v>
      </c>
      <c r="X128" s="331">
        <v>477.89632165402378</v>
      </c>
      <c r="Y128" s="331">
        <f t="shared" si="74"/>
        <v>7</v>
      </c>
      <c r="Z128" s="331">
        <f t="shared" si="58"/>
        <v>0.3</v>
      </c>
      <c r="AA128" s="331">
        <f t="shared" si="58"/>
        <v>-0.5</v>
      </c>
      <c r="AB128" s="1300">
        <v>627</v>
      </c>
      <c r="AC128" s="1383">
        <v>26.25</v>
      </c>
      <c r="AH128" s="1511">
        <v>4.9544534432979803E-5</v>
      </c>
      <c r="AI128" s="331">
        <v>20.790137099203701</v>
      </c>
      <c r="AJ128" s="331" t="s">
        <v>422</v>
      </c>
      <c r="AK128" s="331">
        <v>298.91701168869997</v>
      </c>
      <c r="AL128" s="331">
        <v>18490.374715056401</v>
      </c>
      <c r="AM128" s="331">
        <v>452.29563700462802</v>
      </c>
      <c r="AN128" s="331">
        <v>38261.1033163834</v>
      </c>
      <c r="AO128" s="331" t="s">
        <v>422</v>
      </c>
      <c r="AQ128" s="137">
        <v>9.3979032859244735E-2</v>
      </c>
      <c r="AR128" s="137">
        <f t="shared" si="75"/>
        <v>1.2626179363196899</v>
      </c>
      <c r="AS128" s="137" t="e">
        <f>AE128/#REF!</f>
        <v>#REF!</v>
      </c>
      <c r="AV128" s="148">
        <v>837.43</v>
      </c>
      <c r="AW128" s="332">
        <f t="shared" si="56"/>
        <v>0.9398145013878545</v>
      </c>
      <c r="AX128" s="331">
        <v>0.5587451159971345</v>
      </c>
      <c r="AZ128" s="331">
        <v>16.954733016316304</v>
      </c>
      <c r="BA128" s="331">
        <f t="shared" si="76"/>
        <v>1.5482402450536048</v>
      </c>
      <c r="BB128" s="331">
        <v>21.258794081631894</v>
      </c>
      <c r="BC128" s="331">
        <f t="shared" si="59"/>
        <v>1.2347831160696281</v>
      </c>
      <c r="BD128" s="331">
        <v>0.11550214465350961</v>
      </c>
      <c r="BF128" s="137" t="s">
        <v>473</v>
      </c>
      <c r="BG128" s="331">
        <v>0.71784468089051623</v>
      </c>
      <c r="BH128" s="331" t="s">
        <v>474</v>
      </c>
      <c r="BI128" s="137">
        <v>1.2331359641227229</v>
      </c>
      <c r="BJ128" s="137" t="s">
        <v>475</v>
      </c>
      <c r="BR128" s="653"/>
      <c r="BS128" s="1043">
        <v>1.1037404634951584</v>
      </c>
      <c r="BT128" s="1043">
        <v>1.048686054496232</v>
      </c>
      <c r="BU128" s="1043">
        <v>0.50668967145855681</v>
      </c>
      <c r="BV128" s="331">
        <v>1.3225619239441684</v>
      </c>
      <c r="CD128" s="137" t="s">
        <v>473</v>
      </c>
      <c r="CE128" s="1043">
        <v>0.50668967145855681</v>
      </c>
      <c r="CF128" s="331" t="s">
        <v>474</v>
      </c>
      <c r="CG128" s="331">
        <v>1.3225619239441684</v>
      </c>
      <c r="CH128" s="137" t="s">
        <v>475</v>
      </c>
      <c r="CP128" s="1523">
        <v>0.58061403806919676</v>
      </c>
      <c r="CR128" s="331">
        <v>7.0389999999999995E-5</v>
      </c>
      <c r="CT128" s="1511">
        <v>5.9475495575392398E-5</v>
      </c>
      <c r="CU128" s="331">
        <v>1.1835126268224556</v>
      </c>
      <c r="CW128" s="331">
        <v>5.0943688385385773E-5</v>
      </c>
      <c r="CX128" s="1177">
        <f t="shared" si="57"/>
        <v>1.3817217054938014</v>
      </c>
    </row>
    <row r="129" spans="3:138" x14ac:dyDescent="0.35">
      <c r="C129" s="1696"/>
      <c r="D129" s="1293" t="s">
        <v>441</v>
      </c>
      <c r="E129" s="1312" t="s">
        <v>239</v>
      </c>
      <c r="F129" s="1327" t="s">
        <v>237</v>
      </c>
      <c r="G129" s="325">
        <v>4</v>
      </c>
      <c r="H129" s="1330">
        <v>2200</v>
      </c>
      <c r="I129" s="114" t="s">
        <v>411</v>
      </c>
      <c r="J129" s="1339">
        <v>100.2</v>
      </c>
      <c r="K129" s="1339">
        <v>149.9</v>
      </c>
      <c r="L129" s="1339">
        <v>4.5</v>
      </c>
      <c r="M129" s="1359">
        <v>5.85</v>
      </c>
      <c r="P129" s="150">
        <v>193000</v>
      </c>
      <c r="Q129" s="1300">
        <v>349.5</v>
      </c>
      <c r="R129" s="885">
        <v>7</v>
      </c>
      <c r="S129" s="1299">
        <v>0.3</v>
      </c>
      <c r="T129" s="1299">
        <v>-0.5</v>
      </c>
      <c r="U129" s="1300">
        <v>653.5</v>
      </c>
      <c r="V129" s="331" t="s">
        <v>412</v>
      </c>
      <c r="W129" s="1300">
        <v>196750</v>
      </c>
      <c r="X129" s="331">
        <v>518.76905011495217</v>
      </c>
      <c r="Y129" s="331">
        <f t="shared" si="74"/>
        <v>7</v>
      </c>
      <c r="Z129" s="331">
        <f t="shared" si="58"/>
        <v>0.3</v>
      </c>
      <c r="AA129" s="331">
        <f t="shared" si="58"/>
        <v>-0.5</v>
      </c>
      <c r="AB129" s="1300">
        <v>653.5</v>
      </c>
      <c r="AC129" s="1383">
        <v>70.540000000000006</v>
      </c>
      <c r="AH129" s="331">
        <v>2.14037223395793E-4</v>
      </c>
      <c r="AI129" s="331">
        <v>58.141971961271999</v>
      </c>
      <c r="AJ129" s="331" t="s">
        <v>490</v>
      </c>
      <c r="AK129" s="331">
        <v>424.10011950184298</v>
      </c>
      <c r="AL129" s="331">
        <v>2761.8342338090401</v>
      </c>
      <c r="AM129" s="331">
        <v>577.41406692497503</v>
      </c>
      <c r="AN129" s="331">
        <v>1651.8156716905601</v>
      </c>
      <c r="AO129" s="331" t="s">
        <v>490</v>
      </c>
      <c r="AQ129" s="137">
        <v>1.4310021936834404E-2</v>
      </c>
      <c r="AR129" s="137">
        <f t="shared" si="75"/>
        <v>1.213237143848273</v>
      </c>
      <c r="AS129" s="137" t="e">
        <f>AE129/#REF!</f>
        <v>#REF!</v>
      </c>
      <c r="AV129" s="148">
        <v>3533.11</v>
      </c>
      <c r="AW129" s="332">
        <f t="shared" si="56"/>
        <v>0.89691079486289482</v>
      </c>
      <c r="AX129" s="331">
        <v>0.28209426797961062</v>
      </c>
      <c r="AZ129" s="331">
        <v>47.115158340000001</v>
      </c>
      <c r="BA129" s="331">
        <f t="shared" si="76"/>
        <v>1.4971827005431646</v>
      </c>
      <c r="BB129" s="331">
        <v>62.030384374247355</v>
      </c>
      <c r="BC129" s="331">
        <f t="shared" si="59"/>
        <v>1.1371846347817494</v>
      </c>
      <c r="BD129" s="331">
        <v>9.4359397809172005E-2</v>
      </c>
      <c r="BF129" s="137" t="s">
        <v>473</v>
      </c>
      <c r="BG129" s="331">
        <v>1.0366755031019421</v>
      </c>
      <c r="BH129" s="331" t="s">
        <v>474</v>
      </c>
      <c r="BI129" s="137">
        <v>1.4154194977292343</v>
      </c>
      <c r="BJ129" s="137" t="s">
        <v>475</v>
      </c>
      <c r="BR129" s="653"/>
      <c r="BS129" s="1043">
        <v>1.1080018204137423</v>
      </c>
      <c r="BT129" s="1043">
        <v>1.4430058411920559</v>
      </c>
      <c r="BU129" s="1043">
        <v>0.48824446561256313</v>
      </c>
      <c r="BV129" s="331">
        <v>1.3009087123495149</v>
      </c>
      <c r="CD129" s="137" t="s">
        <v>473</v>
      </c>
      <c r="CE129" s="1043">
        <v>0.23244116083188454</v>
      </c>
      <c r="CF129" s="331" t="s">
        <v>474</v>
      </c>
      <c r="CG129" s="331">
        <v>1.1528165982725229</v>
      </c>
      <c r="CH129" s="137" t="s">
        <v>475</v>
      </c>
      <c r="CP129" s="1523">
        <v>0.54687553483925333</v>
      </c>
      <c r="CR129" s="331">
        <v>2.7066349383974317E-4</v>
      </c>
      <c r="CT129" s="331">
        <v>1.0005891776641799E-4</v>
      </c>
      <c r="CU129" s="331">
        <v>2.705041188548452</v>
      </c>
      <c r="CW129" s="331">
        <v>1.0200217211014056E-4</v>
      </c>
      <c r="CX129" s="1177">
        <f t="shared" si="57"/>
        <v>2.6535071581366365</v>
      </c>
    </row>
    <row r="130" spans="3:138" x14ac:dyDescent="0.35">
      <c r="C130" s="1696"/>
      <c r="D130" s="1293" t="s">
        <v>441</v>
      </c>
      <c r="E130" s="1312" t="s">
        <v>239</v>
      </c>
      <c r="F130" s="1327" t="s">
        <v>237</v>
      </c>
      <c r="G130" s="325">
        <v>4</v>
      </c>
      <c r="H130" s="1330">
        <v>2200</v>
      </c>
      <c r="I130" s="114" t="s">
        <v>411</v>
      </c>
      <c r="J130" s="1339">
        <v>100.2</v>
      </c>
      <c r="K130" s="1339">
        <v>149.9</v>
      </c>
      <c r="L130" s="1339">
        <v>4.5</v>
      </c>
      <c r="M130" s="1359">
        <v>5.85</v>
      </c>
      <c r="P130" s="150">
        <v>193000</v>
      </c>
      <c r="Q130" s="1300">
        <v>349.5</v>
      </c>
      <c r="R130" s="885">
        <v>7</v>
      </c>
      <c r="S130" s="1299">
        <v>0.3</v>
      </c>
      <c r="T130" s="1299">
        <v>-0.5</v>
      </c>
      <c r="U130" s="1300">
        <v>653.5</v>
      </c>
      <c r="V130" s="331" t="s">
        <v>412</v>
      </c>
      <c r="W130" s="1300">
        <v>196750</v>
      </c>
      <c r="X130" s="331">
        <v>518.76905011495217</v>
      </c>
      <c r="Y130" s="331">
        <f t="shared" si="74"/>
        <v>7</v>
      </c>
      <c r="Z130" s="331">
        <f t="shared" si="58"/>
        <v>0.3</v>
      </c>
      <c r="AA130" s="331">
        <f t="shared" si="58"/>
        <v>-0.5</v>
      </c>
      <c r="AB130" s="1300">
        <v>653.5</v>
      </c>
      <c r="AC130" s="1383">
        <v>70.37</v>
      </c>
      <c r="AH130" s="331">
        <v>2.14037223395793E-4</v>
      </c>
      <c r="AI130" s="331">
        <v>58.141971961271999</v>
      </c>
      <c r="AJ130" s="331" t="s">
        <v>490</v>
      </c>
      <c r="AK130" s="331">
        <v>424.10011950184298</v>
      </c>
      <c r="AL130" s="331">
        <v>2761.8342338090401</v>
      </c>
      <c r="AM130" s="331">
        <v>577.41406692497503</v>
      </c>
      <c r="AN130" s="331">
        <v>1651.8156716905601</v>
      </c>
      <c r="AO130" s="331" t="s">
        <v>490</v>
      </c>
      <c r="AQ130" s="137">
        <v>1.4310021936834404E-2</v>
      </c>
      <c r="AR130" s="137">
        <f t="shared" si="75"/>
        <v>1.2103132664105891</v>
      </c>
      <c r="AS130" s="137" t="e">
        <f>AE130/#REF!</f>
        <v>#REF!</v>
      </c>
      <c r="AV130" s="148">
        <v>3530.31</v>
      </c>
      <c r="AW130" s="332">
        <f t="shared" si="56"/>
        <v>0.89691079486289482</v>
      </c>
      <c r="AX130" s="331">
        <v>0.28220611472903623</v>
      </c>
      <c r="AZ130" s="331">
        <v>47.115158340000001</v>
      </c>
      <c r="BA130" s="331">
        <f t="shared" si="76"/>
        <v>1.493574519949284</v>
      </c>
      <c r="BB130" s="331">
        <v>62.030384374247355</v>
      </c>
      <c r="BC130" s="331">
        <f t="shared" si="59"/>
        <v>1.1344440423815096</v>
      </c>
      <c r="BD130" s="331">
        <v>8.7349511231661514E-2</v>
      </c>
      <c r="BF130" s="137" t="s">
        <v>473</v>
      </c>
      <c r="BG130" s="331">
        <v>0.48381396318765241</v>
      </c>
      <c r="BH130" s="331" t="s">
        <v>474</v>
      </c>
      <c r="BI130" s="137">
        <v>1.1813677757608576</v>
      </c>
      <c r="BJ130" s="137" t="s">
        <v>475</v>
      </c>
      <c r="BR130" s="653"/>
      <c r="BS130" s="1043">
        <v>1.1641690398183102</v>
      </c>
      <c r="BT130" s="1043">
        <v>1.2184880737752355</v>
      </c>
      <c r="BU130" s="1043">
        <v>0.58129227965036112</v>
      </c>
      <c r="BV130" s="331">
        <v>1.2866526641526599</v>
      </c>
      <c r="CD130" s="137" t="s">
        <v>473</v>
      </c>
      <c r="CE130" s="1043">
        <v>0.48824446561256313</v>
      </c>
      <c r="CF130" s="331" t="s">
        <v>474</v>
      </c>
      <c r="CG130" s="331">
        <v>1.3009087123495149</v>
      </c>
      <c r="CH130" s="137" t="s">
        <v>475</v>
      </c>
      <c r="CP130" s="1523">
        <v>0.45182758836569253</v>
      </c>
      <c r="CR130" s="331">
        <v>2.7287463107849034E-4</v>
      </c>
      <c r="CT130" s="331">
        <v>1.49113064541632E-4</v>
      </c>
      <c r="CU130" s="331">
        <v>1.8299847294889739</v>
      </c>
      <c r="CW130" s="331">
        <v>1.7598467195089693E-4</v>
      </c>
      <c r="CX130" s="1177">
        <f t="shared" si="57"/>
        <v>1.5505590802511913</v>
      </c>
    </row>
    <row r="131" spans="3:138" ht="13.9" thickBot="1" x14ac:dyDescent="0.4">
      <c r="C131" s="1696"/>
      <c r="D131" s="1293" t="s">
        <v>441</v>
      </c>
      <c r="E131" s="1312" t="s">
        <v>239</v>
      </c>
      <c r="F131" s="1327" t="s">
        <v>237</v>
      </c>
      <c r="G131" s="325">
        <v>4</v>
      </c>
      <c r="H131" s="1330">
        <v>2200</v>
      </c>
      <c r="I131" s="114" t="s">
        <v>411</v>
      </c>
      <c r="J131" s="1339">
        <v>100.1</v>
      </c>
      <c r="K131" s="1339">
        <v>149.80000000000001</v>
      </c>
      <c r="L131" s="1339">
        <v>4.5</v>
      </c>
      <c r="M131" s="1359">
        <v>5.85</v>
      </c>
      <c r="P131" s="1370">
        <v>193000</v>
      </c>
      <c r="Q131" s="1371">
        <v>349.5</v>
      </c>
      <c r="R131" s="885">
        <v>7</v>
      </c>
      <c r="S131" s="1299">
        <v>0.3</v>
      </c>
      <c r="T131" s="1299">
        <v>-0.5</v>
      </c>
      <c r="U131" s="1371">
        <v>653.5</v>
      </c>
      <c r="V131" s="331" t="s">
        <v>412</v>
      </c>
      <c r="W131" s="1370">
        <v>196750</v>
      </c>
      <c r="X131" s="331">
        <v>518.76905011495217</v>
      </c>
      <c r="Y131" s="331">
        <f t="shared" si="74"/>
        <v>7</v>
      </c>
      <c r="Z131" s="331">
        <f t="shared" si="58"/>
        <v>0.3</v>
      </c>
      <c r="AA131" s="331">
        <f t="shared" si="58"/>
        <v>-0.5</v>
      </c>
      <c r="AB131" s="1371">
        <v>653.5</v>
      </c>
      <c r="AC131" s="1383">
        <v>70.209999999999994</v>
      </c>
      <c r="AH131" s="331">
        <v>2.1399579937333399E-4</v>
      </c>
      <c r="AI131" s="331">
        <v>58.043899168555797</v>
      </c>
      <c r="AJ131" s="331" t="s">
        <v>490</v>
      </c>
      <c r="AK131" s="331">
        <v>424.06231260904002</v>
      </c>
      <c r="AL131" s="331">
        <v>2764.12827097338</v>
      </c>
      <c r="AM131" s="331">
        <v>577.39145304698297</v>
      </c>
      <c r="AN131" s="331">
        <v>1653.4927609620299</v>
      </c>
      <c r="AO131" s="331" t="s">
        <v>490</v>
      </c>
      <c r="AQ131" s="137">
        <v>1.4321908139758446E-2</v>
      </c>
      <c r="AR131" s="137">
        <f t="shared" si="75"/>
        <v>1.2096017153519376</v>
      </c>
      <c r="AS131" s="137" t="e">
        <f>AE131/#REF!</f>
        <v>#REF!</v>
      </c>
      <c r="AV131" s="148">
        <v>3540.09</v>
      </c>
      <c r="AW131" s="332">
        <f t="shared" si="56"/>
        <v>0.89683918027092746</v>
      </c>
      <c r="AX131" s="331">
        <v>0.28179352610886116</v>
      </c>
      <c r="AZ131" s="331">
        <v>47.038296299999992</v>
      </c>
      <c r="BA131" s="331">
        <f t="shared" si="76"/>
        <v>1.4926135834558278</v>
      </c>
      <c r="BB131" s="331">
        <v>61.930827229067454</v>
      </c>
      <c r="BC131" s="331">
        <f t="shared" si="59"/>
        <v>1.1336841947921967</v>
      </c>
      <c r="BD131" s="331">
        <v>2.6982212717521152E-2</v>
      </c>
      <c r="BF131" s="137" t="s">
        <v>473</v>
      </c>
      <c r="BG131" s="331">
        <v>0.64554780347065355</v>
      </c>
      <c r="BH131" s="331" t="s">
        <v>474</v>
      </c>
      <c r="BI131" s="137">
        <v>1.2544604876453112</v>
      </c>
      <c r="BJ131" s="137" t="s">
        <v>475</v>
      </c>
      <c r="BK131" s="331">
        <v>46</v>
      </c>
      <c r="BR131" s="653"/>
      <c r="BS131" s="1043">
        <v>1.1689028472446599</v>
      </c>
      <c r="BT131" s="1043">
        <v>1.0861296898352635</v>
      </c>
      <c r="BU131" s="1043">
        <v>0.48804964391057654</v>
      </c>
      <c r="BV131" s="331">
        <v>1.2379994201975377</v>
      </c>
      <c r="CD131" s="137" t="s">
        <v>473</v>
      </c>
      <c r="CE131" s="1043">
        <v>0.38038625713638113</v>
      </c>
      <c r="CF131" s="331" t="s">
        <v>474</v>
      </c>
      <c r="CG131" s="331">
        <v>1.097942614394853</v>
      </c>
      <c r="CH131" s="137" t="s">
        <v>475</v>
      </c>
      <c r="CP131" s="1523">
        <v>0.61823645413370176</v>
      </c>
      <c r="CR131" s="331">
        <v>2.4632944166103288E-4</v>
      </c>
      <c r="CT131" s="331">
        <v>1.0007617493186899E-4</v>
      </c>
      <c r="CU131" s="331">
        <v>2.4614194320349658</v>
      </c>
      <c r="CW131" s="331">
        <v>8.2483149556800568E-5</v>
      </c>
      <c r="CX131" s="1177">
        <f t="shared" si="57"/>
        <v>2.9864213840598128</v>
      </c>
    </row>
    <row r="132" spans="3:138" ht="13.9" thickBot="1" x14ac:dyDescent="0.4">
      <c r="C132" s="1693" t="s">
        <v>366</v>
      </c>
      <c r="D132" s="1293" t="s">
        <v>441</v>
      </c>
      <c r="E132" s="1313" t="s">
        <v>241</v>
      </c>
      <c r="F132" s="1328" t="s">
        <v>240</v>
      </c>
      <c r="G132" s="325">
        <v>3</v>
      </c>
      <c r="H132" s="1331">
        <v>1100</v>
      </c>
      <c r="I132" s="114" t="s">
        <v>411</v>
      </c>
      <c r="J132" s="1340">
        <v>39.9</v>
      </c>
      <c r="K132" s="1340">
        <v>59.9</v>
      </c>
      <c r="L132" s="1340">
        <v>2.9</v>
      </c>
      <c r="M132" s="1360">
        <v>3.79</v>
      </c>
      <c r="P132" s="1300">
        <v>192800</v>
      </c>
      <c r="Q132" s="1372">
        <v>489</v>
      </c>
      <c r="R132" s="858">
        <v>7</v>
      </c>
      <c r="S132" s="1299">
        <v>0.3</v>
      </c>
      <c r="T132" s="1299">
        <v>-0.5</v>
      </c>
      <c r="U132" s="1300">
        <v>705</v>
      </c>
      <c r="V132" s="331" t="s">
        <v>412</v>
      </c>
      <c r="W132" s="1300">
        <v>192800</v>
      </c>
      <c r="X132" s="331">
        <v>585.15</v>
      </c>
      <c r="Y132" s="331">
        <f t="shared" si="74"/>
        <v>7</v>
      </c>
      <c r="Z132" s="331">
        <f t="shared" si="58"/>
        <v>0.3</v>
      </c>
      <c r="AA132" s="331">
        <f t="shared" si="58"/>
        <v>-0.5</v>
      </c>
      <c r="AB132" s="1300">
        <v>705</v>
      </c>
      <c r="AC132" s="1384">
        <v>10.5</v>
      </c>
      <c r="AQ132" s="137">
        <v>0</v>
      </c>
      <c r="AR132" s="137" t="e">
        <f t="shared" si="75"/>
        <v>#DIV/0!</v>
      </c>
      <c r="AS132" s="137" t="e">
        <f>AE132/#REF!</f>
        <v>#REF!</v>
      </c>
      <c r="AV132" s="148">
        <v>9699.2900000000009</v>
      </c>
      <c r="AW132" s="332">
        <f t="shared" si="56"/>
        <v>0.82908572446979145</v>
      </c>
      <c r="AX132" s="331">
        <v>0.186158938824938</v>
      </c>
      <c r="AZ132" s="331">
        <v>6.2412488100000001</v>
      </c>
      <c r="BA132" s="331">
        <f t="shared" si="76"/>
        <v>1.68235561818597</v>
      </c>
      <c r="BB132" s="331">
        <v>7.9180695826438781</v>
      </c>
      <c r="BC132" s="331">
        <f t="shared" si="59"/>
        <v>1.3260807941137092</v>
      </c>
      <c r="BD132" s="331">
        <v>0.16383542725896535</v>
      </c>
      <c r="BF132" s="137" t="s">
        <v>473</v>
      </c>
      <c r="BG132" s="331">
        <v>0.73705917358889006</v>
      </c>
      <c r="BH132" s="331" t="s">
        <v>474</v>
      </c>
      <c r="BI132" s="137">
        <v>1.2545640622840906</v>
      </c>
      <c r="BJ132" s="137" t="s">
        <v>475</v>
      </c>
      <c r="BR132" s="653"/>
      <c r="BS132" s="1043">
        <v>1.203310600478009</v>
      </c>
      <c r="BT132" s="1043">
        <v>1.0064648012074102</v>
      </c>
      <c r="BU132" s="1043">
        <v>0.40221360824670005</v>
      </c>
      <c r="BV132" s="331">
        <v>1.1491176820686708</v>
      </c>
      <c r="CD132" s="137" t="s">
        <v>473</v>
      </c>
      <c r="CE132" s="1043">
        <v>0.58129227965036112</v>
      </c>
      <c r="CF132" s="331" t="s">
        <v>474</v>
      </c>
      <c r="CG132" s="331">
        <v>1.2866526641526599</v>
      </c>
      <c r="CH132" s="137" t="s">
        <v>475</v>
      </c>
      <c r="CP132" s="1523">
        <v>0.50412282018425258</v>
      </c>
      <c r="CR132" s="331">
        <v>2.8392757007687336E-4</v>
      </c>
      <c r="CT132" s="331">
        <v>1.4476972047442401E-4</v>
      </c>
      <c r="CU132" s="331">
        <v>1.9612358796191356</v>
      </c>
      <c r="CW132" s="331">
        <v>1.4859096948905261E-4</v>
      </c>
      <c r="CX132" s="1177">
        <f t="shared" si="57"/>
        <v>1.9107996337408084</v>
      </c>
    </row>
    <row r="133" spans="3:138" ht="13.9" thickBot="1" x14ac:dyDescent="0.4">
      <c r="C133" s="1694"/>
      <c r="D133" s="1293" t="s">
        <v>441</v>
      </c>
      <c r="E133" s="1312" t="s">
        <v>242</v>
      </c>
      <c r="F133" s="1328" t="s">
        <v>240</v>
      </c>
      <c r="G133" s="325">
        <v>3</v>
      </c>
      <c r="H133" s="1330">
        <v>1000</v>
      </c>
      <c r="I133" s="114" t="s">
        <v>411</v>
      </c>
      <c r="J133" s="1339">
        <v>49.8</v>
      </c>
      <c r="K133" s="1339">
        <v>99.7</v>
      </c>
      <c r="L133" s="1339">
        <v>2.2999999999999998</v>
      </c>
      <c r="M133" s="1359">
        <v>1.79</v>
      </c>
      <c r="P133" s="1300">
        <v>208000</v>
      </c>
      <c r="Q133" s="1372">
        <v>403</v>
      </c>
      <c r="R133" s="885">
        <v>7</v>
      </c>
      <c r="S133" s="1299">
        <v>0.3</v>
      </c>
      <c r="T133" s="1299">
        <v>-0.5</v>
      </c>
      <c r="U133" s="1300">
        <v>707</v>
      </c>
      <c r="V133" s="331" t="s">
        <v>412</v>
      </c>
      <c r="W133" s="1300">
        <v>208000</v>
      </c>
      <c r="X133" s="331">
        <v>586.80999999999995</v>
      </c>
      <c r="Y133" s="331">
        <f t="shared" si="74"/>
        <v>7</v>
      </c>
      <c r="Z133" s="331">
        <f t="shared" si="58"/>
        <v>0.3</v>
      </c>
      <c r="AA133" s="331">
        <f t="shared" si="58"/>
        <v>-0.5</v>
      </c>
      <c r="AB133" s="1300">
        <v>707</v>
      </c>
      <c r="AC133" s="1385">
        <v>7.1</v>
      </c>
      <c r="AQ133" s="137">
        <v>0</v>
      </c>
      <c r="AR133" s="137" t="e">
        <f t="shared" si="75"/>
        <v>#DIV/0!</v>
      </c>
      <c r="AS133" s="137" t="e">
        <f>AE133/#REF!</f>
        <v>#REF!</v>
      </c>
      <c r="AV133" s="148">
        <v>1284.83</v>
      </c>
      <c r="AW133" s="332">
        <f t="shared" si="56"/>
        <v>0.93473598202430819</v>
      </c>
      <c r="AX133" s="331">
        <v>0.52350236700095953</v>
      </c>
      <c r="AZ133" s="331">
        <v>5.4278100027138159</v>
      </c>
      <c r="BA133" s="331">
        <f t="shared" si="76"/>
        <v>1.3080782113688791</v>
      </c>
      <c r="BB133" s="331">
        <v>7.0792594557773807</v>
      </c>
      <c r="BC133" s="331">
        <f t="shared" si="59"/>
        <v>1.0029297618419244</v>
      </c>
      <c r="BD133" s="331">
        <v>4.0926635096059406E-2</v>
      </c>
      <c r="BF133" s="137" t="s">
        <v>473</v>
      </c>
      <c r="BG133" s="331">
        <v>0.50668967145855681</v>
      </c>
      <c r="BH133" s="331" t="s">
        <v>474</v>
      </c>
      <c r="BI133" s="137">
        <v>1.1037404634951584</v>
      </c>
      <c r="BJ133" s="137" t="s">
        <v>475</v>
      </c>
      <c r="BR133" s="653"/>
      <c r="BS133" s="1043">
        <v>1.2311165480238511</v>
      </c>
      <c r="BT133" s="1043">
        <v>1.059320772064809</v>
      </c>
      <c r="BU133" s="1043">
        <v>0.38904721236575557</v>
      </c>
      <c r="BV133" s="331">
        <v>1.2305242676317163</v>
      </c>
      <c r="CD133" s="137" t="s">
        <v>473</v>
      </c>
      <c r="CE133" s="1043">
        <v>0.48804964391057654</v>
      </c>
      <c r="CF133" s="331" t="s">
        <v>474</v>
      </c>
      <c r="CG133" s="331">
        <v>1.2379994201975377</v>
      </c>
      <c r="CH133" s="137" t="s">
        <v>475</v>
      </c>
      <c r="CP133" s="1523">
        <v>0.50430305249123053</v>
      </c>
      <c r="CR133" s="331">
        <v>2.5359999999999998E-4</v>
      </c>
      <c r="CT133" s="331">
        <v>1.47361317719313E-4</v>
      </c>
      <c r="CU133" s="331">
        <v>1.72094009421825</v>
      </c>
      <c r="CW133" s="331">
        <v>1.806106418271376E-4</v>
      </c>
      <c r="CX133" s="1177">
        <f t="shared" si="57"/>
        <v>1.4041254570299377</v>
      </c>
    </row>
    <row r="134" spans="3:138" ht="13.9" thickBot="1" x14ac:dyDescent="0.4">
      <c r="C134" s="1694"/>
      <c r="D134" s="1293" t="s">
        <v>441</v>
      </c>
      <c r="E134" s="1312" t="s">
        <v>243</v>
      </c>
      <c r="F134" s="1328" t="s">
        <v>240</v>
      </c>
      <c r="G134" s="325">
        <v>3</v>
      </c>
      <c r="H134" s="1330">
        <v>1100</v>
      </c>
      <c r="I134" s="114" t="s">
        <v>411</v>
      </c>
      <c r="J134" s="1339">
        <v>50</v>
      </c>
      <c r="K134" s="1339">
        <v>100.1</v>
      </c>
      <c r="L134" s="1339">
        <v>3.2</v>
      </c>
      <c r="M134" s="1359">
        <v>2.88</v>
      </c>
      <c r="P134" s="1300">
        <v>203600</v>
      </c>
      <c r="Q134" s="1372">
        <v>479</v>
      </c>
      <c r="R134" s="885">
        <v>7</v>
      </c>
      <c r="S134" s="1299">
        <v>0.3</v>
      </c>
      <c r="T134" s="1299">
        <v>-0.5</v>
      </c>
      <c r="U134" s="1300">
        <v>716</v>
      </c>
      <c r="V134" s="331" t="s">
        <v>412</v>
      </c>
      <c r="W134" s="1300">
        <v>203600</v>
      </c>
      <c r="X134" s="331">
        <v>594.28</v>
      </c>
      <c r="Y134" s="331">
        <f t="shared" si="74"/>
        <v>7</v>
      </c>
      <c r="Z134" s="331">
        <f t="shared" si="58"/>
        <v>0.3</v>
      </c>
      <c r="AA134" s="331">
        <f t="shared" si="58"/>
        <v>-0.5</v>
      </c>
      <c r="AB134" s="1300">
        <v>716</v>
      </c>
      <c r="AC134" s="1385">
        <v>15.4</v>
      </c>
      <c r="AQ134" s="137">
        <v>0</v>
      </c>
      <c r="AR134" s="137" t="e">
        <f t="shared" si="75"/>
        <v>#DIV/0!</v>
      </c>
      <c r="AS134" s="137" t="e">
        <f>AE134/#REF!</f>
        <v>#REF!</v>
      </c>
      <c r="AV134" s="148">
        <v>3354.45</v>
      </c>
      <c r="AW134" s="332">
        <f t="shared" si="56"/>
        <v>0.90454638963176304</v>
      </c>
      <c r="AX134" s="331">
        <v>0.34181249929775992</v>
      </c>
      <c r="AZ134" s="331">
        <v>12.300226630000001</v>
      </c>
      <c r="BA134" s="331">
        <f t="shared" si="76"/>
        <v>1.2520094517965803</v>
      </c>
      <c r="BB134" s="331">
        <v>15.544058142440358</v>
      </c>
      <c r="BC134" s="331">
        <f t="shared" si="59"/>
        <v>0.99073226945497384</v>
      </c>
      <c r="BD134" s="331">
        <v>1.0782182452442919E-2</v>
      </c>
      <c r="BF134" s="137" t="s">
        <v>473</v>
      </c>
      <c r="BG134" s="331">
        <v>0.23244116083188454</v>
      </c>
      <c r="BH134" s="331" t="s">
        <v>474</v>
      </c>
      <c r="BI134" s="137">
        <v>1.1235053088729321</v>
      </c>
      <c r="BJ134" s="137" t="s">
        <v>475</v>
      </c>
      <c r="BR134" s="653"/>
      <c r="BS134" s="1043">
        <v>1.376886323100597</v>
      </c>
      <c r="BT134" s="1043">
        <v>0.97739253961257233</v>
      </c>
      <c r="BU134" s="1043">
        <v>0.49117842164005493</v>
      </c>
      <c r="BV134" s="331">
        <v>1.218224756518766</v>
      </c>
      <c r="CD134" s="137" t="s">
        <v>473</v>
      </c>
      <c r="CE134" s="1043">
        <v>0.40221360824670005</v>
      </c>
      <c r="CF134" s="331" t="s">
        <v>474</v>
      </c>
      <c r="CG134" s="331">
        <v>1.1491176820686708</v>
      </c>
      <c r="CH134" s="137" t="s">
        <v>475</v>
      </c>
      <c r="CP134" s="1523">
        <v>0.37328741674358334</v>
      </c>
      <c r="CR134" s="331">
        <v>8.7256499999999995E-4</v>
      </c>
      <c r="CT134" s="331">
        <v>5.5780086925640297E-4</v>
      </c>
      <c r="CU134" s="331">
        <v>1.5642948014104117</v>
      </c>
      <c r="CW134" s="331">
        <v>1.1016191231964215E-3</v>
      </c>
      <c r="CX134" s="1177">
        <f t="shared" si="57"/>
        <v>0.79207502995063694</v>
      </c>
    </row>
    <row r="135" spans="3:138" ht="13.9" thickBot="1" x14ac:dyDescent="0.4">
      <c r="C135" s="1695"/>
      <c r="D135" s="1293" t="s">
        <v>441</v>
      </c>
      <c r="E135" s="1314" t="s">
        <v>244</v>
      </c>
      <c r="F135" s="1328" t="s">
        <v>240</v>
      </c>
      <c r="G135" s="325">
        <v>3</v>
      </c>
      <c r="H135" s="1332">
        <v>1100</v>
      </c>
      <c r="I135" s="114" t="s">
        <v>411</v>
      </c>
      <c r="J135" s="1341">
        <v>49.9</v>
      </c>
      <c r="K135" s="1341">
        <v>99.7</v>
      </c>
      <c r="L135" s="1341">
        <v>3.6</v>
      </c>
      <c r="M135" s="1361">
        <v>3.68</v>
      </c>
      <c r="P135" s="1371">
        <v>208000</v>
      </c>
      <c r="Q135" s="1373">
        <v>471</v>
      </c>
      <c r="R135" s="876">
        <v>7</v>
      </c>
      <c r="S135" s="1299">
        <v>0.3</v>
      </c>
      <c r="T135" s="1299">
        <v>-0.5</v>
      </c>
      <c r="U135" s="1371">
        <v>702</v>
      </c>
      <c r="V135" s="331" t="s">
        <v>412</v>
      </c>
      <c r="W135" s="1371">
        <v>208000</v>
      </c>
      <c r="X135" s="331">
        <v>582.66</v>
      </c>
      <c r="Y135" s="331">
        <f t="shared" si="74"/>
        <v>7</v>
      </c>
      <c r="Z135" s="331">
        <f t="shared" si="58"/>
        <v>0.3</v>
      </c>
      <c r="AA135" s="331">
        <f t="shared" si="58"/>
        <v>-0.5</v>
      </c>
      <c r="AB135" s="1371">
        <v>702</v>
      </c>
      <c r="AC135" s="1386">
        <v>21.6</v>
      </c>
      <c r="AQ135" s="137">
        <v>0</v>
      </c>
      <c r="AR135" s="137" t="e">
        <f t="shared" si="75"/>
        <v>#DIV/0!</v>
      </c>
      <c r="AS135" s="137" t="e">
        <f>AE135/#REF!</f>
        <v>#REF!</v>
      </c>
      <c r="AV135" s="148">
        <v>5698.44</v>
      </c>
      <c r="AW135" s="332">
        <f t="shared" si="56"/>
        <v>0.88669027285982094</v>
      </c>
      <c r="AX135" s="331">
        <v>0.25492029233339591</v>
      </c>
      <c r="AZ135" s="331">
        <v>14.89877091</v>
      </c>
      <c r="BA135" s="331">
        <f t="shared" si="76"/>
        <v>1.4497840211437953</v>
      </c>
      <c r="BB135" s="331">
        <v>19.138217426334073</v>
      </c>
      <c r="BC135" s="331">
        <f t="shared" si="59"/>
        <v>1.1286317591040913</v>
      </c>
      <c r="BD135" s="331">
        <v>9.2285601903211601E-3</v>
      </c>
      <c r="BF135" s="137" t="s">
        <v>473</v>
      </c>
      <c r="BG135" s="331">
        <v>0.48824446561256313</v>
      </c>
      <c r="BH135" s="331" t="s">
        <v>474</v>
      </c>
      <c r="BI135" s="137">
        <v>1.1080018204137423</v>
      </c>
      <c r="BJ135" s="137" t="s">
        <v>475</v>
      </c>
      <c r="BR135" s="653"/>
      <c r="BS135" s="1043">
        <v>1.0583674089945785</v>
      </c>
      <c r="BT135" s="1043">
        <v>1.0143145553410922</v>
      </c>
      <c r="BU135" s="1043">
        <v>0.39351073115623852</v>
      </c>
      <c r="BV135" s="331">
        <v>1.1274195268137686</v>
      </c>
      <c r="CD135" s="137" t="s">
        <v>473</v>
      </c>
      <c r="CE135" s="1043">
        <v>0.38904721236575557</v>
      </c>
      <c r="CF135" s="331" t="s">
        <v>474</v>
      </c>
      <c r="CG135" s="331">
        <v>1.2305242676317163</v>
      </c>
      <c r="CH135" s="137" t="s">
        <v>475</v>
      </c>
      <c r="CP135" s="1523">
        <v>0.26093642738112288</v>
      </c>
      <c r="CR135" s="331">
        <v>5.4607199999999999E-4</v>
      </c>
      <c r="CT135" s="331">
        <v>4.1460431044600002E-4</v>
      </c>
      <c r="CU135" s="331">
        <v>1.3170919506663521</v>
      </c>
      <c r="CW135" s="331">
        <v>5.6072194108886593E-4</v>
      </c>
      <c r="CX135" s="1177">
        <f t="shared" si="57"/>
        <v>0.97387307323765993</v>
      </c>
    </row>
    <row r="136" spans="3:138" x14ac:dyDescent="0.35">
      <c r="C136" s="1696" t="s">
        <v>245</v>
      </c>
      <c r="D136" s="1293" t="s">
        <v>441</v>
      </c>
      <c r="E136" s="1315" t="s">
        <v>246</v>
      </c>
      <c r="F136" s="1329" t="s">
        <v>240</v>
      </c>
      <c r="G136" s="325">
        <v>4</v>
      </c>
      <c r="H136" s="1330">
        <v>1440</v>
      </c>
      <c r="I136" s="114" t="s">
        <v>411</v>
      </c>
      <c r="J136" s="1339">
        <v>49.8</v>
      </c>
      <c r="K136" s="1353">
        <v>99.9</v>
      </c>
      <c r="L136" s="1339">
        <v>2</v>
      </c>
      <c r="M136" s="1362">
        <v>1.97</v>
      </c>
      <c r="P136" s="1300">
        <v>198000</v>
      </c>
      <c r="Q136" s="1372">
        <v>320</v>
      </c>
      <c r="R136" s="849">
        <v>5.3</v>
      </c>
      <c r="S136" s="1299">
        <v>0.3</v>
      </c>
      <c r="T136" s="1299">
        <v>-0.5</v>
      </c>
      <c r="U136" s="1300">
        <v>635</v>
      </c>
      <c r="V136" s="331" t="s">
        <v>412</v>
      </c>
      <c r="W136" s="150">
        <v>198000</v>
      </c>
      <c r="X136" s="331">
        <v>527.04999999999995</v>
      </c>
      <c r="Y136" s="331">
        <f t="shared" si="74"/>
        <v>5.3</v>
      </c>
      <c r="Z136" s="331">
        <f t="shared" si="58"/>
        <v>0.3</v>
      </c>
      <c r="AA136" s="331">
        <f t="shared" si="58"/>
        <v>-0.5</v>
      </c>
      <c r="AB136" s="1300">
        <v>635</v>
      </c>
      <c r="AC136" s="1385">
        <v>8.81</v>
      </c>
      <c r="AF136" s="331">
        <v>2.0306999999999999E-4</v>
      </c>
      <c r="AG136" s="331">
        <f>AF136/AH136</f>
        <v>1.2004650863289337</v>
      </c>
      <c r="AH136" s="331">
        <v>1.6915943854810099E-4</v>
      </c>
      <c r="AI136" s="331">
        <v>6.6773657103462396</v>
      </c>
      <c r="AJ136" s="331" t="s">
        <v>422</v>
      </c>
      <c r="AK136" s="331">
        <v>368.491396616271</v>
      </c>
      <c r="AL136" s="331">
        <v>5034.0213148211496</v>
      </c>
      <c r="AM136" s="331">
        <v>564.35731663978197</v>
      </c>
      <c r="AN136" s="331">
        <v>3268.3747370247602</v>
      </c>
      <c r="AO136" s="331" t="s">
        <v>422</v>
      </c>
      <c r="AQ136" s="137">
        <v>2.5424350074854291E-2</v>
      </c>
      <c r="AR136" s="137">
        <f t="shared" si="75"/>
        <v>1.3193825802216212</v>
      </c>
      <c r="AS136" s="137" t="e">
        <f>AE136/#REF!</f>
        <v>#REF!</v>
      </c>
      <c r="AV136" s="148">
        <v>1512.86</v>
      </c>
      <c r="AW136" s="332">
        <f t="shared" si="56"/>
        <v>0.93903808843051162</v>
      </c>
      <c r="AX136" s="331">
        <v>0.4318757581413028</v>
      </c>
      <c r="AZ136" s="331">
        <v>5.8166848</v>
      </c>
      <c r="BA136" s="331">
        <f t="shared" si="76"/>
        <v>1.5146084587564381</v>
      </c>
      <c r="BB136" s="331">
        <v>6.7683242339095857</v>
      </c>
      <c r="BC136" s="331">
        <f t="shared" si="59"/>
        <v>1.3016515898959944</v>
      </c>
      <c r="BD136" s="331">
        <v>1.0860620019709243E-2</v>
      </c>
      <c r="BF136" s="137" t="s">
        <v>473</v>
      </c>
      <c r="BG136" s="331">
        <v>0.38038625713638113</v>
      </c>
      <c r="BH136" s="331" t="s">
        <v>474</v>
      </c>
      <c r="BI136" s="137">
        <v>1.1106487830007663</v>
      </c>
      <c r="BJ136" s="137" t="s">
        <v>475</v>
      </c>
      <c r="BR136" s="653"/>
      <c r="BS136" s="1043">
        <v>1.0970584790456925</v>
      </c>
      <c r="BT136" s="1043">
        <v>1.0562572114205804</v>
      </c>
      <c r="BU136" s="1043">
        <v>0.44058712115339005</v>
      </c>
      <c r="BV136" s="331">
        <v>1.1244570966108394</v>
      </c>
      <c r="CD136" s="137" t="s">
        <v>473</v>
      </c>
      <c r="CE136" s="1043">
        <v>0.49117842164005493</v>
      </c>
      <c r="CF136" s="331" t="s">
        <v>474</v>
      </c>
      <c r="CG136" s="331">
        <v>1.218224756518766</v>
      </c>
      <c r="CH136" s="137" t="s">
        <v>475</v>
      </c>
      <c r="CP136" s="1523">
        <v>0.43436454826771281</v>
      </c>
      <c r="CR136" s="331">
        <v>5.7545999999999997E-4</v>
      </c>
      <c r="CT136" s="331">
        <v>3.56092108746878E-4</v>
      </c>
      <c r="CU136" s="331">
        <v>1.6160425515327999</v>
      </c>
      <c r="CW136" s="331">
        <v>7.6739601324036393E-4</v>
      </c>
      <c r="CX136" s="1177">
        <f t="shared" si="57"/>
        <v>0.74988661665063183</v>
      </c>
    </row>
    <row r="137" spans="3:138" x14ac:dyDescent="0.35">
      <c r="C137" s="1696"/>
      <c r="D137" s="1293" t="s">
        <v>441</v>
      </c>
      <c r="E137" s="1315" t="s">
        <v>247</v>
      </c>
      <c r="F137" s="1329" t="s">
        <v>240</v>
      </c>
      <c r="G137" s="325">
        <v>4</v>
      </c>
      <c r="H137" s="1330">
        <v>1439</v>
      </c>
      <c r="I137" s="114" t="s">
        <v>411</v>
      </c>
      <c r="J137" s="1339">
        <v>49.6</v>
      </c>
      <c r="K137" s="1353">
        <v>99.7</v>
      </c>
      <c r="L137" s="1339">
        <v>4</v>
      </c>
      <c r="M137" s="1362">
        <v>3.8809999999999998</v>
      </c>
      <c r="P137" s="1300">
        <v>195000</v>
      </c>
      <c r="Q137" s="1372">
        <v>378</v>
      </c>
      <c r="R137" s="849">
        <v>7.9</v>
      </c>
      <c r="S137" s="1299">
        <v>0.3</v>
      </c>
      <c r="T137" s="1299">
        <v>-0.5</v>
      </c>
      <c r="U137" s="1300">
        <v>603</v>
      </c>
      <c r="V137" s="331" t="s">
        <v>412</v>
      </c>
      <c r="W137" s="150">
        <v>195000</v>
      </c>
      <c r="X137" s="331">
        <v>500.48999999999995</v>
      </c>
      <c r="Y137" s="331">
        <f t="shared" si="74"/>
        <v>7.9</v>
      </c>
      <c r="Z137" s="331">
        <f t="shared" si="58"/>
        <v>0.3</v>
      </c>
      <c r="AA137" s="331">
        <f t="shared" si="58"/>
        <v>-0.5</v>
      </c>
      <c r="AB137" s="1300">
        <v>603</v>
      </c>
      <c r="AC137" s="1385">
        <v>21.28</v>
      </c>
      <c r="AF137" s="331">
        <v>3.9534999999999999E-4</v>
      </c>
      <c r="AG137" s="331">
        <f t="shared" ref="AG137:AG184" si="77">AF137/AH137</f>
        <v>1.7725648783178216</v>
      </c>
      <c r="AH137" s="331">
        <v>2.2303838061780301E-4</v>
      </c>
      <c r="AI137" s="331">
        <v>14.4574773783115</v>
      </c>
      <c r="AJ137" s="331" t="s">
        <v>490</v>
      </c>
      <c r="AK137" s="331">
        <v>433.06872897814401</v>
      </c>
      <c r="AL137" s="331">
        <v>3467.4575927352898</v>
      </c>
      <c r="AM137" s="331">
        <v>541.21843271612499</v>
      </c>
      <c r="AN137" s="331">
        <v>2082.9779506039999</v>
      </c>
      <c r="AO137" s="331" t="s">
        <v>490</v>
      </c>
      <c r="AQ137" s="137">
        <v>1.7781833808898924E-2</v>
      </c>
      <c r="AR137" s="137">
        <f t="shared" si="75"/>
        <v>1.4719027008074979</v>
      </c>
      <c r="AS137" s="137" t="e">
        <f>AE137/#REF!</f>
        <v>#REF!</v>
      </c>
      <c r="AV137" s="148">
        <v>6156.37</v>
      </c>
      <c r="AW137" s="332">
        <f t="shared" si="56"/>
        <v>0.87600580260699856</v>
      </c>
      <c r="AX137" s="331">
        <v>0.21706536169325091</v>
      </c>
      <c r="AZ137" s="331">
        <v>12.437084519999999</v>
      </c>
      <c r="BA137" s="331">
        <f t="shared" si="76"/>
        <v>1.7110119309537346</v>
      </c>
      <c r="BB137" s="331">
        <v>16.85738531089001</v>
      </c>
      <c r="BC137" s="331">
        <f t="shared" si="59"/>
        <v>1.2623547250980225</v>
      </c>
      <c r="BD137" s="331">
        <v>7.1016580447627264E-2</v>
      </c>
      <c r="BF137" s="137" t="s">
        <v>473</v>
      </c>
      <c r="BG137" s="331">
        <v>0.58129227965036112</v>
      </c>
      <c r="BH137" s="331" t="s">
        <v>474</v>
      </c>
      <c r="BI137" s="137">
        <v>1.1641690398183102</v>
      </c>
      <c r="BJ137" s="137" t="s">
        <v>475</v>
      </c>
      <c r="BR137" s="653"/>
      <c r="BS137" s="1043">
        <v>1.0616673404198553</v>
      </c>
      <c r="BT137" s="1043">
        <v>1.0856373674610424</v>
      </c>
      <c r="BU137" s="1043">
        <v>0.49513194738504401</v>
      </c>
      <c r="BV137" s="331">
        <v>1.2672391405317984</v>
      </c>
      <c r="CD137" s="137" t="s">
        <v>473</v>
      </c>
      <c r="CE137" s="1043">
        <v>0.39351073115623852</v>
      </c>
      <c r="CF137" s="331" t="s">
        <v>474</v>
      </c>
      <c r="CG137" s="331">
        <v>1.1274195268137686</v>
      </c>
      <c r="CH137" s="137" t="s">
        <v>475</v>
      </c>
      <c r="CP137" s="1523">
        <v>0.50095812841783383</v>
      </c>
      <c r="CR137" s="331">
        <v>1.51306E-4</v>
      </c>
      <c r="CT137" s="1511">
        <v>8.0486034580957606E-5</v>
      </c>
      <c r="CU137" s="331">
        <v>1.8799037719743479</v>
      </c>
      <c r="CW137" s="331">
        <v>1.0988769971008158E-4</v>
      </c>
      <c r="CX137" s="1177">
        <f t="shared" si="57"/>
        <v>1.3769147993742064</v>
      </c>
    </row>
    <row r="138" spans="3:138" x14ac:dyDescent="0.35">
      <c r="C138" s="1696"/>
      <c r="D138" s="1293" t="s">
        <v>441</v>
      </c>
      <c r="E138" s="1315" t="s">
        <v>248</v>
      </c>
      <c r="F138" s="1329" t="s">
        <v>240</v>
      </c>
      <c r="G138" s="325">
        <v>4</v>
      </c>
      <c r="H138" s="1330">
        <v>1442</v>
      </c>
      <c r="I138" s="114" t="s">
        <v>411</v>
      </c>
      <c r="J138" s="1339">
        <v>59.9</v>
      </c>
      <c r="K138" s="1353">
        <v>120.2</v>
      </c>
      <c r="L138" s="1339">
        <v>2.5</v>
      </c>
      <c r="M138" s="1362">
        <v>1.8380000000000001</v>
      </c>
      <c r="P138" s="1300">
        <v>200000</v>
      </c>
      <c r="Q138" s="1372">
        <v>361</v>
      </c>
      <c r="R138" s="849">
        <v>6.2</v>
      </c>
      <c r="S138" s="1299">
        <v>0.3</v>
      </c>
      <c r="T138" s="1299">
        <v>-0.5</v>
      </c>
      <c r="U138" s="1300">
        <v>646</v>
      </c>
      <c r="V138" s="331" t="s">
        <v>412</v>
      </c>
      <c r="W138" s="150">
        <v>200000</v>
      </c>
      <c r="X138" s="331">
        <v>536.17999999999995</v>
      </c>
      <c r="Y138" s="331">
        <f t="shared" si="74"/>
        <v>6.2</v>
      </c>
      <c r="Z138" s="331">
        <f t="shared" si="58"/>
        <v>0.3</v>
      </c>
      <c r="AA138" s="331">
        <f t="shared" si="58"/>
        <v>-0.5</v>
      </c>
      <c r="AB138" s="1300">
        <v>646</v>
      </c>
      <c r="AC138" s="1385">
        <v>10.25</v>
      </c>
      <c r="AF138" s="331">
        <v>9.5030000000000003E-5</v>
      </c>
      <c r="AG138" s="331">
        <f t="shared" si="77"/>
        <v>1.3715446619456977</v>
      </c>
      <c r="AH138" s="1511">
        <v>6.9286843248100104E-5</v>
      </c>
      <c r="AI138" s="331">
        <v>8.7222395531312493</v>
      </c>
      <c r="AJ138" s="331" t="s">
        <v>422</v>
      </c>
      <c r="AK138" s="331">
        <v>368.28892412157899</v>
      </c>
      <c r="AL138" s="331">
        <v>23327.778384082299</v>
      </c>
      <c r="AM138" s="331">
        <v>513.63376573472101</v>
      </c>
      <c r="AN138" s="331">
        <v>42559.153102881501</v>
      </c>
      <c r="AO138" s="331" t="s">
        <v>422</v>
      </c>
      <c r="AQ138" s="137">
        <v>0.11663889192041149</v>
      </c>
      <c r="AR138" s="137">
        <f t="shared" si="75"/>
        <v>1.1751569006517701</v>
      </c>
      <c r="AS138" s="137" t="e">
        <f>AE138/#REF!</f>
        <v>#REF!</v>
      </c>
      <c r="AV138" s="148">
        <v>903.86</v>
      </c>
      <c r="AW138" s="332">
        <f t="shared" si="56"/>
        <v>0.94222807995809454</v>
      </c>
      <c r="AX138" s="331">
        <v>0.5954688669822793</v>
      </c>
      <c r="AZ138" s="331">
        <v>6.9968585902531046</v>
      </c>
      <c r="BA138" s="331">
        <f t="shared" si="76"/>
        <v>1.4649431409516618</v>
      </c>
      <c r="BB138" s="331">
        <v>8.8125911145821654</v>
      </c>
      <c r="BC138" s="331">
        <f t="shared" si="59"/>
        <v>1.1631085417136124</v>
      </c>
      <c r="BD138" s="331">
        <v>2.0840453840883403E-2</v>
      </c>
      <c r="BF138" s="137" t="s">
        <v>473</v>
      </c>
      <c r="BG138" s="331">
        <v>0.48804964391057654</v>
      </c>
      <c r="BH138" s="331" t="s">
        <v>474</v>
      </c>
      <c r="BI138" s="137">
        <v>1.1689028472446599</v>
      </c>
      <c r="BJ138" s="137" t="s">
        <v>475</v>
      </c>
      <c r="BS138" s="137">
        <v>1.1235053088729321</v>
      </c>
      <c r="BT138" s="331">
        <v>1.1802840169414488</v>
      </c>
      <c r="BU138" s="331">
        <v>0.23244116083188454</v>
      </c>
      <c r="BV138" s="1525">
        <v>1.1528165982725229</v>
      </c>
      <c r="CD138" s="137" t="s">
        <v>473</v>
      </c>
      <c r="CE138" s="1043">
        <v>0.44058712115339005</v>
      </c>
      <c r="CF138" s="331" t="s">
        <v>474</v>
      </c>
      <c r="CG138" s="331">
        <v>1.1244570966108394</v>
      </c>
      <c r="CH138" s="137" t="s">
        <v>475</v>
      </c>
      <c r="CP138" s="1523">
        <v>0.66975134775048206</v>
      </c>
      <c r="CR138" s="331">
        <v>2.2197558268590456E-4</v>
      </c>
      <c r="CT138" s="1511">
        <v>7.8379629379290698E-5</v>
      </c>
      <c r="CU138" s="331">
        <v>2.8320570592612992</v>
      </c>
      <c r="CW138" s="331">
        <v>5.6203310847211466E-5</v>
      </c>
      <c r="CX138" s="1177">
        <f t="shared" si="57"/>
        <v>3.9495107910874596</v>
      </c>
    </row>
    <row r="139" spans="3:138" x14ac:dyDescent="0.35">
      <c r="C139" s="1696"/>
      <c r="D139" s="1293" t="s">
        <v>441</v>
      </c>
      <c r="E139" s="1316" t="s">
        <v>249</v>
      </c>
      <c r="F139" s="1329" t="s">
        <v>240</v>
      </c>
      <c r="G139" s="325">
        <v>4</v>
      </c>
      <c r="H139" s="1333">
        <v>1442</v>
      </c>
      <c r="I139" s="114" t="s">
        <v>411</v>
      </c>
      <c r="J139" s="1342">
        <v>59.7</v>
      </c>
      <c r="K139" s="1354">
        <v>120</v>
      </c>
      <c r="L139" s="1342">
        <v>5.5</v>
      </c>
      <c r="M139" s="1363">
        <v>3.8849999999999998</v>
      </c>
      <c r="P139" s="1245">
        <v>200000</v>
      </c>
      <c r="Q139" s="1374">
        <v>392</v>
      </c>
      <c r="R139" s="906">
        <v>5.0999999999999996</v>
      </c>
      <c r="S139" s="1299">
        <v>0.3</v>
      </c>
      <c r="T139" s="1299">
        <v>-0.5</v>
      </c>
      <c r="U139" s="1245">
        <v>696</v>
      </c>
      <c r="V139" s="331" t="s">
        <v>412</v>
      </c>
      <c r="W139" s="1246">
        <v>200000</v>
      </c>
      <c r="X139" s="331">
        <v>577.67999999999995</v>
      </c>
      <c r="Y139" s="331">
        <f t="shared" si="74"/>
        <v>5.0999999999999996</v>
      </c>
      <c r="Z139" s="331">
        <f t="shared" si="58"/>
        <v>0.3</v>
      </c>
      <c r="AA139" s="331">
        <f t="shared" si="58"/>
        <v>-0.5</v>
      </c>
      <c r="AB139" s="1245">
        <v>696</v>
      </c>
      <c r="AC139" s="1387">
        <v>34.090000000000003</v>
      </c>
      <c r="AF139" s="331">
        <v>5.25078E-4</v>
      </c>
      <c r="AG139" s="331">
        <f t="shared" si="77"/>
        <v>2.3861179104205457</v>
      </c>
      <c r="AH139" s="331">
        <v>2.20055345004915E-4</v>
      </c>
      <c r="AI139" s="331">
        <v>23.277808498420299</v>
      </c>
      <c r="AJ139" s="331" t="s">
        <v>490</v>
      </c>
      <c r="AK139" s="331">
        <v>465.861811982468</v>
      </c>
      <c r="AL139" s="331">
        <v>3407.2534309105399</v>
      </c>
      <c r="AM139" s="331">
        <v>629.40393981045997</v>
      </c>
      <c r="AN139" s="331">
        <v>1887.83193173009</v>
      </c>
      <c r="AO139" s="331" t="s">
        <v>490</v>
      </c>
      <c r="AQ139" s="137">
        <v>1.7036267154552701E-2</v>
      </c>
      <c r="AR139" s="137">
        <f t="shared" si="75"/>
        <v>1.4644849407672311</v>
      </c>
      <c r="AS139" s="137" t="e">
        <f>AE139/#REF!</f>
        <v>#REF!</v>
      </c>
      <c r="AV139" s="148">
        <v>4265.46</v>
      </c>
      <c r="AW139" s="332">
        <f t="shared" si="56"/>
        <v>0.87180812125909668</v>
      </c>
      <c r="AX139" s="331">
        <v>0.26429016800686722</v>
      </c>
      <c r="AZ139" s="331">
        <v>18.990549759999997</v>
      </c>
      <c r="BA139" s="331">
        <f t="shared" si="76"/>
        <v>1.7951033767228868</v>
      </c>
      <c r="BB139" s="331">
        <v>27.666570454482631</v>
      </c>
      <c r="BC139" s="331">
        <f t="shared" si="59"/>
        <v>1.2321729596404178</v>
      </c>
      <c r="BD139" s="331">
        <v>1.8601009554573573E-2</v>
      </c>
      <c r="BF139" s="137" t="s">
        <v>473</v>
      </c>
      <c r="BG139" s="331">
        <v>0.40221360824670005</v>
      </c>
      <c r="BH139" s="331" t="s">
        <v>474</v>
      </c>
      <c r="BI139" s="137">
        <v>1.203310600478009</v>
      </c>
      <c r="BJ139" s="137" t="s">
        <v>475</v>
      </c>
      <c r="BS139" s="137">
        <v>1.1106487830007663</v>
      </c>
      <c r="BT139" s="331">
        <v>1.3433832260222009</v>
      </c>
      <c r="BU139" s="331">
        <v>0.38038625713638113</v>
      </c>
      <c r="BV139" s="1525">
        <v>1.4029115914636308</v>
      </c>
      <c r="CD139" s="137" t="s">
        <v>473</v>
      </c>
      <c r="CE139" s="1043">
        <v>0.49513194738504401</v>
      </c>
      <c r="CF139" s="331" t="s">
        <v>474</v>
      </c>
      <c r="CG139" s="331">
        <v>1.2672391405317984</v>
      </c>
      <c r="CH139" s="137" t="s">
        <v>475</v>
      </c>
      <c r="CP139" s="1523">
        <v>0.51243205790590274</v>
      </c>
      <c r="CR139" s="331">
        <v>8.6331517409065595E-5</v>
      </c>
      <c r="CT139" s="1511">
        <v>7.5075289859783496E-5</v>
      </c>
      <c r="CU139" s="331">
        <v>1.1499325220096401</v>
      </c>
      <c r="CW139" s="331">
        <v>9.2634594538278399E-5</v>
      </c>
      <c r="CX139" s="1177">
        <f t="shared" si="57"/>
        <v>0.93195763245222329</v>
      </c>
    </row>
    <row r="140" spans="3:138" x14ac:dyDescent="0.35">
      <c r="C140" s="1696"/>
      <c r="D140" s="1293" t="s">
        <v>441</v>
      </c>
      <c r="E140" s="1315" t="s">
        <v>251</v>
      </c>
      <c r="F140" s="1329" t="s">
        <v>240</v>
      </c>
      <c r="G140" s="325">
        <v>4</v>
      </c>
      <c r="H140" s="1330">
        <v>1440</v>
      </c>
      <c r="I140" s="114" t="s">
        <v>411</v>
      </c>
      <c r="J140" s="1339">
        <v>80.5</v>
      </c>
      <c r="K140" s="1353">
        <v>140.30000000000001</v>
      </c>
      <c r="L140" s="1339">
        <v>6.5</v>
      </c>
      <c r="M140" s="1362">
        <v>3.0939999999999999</v>
      </c>
      <c r="P140" s="1300">
        <v>212000</v>
      </c>
      <c r="Q140" s="1372">
        <v>486</v>
      </c>
      <c r="R140" s="849">
        <v>6.5</v>
      </c>
      <c r="S140" s="1299">
        <v>0.3</v>
      </c>
      <c r="T140" s="1299">
        <v>-0.5</v>
      </c>
      <c r="U140" s="1300">
        <v>736</v>
      </c>
      <c r="V140" s="331" t="s">
        <v>412</v>
      </c>
      <c r="W140" s="150">
        <v>212000</v>
      </c>
      <c r="X140" s="331">
        <v>610.88</v>
      </c>
      <c r="Y140" s="331">
        <f t="shared" si="74"/>
        <v>6.5</v>
      </c>
      <c r="Z140" s="331">
        <f t="shared" si="58"/>
        <v>0.3</v>
      </c>
      <c r="AA140" s="331">
        <f t="shared" si="58"/>
        <v>-0.5</v>
      </c>
      <c r="AB140" s="1300">
        <v>736</v>
      </c>
      <c r="AC140" s="1385">
        <v>33.97</v>
      </c>
      <c r="AF140" s="331">
        <v>1.00624E-4</v>
      </c>
      <c r="AG140" s="331">
        <f t="shared" si="77"/>
        <v>1.1773095729334102</v>
      </c>
      <c r="AH140" s="1511">
        <v>8.5469448574416196E-5</v>
      </c>
      <c r="AI140" s="331">
        <v>29.8612047752287</v>
      </c>
      <c r="AJ140" s="331" t="s">
        <v>422</v>
      </c>
      <c r="AK140" s="331">
        <v>520.54495332925501</v>
      </c>
      <c r="AL140" s="331">
        <v>12842.091315101999</v>
      </c>
      <c r="AM140" s="331">
        <v>636.09409795062095</v>
      </c>
      <c r="AN140" s="331">
        <v>13062.507078127201</v>
      </c>
      <c r="AO140" s="331" t="s">
        <v>422</v>
      </c>
      <c r="AQ140" s="137">
        <v>6.0575902429726415E-2</v>
      </c>
      <c r="AR140" s="137">
        <f t="shared" si="75"/>
        <v>1.1375964317481169</v>
      </c>
      <c r="AS140" s="137" t="e">
        <f>AE140/#REF!</f>
        <v>#REF!</v>
      </c>
      <c r="AV140" s="148">
        <v>1551.74</v>
      </c>
      <c r="AW140" s="332">
        <f t="shared" si="56"/>
        <v>0.88270192265644354</v>
      </c>
      <c r="AX140" s="331">
        <v>0.49399520055251012</v>
      </c>
      <c r="AZ140" s="331">
        <v>23.413558441462811</v>
      </c>
      <c r="BA140" s="331">
        <f t="shared" si="76"/>
        <v>1.4508687385102002</v>
      </c>
      <c r="BB140" s="331">
        <v>30.853998438022366</v>
      </c>
      <c r="BC140" s="331">
        <f t="shared" si="59"/>
        <v>1.1009918234175342</v>
      </c>
      <c r="BD140" s="331">
        <v>0.27527487077673035</v>
      </c>
      <c r="BF140" s="137" t="s">
        <v>473</v>
      </c>
      <c r="BG140" s="331">
        <v>0.38904721236575557</v>
      </c>
      <c r="BH140" s="331" t="s">
        <v>474</v>
      </c>
      <c r="BI140" s="137">
        <v>1.2311165480238511</v>
      </c>
      <c r="BJ140" s="137" t="s">
        <v>475</v>
      </c>
      <c r="BS140" s="331">
        <v>1.3330895032417398</v>
      </c>
      <c r="BU140" s="331">
        <v>1.5363033215535182</v>
      </c>
      <c r="BV140" s="331">
        <v>1.0236249680697695</v>
      </c>
      <c r="CP140" s="1523">
        <v>0.49335141239367603</v>
      </c>
      <c r="CR140" s="331">
        <v>1.5566707136004999E-4</v>
      </c>
      <c r="CT140" s="331">
        <v>1.08106821449461E-4</v>
      </c>
      <c r="CU140" s="331">
        <v>1.4399375476303593</v>
      </c>
      <c r="CW140" s="331">
        <v>3.8601649167590504E-5</v>
      </c>
      <c r="CX140" s="1177">
        <f t="shared" si="57"/>
        <v>4.0326533896055992</v>
      </c>
      <c r="CZ140" s="331">
        <f>COUNT(CU122:CU145)</f>
        <v>24</v>
      </c>
      <c r="DA140" s="331">
        <f>COUNT(CX122:CX145)</f>
        <v>20</v>
      </c>
    </row>
    <row r="141" spans="3:138" x14ac:dyDescent="0.35">
      <c r="C141" s="1696"/>
      <c r="D141" s="1293" t="s">
        <v>441</v>
      </c>
      <c r="E141" s="1315" t="s">
        <v>252</v>
      </c>
      <c r="F141" s="1329" t="s">
        <v>240</v>
      </c>
      <c r="G141" s="325">
        <v>4</v>
      </c>
      <c r="H141" s="1330">
        <v>1440</v>
      </c>
      <c r="I141" s="114" t="s">
        <v>411</v>
      </c>
      <c r="J141" s="1339">
        <v>80.900000000000006</v>
      </c>
      <c r="K141" s="1353">
        <v>160.6</v>
      </c>
      <c r="L141" s="1339">
        <v>6</v>
      </c>
      <c r="M141" s="1362">
        <v>2.9009999999999998</v>
      </c>
      <c r="P141" s="1300">
        <v>208000</v>
      </c>
      <c r="Q141" s="1372">
        <v>536</v>
      </c>
      <c r="R141" s="849">
        <v>5.9</v>
      </c>
      <c r="S141" s="1299">
        <v>0.3</v>
      </c>
      <c r="T141" s="1299">
        <v>-0.5</v>
      </c>
      <c r="U141" s="1300">
        <v>766</v>
      </c>
      <c r="V141" s="331" t="s">
        <v>412</v>
      </c>
      <c r="W141" s="150">
        <v>208000</v>
      </c>
      <c r="X141" s="331">
        <v>635.78</v>
      </c>
      <c r="Y141" s="331">
        <f t="shared" si="74"/>
        <v>5.9</v>
      </c>
      <c r="Z141" s="331">
        <f t="shared" si="58"/>
        <v>0.3</v>
      </c>
      <c r="AA141" s="331">
        <f t="shared" si="58"/>
        <v>-0.5</v>
      </c>
      <c r="AB141" s="1300">
        <v>766</v>
      </c>
      <c r="AC141" s="1385">
        <v>39.36</v>
      </c>
      <c r="AF141" s="331">
        <v>7.7433000000000002E-5</v>
      </c>
      <c r="AG141" s="331">
        <f t="shared" si="77"/>
        <v>1.1585641341812383</v>
      </c>
      <c r="AH141" s="1511">
        <v>6.6835315987683495E-5</v>
      </c>
      <c r="AI141" s="331">
        <v>35.952248088933203</v>
      </c>
      <c r="AJ141" s="331" t="s">
        <v>422</v>
      </c>
      <c r="AK141" s="331">
        <v>558.274751617687</v>
      </c>
      <c r="AL141" s="331">
        <v>24024.446087929999</v>
      </c>
      <c r="AM141" s="331">
        <v>644.70174691387297</v>
      </c>
      <c r="AN141" s="331">
        <v>39242.506142182901</v>
      </c>
      <c r="AO141" s="331" t="s">
        <v>422</v>
      </c>
      <c r="AQ141" s="137">
        <v>0.11550214465350961</v>
      </c>
      <c r="AR141" s="137">
        <f t="shared" si="75"/>
        <v>1.0947855027768283</v>
      </c>
      <c r="AS141" s="137" t="e">
        <f>AE141/#REF!</f>
        <v>#REF!</v>
      </c>
      <c r="AV141" s="148">
        <v>1282.8599999999999</v>
      </c>
      <c r="AW141" s="332">
        <f t="shared" si="56"/>
        <v>0.90550986372773457</v>
      </c>
      <c r="AX141" s="331">
        <v>0.58531000574556924</v>
      </c>
      <c r="AZ141" s="331">
        <v>29.367064922686836</v>
      </c>
      <c r="BA141" s="331">
        <f t="shared" si="76"/>
        <v>1.3402769430183457</v>
      </c>
      <c r="BB141" s="331">
        <v>35.940584335534254</v>
      </c>
      <c r="BC141" s="331">
        <f t="shared" si="59"/>
        <v>1.0951407921624965</v>
      </c>
      <c r="BD141" s="331">
        <v>1.0004300846897216E-2</v>
      </c>
      <c r="BF141" s="137" t="s">
        <v>473</v>
      </c>
      <c r="BG141" s="331">
        <v>0.49117842164005493</v>
      </c>
      <c r="BH141" s="331" t="s">
        <v>474</v>
      </c>
      <c r="BI141" s="137">
        <v>1.376886323100597</v>
      </c>
      <c r="BJ141" s="137" t="s">
        <v>475</v>
      </c>
      <c r="BS141" s="331">
        <v>1.0925541760908473</v>
      </c>
      <c r="BU141" s="331">
        <v>1.1568383466006047</v>
      </c>
      <c r="BV141" s="331">
        <v>1.1649024881352046</v>
      </c>
      <c r="CP141" s="1523">
        <v>0.38307792068403523</v>
      </c>
      <c r="CR141" s="331">
        <v>3.1540348337361643E-4</v>
      </c>
      <c r="CT141" s="331">
        <v>1.7538371039379201E-4</v>
      </c>
      <c r="CU141" s="331">
        <v>1.7983624742881517</v>
      </c>
      <c r="CW141" s="331">
        <v>4.7072464831909196E-5</v>
      </c>
      <c r="CX141" s="1177">
        <f t="shared" si="57"/>
        <v>6.7003817305910998</v>
      </c>
    </row>
    <row r="142" spans="3:138" ht="13.9" thickBot="1" x14ac:dyDescent="0.4">
      <c r="C142" s="1697"/>
      <c r="D142" s="1293" t="s">
        <v>441</v>
      </c>
      <c r="E142" s="1317" t="s">
        <v>254</v>
      </c>
      <c r="F142" s="1329" t="s">
        <v>240</v>
      </c>
      <c r="G142" s="325">
        <v>4</v>
      </c>
      <c r="H142" s="1332">
        <v>1644</v>
      </c>
      <c r="I142" s="114" t="s">
        <v>411</v>
      </c>
      <c r="J142" s="1341">
        <v>109.1</v>
      </c>
      <c r="K142" s="1355">
        <v>197.7</v>
      </c>
      <c r="L142" s="1341">
        <v>8.5</v>
      </c>
      <c r="M142" s="1364">
        <v>3.9980000000000002</v>
      </c>
      <c r="P142" s="1371">
        <v>200000</v>
      </c>
      <c r="Q142" s="1373">
        <v>503</v>
      </c>
      <c r="R142" s="849">
        <v>5.9</v>
      </c>
      <c r="S142" s="1299">
        <v>0.3</v>
      </c>
      <c r="T142" s="1299">
        <v>-0.5</v>
      </c>
      <c r="U142" s="1371">
        <v>961</v>
      </c>
      <c r="V142" s="331" t="s">
        <v>412</v>
      </c>
      <c r="W142" s="1370">
        <v>200000</v>
      </c>
      <c r="X142" s="331">
        <v>797.63</v>
      </c>
      <c r="Y142" s="331">
        <f t="shared" si="74"/>
        <v>5.9</v>
      </c>
      <c r="Z142" s="331">
        <f t="shared" si="74"/>
        <v>0.3</v>
      </c>
      <c r="AA142" s="331">
        <f t="shared" si="74"/>
        <v>-0.5</v>
      </c>
      <c r="AB142" s="1371">
        <v>961</v>
      </c>
      <c r="AC142" s="1386">
        <v>80.150000000000006</v>
      </c>
      <c r="AF142" s="331">
        <v>7.0389999999999995E-5</v>
      </c>
      <c r="AG142" s="331">
        <f t="shared" si="77"/>
        <v>1.1835126268224556</v>
      </c>
      <c r="AH142" s="1511">
        <v>5.9475495575392398E-5</v>
      </c>
      <c r="AI142" s="331">
        <v>79.254437103025097</v>
      </c>
      <c r="AJ142" s="331" t="s">
        <v>422</v>
      </c>
      <c r="AK142" s="331">
        <v>536.54600179317902</v>
      </c>
      <c r="AL142" s="331">
        <v>18871.879561834401</v>
      </c>
      <c r="AM142" s="331">
        <v>785.80401002950896</v>
      </c>
      <c r="AN142" s="331">
        <v>53334.201805288802</v>
      </c>
      <c r="AO142" s="331" t="s">
        <v>422</v>
      </c>
      <c r="AQ142" s="137">
        <v>9.4359397809172005E-2</v>
      </c>
      <c r="AR142" s="137">
        <f t="shared" si="75"/>
        <v>1.0112998455318123</v>
      </c>
      <c r="AS142" s="137" t="e">
        <f>AE142/#REF!</f>
        <v>#REF!</v>
      </c>
      <c r="AV142" s="148">
        <v>1341.88</v>
      </c>
      <c r="AW142" s="332">
        <f t="shared" si="56"/>
        <v>0.89159636968126288</v>
      </c>
      <c r="AX142" s="331">
        <v>0.54587781436399352</v>
      </c>
      <c r="AZ142" s="331">
        <v>60.843532547846451</v>
      </c>
      <c r="BA142" s="331">
        <f t="shared" si="76"/>
        <v>1.3173133880247869</v>
      </c>
      <c r="BB142" s="331">
        <v>81.685184713687974</v>
      </c>
      <c r="BC142" s="331">
        <f t="shared" si="59"/>
        <v>0.98120608138343701</v>
      </c>
      <c r="BD142" s="331">
        <v>3.941910583018144E-2</v>
      </c>
      <c r="BF142" s="137" t="s">
        <v>473</v>
      </c>
      <c r="BG142" s="331">
        <v>0.39351073115623852</v>
      </c>
      <c r="BH142" s="331" t="s">
        <v>474</v>
      </c>
      <c r="BI142" s="137">
        <v>1.0583674089945785</v>
      </c>
      <c r="BJ142" s="137" t="s">
        <v>475</v>
      </c>
      <c r="BS142" s="331">
        <v>1.3515482318505583</v>
      </c>
      <c r="BU142" s="331">
        <v>0.94608442621867361</v>
      </c>
      <c r="BV142" s="331">
        <v>1.385403840526493</v>
      </c>
      <c r="CP142" s="1523">
        <v>0.73807546520434975</v>
      </c>
      <c r="CR142" s="331">
        <v>1.18214E-4</v>
      </c>
      <c r="CT142" s="1511">
        <v>5.63179391189471E-5</v>
      </c>
      <c r="CU142" s="331">
        <v>2.0990469795125928</v>
      </c>
      <c r="CW142" s="331" t="e">
        <v>#VALUE!</v>
      </c>
      <c r="CX142" s="1177" t="e">
        <v>#VALUE!</v>
      </c>
      <c r="EA142" s="335"/>
      <c r="EE142" s="331"/>
      <c r="EG142" s="335"/>
      <c r="EH142" s="331"/>
    </row>
    <row r="143" spans="3:138" x14ac:dyDescent="0.35">
      <c r="C143" s="1698" t="s">
        <v>255</v>
      </c>
      <c r="D143" s="1293" t="s">
        <v>441</v>
      </c>
      <c r="E143" s="1312" t="s">
        <v>139</v>
      </c>
      <c r="F143" s="1329" t="s">
        <v>240</v>
      </c>
      <c r="G143" s="325">
        <v>4</v>
      </c>
      <c r="H143" s="1330">
        <v>2000</v>
      </c>
      <c r="I143" s="114" t="s">
        <v>411</v>
      </c>
      <c r="J143" s="1340">
        <v>79.8</v>
      </c>
      <c r="K143" s="1356">
        <v>120</v>
      </c>
      <c r="L143" s="1340">
        <v>4</v>
      </c>
      <c r="M143" s="1360">
        <v>3.07</v>
      </c>
      <c r="P143" s="150">
        <v>200000</v>
      </c>
      <c r="Q143" s="1372">
        <v>520</v>
      </c>
      <c r="R143" s="918">
        <v>7</v>
      </c>
      <c r="S143" s="1299">
        <v>0.3</v>
      </c>
      <c r="T143" s="1299">
        <v>-0.5</v>
      </c>
      <c r="U143" s="1300">
        <v>830</v>
      </c>
      <c r="V143" s="331" t="s">
        <v>412</v>
      </c>
      <c r="W143" s="1300">
        <v>200000</v>
      </c>
      <c r="X143" s="331">
        <v>688.9</v>
      </c>
      <c r="Y143" s="331">
        <f t="shared" si="74"/>
        <v>7</v>
      </c>
      <c r="Z143" s="331">
        <f t="shared" si="74"/>
        <v>0.3</v>
      </c>
      <c r="AA143" s="331">
        <f t="shared" si="74"/>
        <v>-0.5</v>
      </c>
      <c r="AB143" s="1300">
        <v>830</v>
      </c>
      <c r="AC143" s="1385">
        <v>29.8</v>
      </c>
      <c r="AF143" s="331">
        <v>2.7066349383974317E-4</v>
      </c>
      <c r="AG143" s="331">
        <f t="shared" si="77"/>
        <v>2.705041188548452</v>
      </c>
      <c r="AH143" s="331">
        <v>1.0005891776641799E-4</v>
      </c>
      <c r="AI143" s="331">
        <v>24.9700926818334</v>
      </c>
      <c r="AJ143" s="331" t="s">
        <v>422</v>
      </c>
      <c r="AK143" s="331">
        <v>551.36393070822805</v>
      </c>
      <c r="AL143" s="331">
        <v>17469.902246332302</v>
      </c>
      <c r="AM143" s="331">
        <v>703.86117981454902</v>
      </c>
      <c r="AN143" s="331">
        <v>30994.696974604802</v>
      </c>
      <c r="AO143" s="331" t="s">
        <v>422</v>
      </c>
      <c r="AQ143" s="137">
        <v>8.7349511231661514E-2</v>
      </c>
      <c r="AR143" s="137">
        <f t="shared" si="75"/>
        <v>1.1934276888639874</v>
      </c>
      <c r="AS143" s="137" t="e">
        <f>AE143/#REF!</f>
        <v>#REF!</v>
      </c>
      <c r="AV143" s="148">
        <v>1527.8620000000001</v>
      </c>
      <c r="AW143" s="332">
        <f t="shared" si="56"/>
        <v>0.9053279740015393</v>
      </c>
      <c r="AX143" s="331">
        <v>0.52816004868933941</v>
      </c>
      <c r="AZ143" s="331">
        <v>19.843949724838033</v>
      </c>
      <c r="BA143" s="331">
        <f t="shared" si="76"/>
        <v>1.5017171688708877</v>
      </c>
      <c r="BB143" s="331">
        <v>25.906250781292918</v>
      </c>
      <c r="BC143" s="331">
        <f t="shared" si="59"/>
        <v>1.1503015334630662</v>
      </c>
      <c r="BD143" s="331">
        <v>0.28795859138992952</v>
      </c>
      <c r="BF143" s="137" t="s">
        <v>473</v>
      </c>
      <c r="BG143" s="331">
        <v>0.44058712115339005</v>
      </c>
      <c r="BH143" s="331" t="s">
        <v>474</v>
      </c>
      <c r="BI143" s="137">
        <v>1.0970584790456925</v>
      </c>
      <c r="BJ143" s="137" t="s">
        <v>475</v>
      </c>
      <c r="BS143" s="331">
        <v>1.2203040531340843</v>
      </c>
      <c r="BU143" s="331">
        <v>0.71890421861666365</v>
      </c>
      <c r="BV143" s="331">
        <v>1.3317220718709211</v>
      </c>
      <c r="CP143" s="1523">
        <v>0.71985542111400336</v>
      </c>
      <c r="CR143" s="331">
        <v>2.8858300000000003E-4</v>
      </c>
      <c r="CT143" s="331">
        <v>1.6376558150960299E-4</v>
      </c>
      <c r="CU143" s="331">
        <v>1.7621712532011979</v>
      </c>
      <c r="CW143" s="331" t="e">
        <v>#VALUE!</v>
      </c>
      <c r="CX143" s="1177" t="e">
        <v>#VALUE!</v>
      </c>
    </row>
    <row r="144" spans="3:138" x14ac:dyDescent="0.35">
      <c r="C144" s="1699"/>
      <c r="D144" s="1293" t="s">
        <v>441</v>
      </c>
      <c r="E144" s="1312" t="s">
        <v>140</v>
      </c>
      <c r="F144" s="1329" t="s">
        <v>240</v>
      </c>
      <c r="G144" s="325">
        <v>4</v>
      </c>
      <c r="H144" s="1330">
        <v>2000</v>
      </c>
      <c r="I144" s="114" t="s">
        <v>411</v>
      </c>
      <c r="J144" s="1339">
        <v>60.4</v>
      </c>
      <c r="K144" s="1353">
        <v>139.9</v>
      </c>
      <c r="L144" s="1339">
        <v>4.5</v>
      </c>
      <c r="M144" s="1359">
        <v>3.07</v>
      </c>
      <c r="P144" s="150">
        <v>199500</v>
      </c>
      <c r="Q144" s="1372">
        <v>526</v>
      </c>
      <c r="R144" s="919">
        <v>7</v>
      </c>
      <c r="S144" s="1299">
        <v>0.3</v>
      </c>
      <c r="T144" s="1299">
        <v>-0.5</v>
      </c>
      <c r="U144" s="1300">
        <v>825</v>
      </c>
      <c r="V144" s="331" t="s">
        <v>412</v>
      </c>
      <c r="W144" s="1300">
        <v>199500</v>
      </c>
      <c r="X144" s="331">
        <v>684.75</v>
      </c>
      <c r="Y144" s="331">
        <f t="shared" si="74"/>
        <v>7</v>
      </c>
      <c r="Z144" s="331">
        <f t="shared" si="74"/>
        <v>0.3</v>
      </c>
      <c r="AA144" s="331">
        <f t="shared" si="74"/>
        <v>-0.5</v>
      </c>
      <c r="AB144" s="1300">
        <v>825</v>
      </c>
      <c r="AC144" s="1385">
        <v>34.6</v>
      </c>
      <c r="AF144" s="331">
        <v>2.7287463107849034E-4</v>
      </c>
      <c r="AG144" s="331">
        <f t="shared" si="77"/>
        <v>1.8299847294889739</v>
      </c>
      <c r="AH144" s="331">
        <v>1.49113064541632E-4</v>
      </c>
      <c r="AI144" s="331">
        <v>29.795554977211001</v>
      </c>
      <c r="AJ144" s="331" t="s">
        <v>490</v>
      </c>
      <c r="AK144" s="331">
        <v>596.15225398259702</v>
      </c>
      <c r="AL144" s="331">
        <v>5382.9514371454698</v>
      </c>
      <c r="AM144" s="331">
        <v>736.45676529509694</v>
      </c>
      <c r="AN144" s="331">
        <v>3493.6329094108301</v>
      </c>
      <c r="AO144" s="331" t="s">
        <v>490</v>
      </c>
      <c r="AQ144" s="137">
        <v>2.6982212717521152E-2</v>
      </c>
      <c r="AR144" s="137">
        <f t="shared" si="75"/>
        <v>1.1612470392467487</v>
      </c>
      <c r="AS144" s="137" t="e">
        <f>AE144/#REF!</f>
        <v>#REF!</v>
      </c>
      <c r="AV144" s="148">
        <v>2290.92</v>
      </c>
      <c r="AW144" s="332">
        <f t="shared" si="56"/>
        <v>0.9117883505079295</v>
      </c>
      <c r="AX144" s="331">
        <v>0.43689990407608209</v>
      </c>
      <c r="AZ144" s="331">
        <v>21.107385740603114</v>
      </c>
      <c r="BA144" s="331">
        <f t="shared" si="76"/>
        <v>1.6392366361809501</v>
      </c>
      <c r="BB144" s="331">
        <v>30.337780270789498</v>
      </c>
      <c r="BC144" s="331">
        <f t="shared" si="59"/>
        <v>1.1404921418497564</v>
      </c>
      <c r="BD144" s="331">
        <v>7.8027521343236081E-2</v>
      </c>
      <c r="BF144" s="137" t="s">
        <v>473</v>
      </c>
      <c r="BG144" s="331">
        <v>0.49513194738504401</v>
      </c>
      <c r="BH144" s="331" t="s">
        <v>474</v>
      </c>
      <c r="BI144" s="137">
        <v>1.0616673404198553</v>
      </c>
      <c r="BJ144" s="137" t="s">
        <v>475</v>
      </c>
      <c r="BS144" s="331">
        <v>1.2331359641227229</v>
      </c>
      <c r="BU144" s="331">
        <v>0.71784468089051623</v>
      </c>
      <c r="BV144" s="331">
        <v>1.4341709255374515</v>
      </c>
      <c r="CP144" s="1524">
        <v>1.0583923998642484</v>
      </c>
      <c r="CR144" s="331">
        <v>5.4880000000000003E-5</v>
      </c>
      <c r="CT144" s="1511">
        <v>2.1463954711907002E-5</v>
      </c>
      <c r="CU144" s="331">
        <v>2.556844753756196</v>
      </c>
      <c r="CW144" s="331" t="e">
        <v>#VALUE!</v>
      </c>
      <c r="CX144" s="1177" t="e">
        <v>#VALUE!</v>
      </c>
    </row>
    <row r="145" spans="3:102" x14ac:dyDescent="0.35">
      <c r="C145" s="1699"/>
      <c r="D145" s="1293" t="s">
        <v>441</v>
      </c>
      <c r="E145" s="1312" t="s">
        <v>139</v>
      </c>
      <c r="F145" s="1329" t="s">
        <v>240</v>
      </c>
      <c r="G145" s="325">
        <v>4</v>
      </c>
      <c r="H145" s="1330">
        <v>2000</v>
      </c>
      <c r="I145" s="114" t="s">
        <v>411</v>
      </c>
      <c r="J145" s="1339">
        <v>80.400000000000006</v>
      </c>
      <c r="K145" s="1353">
        <v>120.3</v>
      </c>
      <c r="L145" s="1339">
        <v>4</v>
      </c>
      <c r="M145" s="1359">
        <v>3.05</v>
      </c>
      <c r="P145" s="150">
        <v>190500</v>
      </c>
      <c r="Q145" s="1372">
        <v>634</v>
      </c>
      <c r="R145" s="919">
        <v>7</v>
      </c>
      <c r="S145" s="1299">
        <v>0.3</v>
      </c>
      <c r="T145" s="1299">
        <v>-0.5</v>
      </c>
      <c r="U145" s="1300">
        <v>958</v>
      </c>
      <c r="V145" s="331" t="s">
        <v>412</v>
      </c>
      <c r="W145" s="1300">
        <v>190500</v>
      </c>
      <c r="X145" s="331">
        <v>795.14</v>
      </c>
      <c r="Y145" s="331">
        <f t="shared" si="74"/>
        <v>7</v>
      </c>
      <c r="Z145" s="331">
        <f t="shared" si="74"/>
        <v>0.3</v>
      </c>
      <c r="AA145" s="331">
        <f t="shared" si="74"/>
        <v>-0.5</v>
      </c>
      <c r="AB145" s="1300">
        <v>958</v>
      </c>
      <c r="AC145" s="1385">
        <v>33.700000000000003</v>
      </c>
      <c r="AF145" s="331">
        <v>2.4632944166103288E-4</v>
      </c>
      <c r="AG145" s="331">
        <f t="shared" si="77"/>
        <v>2.4614194320349658</v>
      </c>
      <c r="AH145" s="331">
        <v>1.0007617493186899E-4</v>
      </c>
      <c r="AI145" s="331">
        <v>28.9454739652017</v>
      </c>
      <c r="AJ145" s="331" t="s">
        <v>422</v>
      </c>
      <c r="AK145" s="331">
        <v>652.75267763117597</v>
      </c>
      <c r="AL145" s="331">
        <v>31210.648892832902</v>
      </c>
      <c r="AM145" s="331">
        <v>781.16157339006099</v>
      </c>
      <c r="AN145" s="331">
        <v>47440.861826990098</v>
      </c>
      <c r="AO145" s="331" t="s">
        <v>422</v>
      </c>
      <c r="AQ145" s="137">
        <v>0.16383542725896535</v>
      </c>
      <c r="AR145" s="137">
        <f t="shared" si="75"/>
        <v>1.1642580128594266</v>
      </c>
      <c r="AS145" s="137" t="e">
        <f>AE145/#REF!</f>
        <v>#REF!</v>
      </c>
      <c r="AV145" s="148">
        <v>1436.9</v>
      </c>
      <c r="AW145" s="332">
        <f t="shared" si="56"/>
        <v>0.90575692963752663</v>
      </c>
      <c r="AX145" s="331">
        <v>0.60164875439353072</v>
      </c>
      <c r="AZ145" s="331">
        <v>23.311053128692734</v>
      </c>
      <c r="BA145" s="331">
        <f t="shared" si="76"/>
        <v>1.4456661315965982</v>
      </c>
      <c r="BB145" s="331">
        <v>29.096721480767371</v>
      </c>
      <c r="BC145" s="331">
        <f t="shared" si="59"/>
        <v>1.1582060893793602</v>
      </c>
      <c r="BD145" s="331">
        <v>0.18891088917930512</v>
      </c>
      <c r="BS145" s="331">
        <v>1.2545640622840906</v>
      </c>
      <c r="BU145" s="331">
        <v>0.73705917358889006</v>
      </c>
      <c r="BV145" s="331">
        <v>1.4507114761438815</v>
      </c>
      <c r="CP145" s="1523">
        <v>0.75823939558119724</v>
      </c>
      <c r="CR145" s="331">
        <v>1.7099846112488776E-4</v>
      </c>
      <c r="CT145" s="1511">
        <v>7.9022662113147096E-5</v>
      </c>
      <c r="CU145" s="331">
        <v>2.1639167366956946</v>
      </c>
      <c r="CW145" s="331" t="e">
        <v>#VALUE!</v>
      </c>
      <c r="CX145" s="1177" t="e">
        <v>#VALUE!</v>
      </c>
    </row>
    <row r="146" spans="3:102" ht="13.9" thickBot="1" x14ac:dyDescent="0.4">
      <c r="C146" s="1700"/>
      <c r="D146" s="1293" t="s">
        <v>441</v>
      </c>
      <c r="E146" s="1314" t="s">
        <v>140</v>
      </c>
      <c r="F146" s="1329" t="s">
        <v>240</v>
      </c>
      <c r="G146" s="325">
        <v>4</v>
      </c>
      <c r="H146" s="1330">
        <v>2000</v>
      </c>
      <c r="I146" s="114" t="s">
        <v>411</v>
      </c>
      <c r="J146" s="1341">
        <v>60.2</v>
      </c>
      <c r="K146" s="1353">
        <v>139.80000000000001</v>
      </c>
      <c r="L146" s="1341">
        <v>4</v>
      </c>
      <c r="M146" s="1361">
        <v>3.06</v>
      </c>
      <c r="P146" s="1370">
        <v>185500</v>
      </c>
      <c r="Q146" s="1373">
        <v>610</v>
      </c>
      <c r="R146" s="920">
        <v>7</v>
      </c>
      <c r="S146" s="1299">
        <v>0.3</v>
      </c>
      <c r="T146" s="1299">
        <v>-0.5</v>
      </c>
      <c r="U146" s="1371">
        <v>978</v>
      </c>
      <c r="V146" s="331" t="s">
        <v>412</v>
      </c>
      <c r="W146" s="1371">
        <v>185500</v>
      </c>
      <c r="X146" s="331">
        <v>811.74</v>
      </c>
      <c r="Y146" s="331">
        <f t="shared" si="74"/>
        <v>7</v>
      </c>
      <c r="Z146" s="331">
        <f t="shared" si="74"/>
        <v>0.3</v>
      </c>
      <c r="AA146" s="331">
        <f t="shared" si="74"/>
        <v>-0.5</v>
      </c>
      <c r="AB146" s="1371">
        <v>978</v>
      </c>
      <c r="AC146" s="1386">
        <v>39</v>
      </c>
      <c r="AF146" s="331">
        <v>2.8392757007687336E-4</v>
      </c>
      <c r="AG146" s="331">
        <f t="shared" si="77"/>
        <v>1.9612358796191356</v>
      </c>
      <c r="AH146" s="331">
        <v>1.4476972047442401E-4</v>
      </c>
      <c r="AI146" s="331">
        <v>33.763020282055599</v>
      </c>
      <c r="AJ146" s="331" t="s">
        <v>422</v>
      </c>
      <c r="AK146" s="331">
        <v>685.78978151956403</v>
      </c>
      <c r="AL146" s="331">
        <v>7591.8908103190197</v>
      </c>
      <c r="AM146" s="331">
        <v>866.82486044498398</v>
      </c>
      <c r="AN146" s="331">
        <v>5437.08310386833</v>
      </c>
      <c r="AO146" s="331" t="s">
        <v>422</v>
      </c>
      <c r="AQ146" s="137">
        <v>4.0926635096059406E-2</v>
      </c>
      <c r="AR146" s="137">
        <f t="shared" si="75"/>
        <v>1.1551099301601213</v>
      </c>
      <c r="AS146" s="137" t="e">
        <f>AE146/#REF!</f>
        <v>#REF!</v>
      </c>
      <c r="AV146" s="148">
        <v>2176.0700000000002</v>
      </c>
      <c r="AW146" s="332">
        <f t="shared" si="56"/>
        <v>0.91911657159572913</v>
      </c>
      <c r="AX146" s="331">
        <v>0.48663022872071232</v>
      </c>
      <c r="AZ146" s="331">
        <v>24.442528262439716</v>
      </c>
      <c r="BA146" s="331">
        <f t="shared" si="76"/>
        <v>1.5955796217664775</v>
      </c>
      <c r="BB146" s="331">
        <v>34.154442601871224</v>
      </c>
      <c r="BC146" s="331">
        <f t="shared" si="59"/>
        <v>1.1418719507330886</v>
      </c>
      <c r="BD146" s="331">
        <v>0.32130365372870245</v>
      </c>
    </row>
    <row r="147" spans="3:102" x14ac:dyDescent="0.35">
      <c r="C147" s="1693" t="s">
        <v>363</v>
      </c>
      <c r="D147" s="1293" t="s">
        <v>441</v>
      </c>
      <c r="E147" s="1315" t="s">
        <v>258</v>
      </c>
      <c r="F147" s="1329" t="s">
        <v>240</v>
      </c>
      <c r="G147" s="325">
        <v>3</v>
      </c>
      <c r="H147" s="1334">
        <v>1800</v>
      </c>
      <c r="I147" s="114" t="s">
        <v>411</v>
      </c>
      <c r="J147" s="1343">
        <v>80</v>
      </c>
      <c r="K147" s="1357">
        <v>80</v>
      </c>
      <c r="L147" s="1343">
        <v>3</v>
      </c>
      <c r="M147" s="1348">
        <v>3</v>
      </c>
      <c r="P147" s="150">
        <v>165570</v>
      </c>
      <c r="Q147" s="1372">
        <v>422</v>
      </c>
      <c r="R147" s="924">
        <v>7</v>
      </c>
      <c r="S147" s="1299">
        <v>0.3</v>
      </c>
      <c r="T147" s="1299">
        <v>-0.5</v>
      </c>
      <c r="U147" s="1300">
        <v>658</v>
      </c>
      <c r="V147" s="331" t="s">
        <v>412</v>
      </c>
      <c r="W147" s="150">
        <v>165570</v>
      </c>
      <c r="X147" s="331">
        <v>546.14</v>
      </c>
      <c r="Y147" s="331">
        <f t="shared" si="74"/>
        <v>7</v>
      </c>
      <c r="Z147" s="331">
        <f t="shared" si="74"/>
        <v>0.3</v>
      </c>
      <c r="AA147" s="331">
        <f t="shared" si="74"/>
        <v>-0.5</v>
      </c>
      <c r="AB147" s="1300">
        <v>658</v>
      </c>
      <c r="AC147" s="1388">
        <v>13.5</v>
      </c>
      <c r="AG147" s="331" t="e">
        <f t="shared" si="77"/>
        <v>#DIV/0!</v>
      </c>
      <c r="AQ147" s="137">
        <v>0</v>
      </c>
      <c r="AR147" s="137" t="e">
        <f t="shared" si="75"/>
        <v>#DIV/0!</v>
      </c>
      <c r="AS147" s="137" t="e">
        <f>AE147/#REF!</f>
        <v>#REF!</v>
      </c>
      <c r="AV147" s="148">
        <v>1319.1</v>
      </c>
      <c r="AW147" s="332">
        <f t="shared" si="56"/>
        <v>0.88311688311688308</v>
      </c>
      <c r="AX147" s="331">
        <v>0.49950006933386187</v>
      </c>
      <c r="AZ147" s="331">
        <v>8.4966117950292777</v>
      </c>
      <c r="BA147" s="331">
        <f t="shared" si="76"/>
        <v>1.5888686367779947</v>
      </c>
      <c r="BB147" s="331">
        <v>12.470377243514351</v>
      </c>
      <c r="BC147" s="331">
        <f t="shared" si="59"/>
        <v>1.0825654859014902</v>
      </c>
      <c r="BD147" s="331">
        <v>5.336069877088611E-2</v>
      </c>
      <c r="BG147" s="331" t="s">
        <v>499</v>
      </c>
    </row>
    <row r="148" spans="3:102" ht="13.9" thickBot="1" x14ac:dyDescent="0.4">
      <c r="C148" s="1695"/>
      <c r="D148" s="1293" t="s">
        <v>441</v>
      </c>
      <c r="E148" s="1315" t="s">
        <v>258</v>
      </c>
      <c r="F148" s="1329" t="s">
        <v>240</v>
      </c>
      <c r="G148" s="325">
        <v>3</v>
      </c>
      <c r="H148" s="1335">
        <v>1800</v>
      </c>
      <c r="I148" s="114" t="s">
        <v>411</v>
      </c>
      <c r="J148" s="1344">
        <v>80</v>
      </c>
      <c r="K148" s="1358">
        <v>80</v>
      </c>
      <c r="L148" s="1344">
        <v>3</v>
      </c>
      <c r="M148" s="1365">
        <v>3</v>
      </c>
      <c r="P148" s="1370">
        <v>165570</v>
      </c>
      <c r="Q148" s="1373">
        <v>422</v>
      </c>
      <c r="R148" s="867">
        <v>7</v>
      </c>
      <c r="S148" s="1299">
        <v>0.3</v>
      </c>
      <c r="T148" s="1299">
        <v>-0.5</v>
      </c>
      <c r="U148" s="1371">
        <v>658</v>
      </c>
      <c r="V148" s="331" t="s">
        <v>412</v>
      </c>
      <c r="W148" s="1370">
        <v>165570</v>
      </c>
      <c r="X148" s="331">
        <v>546.14</v>
      </c>
      <c r="Y148" s="331">
        <f t="shared" si="74"/>
        <v>7</v>
      </c>
      <c r="Z148" s="331">
        <f t="shared" si="74"/>
        <v>0.3</v>
      </c>
      <c r="AA148" s="331">
        <f t="shared" si="74"/>
        <v>-0.5</v>
      </c>
      <c r="AB148" s="1371">
        <v>658</v>
      </c>
      <c r="AC148" s="1388">
        <v>13.05</v>
      </c>
      <c r="AG148" s="331" t="e">
        <f t="shared" si="77"/>
        <v>#DIV/0!</v>
      </c>
      <c r="AQ148" s="137">
        <v>0</v>
      </c>
      <c r="AR148" s="137" t="e">
        <f t="shared" si="75"/>
        <v>#DIV/0!</v>
      </c>
      <c r="AS148" s="137" t="e">
        <f>AE148/#REF!</f>
        <v>#REF!</v>
      </c>
      <c r="AV148" s="148">
        <v>1319.1</v>
      </c>
      <c r="AW148" s="332">
        <f t="shared" si="56"/>
        <v>0.88311688311688308</v>
      </c>
      <c r="AX148" s="331">
        <v>0.49950006933386187</v>
      </c>
      <c r="AZ148" s="331">
        <v>8.4966117950292777</v>
      </c>
      <c r="BA148" s="331">
        <f t="shared" si="76"/>
        <v>1.535906348885395</v>
      </c>
      <c r="BB148" s="331">
        <v>12.470377243514351</v>
      </c>
      <c r="BC148" s="331">
        <f t="shared" si="59"/>
        <v>1.046479969704774</v>
      </c>
      <c r="BD148" s="331">
        <v>6.5985712650242587E-3</v>
      </c>
    </row>
    <row r="149" spans="3:102" x14ac:dyDescent="0.35">
      <c r="C149" s="1701" t="s">
        <v>236</v>
      </c>
      <c r="D149" s="1293" t="s">
        <v>441</v>
      </c>
      <c r="E149" s="1313" t="s">
        <v>259</v>
      </c>
      <c r="F149" s="1329" t="s">
        <v>240</v>
      </c>
      <c r="G149" s="325">
        <v>4</v>
      </c>
      <c r="H149" s="1336">
        <v>900</v>
      </c>
      <c r="I149" s="114" t="s">
        <v>411</v>
      </c>
      <c r="J149" s="1345">
        <v>59.6</v>
      </c>
      <c r="K149" s="1345">
        <v>59.9</v>
      </c>
      <c r="L149" s="1345">
        <v>3.5</v>
      </c>
      <c r="M149" s="1349">
        <v>4.7699999999999996</v>
      </c>
      <c r="P149" s="150">
        <v>185000</v>
      </c>
      <c r="Q149" s="1372">
        <v>566</v>
      </c>
      <c r="R149" s="849">
        <v>7</v>
      </c>
      <c r="S149" s="1299">
        <v>0.3</v>
      </c>
      <c r="T149" s="1299">
        <v>-0.5</v>
      </c>
      <c r="U149" s="1300">
        <v>753</v>
      </c>
      <c r="V149" s="331" t="s">
        <v>412</v>
      </c>
      <c r="W149" s="150">
        <v>185000</v>
      </c>
      <c r="X149" s="331">
        <v>624.99</v>
      </c>
      <c r="Y149" s="331">
        <f t="shared" si="74"/>
        <v>7</v>
      </c>
      <c r="Z149" s="331">
        <f t="shared" si="74"/>
        <v>0.3</v>
      </c>
      <c r="AA149" s="331">
        <f t="shared" si="74"/>
        <v>-0.5</v>
      </c>
      <c r="AB149" s="1300">
        <v>753</v>
      </c>
      <c r="AC149" s="1389">
        <v>15</v>
      </c>
      <c r="AG149" s="331">
        <f t="shared" si="77"/>
        <v>0</v>
      </c>
      <c r="AH149" s="331">
        <v>6.3172616705594795E-4</v>
      </c>
      <c r="AI149" s="331">
        <v>13.292501804432099</v>
      </c>
      <c r="AJ149" s="331" t="s">
        <v>490</v>
      </c>
      <c r="AK149" s="331">
        <v>643.254486038972</v>
      </c>
      <c r="AL149" s="331">
        <v>1994.7037537019401</v>
      </c>
      <c r="AM149" s="331">
        <v>687.42476313545296</v>
      </c>
      <c r="AN149" s="331">
        <v>1488.16226155616</v>
      </c>
      <c r="AO149" s="331" t="s">
        <v>490</v>
      </c>
      <c r="AQ149" s="137">
        <v>1.0782182452442919E-2</v>
      </c>
      <c r="AR149" s="137">
        <f t="shared" si="75"/>
        <v>1.1284557429962938</v>
      </c>
      <c r="AS149" s="137" t="e">
        <f>AE149/#REF!</f>
        <v>#REF!</v>
      </c>
      <c r="AV149" s="148">
        <v>6825.24</v>
      </c>
      <c r="AW149" s="332">
        <f t="shared" si="56"/>
        <v>0.78650462543080002</v>
      </c>
      <c r="AX149" s="331">
        <v>0.22649078289584409</v>
      </c>
      <c r="AZ149" s="331">
        <v>11.505851759999999</v>
      </c>
      <c r="BA149" s="331">
        <f t="shared" si="76"/>
        <v>1.3036844479560723</v>
      </c>
      <c r="BB149" s="331">
        <v>13.702095320642613</v>
      </c>
      <c r="BC149" s="331">
        <f t="shared" si="59"/>
        <v>1.0947230805935246</v>
      </c>
      <c r="BD149" s="331">
        <v>6.1019548270484759E-2</v>
      </c>
      <c r="BF149" s="137" t="s">
        <v>473</v>
      </c>
      <c r="BG149" s="1512">
        <v>0.40948422844081911</v>
      </c>
      <c r="BH149" s="331" t="s">
        <v>474</v>
      </c>
      <c r="BI149" s="137">
        <v>1.1852731620480637</v>
      </c>
      <c r="BJ149" s="137" t="s">
        <v>475</v>
      </c>
    </row>
    <row r="150" spans="3:102" x14ac:dyDescent="0.35">
      <c r="C150" s="1702"/>
      <c r="D150" s="1293" t="s">
        <v>441</v>
      </c>
      <c r="E150" s="1318" t="s">
        <v>259</v>
      </c>
      <c r="F150" s="1329" t="s">
        <v>240</v>
      </c>
      <c r="G150" s="325">
        <v>4</v>
      </c>
      <c r="H150" s="937">
        <v>900</v>
      </c>
      <c r="I150" s="114" t="s">
        <v>411</v>
      </c>
      <c r="J150" s="938">
        <v>59.3</v>
      </c>
      <c r="K150" s="938">
        <v>59.5</v>
      </c>
      <c r="L150" s="938">
        <v>3</v>
      </c>
      <c r="M150" s="939">
        <v>4.8899999999999997</v>
      </c>
      <c r="P150" s="935">
        <v>181000</v>
      </c>
      <c r="Q150" s="932">
        <v>530</v>
      </c>
      <c r="R150" s="943">
        <v>7</v>
      </c>
      <c r="S150" s="1299">
        <v>0.3</v>
      </c>
      <c r="T150" s="1299">
        <v>-0.5</v>
      </c>
      <c r="U150" s="933">
        <v>668.5</v>
      </c>
      <c r="V150" s="331" t="s">
        <v>412</v>
      </c>
      <c r="W150" s="935">
        <v>181000</v>
      </c>
      <c r="X150" s="331">
        <v>554.85500000000002</v>
      </c>
      <c r="Y150" s="331">
        <f t="shared" si="74"/>
        <v>7</v>
      </c>
      <c r="Z150" s="331">
        <f t="shared" si="74"/>
        <v>0.3</v>
      </c>
      <c r="AA150" s="331">
        <f t="shared" si="74"/>
        <v>-0.5</v>
      </c>
      <c r="AB150" s="933">
        <v>668.5</v>
      </c>
      <c r="AC150" s="929">
        <v>13.5</v>
      </c>
      <c r="AG150" s="331">
        <f t="shared" si="77"/>
        <v>0</v>
      </c>
      <c r="AH150" s="331">
        <v>5.8379903571282004E-4</v>
      </c>
      <c r="AI150" s="331">
        <v>12.2984855421682</v>
      </c>
      <c r="AJ150" s="331" t="s">
        <v>490</v>
      </c>
      <c r="AK150" s="331">
        <v>590.48396761402</v>
      </c>
      <c r="AL150" s="331">
        <v>1670.3693944481299</v>
      </c>
      <c r="AM150" s="331">
        <v>608.732162257097</v>
      </c>
      <c r="AN150" s="331">
        <v>1430.7979084994099</v>
      </c>
      <c r="AO150" s="331" t="s">
        <v>490</v>
      </c>
      <c r="AQ150" s="137">
        <v>9.2285601903211601E-3</v>
      </c>
      <c r="AR150" s="137">
        <f t="shared" si="75"/>
        <v>1.0976961312604003</v>
      </c>
      <c r="AS150" s="137" t="e">
        <f>AE150/#REF!</f>
        <v>#REF!</v>
      </c>
      <c r="AV150" s="148">
        <v>7162.44</v>
      </c>
      <c r="AW150" s="332">
        <f t="shared" si="56"/>
        <v>0.80058597326496972</v>
      </c>
      <c r="AX150" s="331">
        <v>0.21777870605728875</v>
      </c>
      <c r="AZ150" s="331">
        <v>10.9027201</v>
      </c>
      <c r="BA150" s="331">
        <f t="shared" si="76"/>
        <v>1.2382231109464141</v>
      </c>
      <c r="BB150" s="331">
        <v>12.439013224479254</v>
      </c>
      <c r="BC150" s="331">
        <f t="shared" si="59"/>
        <v>1.0852950918512398</v>
      </c>
      <c r="BD150" s="331">
        <v>1.1309063073197435E-2</v>
      </c>
      <c r="BF150" s="137" t="s">
        <v>473</v>
      </c>
      <c r="BG150" s="1512">
        <v>0.32221664044869369</v>
      </c>
      <c r="BH150" s="331" t="s">
        <v>474</v>
      </c>
      <c r="BI150" s="137">
        <v>1.3792861109983079</v>
      </c>
      <c r="BJ150" s="137" t="s">
        <v>475</v>
      </c>
    </row>
    <row r="151" spans="3:102" ht="13.9" thickBot="1" x14ac:dyDescent="0.4">
      <c r="C151" s="1702"/>
      <c r="D151" s="1293" t="s">
        <v>441</v>
      </c>
      <c r="E151" s="1314" t="s">
        <v>259</v>
      </c>
      <c r="F151" s="1329" t="s">
        <v>240</v>
      </c>
      <c r="G151" s="325">
        <v>4</v>
      </c>
      <c r="H151" s="1336">
        <v>900</v>
      </c>
      <c r="I151" s="114" t="s">
        <v>411</v>
      </c>
      <c r="J151" s="1345">
        <v>59.5</v>
      </c>
      <c r="K151" s="1345">
        <v>59.8</v>
      </c>
      <c r="L151" s="1345">
        <v>3</v>
      </c>
      <c r="M151" s="1349">
        <v>4.7699999999999996</v>
      </c>
      <c r="P151" s="1370">
        <v>185000</v>
      </c>
      <c r="Q151" s="1373">
        <v>566</v>
      </c>
      <c r="R151" s="867">
        <v>7</v>
      </c>
      <c r="S151" s="1299">
        <v>0.3</v>
      </c>
      <c r="T151" s="1299">
        <v>-0.5</v>
      </c>
      <c r="U151" s="1371">
        <v>753</v>
      </c>
      <c r="V151" s="331" t="s">
        <v>412</v>
      </c>
      <c r="W151" s="1370">
        <v>185000</v>
      </c>
      <c r="X151" s="331">
        <v>624.99</v>
      </c>
      <c r="Y151" s="331">
        <f t="shared" si="74"/>
        <v>7</v>
      </c>
      <c r="Z151" s="331">
        <f t="shared" si="74"/>
        <v>0.3</v>
      </c>
      <c r="AA151" s="331">
        <f t="shared" si="74"/>
        <v>-0.5</v>
      </c>
      <c r="AB151" s="1371">
        <v>753</v>
      </c>
      <c r="AC151" s="1390">
        <v>15.24</v>
      </c>
      <c r="AG151" s="331">
        <f t="shared" si="77"/>
        <v>0</v>
      </c>
      <c r="AH151" s="331">
        <v>6.2876837373125204E-4</v>
      </c>
      <c r="AI151" s="331">
        <v>13.297421678487</v>
      </c>
      <c r="AJ151" s="331" t="s">
        <v>490</v>
      </c>
      <c r="AK151" s="331">
        <v>643.02829820353497</v>
      </c>
      <c r="AL151" s="331">
        <v>2009.21470364621</v>
      </c>
      <c r="AM151" s="331">
        <v>687.25845342308605</v>
      </c>
      <c r="AN151" s="331">
        <v>1499.25547150578</v>
      </c>
      <c r="AO151" s="331" t="s">
        <v>490</v>
      </c>
      <c r="AQ151" s="137">
        <v>1.0860620019709243E-2</v>
      </c>
      <c r="AR151" s="137">
        <f t="shared" si="75"/>
        <v>1.1460868406283427</v>
      </c>
      <c r="AS151" s="137" t="e">
        <f>AE151/#REF!</f>
        <v>#REF!</v>
      </c>
      <c r="AV151" s="148">
        <v>6850.98</v>
      </c>
      <c r="AW151" s="332">
        <f t="shared" si="56"/>
        <v>0.80428856987097941</v>
      </c>
      <c r="AX151" s="331">
        <v>0.23117654166795612</v>
      </c>
      <c r="AZ151" s="331">
        <v>11.530761419999999</v>
      </c>
      <c r="BA151" s="331">
        <f t="shared" si="76"/>
        <v>1.3216820160346359</v>
      </c>
      <c r="BB151" s="331">
        <v>13.725057026623977</v>
      </c>
      <c r="BC151" s="331">
        <f t="shared" si="59"/>
        <v>1.1103779001017864</v>
      </c>
      <c r="BD151" s="331">
        <v>0.19921029230144086</v>
      </c>
      <c r="BF151" s="137" t="s">
        <v>473</v>
      </c>
      <c r="BG151" s="331">
        <v>0.22639161803231408</v>
      </c>
      <c r="BH151" s="331" t="s">
        <v>474</v>
      </c>
      <c r="BI151" s="137">
        <v>1.0440616082793042</v>
      </c>
      <c r="BJ151" s="137" t="s">
        <v>475</v>
      </c>
    </row>
    <row r="152" spans="3:102" ht="13.9" thickBot="1" x14ac:dyDescent="0.4">
      <c r="C152" s="1302" t="s">
        <v>260</v>
      </c>
      <c r="D152" s="1293" t="s">
        <v>441</v>
      </c>
      <c r="E152" s="1315" t="s">
        <v>258</v>
      </c>
      <c r="F152" s="1329" t="s">
        <v>240</v>
      </c>
      <c r="G152" s="325">
        <v>4</v>
      </c>
      <c r="H152" s="1334">
        <v>1000</v>
      </c>
      <c r="I152" s="114" t="s">
        <v>411</v>
      </c>
      <c r="J152" s="1343">
        <v>80</v>
      </c>
      <c r="K152" s="1343">
        <v>80</v>
      </c>
      <c r="L152" s="1343">
        <v>3</v>
      </c>
      <c r="M152" s="1348">
        <v>2.98</v>
      </c>
      <c r="P152" s="1370">
        <v>187000</v>
      </c>
      <c r="Q152" s="1373">
        <v>420</v>
      </c>
      <c r="R152" s="849">
        <v>7</v>
      </c>
      <c r="S152" s="1299">
        <v>0.3</v>
      </c>
      <c r="T152" s="1299">
        <v>-0.5</v>
      </c>
      <c r="U152" s="1371">
        <v>695</v>
      </c>
      <c r="V152" s="331" t="s">
        <v>412</v>
      </c>
      <c r="W152" s="1370">
        <v>187000</v>
      </c>
      <c r="X152" s="331">
        <v>576.85</v>
      </c>
      <c r="Y152" s="331">
        <f t="shared" si="74"/>
        <v>7</v>
      </c>
      <c r="Z152" s="331">
        <f t="shared" si="74"/>
        <v>0.3</v>
      </c>
      <c r="AA152" s="331">
        <f t="shared" si="74"/>
        <v>-0.5</v>
      </c>
      <c r="AB152" s="1371">
        <v>695</v>
      </c>
      <c r="AC152" s="1388">
        <v>15.4</v>
      </c>
      <c r="AF152" s="331">
        <v>2.5359999999999998E-4</v>
      </c>
      <c r="AG152" s="331">
        <f t="shared" si="77"/>
        <v>1.72094009421825</v>
      </c>
      <c r="AH152" s="331">
        <v>1.47361317719313E-4</v>
      </c>
      <c r="AI152" s="331">
        <v>11.368661776011299</v>
      </c>
      <c r="AJ152" s="331" t="s">
        <v>422</v>
      </c>
      <c r="AK152" s="331">
        <v>448.33062439996399</v>
      </c>
      <c r="AL152" s="331">
        <v>13280.1005437063</v>
      </c>
      <c r="AM152" s="331">
        <v>593.83358790920897</v>
      </c>
      <c r="AN152" s="331">
        <v>20127.642299073901</v>
      </c>
      <c r="AO152" s="331" t="s">
        <v>422</v>
      </c>
      <c r="AQ152" s="137">
        <v>7.1016580447627264E-2</v>
      </c>
      <c r="AR152" s="137">
        <f t="shared" si="75"/>
        <v>1.3546009463044382</v>
      </c>
      <c r="AS152" s="137" t="e">
        <f>AE152/#REF!</f>
        <v>#REF!</v>
      </c>
      <c r="AV152" s="148">
        <v>1410.37</v>
      </c>
      <c r="AW152" s="332">
        <f t="shared" si="56"/>
        <v>0.88340690729680593</v>
      </c>
      <c r="AX152" s="331">
        <v>0.48207976774924355</v>
      </c>
      <c r="AZ152" s="331">
        <v>9.0138115258577916</v>
      </c>
      <c r="BA152" s="331">
        <f t="shared" si="76"/>
        <v>1.7084892396321181</v>
      </c>
      <c r="BB152" s="331">
        <v>12.067764556912396</v>
      </c>
      <c r="BC152" s="331">
        <f t="shared" si="59"/>
        <v>1.2761269850246544</v>
      </c>
      <c r="BD152" s="331">
        <v>0.17836086374124782</v>
      </c>
      <c r="BF152" s="137" t="s">
        <v>473</v>
      </c>
      <c r="BG152" s="331">
        <v>0.2955042682292186</v>
      </c>
      <c r="BH152" s="331" t="s">
        <v>474</v>
      </c>
      <c r="BI152" s="137">
        <v>1.1291976465583919</v>
      </c>
      <c r="BJ152" s="137" t="s">
        <v>475</v>
      </c>
    </row>
    <row r="153" spans="3:102" x14ac:dyDescent="0.35">
      <c r="C153" s="1703" t="s">
        <v>368</v>
      </c>
      <c r="D153" s="1293" t="s">
        <v>441</v>
      </c>
      <c r="E153" s="1313" t="s">
        <v>262</v>
      </c>
      <c r="F153" s="1329" t="s">
        <v>240</v>
      </c>
      <c r="G153" s="325">
        <v>3</v>
      </c>
      <c r="H153" s="1334">
        <v>1290</v>
      </c>
      <c r="I153" s="114" t="s">
        <v>411</v>
      </c>
      <c r="J153" s="1343">
        <v>79.7</v>
      </c>
      <c r="K153" s="1343">
        <v>79.599999999999994</v>
      </c>
      <c r="L153" s="1343">
        <v>4.4000000000000004</v>
      </c>
      <c r="M153" s="1348">
        <v>3.75</v>
      </c>
      <c r="P153" s="1300">
        <v>186600</v>
      </c>
      <c r="Q153" s="1372">
        <v>457</v>
      </c>
      <c r="R153" s="924">
        <v>7</v>
      </c>
      <c r="S153" s="1299">
        <v>0.3</v>
      </c>
      <c r="T153" s="1299">
        <v>-0.5</v>
      </c>
      <c r="U153" s="1300">
        <v>706</v>
      </c>
      <c r="V153" s="331" t="s">
        <v>412</v>
      </c>
      <c r="W153" s="150">
        <v>215000</v>
      </c>
      <c r="X153" s="1372">
        <v>594</v>
      </c>
      <c r="Y153" s="331">
        <f t="shared" si="74"/>
        <v>7</v>
      </c>
      <c r="Z153" s="331">
        <f t="shared" si="74"/>
        <v>0.3</v>
      </c>
      <c r="AA153" s="331">
        <f t="shared" si="74"/>
        <v>-0.5</v>
      </c>
      <c r="AB153" s="1300">
        <v>706</v>
      </c>
      <c r="AC153" s="1391">
        <v>17.5</v>
      </c>
      <c r="AG153" s="331" t="e">
        <f t="shared" si="77"/>
        <v>#DIV/0!</v>
      </c>
      <c r="AQ153" s="137">
        <v>0</v>
      </c>
      <c r="AR153" s="137" t="e">
        <f t="shared" si="75"/>
        <v>#DIV/0!</v>
      </c>
      <c r="AS153" s="137" t="e">
        <f>AE153/#REF!</f>
        <v>#REF!</v>
      </c>
      <c r="AV153" s="148">
        <v>2276.4899999999998</v>
      </c>
      <c r="AW153" s="332">
        <f t="shared" si="56"/>
        <v>0.83475971033574725</v>
      </c>
      <c r="AX153" s="331">
        <v>0.37401300734313481</v>
      </c>
      <c r="AZ153" s="331">
        <v>14.091119719999998</v>
      </c>
      <c r="BA153" s="331">
        <f t="shared" si="76"/>
        <v>1.2419169198570972</v>
      </c>
      <c r="BB153" s="331">
        <v>16.875530783820196</v>
      </c>
      <c r="BC153" s="331">
        <f t="shared" si="59"/>
        <v>1.0370044192493506</v>
      </c>
      <c r="BD153" s="331">
        <v>0.20328050178190238</v>
      </c>
      <c r="BF153" s="137" t="s">
        <v>473</v>
      </c>
      <c r="BG153" s="331">
        <v>0.57554064154717877</v>
      </c>
      <c r="BH153" s="331" t="s">
        <v>474</v>
      </c>
      <c r="BI153" s="137">
        <v>1.0164627109689348</v>
      </c>
      <c r="BJ153" s="137" t="s">
        <v>475</v>
      </c>
    </row>
    <row r="154" spans="3:102" x14ac:dyDescent="0.35">
      <c r="C154" s="1704"/>
      <c r="D154" s="1293" t="s">
        <v>441</v>
      </c>
      <c r="E154" s="1312" t="s">
        <v>263</v>
      </c>
      <c r="F154" s="1329" t="s">
        <v>240</v>
      </c>
      <c r="G154" s="325">
        <v>3</v>
      </c>
      <c r="H154" s="1336">
        <v>1148</v>
      </c>
      <c r="I154" s="114" t="s">
        <v>411</v>
      </c>
      <c r="J154" s="1345">
        <v>99.9</v>
      </c>
      <c r="K154" s="1345">
        <v>99.9</v>
      </c>
      <c r="L154" s="1345">
        <v>1.3</v>
      </c>
      <c r="M154" s="1349">
        <v>1.84</v>
      </c>
      <c r="P154" s="1300">
        <v>201300</v>
      </c>
      <c r="Q154" s="1372">
        <v>382</v>
      </c>
      <c r="R154" s="849">
        <v>7</v>
      </c>
      <c r="S154" s="1299">
        <v>0.3</v>
      </c>
      <c r="T154" s="1299">
        <v>-0.5</v>
      </c>
      <c r="U154" s="1300">
        <v>675</v>
      </c>
      <c r="V154" s="331" t="s">
        <v>412</v>
      </c>
      <c r="W154" s="150">
        <v>197400</v>
      </c>
      <c r="X154" s="1372">
        <v>587</v>
      </c>
      <c r="Y154" s="331">
        <f t="shared" si="74"/>
        <v>7</v>
      </c>
      <c r="Z154" s="331">
        <f t="shared" si="74"/>
        <v>0.3</v>
      </c>
      <c r="AA154" s="331">
        <f t="shared" si="74"/>
        <v>-0.5</v>
      </c>
      <c r="AB154" s="1300">
        <v>675</v>
      </c>
      <c r="AC154" s="1388">
        <v>8</v>
      </c>
      <c r="AG154" s="331" t="e">
        <f t="shared" si="77"/>
        <v>#DIV/0!</v>
      </c>
      <c r="AQ154" s="137">
        <v>0</v>
      </c>
      <c r="AR154" s="137" t="e">
        <f t="shared" si="75"/>
        <v>#DIV/0!</v>
      </c>
      <c r="AS154" s="137" t="e">
        <f>AE154/#REF!</f>
        <v>#REF!</v>
      </c>
      <c r="AV154" s="148">
        <v>350.23</v>
      </c>
      <c r="AW154" s="332">
        <f t="shared" si="56"/>
        <v>0.95472159902100762</v>
      </c>
      <c r="AX154" s="331">
        <v>0.99708402293774079</v>
      </c>
      <c r="AZ154" s="331">
        <v>6.4687918249334633</v>
      </c>
      <c r="BA154" s="331">
        <f t="shared" si="76"/>
        <v>1.2367069796812153</v>
      </c>
      <c r="BC154" s="331" t="e">
        <f t="shared" si="59"/>
        <v>#DIV/0!</v>
      </c>
      <c r="BD154" s="331">
        <v>0.19159523774291415</v>
      </c>
      <c r="BF154" s="137" t="s">
        <v>473</v>
      </c>
      <c r="BG154" s="331">
        <v>0.33972005634640756</v>
      </c>
      <c r="BH154" s="331" t="s">
        <v>474</v>
      </c>
      <c r="BI154" s="137">
        <v>1.1508442061986721</v>
      </c>
      <c r="BJ154" s="137" t="s">
        <v>475</v>
      </c>
    </row>
    <row r="155" spans="3:102" x14ac:dyDescent="0.35">
      <c r="C155" s="1704"/>
      <c r="D155" s="1293" t="s">
        <v>441</v>
      </c>
      <c r="E155" s="1312" t="s">
        <v>264</v>
      </c>
      <c r="F155" s="1329" t="s">
        <v>240</v>
      </c>
      <c r="G155" s="325">
        <v>3</v>
      </c>
      <c r="H155" s="1336">
        <v>1299</v>
      </c>
      <c r="I155" s="114" t="s">
        <v>411</v>
      </c>
      <c r="J155" s="1345">
        <v>100.3</v>
      </c>
      <c r="K155" s="1345">
        <v>100.1</v>
      </c>
      <c r="L155" s="1345">
        <v>1.5</v>
      </c>
      <c r="M155" s="1349">
        <v>2.84</v>
      </c>
      <c r="P155" s="1300">
        <v>195800</v>
      </c>
      <c r="Q155" s="1372">
        <v>388</v>
      </c>
      <c r="R155" s="849">
        <v>7</v>
      </c>
      <c r="S155" s="1299">
        <v>0.3</v>
      </c>
      <c r="T155" s="1299">
        <v>-0.5</v>
      </c>
      <c r="U155" s="1300">
        <v>691</v>
      </c>
      <c r="V155" s="331" t="s">
        <v>412</v>
      </c>
      <c r="W155" s="150">
        <v>195800</v>
      </c>
      <c r="X155" s="331">
        <v>573.53</v>
      </c>
      <c r="Y155" s="331">
        <f t="shared" si="74"/>
        <v>7</v>
      </c>
      <c r="Z155" s="331">
        <f t="shared" si="74"/>
        <v>0.3</v>
      </c>
      <c r="AA155" s="331">
        <f t="shared" si="74"/>
        <v>-0.5</v>
      </c>
      <c r="AB155" s="1300">
        <v>691</v>
      </c>
      <c r="AC155" s="1388">
        <v>17.2</v>
      </c>
      <c r="AG155" s="331" t="e">
        <f t="shared" si="77"/>
        <v>#DIV/0!</v>
      </c>
      <c r="AQ155" s="137">
        <v>0</v>
      </c>
      <c r="AR155" s="137" t="e">
        <f t="shared" si="75"/>
        <v>#DIV/0!</v>
      </c>
      <c r="AS155" s="137" t="e">
        <f>AE155/#REF!</f>
        <v>#REF!</v>
      </c>
      <c r="AV155" s="148">
        <v>826.15</v>
      </c>
      <c r="AW155" s="332">
        <f t="shared" si="56"/>
        <v>0.94007798071003501</v>
      </c>
      <c r="AX155" s="331">
        <v>0.64424386210231455</v>
      </c>
      <c r="AZ155" s="331">
        <v>11.703053588296678</v>
      </c>
      <c r="BA155" s="331">
        <f t="shared" si="76"/>
        <v>1.469701891923352</v>
      </c>
      <c r="BB155" s="331">
        <v>14.580885422237213</v>
      </c>
      <c r="BC155" s="331">
        <f t="shared" si="59"/>
        <v>1.1796265797252883</v>
      </c>
      <c r="BD155" s="331">
        <v>0.22808595080435554</v>
      </c>
      <c r="BF155" s="137" t="s">
        <v>473</v>
      </c>
      <c r="BG155" s="331">
        <v>0.28214080096040128</v>
      </c>
      <c r="BH155" s="331" t="s">
        <v>474</v>
      </c>
      <c r="BI155" s="137">
        <v>0.99457946839163058</v>
      </c>
      <c r="BJ155" s="137" t="s">
        <v>475</v>
      </c>
    </row>
    <row r="156" spans="3:102" ht="13.9" thickBot="1" x14ac:dyDescent="0.4">
      <c r="C156" s="1705"/>
      <c r="D156" s="1293" t="s">
        <v>441</v>
      </c>
      <c r="E156" s="1312" t="s">
        <v>265</v>
      </c>
      <c r="F156" s="1329" t="s">
        <v>240</v>
      </c>
      <c r="G156" s="325">
        <v>3</v>
      </c>
      <c r="H156" s="1336">
        <v>1300</v>
      </c>
      <c r="I156" s="114" t="s">
        <v>411</v>
      </c>
      <c r="J156" s="1345">
        <v>99.8</v>
      </c>
      <c r="K156" s="1345">
        <v>99.8</v>
      </c>
      <c r="L156" s="1345">
        <v>4.5</v>
      </c>
      <c r="M156" s="1349">
        <v>3.79</v>
      </c>
      <c r="P156" s="1300">
        <v>191300</v>
      </c>
      <c r="Q156" s="1372">
        <v>465</v>
      </c>
      <c r="R156" s="849">
        <v>7</v>
      </c>
      <c r="S156" s="1299">
        <v>0.3</v>
      </c>
      <c r="T156" s="1299">
        <v>-0.5</v>
      </c>
      <c r="U156" s="1300">
        <v>713</v>
      </c>
      <c r="V156" s="331" t="s">
        <v>412</v>
      </c>
      <c r="W156" s="150">
        <v>191300</v>
      </c>
      <c r="X156" s="331">
        <v>591.79</v>
      </c>
      <c r="Y156" s="331">
        <f t="shared" si="74"/>
        <v>7</v>
      </c>
      <c r="Z156" s="331">
        <f t="shared" si="74"/>
        <v>0.3</v>
      </c>
      <c r="AA156" s="331">
        <f t="shared" si="74"/>
        <v>-0.5</v>
      </c>
      <c r="AB156" s="1300">
        <v>713</v>
      </c>
      <c r="AC156" s="1388">
        <v>24.5</v>
      </c>
      <c r="AG156" s="331" t="e">
        <f t="shared" si="77"/>
        <v>#DIV/0!</v>
      </c>
      <c r="AQ156" s="137">
        <v>0</v>
      </c>
      <c r="AR156" s="137" t="e">
        <f t="shared" si="75"/>
        <v>#DIV/0!</v>
      </c>
      <c r="AS156" s="137" t="e">
        <f>AE156/#REF!</f>
        <v>#REF!</v>
      </c>
      <c r="AV156" s="148">
        <v>1485.35</v>
      </c>
      <c r="AW156" s="332">
        <f t="shared" si="56"/>
        <v>0.86678470992604939</v>
      </c>
      <c r="AX156" s="331">
        <v>0.48497942908009284</v>
      </c>
      <c r="AZ156" s="331">
        <v>19.615875616497934</v>
      </c>
      <c r="BA156" s="331">
        <f t="shared" si="76"/>
        <v>1.2489883438797029</v>
      </c>
      <c r="BB156" s="331">
        <v>25.826942310778957</v>
      </c>
      <c r="BC156" s="331">
        <f t="shared" si="59"/>
        <v>0.94862178051076707</v>
      </c>
      <c r="BD156" s="331">
        <v>8.2985425712564648E-2</v>
      </c>
      <c r="BF156" s="137" t="s">
        <v>473</v>
      </c>
      <c r="BG156" s="331">
        <v>0.25233039441610944</v>
      </c>
      <c r="BH156" s="331" t="s">
        <v>474</v>
      </c>
      <c r="BI156" s="137">
        <v>1.1479049354099855</v>
      </c>
      <c r="BJ156" s="137" t="s">
        <v>475</v>
      </c>
    </row>
    <row r="157" spans="3:102" x14ac:dyDescent="0.35">
      <c r="C157" s="1706" t="s">
        <v>245</v>
      </c>
      <c r="D157" s="1293" t="s">
        <v>441</v>
      </c>
      <c r="E157" s="1319" t="s">
        <v>266</v>
      </c>
      <c r="F157" s="1329" t="s">
        <v>240</v>
      </c>
      <c r="G157" s="325">
        <v>4</v>
      </c>
      <c r="H157" s="1334">
        <v>1442</v>
      </c>
      <c r="I157" s="114" t="s">
        <v>411</v>
      </c>
      <c r="J157" s="1343">
        <v>40.1</v>
      </c>
      <c r="K157" s="1343">
        <v>40.1</v>
      </c>
      <c r="L157" s="1343">
        <v>2</v>
      </c>
      <c r="M157" s="1366">
        <v>1.9570000000000001</v>
      </c>
      <c r="P157" s="1300">
        <v>194000</v>
      </c>
      <c r="Q157" s="1372">
        <v>447</v>
      </c>
      <c r="R157" s="924">
        <v>5.4</v>
      </c>
      <c r="S157" s="1299">
        <v>0.3</v>
      </c>
      <c r="T157" s="1299">
        <v>-0.5</v>
      </c>
      <c r="U157" s="1300">
        <v>704</v>
      </c>
      <c r="V157" s="331" t="s">
        <v>412</v>
      </c>
      <c r="W157" s="1300">
        <v>194000</v>
      </c>
      <c r="X157" s="331">
        <v>584.31999999999994</v>
      </c>
      <c r="Y157" s="331">
        <f t="shared" si="74"/>
        <v>5.4</v>
      </c>
      <c r="Z157" s="331">
        <f t="shared" si="74"/>
        <v>0.3</v>
      </c>
      <c r="AA157" s="331">
        <f t="shared" si="74"/>
        <v>-0.5</v>
      </c>
      <c r="AB157" s="1300">
        <v>704</v>
      </c>
      <c r="AC157" s="1391">
        <v>2.35</v>
      </c>
      <c r="AF157" s="331">
        <v>8.7256499999999995E-4</v>
      </c>
      <c r="AG157" s="331">
        <f t="shared" si="77"/>
        <v>1.5642948014104117</v>
      </c>
      <c r="AH157" s="331">
        <v>5.5780086925640297E-4</v>
      </c>
      <c r="AI157" s="331">
        <v>2.1155382867275199</v>
      </c>
      <c r="AJ157" s="331" t="s">
        <v>490</v>
      </c>
      <c r="AK157" s="331">
        <v>512.31496831164895</v>
      </c>
      <c r="AL157" s="331">
        <v>4043.0480451313801</v>
      </c>
      <c r="AM157" s="331">
        <v>631.56559630895197</v>
      </c>
      <c r="AN157" s="331">
        <v>2522.7953520462002</v>
      </c>
      <c r="AO157" s="331" t="s">
        <v>490</v>
      </c>
      <c r="AQ157" s="137">
        <v>2.0840453840883403E-2</v>
      </c>
      <c r="AR157" s="137">
        <f t="shared" si="75"/>
        <v>1.1108283951859665</v>
      </c>
      <c r="AS157" s="137" t="e">
        <f>AE157/#REF!</f>
        <v>#REF!</v>
      </c>
      <c r="AV157" s="148">
        <v>2522.21</v>
      </c>
      <c r="AW157" s="332">
        <f t="shared" si="56"/>
        <v>0.8438245549642136</v>
      </c>
      <c r="AX157" s="331">
        <v>0.35523463218133777</v>
      </c>
      <c r="AZ157" s="331">
        <v>1.82266485</v>
      </c>
      <c r="BA157" s="331">
        <f t="shared" si="76"/>
        <v>1.2893209632039593</v>
      </c>
      <c r="BB157" s="331">
        <v>2.3340809707356933</v>
      </c>
      <c r="BC157" s="331">
        <f t="shared" si="59"/>
        <v>1.006820255793992</v>
      </c>
      <c r="BD157" s="331">
        <v>9.4513266209843433E-2</v>
      </c>
      <c r="BF157" s="137" t="s">
        <v>473</v>
      </c>
      <c r="BG157" s="331">
        <v>0.57256760979324461</v>
      </c>
      <c r="BH157" s="331" t="s">
        <v>474</v>
      </c>
      <c r="BI157" s="137">
        <v>1.0141541203027093</v>
      </c>
      <c r="BJ157" s="137" t="s">
        <v>475</v>
      </c>
    </row>
    <row r="158" spans="3:102" x14ac:dyDescent="0.35">
      <c r="C158" s="1702"/>
      <c r="D158" s="1293" t="s">
        <v>441</v>
      </c>
      <c r="E158" s="1315" t="s">
        <v>267</v>
      </c>
      <c r="F158" s="1329" t="s">
        <v>240</v>
      </c>
      <c r="G158" s="325">
        <v>4</v>
      </c>
      <c r="H158" s="1336">
        <v>1441</v>
      </c>
      <c r="I158" s="114" t="s">
        <v>411</v>
      </c>
      <c r="J158" s="1345">
        <v>40</v>
      </c>
      <c r="K158" s="1345">
        <v>40.1</v>
      </c>
      <c r="L158" s="1345">
        <v>4</v>
      </c>
      <c r="M158" s="1367">
        <v>3.883</v>
      </c>
      <c r="P158" s="1300">
        <v>196000</v>
      </c>
      <c r="Q158" s="1372">
        <v>565</v>
      </c>
      <c r="R158" s="849">
        <v>6.6</v>
      </c>
      <c r="S158" s="1299">
        <v>0.3</v>
      </c>
      <c r="T158" s="1299">
        <v>-0.5</v>
      </c>
      <c r="U158" s="1300">
        <v>725</v>
      </c>
      <c r="V158" s="331" t="s">
        <v>412</v>
      </c>
      <c r="W158" s="1300">
        <v>196000</v>
      </c>
      <c r="X158" s="331">
        <v>601.75</v>
      </c>
      <c r="Y158" s="331">
        <f t="shared" si="74"/>
        <v>6.6</v>
      </c>
      <c r="Z158" s="331">
        <f t="shared" si="74"/>
        <v>0.3</v>
      </c>
      <c r="AA158" s="331">
        <f t="shared" si="74"/>
        <v>-0.5</v>
      </c>
      <c r="AB158" s="1300">
        <v>725</v>
      </c>
      <c r="AC158" s="1388">
        <v>5.1100000000000003</v>
      </c>
      <c r="AG158" s="331">
        <f t="shared" si="77"/>
        <v>0</v>
      </c>
      <c r="AH158" s="331">
        <v>5.4325408560899403E-4</v>
      </c>
      <c r="AI158" s="331">
        <v>4.3100329564068502</v>
      </c>
      <c r="AJ158" s="331" t="s">
        <v>490</v>
      </c>
      <c r="AK158" s="331">
        <v>617.48130922027497</v>
      </c>
      <c r="AL158" s="331">
        <v>3645.7978726964202</v>
      </c>
      <c r="AM158" s="331">
        <v>647.45381676952798</v>
      </c>
      <c r="AN158" s="331">
        <v>3041.0767343842399</v>
      </c>
      <c r="AO158" s="331" t="s">
        <v>490</v>
      </c>
      <c r="AQ158" s="137">
        <v>1.8601009554573573E-2</v>
      </c>
      <c r="AR158" s="137">
        <f t="shared" si="75"/>
        <v>1.1856057834555538</v>
      </c>
      <c r="AS158" s="137" t="e">
        <f>AE158/#REF!</f>
        <v>#REF!</v>
      </c>
      <c r="AV158" s="148">
        <v>12464.2</v>
      </c>
      <c r="AW158" s="332">
        <f t="shared" si="56"/>
        <v>0.67189441422536389</v>
      </c>
      <c r="AX158" s="331">
        <v>0.14305170880961199</v>
      </c>
      <c r="AZ158" s="331">
        <v>3.8901775500000002</v>
      </c>
      <c r="BA158" s="331">
        <f t="shared" si="76"/>
        <v>1.3135647240573891</v>
      </c>
      <c r="BB158" s="331">
        <v>4.5115862550606334</v>
      </c>
      <c r="BC158" s="331">
        <f t="shared" si="59"/>
        <v>1.1326393226480216</v>
      </c>
      <c r="BD158" s="331">
        <v>0.14121122819822227</v>
      </c>
      <c r="BF158" s="137" t="s">
        <v>473</v>
      </c>
      <c r="BG158" s="331">
        <v>0.41111241096467049</v>
      </c>
      <c r="BH158" s="331" t="s">
        <v>474</v>
      </c>
      <c r="BI158" s="137">
        <v>1.1801330120777438</v>
      </c>
      <c r="BJ158" s="137" t="s">
        <v>475</v>
      </c>
    </row>
    <row r="159" spans="3:102" x14ac:dyDescent="0.35">
      <c r="C159" s="1702"/>
      <c r="D159" s="1293" t="s">
        <v>441</v>
      </c>
      <c r="E159" s="1315" t="s">
        <v>268</v>
      </c>
      <c r="F159" s="1329" t="s">
        <v>240</v>
      </c>
      <c r="G159" s="325">
        <v>4</v>
      </c>
      <c r="H159" s="1336">
        <v>1442</v>
      </c>
      <c r="I159" s="114" t="s">
        <v>411</v>
      </c>
      <c r="J159" s="1345">
        <v>80.5</v>
      </c>
      <c r="K159" s="1345">
        <v>80.400000000000006</v>
      </c>
      <c r="L159" s="1345">
        <v>4</v>
      </c>
      <c r="M159" s="1367">
        <v>1.9079999999999999</v>
      </c>
      <c r="P159" s="1300">
        <v>201000</v>
      </c>
      <c r="Q159" s="1372">
        <v>398</v>
      </c>
      <c r="R159" s="849">
        <v>8.6</v>
      </c>
      <c r="S159" s="1299">
        <v>0.3</v>
      </c>
      <c r="T159" s="1299">
        <v>-0.5</v>
      </c>
      <c r="U159" s="1300">
        <v>608</v>
      </c>
      <c r="V159" s="331" t="s">
        <v>412</v>
      </c>
      <c r="W159" s="1300">
        <v>201000</v>
      </c>
      <c r="X159" s="331">
        <v>504.64</v>
      </c>
      <c r="Y159" s="331">
        <f t="shared" si="74"/>
        <v>8.6</v>
      </c>
      <c r="Z159" s="331">
        <f t="shared" si="74"/>
        <v>0.3</v>
      </c>
      <c r="AA159" s="331">
        <f t="shared" si="74"/>
        <v>-0.5</v>
      </c>
      <c r="AB159" s="1300">
        <v>608</v>
      </c>
      <c r="AC159" s="1388">
        <v>6.64</v>
      </c>
      <c r="AF159" s="331">
        <v>1.18214E-4</v>
      </c>
      <c r="AG159" s="331">
        <f t="shared" si="77"/>
        <v>2.0990469795125928</v>
      </c>
      <c r="AH159" s="1511">
        <v>5.63179391189471E-5</v>
      </c>
      <c r="AI159" s="331">
        <v>5.44126685717925</v>
      </c>
      <c r="AJ159" s="331" t="s">
        <v>422</v>
      </c>
      <c r="AK159" s="331">
        <v>340.14804773479301</v>
      </c>
      <c r="AL159" s="331">
        <v>55330.249026122801</v>
      </c>
      <c r="AM159" s="331">
        <v>395.17424029659702</v>
      </c>
      <c r="AN159" s="331">
        <v>97183.286603167799</v>
      </c>
      <c r="AO159" s="331" t="s">
        <v>422</v>
      </c>
      <c r="AQ159" s="137">
        <v>0.27527487077673035</v>
      </c>
      <c r="AR159" s="137">
        <f t="shared" si="75"/>
        <v>1.2203040531340843</v>
      </c>
      <c r="AS159" s="137" t="e">
        <f>AE159/#REF!</f>
        <v>#REF!</v>
      </c>
      <c r="AV159" s="148">
        <v>588.16</v>
      </c>
      <c r="AW159" s="332">
        <f t="shared" si="56"/>
        <v>0.87393118892508137</v>
      </c>
      <c r="AX159" s="331">
        <v>0.71890421861666365</v>
      </c>
      <c r="AZ159" s="331">
        <v>4.9860253428641759</v>
      </c>
      <c r="BA159" s="331">
        <f t="shared" si="76"/>
        <v>1.3317220718709211</v>
      </c>
      <c r="BC159" s="331" t="e">
        <f t="shared" si="59"/>
        <v>#DIV/0!</v>
      </c>
      <c r="BF159" s="137" t="s">
        <v>473</v>
      </c>
      <c r="BG159" s="331">
        <v>0.32304827751213033</v>
      </c>
      <c r="BH159" s="331" t="s">
        <v>474</v>
      </c>
      <c r="BI159" s="137">
        <v>1.2773225709843585</v>
      </c>
      <c r="BJ159" s="137" t="s">
        <v>475</v>
      </c>
    </row>
    <row r="160" spans="3:102" ht="13.9" thickBot="1" x14ac:dyDescent="0.4">
      <c r="C160" s="1702"/>
      <c r="D160" s="1293" t="s">
        <v>441</v>
      </c>
      <c r="E160" s="1316" t="s">
        <v>269</v>
      </c>
      <c r="F160" s="1329" t="s">
        <v>240</v>
      </c>
      <c r="G160" s="325">
        <v>4</v>
      </c>
      <c r="H160" s="1337">
        <v>1443</v>
      </c>
      <c r="I160" s="114" t="s">
        <v>411</v>
      </c>
      <c r="J160" s="1346">
        <v>79.900000000000006</v>
      </c>
      <c r="K160" s="1346">
        <v>79.8</v>
      </c>
      <c r="L160" s="1346">
        <v>7.5</v>
      </c>
      <c r="M160" s="1368">
        <v>4.7720000000000002</v>
      </c>
      <c r="P160" s="1245">
        <v>194000</v>
      </c>
      <c r="Q160" s="1374">
        <v>448</v>
      </c>
      <c r="R160" s="906">
        <v>8.6</v>
      </c>
      <c r="S160" s="1299">
        <v>0.3</v>
      </c>
      <c r="T160" s="1299">
        <v>-0.5</v>
      </c>
      <c r="U160" s="1245">
        <v>618</v>
      </c>
      <c r="V160" s="331" t="s">
        <v>412</v>
      </c>
      <c r="W160" s="1245">
        <v>194000</v>
      </c>
      <c r="X160" s="331">
        <v>512.93999999999994</v>
      </c>
      <c r="Y160" s="331">
        <f t="shared" si="74"/>
        <v>8.6</v>
      </c>
      <c r="Z160" s="331">
        <f t="shared" si="74"/>
        <v>0.3</v>
      </c>
      <c r="AA160" s="331">
        <f t="shared" si="74"/>
        <v>-0.5</v>
      </c>
      <c r="AB160" s="1245">
        <v>618</v>
      </c>
      <c r="AC160" s="1392">
        <v>24.78</v>
      </c>
      <c r="AF160" s="331">
        <v>5.4607199999999999E-4</v>
      </c>
      <c r="AG160" s="331">
        <f t="shared" si="77"/>
        <v>1.3170919506663521</v>
      </c>
      <c r="AH160" s="331">
        <v>4.1460431044600002E-4</v>
      </c>
      <c r="AI160" s="331">
        <v>19.446829862631802</v>
      </c>
      <c r="AJ160" s="331" t="s">
        <v>490</v>
      </c>
      <c r="AK160" s="331">
        <v>511.562995751362</v>
      </c>
      <c r="AL160" s="331">
        <v>1940.8343642980601</v>
      </c>
      <c r="AM160" s="331">
        <v>562.43461833942695</v>
      </c>
      <c r="AN160" s="331">
        <v>1336.28600715982</v>
      </c>
      <c r="AO160" s="331" t="s">
        <v>490</v>
      </c>
      <c r="AQ160" s="137">
        <v>1.0004300846897216E-2</v>
      </c>
      <c r="AR160" s="137">
        <f t="shared" si="75"/>
        <v>1.274243677506337</v>
      </c>
      <c r="AS160" s="137" t="e">
        <f>AE160/#REF!</f>
        <v>#REF!</v>
      </c>
      <c r="AV160" s="148">
        <v>3825.24</v>
      </c>
      <c r="AW160" s="332">
        <f t="shared" si="56"/>
        <v>0.73682248961771923</v>
      </c>
      <c r="AX160" s="331">
        <v>0.25215787497754283</v>
      </c>
      <c r="AZ160" s="331">
        <v>16.663548159999998</v>
      </c>
      <c r="BA160" s="331">
        <f t="shared" si="76"/>
        <v>1.4870782478057785</v>
      </c>
      <c r="BB160" s="331">
        <v>20.506291062704374</v>
      </c>
      <c r="BC160" s="331">
        <f t="shared" si="59"/>
        <v>1.2084096497132237</v>
      </c>
      <c r="BF160" s="137" t="s">
        <v>473</v>
      </c>
      <c r="BG160" s="331">
        <v>0.24853131857703373</v>
      </c>
      <c r="BH160" s="331" t="s">
        <v>474</v>
      </c>
      <c r="BI160" s="137">
        <v>1.2738117840669267</v>
      </c>
      <c r="BJ160" s="137" t="s">
        <v>475</v>
      </c>
    </row>
    <row r="161" spans="3:62" x14ac:dyDescent="0.35">
      <c r="C161" s="1702"/>
      <c r="D161" s="1293" t="s">
        <v>441</v>
      </c>
      <c r="E161" s="1320" t="s">
        <v>266</v>
      </c>
      <c r="F161" s="1329" t="s">
        <v>240</v>
      </c>
      <c r="G161" s="325">
        <v>4</v>
      </c>
      <c r="H161" s="1336">
        <v>1243</v>
      </c>
      <c r="I161" s="114" t="s">
        <v>411</v>
      </c>
      <c r="J161" s="1345">
        <v>40.200000000000003</v>
      </c>
      <c r="K161" s="1345">
        <v>40</v>
      </c>
      <c r="L161" s="1345">
        <v>2</v>
      </c>
      <c r="M161" s="1367">
        <v>1.9370000000000001</v>
      </c>
      <c r="P161" s="1300">
        <v>216000</v>
      </c>
      <c r="Q161" s="1372">
        <v>707</v>
      </c>
      <c r="R161" s="924">
        <v>6.5</v>
      </c>
      <c r="S161" s="1299">
        <v>0.3</v>
      </c>
      <c r="T161" s="1299">
        <v>-0.5</v>
      </c>
      <c r="U161" s="1300">
        <v>827</v>
      </c>
      <c r="V161" s="331" t="s">
        <v>412</v>
      </c>
      <c r="W161" s="1300">
        <v>216000</v>
      </c>
      <c r="X161" s="331">
        <v>686.41</v>
      </c>
      <c r="Y161" s="331">
        <f t="shared" si="74"/>
        <v>6.5</v>
      </c>
      <c r="Z161" s="331">
        <f t="shared" si="74"/>
        <v>0.3</v>
      </c>
      <c r="AA161" s="331">
        <f t="shared" si="74"/>
        <v>-0.5</v>
      </c>
      <c r="AB161" s="1300">
        <v>827</v>
      </c>
      <c r="AC161" s="1393">
        <v>3.45</v>
      </c>
      <c r="AF161" s="331">
        <v>5.7545999999999997E-4</v>
      </c>
      <c r="AG161" s="331">
        <f t="shared" si="77"/>
        <v>1.6160425515327999</v>
      </c>
      <c r="AH161" s="331">
        <v>3.56092108746878E-4</v>
      </c>
      <c r="AI161" s="331">
        <v>2.8623687920424601</v>
      </c>
      <c r="AJ161" s="331" t="s">
        <v>422</v>
      </c>
      <c r="AK161" s="331">
        <v>739.22209786709595</v>
      </c>
      <c r="AL161" s="331">
        <v>8514.5268593191904</v>
      </c>
      <c r="AM161" s="331">
        <v>721.67975721298603</v>
      </c>
      <c r="AN161" s="331">
        <v>9209.2070292438893</v>
      </c>
      <c r="AO161" s="331" t="s">
        <v>422</v>
      </c>
      <c r="AQ161" s="137">
        <v>3.941910583018144E-2</v>
      </c>
      <c r="AR161" s="137">
        <f t="shared" si="75"/>
        <v>1.2052954216071621</v>
      </c>
      <c r="AS161" s="137" t="e">
        <f>AE161/#REF!</f>
        <v>#REF!</v>
      </c>
      <c r="AV161" s="148">
        <v>2648.38</v>
      </c>
      <c r="AW161" s="332">
        <f t="shared" si="56"/>
        <v>0.84483704884614375</v>
      </c>
      <c r="AX161" s="331">
        <v>0.43650830195139273</v>
      </c>
      <c r="AZ161" s="331">
        <v>2.3996365079248645</v>
      </c>
      <c r="BA161" s="331">
        <f t="shared" si="76"/>
        <v>1.4377177495867737</v>
      </c>
      <c r="BB161" s="331">
        <v>3.0740945359280971</v>
      </c>
      <c r="BC161" s="331">
        <f t="shared" si="59"/>
        <v>1.1222816864213363</v>
      </c>
      <c r="BF161" s="137" t="s">
        <v>473</v>
      </c>
      <c r="BG161" s="331">
        <v>0.21612346305043331</v>
      </c>
      <c r="BH161" s="331" t="s">
        <v>474</v>
      </c>
      <c r="BI161" s="137">
        <v>1.0656861395758965</v>
      </c>
      <c r="BJ161" s="137" t="s">
        <v>475</v>
      </c>
    </row>
    <row r="162" spans="3:62" x14ac:dyDescent="0.35">
      <c r="C162" s="1702"/>
      <c r="D162" s="1293" t="s">
        <v>441</v>
      </c>
      <c r="E162" s="1312" t="s">
        <v>270</v>
      </c>
      <c r="F162" s="1329" t="s">
        <v>240</v>
      </c>
      <c r="G162" s="325">
        <v>4</v>
      </c>
      <c r="H162" s="1336">
        <v>1242</v>
      </c>
      <c r="I162" s="114" t="s">
        <v>411</v>
      </c>
      <c r="J162" s="1345">
        <v>50.1</v>
      </c>
      <c r="K162" s="1345">
        <v>50.3</v>
      </c>
      <c r="L162" s="1345">
        <v>1.5</v>
      </c>
      <c r="M162" s="1362">
        <v>1.5409999999999999</v>
      </c>
      <c r="P162" s="1300">
        <v>200000</v>
      </c>
      <c r="Q162" s="1372">
        <v>622</v>
      </c>
      <c r="R162" s="849">
        <v>6.1</v>
      </c>
      <c r="S162" s="1299">
        <v>0.3</v>
      </c>
      <c r="T162" s="1299">
        <v>-0.5</v>
      </c>
      <c r="U162" s="1300">
        <v>770</v>
      </c>
      <c r="V162" s="331" t="s">
        <v>412</v>
      </c>
      <c r="W162" s="1300">
        <v>200000</v>
      </c>
      <c r="X162" s="331">
        <v>639.1</v>
      </c>
      <c r="Y162" s="331">
        <f t="shared" si="74"/>
        <v>6.1</v>
      </c>
      <c r="Z162" s="331">
        <f t="shared" si="74"/>
        <v>0.3</v>
      </c>
      <c r="AA162" s="331">
        <f t="shared" si="74"/>
        <v>-0.5</v>
      </c>
      <c r="AB162" s="1300">
        <v>770</v>
      </c>
      <c r="AC162" s="1388">
        <v>3.48</v>
      </c>
      <c r="AF162" s="331">
        <v>2.8858300000000003E-4</v>
      </c>
      <c r="AG162" s="331">
        <f t="shared" si="77"/>
        <v>1.7621712532011979</v>
      </c>
      <c r="AH162" s="331">
        <v>1.6376558150960299E-4</v>
      </c>
      <c r="AI162" s="331">
        <v>2.82207323543251</v>
      </c>
      <c r="AJ162" s="331" t="s">
        <v>422</v>
      </c>
      <c r="AK162" s="331">
        <v>568.18729155339804</v>
      </c>
      <c r="AL162" s="331">
        <v>57591.718277985899</v>
      </c>
      <c r="AM162" s="331">
        <v>579.156135626901</v>
      </c>
      <c r="AN162" s="331">
        <v>60416.5590002483</v>
      </c>
      <c r="AO162" s="331" t="s">
        <v>422</v>
      </c>
      <c r="AQ162" s="137">
        <v>0.28795859138992952</v>
      </c>
      <c r="AR162" s="137">
        <f t="shared" si="75"/>
        <v>1.2331359641227229</v>
      </c>
      <c r="AS162" s="137" t="e">
        <f>AE162/#REF!</f>
        <v>#REF!</v>
      </c>
      <c r="AV162" s="148">
        <v>992.7</v>
      </c>
      <c r="AW162" s="332">
        <f t="shared" si="56"/>
        <v>0.9068684755634856</v>
      </c>
      <c r="AX162" s="331">
        <v>0.71784468089051623</v>
      </c>
      <c r="AZ162" s="331">
        <v>2.4264890174759888</v>
      </c>
      <c r="BA162" s="331">
        <f t="shared" si="76"/>
        <v>1.4341709255374515</v>
      </c>
      <c r="BC162" s="331" t="e">
        <f t="shared" si="59"/>
        <v>#DIV/0!</v>
      </c>
      <c r="BF162" s="137" t="s">
        <v>473</v>
      </c>
      <c r="BG162" s="331">
        <v>0.19343794203610515</v>
      </c>
      <c r="BH162" s="331" t="s">
        <v>474</v>
      </c>
      <c r="BI162" s="137">
        <v>1.3109962047894528</v>
      </c>
      <c r="BJ162" s="137" t="s">
        <v>475</v>
      </c>
    </row>
    <row r="163" spans="3:62" x14ac:dyDescent="0.35">
      <c r="C163" s="1702"/>
      <c r="D163" s="1293" t="s">
        <v>441</v>
      </c>
      <c r="E163" s="1312" t="s">
        <v>271</v>
      </c>
      <c r="F163" s="1329" t="s">
        <v>240</v>
      </c>
      <c r="G163" s="325">
        <v>4</v>
      </c>
      <c r="H163" s="1520">
        <v>1640</v>
      </c>
      <c r="I163" s="114" t="s">
        <v>411</v>
      </c>
      <c r="J163" s="1521">
        <v>150.6</v>
      </c>
      <c r="K163" s="1521">
        <v>150.69999999999999</v>
      </c>
      <c r="L163" s="1345">
        <v>4.8</v>
      </c>
      <c r="M163" s="1362">
        <v>2.7789999999999999</v>
      </c>
      <c r="P163" s="1518">
        <v>189000</v>
      </c>
      <c r="Q163" s="1517">
        <v>448</v>
      </c>
      <c r="R163" s="849">
        <v>6</v>
      </c>
      <c r="S163" s="1486">
        <v>0.3</v>
      </c>
      <c r="T163" s="1486">
        <v>-0.5</v>
      </c>
      <c r="U163" s="1518">
        <v>699</v>
      </c>
      <c r="V163" s="331" t="s">
        <v>412</v>
      </c>
      <c r="W163" s="1518">
        <v>189000</v>
      </c>
      <c r="X163" s="331">
        <v>580.16999999999996</v>
      </c>
      <c r="Y163" s="331">
        <f t="shared" si="74"/>
        <v>6</v>
      </c>
      <c r="Z163" s="331">
        <f>S163</f>
        <v>0.3</v>
      </c>
      <c r="AA163" s="331">
        <f>T163</f>
        <v>-0.5</v>
      </c>
      <c r="AB163" s="1487">
        <v>699</v>
      </c>
      <c r="AC163" s="1519">
        <v>31.68</v>
      </c>
      <c r="AF163" s="331">
        <v>5.4880000000000003E-5</v>
      </c>
      <c r="AG163" s="331">
        <f t="shared" si="77"/>
        <v>2.556844753756196</v>
      </c>
      <c r="AH163" s="1511">
        <v>2.1463954711907002E-5</v>
      </c>
      <c r="AI163" s="331">
        <v>22.3820570868385</v>
      </c>
      <c r="AJ163" s="331" t="s">
        <v>422</v>
      </c>
      <c r="AK163" s="331">
        <v>278.30997484436602</v>
      </c>
      <c r="AL163" s="331">
        <v>128711.33932867</v>
      </c>
      <c r="AM163" s="331">
        <v>293.67590631235998</v>
      </c>
      <c r="AN163" s="331">
        <v>167269.49692046701</v>
      </c>
      <c r="AO163" s="331" t="s">
        <v>422</v>
      </c>
      <c r="AQ163" s="137">
        <f>AL163/P163</f>
        <v>0.68101237740037035</v>
      </c>
      <c r="AR163" s="137">
        <f t="shared" si="75"/>
        <v>1.4154194977292343</v>
      </c>
      <c r="AS163" s="137"/>
      <c r="AV163" s="1522">
        <v>350.01</v>
      </c>
      <c r="AW163" s="332">
        <f t="shared" si="56"/>
        <v>0.91631343757816675</v>
      </c>
      <c r="AX163" s="331">
        <v>1.0366755031019421</v>
      </c>
      <c r="BF163" s="137" t="s">
        <v>473</v>
      </c>
      <c r="BG163" s="331">
        <v>0.29622443603546378</v>
      </c>
      <c r="BH163" s="331" t="s">
        <v>474</v>
      </c>
      <c r="BI163" s="137">
        <v>1.0955732650812868</v>
      </c>
      <c r="BJ163" s="137" t="s">
        <v>475</v>
      </c>
    </row>
    <row r="164" spans="3:62" ht="13.9" thickBot="1" x14ac:dyDescent="0.4">
      <c r="C164" s="1707"/>
      <c r="D164" s="1293" t="s">
        <v>441</v>
      </c>
      <c r="E164" s="1317" t="s">
        <v>272</v>
      </c>
      <c r="F164" s="1329" t="s">
        <v>240</v>
      </c>
      <c r="G164" s="325">
        <v>4</v>
      </c>
      <c r="H164" s="1338">
        <v>1650</v>
      </c>
      <c r="I164" s="114" t="s">
        <v>411</v>
      </c>
      <c r="J164" s="1347">
        <v>150.69999999999999</v>
      </c>
      <c r="K164" s="1347">
        <v>150.5</v>
      </c>
      <c r="L164" s="1347">
        <v>6</v>
      </c>
      <c r="M164" s="1369">
        <v>5.87</v>
      </c>
      <c r="P164" s="1371">
        <v>194000</v>
      </c>
      <c r="Q164" s="1373">
        <v>497</v>
      </c>
      <c r="R164" s="849">
        <v>4.2</v>
      </c>
      <c r="S164" s="1299">
        <v>0.3</v>
      </c>
      <c r="T164" s="1299">
        <v>-0.5</v>
      </c>
      <c r="U164" s="1371">
        <v>761</v>
      </c>
      <c r="V164" s="331" t="s">
        <v>412</v>
      </c>
      <c r="W164" s="1371">
        <v>194000</v>
      </c>
      <c r="X164" s="331">
        <v>631.63</v>
      </c>
      <c r="Y164" s="331">
        <f t="shared" si="74"/>
        <v>4.2</v>
      </c>
      <c r="Z164" s="331">
        <f t="shared" si="74"/>
        <v>0.3</v>
      </c>
      <c r="AA164" s="331">
        <f t="shared" si="74"/>
        <v>-0.5</v>
      </c>
      <c r="AB164" s="1371">
        <v>761</v>
      </c>
      <c r="AC164" s="1394">
        <v>108.6</v>
      </c>
      <c r="AF164" s="331">
        <v>1.51306E-4</v>
      </c>
      <c r="AG164" s="331">
        <f t="shared" si="77"/>
        <v>1.8799037719743479</v>
      </c>
      <c r="AH164" s="1511">
        <v>8.0486034580957606E-5</v>
      </c>
      <c r="AI164" s="331">
        <v>91.927342380789398</v>
      </c>
      <c r="AJ164" s="331" t="s">
        <v>422</v>
      </c>
      <c r="AK164" s="331">
        <v>532.50176573360204</v>
      </c>
      <c r="AL164" s="331">
        <v>15137.339140587799</v>
      </c>
      <c r="AM164" s="331">
        <v>653.43008704922295</v>
      </c>
      <c r="AN164" s="331">
        <v>21038.163509669001</v>
      </c>
      <c r="AO164" s="331" t="s">
        <v>422</v>
      </c>
      <c r="AQ164" s="137">
        <v>7.8027521343236081E-2</v>
      </c>
      <c r="AR164" s="137">
        <f t="shared" si="75"/>
        <v>1.1813677757608576</v>
      </c>
      <c r="AS164" s="137" t="e">
        <f>AE164/#REF!</f>
        <v>#REF!</v>
      </c>
      <c r="AV164" s="148">
        <v>1631.61</v>
      </c>
      <c r="AW164" s="332">
        <f t="shared" si="56"/>
        <v>0.87661396119588475</v>
      </c>
      <c r="AX164" s="331">
        <v>0.48381396318765241</v>
      </c>
      <c r="AZ164" s="331">
        <v>73.587690781010949</v>
      </c>
      <c r="BA164" s="331">
        <f t="shared" si="76"/>
        <v>1.4757902965481267</v>
      </c>
      <c r="BB164" s="331">
        <v>97.570897313956593</v>
      </c>
      <c r="BC164" s="331">
        <f t="shared" ref="BC164:BC195" si="78">AC164/BB164</f>
        <v>1.1130368069748784</v>
      </c>
    </row>
    <row r="165" spans="3:62" x14ac:dyDescent="0.35">
      <c r="C165" s="1706" t="s">
        <v>273</v>
      </c>
      <c r="D165" s="1293" t="s">
        <v>441</v>
      </c>
      <c r="E165" s="1313" t="s">
        <v>111</v>
      </c>
      <c r="F165" s="1329" t="s">
        <v>240</v>
      </c>
      <c r="G165" s="325">
        <v>4</v>
      </c>
      <c r="H165" s="1334">
        <v>2000</v>
      </c>
      <c r="I165" s="114" t="s">
        <v>411</v>
      </c>
      <c r="J165" s="1343">
        <v>100.1</v>
      </c>
      <c r="K165" s="1343">
        <v>100</v>
      </c>
      <c r="L165" s="1343">
        <v>2.5</v>
      </c>
      <c r="M165" s="1348">
        <v>3.07</v>
      </c>
      <c r="P165" s="150">
        <v>195000</v>
      </c>
      <c r="Q165" s="1372">
        <v>481</v>
      </c>
      <c r="R165" s="924">
        <v>7</v>
      </c>
      <c r="S165" s="1299">
        <v>0.3</v>
      </c>
      <c r="T165" s="1299">
        <v>-0.5</v>
      </c>
      <c r="U165" s="1300">
        <v>806</v>
      </c>
      <c r="V165" s="331" t="s">
        <v>412</v>
      </c>
      <c r="W165" s="150">
        <v>195000</v>
      </c>
      <c r="X165" s="331">
        <v>668.98</v>
      </c>
      <c r="Y165" s="331">
        <f t="shared" si="74"/>
        <v>7</v>
      </c>
      <c r="Z165" s="331">
        <f t="shared" si="74"/>
        <v>0.3</v>
      </c>
      <c r="AA165" s="331">
        <f t="shared" si="74"/>
        <v>-0.5</v>
      </c>
      <c r="AB165" s="1300">
        <v>806</v>
      </c>
      <c r="AC165" s="1391">
        <v>23.3</v>
      </c>
      <c r="AF165" s="331">
        <v>2.2197558268590456E-4</v>
      </c>
      <c r="AG165" s="331">
        <f t="shared" si="77"/>
        <v>2.8320570592612992</v>
      </c>
      <c r="AH165" s="1511">
        <v>7.8379629379290698E-5</v>
      </c>
      <c r="AI165" s="331">
        <v>18.573721715010201</v>
      </c>
      <c r="AJ165" s="331" t="s">
        <v>422</v>
      </c>
      <c r="AK165" s="331">
        <v>459.138887628482</v>
      </c>
      <c r="AL165" s="331">
        <v>36837.623389964501</v>
      </c>
      <c r="AM165" s="331">
        <v>586.14489151362295</v>
      </c>
      <c r="AN165" s="331">
        <v>68510.164905429396</v>
      </c>
      <c r="AO165" s="331" t="s">
        <v>422</v>
      </c>
      <c r="AQ165" s="137">
        <v>0.18891088917930512</v>
      </c>
      <c r="AR165" s="137">
        <f t="shared" si="75"/>
        <v>1.2544604876453112</v>
      </c>
      <c r="AS165" s="137" t="e">
        <f>AE165/#REF!</f>
        <v>#REF!</v>
      </c>
      <c r="AV165" s="148">
        <v>970.21</v>
      </c>
      <c r="AW165" s="332">
        <f t="shared" si="56"/>
        <v>0.91682984643924548</v>
      </c>
      <c r="AX165" s="331">
        <v>0.64554780347065355</v>
      </c>
      <c r="AZ165" s="331">
        <v>15.449419140929708</v>
      </c>
      <c r="BA165" s="331">
        <f t="shared" si="76"/>
        <v>1.5081473152781499</v>
      </c>
      <c r="BB165" s="331">
        <v>19.160347061909025</v>
      </c>
      <c r="BC165" s="331">
        <f t="shared" si="78"/>
        <v>1.2160531291377623</v>
      </c>
    </row>
    <row r="166" spans="3:62" ht="13.9" thickBot="1" x14ac:dyDescent="0.4">
      <c r="C166" s="1708"/>
      <c r="D166" s="1293" t="s">
        <v>441</v>
      </c>
      <c r="E166" s="1314" t="s">
        <v>111</v>
      </c>
      <c r="F166" s="1329" t="s">
        <v>240</v>
      </c>
      <c r="G166" s="325">
        <v>4</v>
      </c>
      <c r="H166" s="1335">
        <v>2000</v>
      </c>
      <c r="I166" s="114" t="s">
        <v>411</v>
      </c>
      <c r="J166" s="1344">
        <v>100</v>
      </c>
      <c r="K166" s="1344">
        <v>100.3</v>
      </c>
      <c r="L166" s="1344">
        <v>3</v>
      </c>
      <c r="M166" s="1365">
        <v>3.05</v>
      </c>
      <c r="P166" s="1370">
        <v>183500</v>
      </c>
      <c r="Q166" s="1373">
        <v>608</v>
      </c>
      <c r="R166" s="867">
        <v>7</v>
      </c>
      <c r="S166" s="1299">
        <v>0.3</v>
      </c>
      <c r="T166" s="1299">
        <v>-0.5</v>
      </c>
      <c r="U166" s="1371">
        <v>943</v>
      </c>
      <c r="V166" s="331" t="s">
        <v>412</v>
      </c>
      <c r="W166" s="1370">
        <v>183500</v>
      </c>
      <c r="X166" s="331">
        <v>782.68999999999994</v>
      </c>
      <c r="Y166" s="331">
        <f t="shared" si="74"/>
        <v>7</v>
      </c>
      <c r="Z166" s="331">
        <f t="shared" si="74"/>
        <v>0.3</v>
      </c>
      <c r="AA166" s="331">
        <f t="shared" si="74"/>
        <v>-0.5</v>
      </c>
      <c r="AB166" s="1371">
        <v>943</v>
      </c>
      <c r="AC166" s="1394">
        <v>26.7</v>
      </c>
      <c r="AF166" s="331">
        <v>1.7099846112488776E-4</v>
      </c>
      <c r="AG166" s="331">
        <f t="shared" si="77"/>
        <v>2.1639167366956946</v>
      </c>
      <c r="AH166" s="1511">
        <v>7.9022662113147096E-5</v>
      </c>
      <c r="AI166" s="331">
        <v>21.2822930312457</v>
      </c>
      <c r="AJ166" s="331" t="s">
        <v>422</v>
      </c>
      <c r="AK166" s="331">
        <v>541.65172793982697</v>
      </c>
      <c r="AL166" s="331">
        <v>58959.2204592169</v>
      </c>
      <c r="AM166" s="331">
        <v>627.21219322872003</v>
      </c>
      <c r="AN166" s="331">
        <v>98170.041055088193</v>
      </c>
      <c r="AO166" s="331" t="s">
        <v>422</v>
      </c>
      <c r="AQ166" s="137">
        <v>0.32130365372870245</v>
      </c>
      <c r="AR166" s="137">
        <f t="shared" si="75"/>
        <v>1.2545640622840906</v>
      </c>
      <c r="AS166" s="137" t="e">
        <f>AE166/#REF!</f>
        <v>#REF!</v>
      </c>
      <c r="AV166" s="148">
        <v>920.57</v>
      </c>
      <c r="AW166" s="332">
        <f t="shared" si="56"/>
        <v>0.90694087403598977</v>
      </c>
      <c r="AX166" s="331">
        <v>0.73705917358889006</v>
      </c>
      <c r="AZ166" s="331">
        <v>18.404762379746899</v>
      </c>
      <c r="BA166" s="331">
        <f t="shared" si="76"/>
        <v>1.4507114761438815</v>
      </c>
      <c r="BC166" s="331" t="e">
        <f t="shared" si="78"/>
        <v>#DIV/0!</v>
      </c>
    </row>
    <row r="167" spans="3:62" x14ac:dyDescent="0.35">
      <c r="C167" s="1709" t="s">
        <v>371</v>
      </c>
      <c r="D167" s="1293" t="s">
        <v>441</v>
      </c>
      <c r="E167" s="1321" t="s">
        <v>277</v>
      </c>
      <c r="F167" s="1329" t="s">
        <v>240</v>
      </c>
      <c r="G167" s="325">
        <v>3</v>
      </c>
      <c r="H167" s="1334">
        <v>1200</v>
      </c>
      <c r="I167" s="114" t="s">
        <v>411</v>
      </c>
      <c r="J167" s="1348">
        <v>50.18</v>
      </c>
      <c r="K167" s="1348">
        <v>50.24</v>
      </c>
      <c r="L167" s="1348">
        <v>1.53</v>
      </c>
      <c r="M167" s="1348">
        <v>2.76</v>
      </c>
      <c r="P167" s="150">
        <v>198000</v>
      </c>
      <c r="Q167" s="1375">
        <v>552</v>
      </c>
      <c r="R167" s="924">
        <v>7</v>
      </c>
      <c r="S167" s="1299">
        <v>0.3</v>
      </c>
      <c r="T167" s="1299">
        <v>-0.5</v>
      </c>
      <c r="U167" s="1300">
        <v>798</v>
      </c>
      <c r="V167" s="331" t="s">
        <v>412</v>
      </c>
      <c r="W167" s="1300">
        <v>173530</v>
      </c>
      <c r="X167" s="1300">
        <v>723</v>
      </c>
      <c r="Y167" s="331">
        <f t="shared" si="74"/>
        <v>7</v>
      </c>
      <c r="Z167" s="331">
        <f t="shared" si="74"/>
        <v>0.3</v>
      </c>
      <c r="AA167" s="331">
        <f t="shared" si="74"/>
        <v>-0.5</v>
      </c>
      <c r="AB167" s="1300">
        <v>798</v>
      </c>
      <c r="AC167" s="1391">
        <v>7</v>
      </c>
      <c r="AG167" s="331" t="e">
        <f t="shared" si="77"/>
        <v>#DIV/0!</v>
      </c>
      <c r="AQ167" s="137">
        <v>0</v>
      </c>
      <c r="AR167" s="137" t="e">
        <f t="shared" si="75"/>
        <v>#DIV/0!</v>
      </c>
      <c r="AS167" s="137" t="e">
        <f>AE167/#REF!</f>
        <v>#REF!</v>
      </c>
      <c r="AV167" s="148">
        <v>3266.73</v>
      </c>
      <c r="AW167" s="332">
        <f t="shared" si="56"/>
        <v>0.87742207245155857</v>
      </c>
      <c r="AX167" s="331">
        <v>0.3606795122893674</v>
      </c>
      <c r="AZ167" s="331">
        <v>4.9670008799999996</v>
      </c>
      <c r="BA167" s="331">
        <f t="shared" si="76"/>
        <v>1.4093011394835913</v>
      </c>
      <c r="BB167" s="331">
        <v>6.1122605737860161</v>
      </c>
      <c r="BC167" s="331">
        <f t="shared" si="78"/>
        <v>1.1452391329684601</v>
      </c>
    </row>
    <row r="168" spans="3:62" x14ac:dyDescent="0.35">
      <c r="C168" s="1710"/>
      <c r="D168" s="1293" t="s">
        <v>441</v>
      </c>
      <c r="E168" s="1322" t="s">
        <v>278</v>
      </c>
      <c r="F168" s="1329" t="s">
        <v>240</v>
      </c>
      <c r="G168" s="325">
        <v>3</v>
      </c>
      <c r="H168" s="1336">
        <v>1200</v>
      </c>
      <c r="I168" s="114" t="s">
        <v>411</v>
      </c>
      <c r="J168" s="1349">
        <v>60.37</v>
      </c>
      <c r="K168" s="1349">
        <v>60.63</v>
      </c>
      <c r="L168" s="1349">
        <v>3.5</v>
      </c>
      <c r="M168" s="1349">
        <v>2.79</v>
      </c>
      <c r="P168" s="150">
        <v>197730</v>
      </c>
      <c r="Q168" s="1375">
        <v>483</v>
      </c>
      <c r="R168" s="849">
        <v>7</v>
      </c>
      <c r="S168" s="1299">
        <v>0.3</v>
      </c>
      <c r="T168" s="1299">
        <v>-0.5</v>
      </c>
      <c r="U168" s="1300">
        <v>745</v>
      </c>
      <c r="V168" s="331" t="s">
        <v>412</v>
      </c>
      <c r="W168" s="1300">
        <v>193440</v>
      </c>
      <c r="X168" s="1300">
        <v>614</v>
      </c>
      <c r="Y168" s="331">
        <f t="shared" si="74"/>
        <v>7</v>
      </c>
      <c r="Z168" s="331">
        <f t="shared" si="74"/>
        <v>0.3</v>
      </c>
      <c r="AA168" s="331">
        <f t="shared" si="74"/>
        <v>-0.5</v>
      </c>
      <c r="AB168" s="1300">
        <v>745</v>
      </c>
      <c r="AC168" s="1388">
        <v>8.74</v>
      </c>
      <c r="AG168" s="331" t="e">
        <f t="shared" si="77"/>
        <v>#DIV/0!</v>
      </c>
      <c r="AQ168" s="137">
        <v>0</v>
      </c>
      <c r="AR168" s="137" t="e">
        <f t="shared" si="75"/>
        <v>#DIV/0!</v>
      </c>
      <c r="AS168" s="137" t="e">
        <f>AE168/#REF!</f>
        <v>#REF!</v>
      </c>
      <c r="AV168" s="148">
        <v>2281.4499999999998</v>
      </c>
      <c r="AW168" s="332">
        <f t="shared" si="56"/>
        <v>0.83073997233748276</v>
      </c>
      <c r="AX168" s="331">
        <v>0.38223741508640163</v>
      </c>
      <c r="AZ168" s="331">
        <v>6.4089511499999992</v>
      </c>
      <c r="BA168" s="331">
        <f t="shared" si="76"/>
        <v>1.3637176810124385</v>
      </c>
      <c r="BB168" s="331">
        <v>7.5629245533777922</v>
      </c>
      <c r="BC168" s="331">
        <f t="shared" si="78"/>
        <v>1.155637602664765</v>
      </c>
    </row>
    <row r="169" spans="3:62" x14ac:dyDescent="0.35">
      <c r="C169" s="1710"/>
      <c r="D169" s="1293" t="s">
        <v>441</v>
      </c>
      <c r="E169" s="1322" t="s">
        <v>111</v>
      </c>
      <c r="F169" s="1329" t="s">
        <v>240</v>
      </c>
      <c r="G169" s="325">
        <v>3</v>
      </c>
      <c r="H169" s="1336">
        <v>1200</v>
      </c>
      <c r="I169" s="114" t="s">
        <v>411</v>
      </c>
      <c r="J169" s="1349">
        <v>99.85</v>
      </c>
      <c r="K169" s="1349">
        <v>99.93</v>
      </c>
      <c r="L169" s="1349">
        <v>2.13</v>
      </c>
      <c r="M169" s="1349">
        <v>2.78</v>
      </c>
      <c r="P169" s="150">
        <v>201300</v>
      </c>
      <c r="Q169" s="1375">
        <v>419</v>
      </c>
      <c r="R169" s="849">
        <v>7</v>
      </c>
      <c r="S169" s="1299">
        <v>0.3</v>
      </c>
      <c r="T169" s="1299">
        <v>-0.5</v>
      </c>
      <c r="U169" s="1300">
        <v>725</v>
      </c>
      <c r="V169" s="331" t="s">
        <v>412</v>
      </c>
      <c r="W169" s="1300">
        <v>181440</v>
      </c>
      <c r="X169" s="1300">
        <v>694</v>
      </c>
      <c r="Y169" s="331">
        <f t="shared" si="74"/>
        <v>7</v>
      </c>
      <c r="Z169" s="331">
        <f t="shared" si="74"/>
        <v>0.3</v>
      </c>
      <c r="AA169" s="331">
        <f t="shared" si="74"/>
        <v>-0.5</v>
      </c>
      <c r="AB169" s="1300">
        <v>725</v>
      </c>
      <c r="AC169" s="1388">
        <v>18.77</v>
      </c>
      <c r="AG169" s="331" t="e">
        <f t="shared" si="77"/>
        <v>#DIV/0!</v>
      </c>
      <c r="AQ169" s="137">
        <v>0</v>
      </c>
      <c r="AR169" s="137" t="e">
        <f t="shared" si="75"/>
        <v>#DIV/0!</v>
      </c>
      <c r="AS169" s="137" t="e">
        <f>AE169/#REF!</f>
        <v>#REF!</v>
      </c>
      <c r="AV169" s="148">
        <v>813.25</v>
      </c>
      <c r="AW169" s="332">
        <f t="shared" si="56"/>
        <v>0.92753474009264036</v>
      </c>
      <c r="AX169" s="331">
        <v>0.6657714388239756</v>
      </c>
      <c r="AZ169" s="331">
        <v>12.166492743267577</v>
      </c>
      <c r="BA169" s="331">
        <f t="shared" si="76"/>
        <v>1.5427617799210478</v>
      </c>
      <c r="BB169" s="331">
        <v>14.493201681780716</v>
      </c>
      <c r="BC169" s="331">
        <f t="shared" si="78"/>
        <v>1.2950899609432476</v>
      </c>
    </row>
    <row r="170" spans="3:62" x14ac:dyDescent="0.35">
      <c r="C170" s="1710"/>
      <c r="D170" s="1293" t="s">
        <v>441</v>
      </c>
      <c r="E170" s="1322" t="s">
        <v>279</v>
      </c>
      <c r="F170" s="1329" t="s">
        <v>240</v>
      </c>
      <c r="G170" s="325">
        <v>3</v>
      </c>
      <c r="H170" s="1336">
        <v>1200</v>
      </c>
      <c r="I170" s="114" t="s">
        <v>411</v>
      </c>
      <c r="J170" s="1349">
        <v>40</v>
      </c>
      <c r="K170" s="1349">
        <v>60.11</v>
      </c>
      <c r="L170" s="1349">
        <v>1.88</v>
      </c>
      <c r="M170" s="1349">
        <v>2.75</v>
      </c>
      <c r="P170" s="150">
        <v>191690</v>
      </c>
      <c r="Q170" s="1375">
        <v>538</v>
      </c>
      <c r="R170" s="849">
        <v>7</v>
      </c>
      <c r="S170" s="1299">
        <v>0.3</v>
      </c>
      <c r="T170" s="1299">
        <v>-0.5</v>
      </c>
      <c r="U170" s="1300">
        <v>753</v>
      </c>
      <c r="V170" s="331" t="s">
        <v>412</v>
      </c>
      <c r="W170" s="1300">
        <v>198530</v>
      </c>
      <c r="X170" s="1300">
        <v>741</v>
      </c>
      <c r="Y170" s="331">
        <f t="shared" si="74"/>
        <v>7</v>
      </c>
      <c r="Z170" s="331">
        <f t="shared" si="74"/>
        <v>0.3</v>
      </c>
      <c r="AA170" s="331">
        <f t="shared" si="74"/>
        <v>-0.5</v>
      </c>
      <c r="AB170" s="1300">
        <v>753</v>
      </c>
      <c r="AC170" s="1388">
        <v>7.99</v>
      </c>
      <c r="AG170" s="331" t="e">
        <f t="shared" si="77"/>
        <v>#DIV/0!</v>
      </c>
      <c r="AQ170" s="137">
        <v>0</v>
      </c>
      <c r="AR170" s="137" t="e">
        <f t="shared" si="75"/>
        <v>#DIV/0!</v>
      </c>
      <c r="AS170" s="137" t="e">
        <f>AE170/#REF!</f>
        <v>#REF!</v>
      </c>
      <c r="AV170" s="148">
        <v>4962.04</v>
      </c>
      <c r="AW170" s="332">
        <f t="shared" si="56"/>
        <v>0.8865062761506276</v>
      </c>
      <c r="AX170" s="331">
        <v>0.29190586569127647</v>
      </c>
      <c r="AZ170" s="331">
        <v>5.35726412</v>
      </c>
      <c r="BA170" s="331">
        <f t="shared" si="76"/>
        <v>1.4914329069890995</v>
      </c>
      <c r="BB170" s="331">
        <v>6.5450890343261054</v>
      </c>
      <c r="BC170" s="331">
        <f t="shared" si="78"/>
        <v>1.2207626142434387</v>
      </c>
    </row>
    <row r="171" spans="3:62" ht="13.9" thickBot="1" x14ac:dyDescent="0.4">
      <c r="C171" s="1711"/>
      <c r="D171" s="1293" t="s">
        <v>441</v>
      </c>
      <c r="E171" s="974" t="s">
        <v>280</v>
      </c>
      <c r="F171" s="1329" t="s">
        <v>240</v>
      </c>
      <c r="G171" s="325">
        <v>3</v>
      </c>
      <c r="H171" s="984">
        <v>1200</v>
      </c>
      <c r="I171" s="114" t="s">
        <v>411</v>
      </c>
      <c r="J171" s="985">
        <v>60.1</v>
      </c>
      <c r="K171" s="985">
        <v>39.950000000000003</v>
      </c>
      <c r="L171" s="985">
        <v>1.88</v>
      </c>
      <c r="M171" s="985">
        <v>2.75</v>
      </c>
      <c r="P171" s="981">
        <v>191690</v>
      </c>
      <c r="Q171" s="978">
        <v>538</v>
      </c>
      <c r="R171" s="983">
        <v>7</v>
      </c>
      <c r="S171" s="1299">
        <v>0.3</v>
      </c>
      <c r="T171" s="1299">
        <v>-0.5</v>
      </c>
      <c r="U171" s="979">
        <v>753</v>
      </c>
      <c r="V171" s="331" t="s">
        <v>412</v>
      </c>
      <c r="W171" s="979">
        <v>198530</v>
      </c>
      <c r="X171" s="979">
        <v>741</v>
      </c>
      <c r="Y171" s="331">
        <f t="shared" si="74"/>
        <v>7</v>
      </c>
      <c r="Z171" s="331">
        <f t="shared" si="74"/>
        <v>0.3</v>
      </c>
      <c r="AA171" s="331">
        <f t="shared" si="74"/>
        <v>-0.5</v>
      </c>
      <c r="AB171" s="979">
        <v>753</v>
      </c>
      <c r="AC171" s="975">
        <v>5.69</v>
      </c>
      <c r="AG171" s="331" t="e">
        <f t="shared" si="77"/>
        <v>#DIV/0!</v>
      </c>
      <c r="AQ171" s="137">
        <v>0</v>
      </c>
      <c r="AR171" s="137" t="e">
        <f t="shared" si="75"/>
        <v>#DIV/0!</v>
      </c>
      <c r="AS171" s="137" t="e">
        <f>AE171/#REF!</f>
        <v>#REF!</v>
      </c>
      <c r="AV171" s="1397">
        <v>2244.16</v>
      </c>
      <c r="AW171" s="332">
        <f t="shared" si="56"/>
        <v>0.88648648648648654</v>
      </c>
      <c r="AX171" s="331">
        <v>0.4340465902454248</v>
      </c>
      <c r="AZ171" s="331">
        <v>3.4357750942608183</v>
      </c>
      <c r="BA171" s="331">
        <f t="shared" si="76"/>
        <v>1.6561037448302949</v>
      </c>
      <c r="BB171" s="331">
        <v>4.5350397389831025</v>
      </c>
      <c r="BC171" s="331">
        <f t="shared" si="78"/>
        <v>1.2546747829106952</v>
      </c>
    </row>
    <row r="172" spans="3:62" x14ac:dyDescent="0.35">
      <c r="C172" s="1704" t="s">
        <v>372</v>
      </c>
      <c r="D172" s="1293" t="s">
        <v>441</v>
      </c>
      <c r="E172" s="1323" t="s">
        <v>282</v>
      </c>
      <c r="F172" s="1329" t="s">
        <v>240</v>
      </c>
      <c r="G172" s="325">
        <v>3</v>
      </c>
      <c r="H172" s="1006">
        <v>1100</v>
      </c>
      <c r="I172" s="114" t="s">
        <v>411</v>
      </c>
      <c r="J172" s="1350">
        <v>103</v>
      </c>
      <c r="K172" s="1351">
        <v>102.3</v>
      </c>
      <c r="L172" s="1350">
        <v>3.8</v>
      </c>
      <c r="M172" s="1351">
        <v>3.92</v>
      </c>
      <c r="P172" s="1300">
        <v>198771</v>
      </c>
      <c r="Q172" s="1300">
        <v>586</v>
      </c>
      <c r="R172" s="885">
        <v>7</v>
      </c>
      <c r="S172" s="1299">
        <v>0.3</v>
      </c>
      <c r="T172" s="1299">
        <v>-0.5</v>
      </c>
      <c r="U172" s="1300">
        <v>761</v>
      </c>
      <c r="V172" s="331" t="s">
        <v>412</v>
      </c>
      <c r="W172" s="1300">
        <v>206000</v>
      </c>
      <c r="X172" s="1372">
        <v>811</v>
      </c>
      <c r="Y172" s="331">
        <f t="shared" si="74"/>
        <v>7</v>
      </c>
      <c r="Z172" s="331">
        <f t="shared" si="74"/>
        <v>0.3</v>
      </c>
      <c r="AA172" s="331">
        <f t="shared" si="74"/>
        <v>-0.5</v>
      </c>
      <c r="AB172" s="1300">
        <v>761</v>
      </c>
      <c r="AC172" s="1395">
        <v>39.1</v>
      </c>
      <c r="AG172" s="331" t="e">
        <f t="shared" si="77"/>
        <v>#DIV/0!</v>
      </c>
      <c r="AQ172" s="137">
        <v>0</v>
      </c>
      <c r="AR172" s="137" t="e">
        <f t="shared" si="75"/>
        <v>#DIV/0!</v>
      </c>
      <c r="AS172" s="137" t="e">
        <f>AE172/#REF!</f>
        <v>#REF!</v>
      </c>
      <c r="AV172" s="148">
        <v>1532.66</v>
      </c>
      <c r="AW172" s="332">
        <f t="shared" si="56"/>
        <v>0.88373031893419463</v>
      </c>
      <c r="AX172" s="331">
        <v>0.54644398701603725</v>
      </c>
      <c r="AZ172" s="331">
        <v>26.060871591843537</v>
      </c>
      <c r="BA172" s="331">
        <f t="shared" si="76"/>
        <v>1.5003335503267441</v>
      </c>
      <c r="BB172" s="331">
        <v>33.24701165307895</v>
      </c>
      <c r="BC172" s="331">
        <f t="shared" si="78"/>
        <v>1.1760455468297408</v>
      </c>
    </row>
    <row r="173" spans="3:62" x14ac:dyDescent="0.35">
      <c r="C173" s="1704"/>
      <c r="D173" s="1293" t="s">
        <v>441</v>
      </c>
      <c r="E173" s="1323" t="s">
        <v>282</v>
      </c>
      <c r="F173" s="1329" t="s">
        <v>240</v>
      </c>
      <c r="G173" s="325">
        <v>3</v>
      </c>
      <c r="H173" s="1006">
        <v>1100</v>
      </c>
      <c r="I173" s="114" t="s">
        <v>411</v>
      </c>
      <c r="J173" s="1351">
        <v>102</v>
      </c>
      <c r="K173" s="1351">
        <v>102.5</v>
      </c>
      <c r="L173" s="1351">
        <v>3.9</v>
      </c>
      <c r="M173" s="1351">
        <v>3.83</v>
      </c>
      <c r="P173" s="1300">
        <v>198771</v>
      </c>
      <c r="Q173" s="1375">
        <v>586</v>
      </c>
      <c r="R173" s="885">
        <v>7</v>
      </c>
      <c r="S173" s="1299">
        <v>0.3</v>
      </c>
      <c r="T173" s="1299">
        <v>-0.5</v>
      </c>
      <c r="U173" s="1300">
        <v>761</v>
      </c>
      <c r="V173" s="331" t="s">
        <v>412</v>
      </c>
      <c r="W173" s="1300">
        <v>206000</v>
      </c>
      <c r="X173" s="1372">
        <v>811</v>
      </c>
      <c r="Y173" s="331">
        <f t="shared" si="74"/>
        <v>7</v>
      </c>
      <c r="Z173" s="331">
        <f t="shared" si="74"/>
        <v>0.3</v>
      </c>
      <c r="AA173" s="331">
        <f t="shared" si="74"/>
        <v>-0.5</v>
      </c>
      <c r="AB173" s="1300">
        <v>761</v>
      </c>
      <c r="AC173" s="1396">
        <v>36.1</v>
      </c>
      <c r="AG173" s="331" t="e">
        <f t="shared" si="77"/>
        <v>#DIV/0!</v>
      </c>
      <c r="AQ173" s="137">
        <v>0</v>
      </c>
      <c r="AR173" s="137" t="e">
        <f t="shared" si="75"/>
        <v>#DIV/0!</v>
      </c>
      <c r="AS173" s="137" t="e">
        <f>AE173/#REF!</f>
        <v>#REF!</v>
      </c>
      <c r="AV173" s="148">
        <v>1489.34</v>
      </c>
      <c r="AW173" s="332">
        <f t="shared" si="56"/>
        <v>0.88213236039322984</v>
      </c>
      <c r="AX173" s="331">
        <v>0.5533318069285702</v>
      </c>
      <c r="AZ173" s="331">
        <v>25.292390131224746</v>
      </c>
      <c r="BA173" s="331">
        <f t="shared" si="76"/>
        <v>1.427306783293395</v>
      </c>
      <c r="BB173" s="331">
        <v>32.224892501327311</v>
      </c>
      <c r="BC173" s="331">
        <f t="shared" si="78"/>
        <v>1.1202519914849391</v>
      </c>
    </row>
    <row r="174" spans="3:62" x14ac:dyDescent="0.35">
      <c r="C174" s="1704"/>
      <c r="D174" s="1293" t="s">
        <v>441</v>
      </c>
      <c r="E174" s="1323" t="s">
        <v>283</v>
      </c>
      <c r="F174" s="1329" t="s">
        <v>240</v>
      </c>
      <c r="G174" s="325">
        <v>3</v>
      </c>
      <c r="H174" s="1006">
        <v>1100</v>
      </c>
      <c r="I174" s="114" t="s">
        <v>411</v>
      </c>
      <c r="J174" s="1351">
        <v>80</v>
      </c>
      <c r="K174" s="1351">
        <v>79.5</v>
      </c>
      <c r="L174" s="1351">
        <v>3.5</v>
      </c>
      <c r="M174" s="1351">
        <v>3.76</v>
      </c>
      <c r="P174" s="1300">
        <v>199864</v>
      </c>
      <c r="Q174" s="1375">
        <v>679</v>
      </c>
      <c r="R174" s="885">
        <v>7</v>
      </c>
      <c r="S174" s="1299">
        <v>0.3</v>
      </c>
      <c r="T174" s="1299">
        <v>-0.5</v>
      </c>
      <c r="U174" s="1300">
        <v>773</v>
      </c>
      <c r="V174" s="331" t="s">
        <v>412</v>
      </c>
      <c r="W174" s="1300">
        <v>210000</v>
      </c>
      <c r="X174" s="1372">
        <v>731</v>
      </c>
      <c r="Y174" s="331">
        <f t="shared" si="74"/>
        <v>7</v>
      </c>
      <c r="Z174" s="331">
        <f t="shared" si="74"/>
        <v>0.3</v>
      </c>
      <c r="AA174" s="331">
        <f t="shared" si="74"/>
        <v>-0.5</v>
      </c>
      <c r="AB174" s="1300">
        <v>773</v>
      </c>
      <c r="AC174" s="1396">
        <v>24.9</v>
      </c>
      <c r="AG174" s="331" t="e">
        <f t="shared" si="77"/>
        <v>#DIV/0!</v>
      </c>
      <c r="AQ174" s="137">
        <v>0</v>
      </c>
      <c r="AR174" s="137" t="e">
        <f t="shared" si="75"/>
        <v>#DIV/0!</v>
      </c>
      <c r="AS174" s="137" t="e">
        <f>AE174/#REF!</f>
        <v>#REF!</v>
      </c>
      <c r="AV174" s="148">
        <v>2381.77</v>
      </c>
      <c r="AW174" s="332">
        <f t="shared" si="56"/>
        <v>0.85886673662119628</v>
      </c>
      <c r="AX174" s="331">
        <v>0.45857540668685537</v>
      </c>
      <c r="AZ174" s="331">
        <v>17.841918292428236</v>
      </c>
      <c r="BA174" s="331">
        <f t="shared" si="76"/>
        <v>1.3955898458837286</v>
      </c>
      <c r="BB174" s="331">
        <v>22.485171203508866</v>
      </c>
      <c r="BC174" s="331">
        <f t="shared" si="78"/>
        <v>1.1073965047735235</v>
      </c>
    </row>
    <row r="175" spans="3:62" x14ac:dyDescent="0.35">
      <c r="C175" s="1704"/>
      <c r="D175" s="1293" t="s">
        <v>441</v>
      </c>
      <c r="E175" s="1323" t="s">
        <v>283</v>
      </c>
      <c r="F175" s="1329" t="s">
        <v>240</v>
      </c>
      <c r="G175" s="325">
        <v>3</v>
      </c>
      <c r="H175" s="1006">
        <v>1100</v>
      </c>
      <c r="I175" s="114" t="s">
        <v>411</v>
      </c>
      <c r="J175" s="1351">
        <v>80</v>
      </c>
      <c r="K175" s="1351">
        <v>79.599999999999994</v>
      </c>
      <c r="L175" s="1351">
        <v>4.3</v>
      </c>
      <c r="M175" s="1351">
        <v>3.74</v>
      </c>
      <c r="P175" s="1300">
        <v>199864</v>
      </c>
      <c r="Q175" s="1375">
        <v>679</v>
      </c>
      <c r="R175" s="885">
        <v>7</v>
      </c>
      <c r="S175" s="1299">
        <v>0.3</v>
      </c>
      <c r="T175" s="1299">
        <v>-0.5</v>
      </c>
      <c r="U175" s="1300">
        <v>773</v>
      </c>
      <c r="V175" s="331" t="s">
        <v>412</v>
      </c>
      <c r="W175" s="1300">
        <v>210000</v>
      </c>
      <c r="X175" s="1372">
        <v>731</v>
      </c>
      <c r="Y175" s="331">
        <f t="shared" si="74"/>
        <v>7</v>
      </c>
      <c r="Z175" s="331">
        <f t="shared" si="74"/>
        <v>0.3</v>
      </c>
      <c r="AA175" s="331">
        <f t="shared" si="74"/>
        <v>-0.5</v>
      </c>
      <c r="AB175" s="1300">
        <v>773</v>
      </c>
      <c r="AC175" s="1396">
        <v>24.3</v>
      </c>
      <c r="AG175" s="331" t="e">
        <f t="shared" si="77"/>
        <v>#DIV/0!</v>
      </c>
      <c r="AQ175" s="137">
        <v>0</v>
      </c>
      <c r="AR175" s="137" t="e">
        <f t="shared" si="75"/>
        <v>#DIV/0!</v>
      </c>
      <c r="AS175" s="137" t="e">
        <f>AE175/#REF!</f>
        <v>#REF!</v>
      </c>
      <c r="AV175" s="148">
        <v>2355.6</v>
      </c>
      <c r="AW175" s="332">
        <f t="shared" si="56"/>
        <v>0.83818515604510879</v>
      </c>
      <c r="AX175" s="331">
        <v>0.45001198433031059</v>
      </c>
      <c r="AZ175" s="331">
        <v>17.656212734132723</v>
      </c>
      <c r="BA175" s="331">
        <f t="shared" si="76"/>
        <v>1.3762860906758112</v>
      </c>
      <c r="BB175" s="331">
        <v>22.274052677979153</v>
      </c>
      <c r="BC175" s="331">
        <f t="shared" si="78"/>
        <v>1.0909554875940364</v>
      </c>
    </row>
    <row r="176" spans="3:62" x14ac:dyDescent="0.35">
      <c r="C176" s="1704"/>
      <c r="D176" s="1293" t="s">
        <v>441</v>
      </c>
      <c r="E176" s="1323" t="s">
        <v>284</v>
      </c>
      <c r="F176" s="1329" t="s">
        <v>240</v>
      </c>
      <c r="G176" s="325">
        <v>3</v>
      </c>
      <c r="H176" s="1006">
        <v>1100</v>
      </c>
      <c r="I176" s="114" t="s">
        <v>411</v>
      </c>
      <c r="J176" s="1351">
        <v>60</v>
      </c>
      <c r="K176" s="1351">
        <v>60</v>
      </c>
      <c r="L176" s="1351">
        <v>2.2999999999999998</v>
      </c>
      <c r="M176" s="1351">
        <v>3.15</v>
      </c>
      <c r="P176" s="1300">
        <v>209797</v>
      </c>
      <c r="Q176" s="1375">
        <v>755</v>
      </c>
      <c r="R176" s="885">
        <v>7</v>
      </c>
      <c r="S176" s="1299">
        <v>0.3</v>
      </c>
      <c r="T176" s="1299">
        <v>-0.5</v>
      </c>
      <c r="U176" s="1300">
        <v>839</v>
      </c>
      <c r="V176" s="331" t="s">
        <v>412</v>
      </c>
      <c r="W176" s="1300">
        <v>212400</v>
      </c>
      <c r="X176" s="1372">
        <v>885</v>
      </c>
      <c r="Y176" s="331">
        <f t="shared" si="74"/>
        <v>7</v>
      </c>
      <c r="Z176" s="331">
        <f t="shared" si="74"/>
        <v>0.3</v>
      </c>
      <c r="AA176" s="331">
        <f t="shared" si="74"/>
        <v>-0.5</v>
      </c>
      <c r="AB176" s="1300">
        <v>839</v>
      </c>
      <c r="AC176" s="1396">
        <v>12.8</v>
      </c>
      <c r="AG176" s="331" t="e">
        <f t="shared" si="77"/>
        <v>#DIV/0!</v>
      </c>
      <c r="AQ176" s="137">
        <v>0</v>
      </c>
      <c r="AR176" s="137" t="e">
        <f t="shared" si="75"/>
        <v>#DIV/0!</v>
      </c>
      <c r="AS176" s="137" t="e">
        <f>AE176/#REF!</f>
        <v>#REF!</v>
      </c>
      <c r="AV176" s="148">
        <v>3097.59</v>
      </c>
      <c r="AW176" s="332">
        <f t="shared" ref="AW176:AW187" si="79">MAX((J176-2*(M176+L176))/(J176-M176),(K176-2*(M176+L176))/(K176-M176))</f>
        <v>0.86367634124890058</v>
      </c>
      <c r="AX176" s="331">
        <v>0.42639542090360844</v>
      </c>
      <c r="AZ176" s="331">
        <v>9.2881368260096568</v>
      </c>
      <c r="BA176" s="331">
        <f t="shared" si="76"/>
        <v>1.37810200686924</v>
      </c>
      <c r="BB176" s="331">
        <v>11.453751545754349</v>
      </c>
      <c r="BC176" s="331">
        <f t="shared" si="78"/>
        <v>1.1175377734419842</v>
      </c>
    </row>
    <row r="177" spans="3:138" x14ac:dyDescent="0.35">
      <c r="C177" s="1704"/>
      <c r="D177" s="1293" t="s">
        <v>441</v>
      </c>
      <c r="E177" s="1323" t="s">
        <v>284</v>
      </c>
      <c r="F177" s="1329" t="s">
        <v>240</v>
      </c>
      <c r="G177" s="325">
        <v>3</v>
      </c>
      <c r="H177" s="1006">
        <v>1100</v>
      </c>
      <c r="I177" s="114" t="s">
        <v>411</v>
      </c>
      <c r="J177" s="1351">
        <v>60</v>
      </c>
      <c r="K177" s="1351">
        <v>60</v>
      </c>
      <c r="L177" s="1351">
        <v>2.8</v>
      </c>
      <c r="M177" s="1351">
        <v>3.1</v>
      </c>
      <c r="P177" s="1300">
        <v>209797</v>
      </c>
      <c r="Q177" s="1375">
        <v>755</v>
      </c>
      <c r="R177" s="885">
        <v>7</v>
      </c>
      <c r="S177" s="1299">
        <v>0.3</v>
      </c>
      <c r="T177" s="1299">
        <v>-0.5</v>
      </c>
      <c r="U177" s="1300">
        <v>839</v>
      </c>
      <c r="V177" s="331" t="s">
        <v>412</v>
      </c>
      <c r="W177" s="1300">
        <v>212400</v>
      </c>
      <c r="X177" s="1372">
        <v>855</v>
      </c>
      <c r="Y177" s="331">
        <f t="shared" si="74"/>
        <v>7</v>
      </c>
      <c r="Z177" s="331">
        <f t="shared" si="74"/>
        <v>0.3</v>
      </c>
      <c r="AA177" s="331">
        <f t="shared" si="74"/>
        <v>-0.5</v>
      </c>
      <c r="AB177" s="1300">
        <v>839</v>
      </c>
      <c r="AC177" s="1396">
        <v>12.9</v>
      </c>
      <c r="AG177" s="331" t="e">
        <f t="shared" si="77"/>
        <v>#DIV/0!</v>
      </c>
      <c r="AQ177" s="137">
        <v>0</v>
      </c>
      <c r="AR177" s="137" t="e">
        <f t="shared" si="75"/>
        <v>#DIV/0!</v>
      </c>
      <c r="AS177" s="137" t="e">
        <f>AE177/#REF!</f>
        <v>#REF!</v>
      </c>
      <c r="AV177" s="148">
        <v>2996.48</v>
      </c>
      <c r="AW177" s="332">
        <f t="shared" si="79"/>
        <v>0.84710017574692453</v>
      </c>
      <c r="AX177" s="331">
        <v>0.4252091054799248</v>
      </c>
      <c r="AZ177" s="331">
        <v>9.1087133476847324</v>
      </c>
      <c r="BA177" s="331">
        <f t="shared" si="76"/>
        <v>1.4162263656347187</v>
      </c>
      <c r="BB177" s="331">
        <v>11.241431980233472</v>
      </c>
      <c r="BC177" s="331">
        <f t="shared" si="78"/>
        <v>1.1475406356310205</v>
      </c>
    </row>
    <row r="178" spans="3:138" x14ac:dyDescent="0.35">
      <c r="C178" s="1704"/>
      <c r="D178" s="1293" t="s">
        <v>441</v>
      </c>
      <c r="E178" s="1324" t="s">
        <v>285</v>
      </c>
      <c r="F178" s="1329" t="s">
        <v>240</v>
      </c>
      <c r="G178" s="325">
        <v>3</v>
      </c>
      <c r="H178" s="1006">
        <v>1100</v>
      </c>
      <c r="I178" s="114" t="s">
        <v>411</v>
      </c>
      <c r="J178" s="1351">
        <v>39</v>
      </c>
      <c r="K178" s="1351">
        <v>80</v>
      </c>
      <c r="L178" s="1351">
        <v>3.6</v>
      </c>
      <c r="M178" s="1351">
        <v>3.78</v>
      </c>
      <c r="P178" s="1300">
        <v>199500</v>
      </c>
      <c r="Q178" s="1375">
        <v>734</v>
      </c>
      <c r="R178" s="885">
        <v>7</v>
      </c>
      <c r="S178" s="1299">
        <v>0.3</v>
      </c>
      <c r="T178" s="1299">
        <v>-0.5</v>
      </c>
      <c r="U178" s="1300">
        <v>817</v>
      </c>
      <c r="V178" s="331" t="s">
        <v>412</v>
      </c>
      <c r="W178" s="1300">
        <v>213800</v>
      </c>
      <c r="X178" s="1372">
        <v>831</v>
      </c>
      <c r="Y178" s="331">
        <f t="shared" si="74"/>
        <v>7</v>
      </c>
      <c r="Z178" s="331">
        <f t="shared" si="74"/>
        <v>0.3</v>
      </c>
      <c r="AA178" s="331">
        <f t="shared" si="74"/>
        <v>-0.5</v>
      </c>
      <c r="AB178" s="1300">
        <v>817</v>
      </c>
      <c r="AC178" s="1396">
        <v>18.3</v>
      </c>
      <c r="AG178" s="331" t="e">
        <f t="shared" si="77"/>
        <v>#DIV/0!</v>
      </c>
      <c r="AQ178" s="137">
        <v>0</v>
      </c>
      <c r="AR178" s="137" t="e">
        <f t="shared" si="75"/>
        <v>#DIV/0!</v>
      </c>
      <c r="AS178" s="137" t="e">
        <f>AE178/#REF!</f>
        <v>#REF!</v>
      </c>
      <c r="AV178" s="148">
        <v>9668.17</v>
      </c>
      <c r="AW178" s="332">
        <f t="shared" si="79"/>
        <v>0.85594332196273937</v>
      </c>
      <c r="AX178" s="331">
        <v>0.23584186405615179</v>
      </c>
      <c r="AZ178" s="331">
        <v>14.500309459999999</v>
      </c>
      <c r="BA178" s="331">
        <f t="shared" si="76"/>
        <v>1.26204203092918</v>
      </c>
      <c r="BB178" s="331">
        <v>14.743512555333604</v>
      </c>
      <c r="BC178" s="331">
        <f t="shared" si="78"/>
        <v>1.2412238895798142</v>
      </c>
    </row>
    <row r="179" spans="3:138" ht="13.9" thickBot="1" x14ac:dyDescent="0.4">
      <c r="C179" s="1704"/>
      <c r="D179" s="1293" t="s">
        <v>441</v>
      </c>
      <c r="E179" s="1324" t="s">
        <v>285</v>
      </c>
      <c r="F179" s="1329" t="s">
        <v>240</v>
      </c>
      <c r="G179" s="325">
        <v>3</v>
      </c>
      <c r="H179" s="1006">
        <v>1100</v>
      </c>
      <c r="I179" s="114" t="s">
        <v>411</v>
      </c>
      <c r="J179" s="1350">
        <v>39.5</v>
      </c>
      <c r="K179" s="1351">
        <v>80</v>
      </c>
      <c r="L179" s="1350">
        <v>3.9</v>
      </c>
      <c r="M179" s="1351">
        <v>3.84</v>
      </c>
      <c r="P179" s="1300">
        <v>199500</v>
      </c>
      <c r="Q179" s="1300">
        <v>734</v>
      </c>
      <c r="R179" s="1009">
        <v>7</v>
      </c>
      <c r="S179" s="1299">
        <v>0.3</v>
      </c>
      <c r="T179" s="1299">
        <v>-0.5</v>
      </c>
      <c r="U179" s="1300">
        <v>817</v>
      </c>
      <c r="V179" s="331" t="s">
        <v>412</v>
      </c>
      <c r="W179" s="1300">
        <v>213800</v>
      </c>
      <c r="X179" s="1372">
        <v>831</v>
      </c>
      <c r="Y179" s="331">
        <f t="shared" si="74"/>
        <v>7</v>
      </c>
      <c r="Z179" s="331">
        <f t="shared" si="74"/>
        <v>0.3</v>
      </c>
      <c r="AA179" s="331">
        <f t="shared" si="74"/>
        <v>-0.5</v>
      </c>
      <c r="AB179" s="1300">
        <v>817</v>
      </c>
      <c r="AC179" s="1395">
        <v>20.5</v>
      </c>
      <c r="AG179" s="331" t="e">
        <f t="shared" si="77"/>
        <v>#DIV/0!</v>
      </c>
      <c r="AQ179" s="137">
        <v>0</v>
      </c>
      <c r="AR179" s="137" t="e">
        <f t="shared" si="75"/>
        <v>#DIV/0!</v>
      </c>
      <c r="AS179" s="137" t="e">
        <f>AE179/#REF!</f>
        <v>#REF!</v>
      </c>
      <c r="AV179" s="1398">
        <v>9794.91</v>
      </c>
      <c r="AW179" s="332">
        <f t="shared" si="79"/>
        <v>0.84716386554621848</v>
      </c>
      <c r="AX179" s="331">
        <v>0.23190773186372821</v>
      </c>
      <c r="AZ179" s="331">
        <v>14.743527699999998</v>
      </c>
      <c r="BA179" s="331">
        <f t="shared" si="76"/>
        <v>1.3904406338246988</v>
      </c>
      <c r="BB179" s="331">
        <v>14.976367606091133</v>
      </c>
      <c r="BC179" s="331">
        <f t="shared" si="78"/>
        <v>1.3688232379967968</v>
      </c>
    </row>
    <row r="180" spans="3:138" ht="13.9" thickBot="1" x14ac:dyDescent="0.4">
      <c r="C180" s="1703" t="s">
        <v>373</v>
      </c>
      <c r="D180" s="1293" t="s">
        <v>441</v>
      </c>
      <c r="E180" s="1325" t="s">
        <v>287</v>
      </c>
      <c r="F180" s="1329" t="s">
        <v>240</v>
      </c>
      <c r="G180" s="325">
        <v>4</v>
      </c>
      <c r="H180" s="1018">
        <v>1500</v>
      </c>
      <c r="I180" s="114" t="s">
        <v>411</v>
      </c>
      <c r="J180" s="1020">
        <v>79.900000000000006</v>
      </c>
      <c r="K180" s="1019">
        <v>120</v>
      </c>
      <c r="L180" s="1019">
        <v>3.78</v>
      </c>
      <c r="M180" s="1019">
        <v>2.84</v>
      </c>
      <c r="P180" s="1015">
        <v>216000</v>
      </c>
      <c r="Q180" s="1376">
        <v>423</v>
      </c>
      <c r="R180" s="1178">
        <v>5.8</v>
      </c>
      <c r="S180" s="1299">
        <v>0.3</v>
      </c>
      <c r="T180" s="1299">
        <v>-0.5</v>
      </c>
      <c r="U180" s="1378">
        <v>472</v>
      </c>
      <c r="V180" s="331" t="s">
        <v>412</v>
      </c>
      <c r="W180" s="1379">
        <v>226000</v>
      </c>
      <c r="X180" s="1376">
        <v>535</v>
      </c>
      <c r="Y180" s="331">
        <f t="shared" si="74"/>
        <v>5.8</v>
      </c>
      <c r="Z180" s="331">
        <f t="shared" si="74"/>
        <v>0.3</v>
      </c>
      <c r="AA180" s="331">
        <f t="shared" si="74"/>
        <v>-0.5</v>
      </c>
      <c r="AB180" s="1378">
        <f>ROUNDDOWN(X180*1.06,0)</f>
        <v>567</v>
      </c>
      <c r="AC180" s="1011">
        <v>20</v>
      </c>
      <c r="AF180" s="331">
        <v>8.6331517409065595E-5</v>
      </c>
      <c r="AG180" s="331">
        <f t="shared" si="77"/>
        <v>1.1499325220096401</v>
      </c>
      <c r="AH180" s="1511">
        <v>7.5075289859783496E-5</v>
      </c>
      <c r="AI180" s="331">
        <v>18.120201860378501</v>
      </c>
      <c r="AJ180" s="331" t="s">
        <v>422</v>
      </c>
      <c r="AK180" s="331">
        <v>432.71242260670198</v>
      </c>
      <c r="AL180" s="331">
        <v>11525.910934511399</v>
      </c>
      <c r="AM180" s="331">
        <v>536.17416084873605</v>
      </c>
      <c r="AN180" s="331">
        <v>38102.548307016397</v>
      </c>
      <c r="AO180" s="331" t="s">
        <v>422</v>
      </c>
      <c r="AQ180" s="137">
        <v>5.336069877088611E-2</v>
      </c>
      <c r="AR180" s="137">
        <f t="shared" si="75"/>
        <v>1.1037404634951584</v>
      </c>
      <c r="AS180" s="137" t="e">
        <f>AE180/#REF!</f>
        <v>#REF!</v>
      </c>
      <c r="AV180" s="1399">
        <v>1368.09</v>
      </c>
      <c r="AW180" s="332">
        <f t="shared" si="79"/>
        <v>0.91123250256060095</v>
      </c>
      <c r="AX180" s="331">
        <v>0.50668967145855681</v>
      </c>
      <c r="AZ180" s="331">
        <v>15.122165274768861</v>
      </c>
      <c r="BA180" s="331">
        <f t="shared" si="76"/>
        <v>1.3225619239441684</v>
      </c>
      <c r="BB180" s="331">
        <v>19.071484658587934</v>
      </c>
      <c r="BC180" s="331">
        <f t="shared" si="78"/>
        <v>1.048686054496232</v>
      </c>
    </row>
    <row r="181" spans="3:138" ht="13.9" thickBot="1" x14ac:dyDescent="0.4">
      <c r="C181" s="1704"/>
      <c r="D181" s="1293" t="s">
        <v>441</v>
      </c>
      <c r="E181" s="1324" t="s">
        <v>288</v>
      </c>
      <c r="F181" s="1329" t="s">
        <v>240</v>
      </c>
      <c r="G181" s="325">
        <v>4</v>
      </c>
      <c r="H181" s="1026">
        <v>1500</v>
      </c>
      <c r="I181" s="114" t="s">
        <v>411</v>
      </c>
      <c r="J181" s="1352">
        <v>39.9</v>
      </c>
      <c r="K181" s="1350">
        <v>60.2</v>
      </c>
      <c r="L181" s="1350">
        <v>3.15</v>
      </c>
      <c r="M181" s="1350">
        <v>2.86</v>
      </c>
      <c r="P181" s="1025">
        <v>219300</v>
      </c>
      <c r="Q181" s="149">
        <v>454</v>
      </c>
      <c r="R181" s="592">
        <v>6.4</v>
      </c>
      <c r="S181" s="1299">
        <v>0.3</v>
      </c>
      <c r="T181" s="1299">
        <v>-0.5</v>
      </c>
      <c r="U181" s="1300">
        <v>475</v>
      </c>
      <c r="V181" s="331" t="s">
        <v>412</v>
      </c>
      <c r="W181" s="1300">
        <v>200000</v>
      </c>
      <c r="X181" s="149">
        <v>545</v>
      </c>
      <c r="Y181" s="331">
        <f t="shared" si="74"/>
        <v>6.4</v>
      </c>
      <c r="Z181" s="331">
        <f t="shared" si="74"/>
        <v>0.3</v>
      </c>
      <c r="AA181" s="331">
        <f t="shared" si="74"/>
        <v>-0.5</v>
      </c>
      <c r="AB181" s="1378">
        <f t="shared" ref="AB181:AB187" si="80">ROUNDDOWN(X181*1.06,0)</f>
        <v>577</v>
      </c>
      <c r="AC181" s="1024">
        <v>5.3</v>
      </c>
      <c r="AF181" s="331" t="s">
        <v>487</v>
      </c>
      <c r="AG181" s="331" t="e">
        <f t="shared" si="77"/>
        <v>#VALUE!</v>
      </c>
      <c r="AH181" s="331">
        <v>2.0340820075130301E-4</v>
      </c>
      <c r="AI181" s="331">
        <v>4.7173786880605002</v>
      </c>
      <c r="AJ181" s="331" t="s">
        <v>490</v>
      </c>
      <c r="AK181" s="331">
        <v>463.56251918945497</v>
      </c>
      <c r="AL181" s="331">
        <v>1447.0666784198199</v>
      </c>
      <c r="AM181" s="331">
        <v>556.84871794504704</v>
      </c>
      <c r="AN181" s="331">
        <v>3246.33103266123</v>
      </c>
      <c r="AO181" s="331" t="s">
        <v>490</v>
      </c>
      <c r="AQ181" s="137">
        <v>6.5985712650242587E-3</v>
      </c>
      <c r="AR181" s="137">
        <f t="shared" si="75"/>
        <v>1.1235053088729321</v>
      </c>
      <c r="AS181" s="137" t="e">
        <f>AE181/#REF!</f>
        <v>#REF!</v>
      </c>
      <c r="AV181" s="1400">
        <v>5932.64</v>
      </c>
      <c r="AW181" s="332">
        <f t="shared" si="79"/>
        <v>0.84025113358911763</v>
      </c>
      <c r="AX181" s="331">
        <v>0.23244116083188454</v>
      </c>
      <c r="AZ181" s="331">
        <v>4.5974355400000002</v>
      </c>
      <c r="BA181" s="331">
        <f t="shared" si="76"/>
        <v>1.1528165982725229</v>
      </c>
      <c r="BB181" s="331">
        <v>2.5230209546057205</v>
      </c>
      <c r="BC181" s="331">
        <f t="shared" si="78"/>
        <v>2.100656354171361</v>
      </c>
    </row>
    <row r="182" spans="3:138" ht="13.9" thickBot="1" x14ac:dyDescent="0.4">
      <c r="C182" s="1704"/>
      <c r="D182" s="1293" t="s">
        <v>441</v>
      </c>
      <c r="E182" s="1324" t="s">
        <v>289</v>
      </c>
      <c r="F182" s="1329" t="s">
        <v>240</v>
      </c>
      <c r="G182" s="325">
        <v>4</v>
      </c>
      <c r="H182" s="1026">
        <v>1500</v>
      </c>
      <c r="I182" s="114" t="s">
        <v>411</v>
      </c>
      <c r="J182" s="1352">
        <v>80</v>
      </c>
      <c r="K182" s="1350">
        <v>80.400000000000006</v>
      </c>
      <c r="L182" s="1350">
        <v>3.95</v>
      </c>
      <c r="M182" s="1350">
        <v>2.8</v>
      </c>
      <c r="P182" s="1025">
        <v>210000</v>
      </c>
      <c r="Q182" s="149">
        <v>431</v>
      </c>
      <c r="R182" s="592">
        <v>6.3</v>
      </c>
      <c r="S182" s="1299">
        <v>0.3</v>
      </c>
      <c r="T182" s="1299">
        <v>-0.5</v>
      </c>
      <c r="U182" s="1300">
        <v>447</v>
      </c>
      <c r="V182" s="331" t="s">
        <v>412</v>
      </c>
      <c r="W182" s="1300">
        <v>220000</v>
      </c>
      <c r="X182" s="149">
        <v>512</v>
      </c>
      <c r="Y182" s="331">
        <f t="shared" si="74"/>
        <v>6.3</v>
      </c>
      <c r="Z182" s="331">
        <f t="shared" si="74"/>
        <v>0.3</v>
      </c>
      <c r="AA182" s="331">
        <f t="shared" si="74"/>
        <v>-0.5</v>
      </c>
      <c r="AB182" s="1378">
        <f t="shared" si="80"/>
        <v>542</v>
      </c>
      <c r="AC182" s="1024">
        <v>11.3</v>
      </c>
      <c r="AF182" s="331">
        <v>1.5566707136004999E-4</v>
      </c>
      <c r="AG182" s="331">
        <f t="shared" si="77"/>
        <v>1.4399375476303593</v>
      </c>
      <c r="AH182" s="331">
        <v>1.08106821449461E-4</v>
      </c>
      <c r="AI182" s="331">
        <v>10.198539200757301</v>
      </c>
      <c r="AJ182" s="331" t="s">
        <v>422</v>
      </c>
      <c r="AK182" s="331">
        <v>434.22644023844401</v>
      </c>
      <c r="AL182" s="331">
        <v>12814.1051368018</v>
      </c>
      <c r="AM182" s="331">
        <v>507.35611466327401</v>
      </c>
      <c r="AN182" s="331">
        <v>35721.096642843302</v>
      </c>
      <c r="AO182" s="331" t="s">
        <v>422</v>
      </c>
      <c r="AQ182" s="137">
        <v>6.1019548270484759E-2</v>
      </c>
      <c r="AR182" s="137">
        <f t="shared" si="75"/>
        <v>1.1080018204137423</v>
      </c>
      <c r="AS182" s="137" t="e">
        <f>AE182/#REF!</f>
        <v>#REF!</v>
      </c>
      <c r="AV182" s="1400">
        <v>1343.79</v>
      </c>
      <c r="AW182" s="332">
        <f t="shared" si="79"/>
        <v>0.8621134020618556</v>
      </c>
      <c r="AX182" s="331">
        <v>0.48824446561256313</v>
      </c>
      <c r="AZ182" s="331">
        <v>8.6862359308760109</v>
      </c>
      <c r="BA182" s="331">
        <f t="shared" si="76"/>
        <v>1.3009087123495149</v>
      </c>
      <c r="BB182" s="331">
        <v>7.8308761319116762</v>
      </c>
      <c r="BC182" s="331">
        <f t="shared" si="78"/>
        <v>1.4430058411920559</v>
      </c>
    </row>
    <row r="183" spans="3:138" ht="13.9" thickBot="1" x14ac:dyDescent="0.4">
      <c r="C183" s="1704"/>
      <c r="D183" s="1293" t="s">
        <v>441</v>
      </c>
      <c r="E183" s="1324" t="s">
        <v>290</v>
      </c>
      <c r="F183" s="1329" t="s">
        <v>240</v>
      </c>
      <c r="G183" s="325">
        <v>4</v>
      </c>
      <c r="H183" s="1026">
        <v>1500</v>
      </c>
      <c r="I183" s="114" t="s">
        <v>411</v>
      </c>
      <c r="J183" s="1352">
        <v>60.7</v>
      </c>
      <c r="K183" s="1350">
        <v>60.7</v>
      </c>
      <c r="L183" s="1350">
        <v>2.86</v>
      </c>
      <c r="M183" s="1350">
        <v>2.89</v>
      </c>
      <c r="P183" s="1025">
        <v>218300</v>
      </c>
      <c r="Q183" s="149">
        <v>519</v>
      </c>
      <c r="R183" s="592">
        <v>6.3</v>
      </c>
      <c r="S183" s="1299">
        <v>0.3</v>
      </c>
      <c r="T183" s="1299">
        <v>-0.5</v>
      </c>
      <c r="U183" s="1300">
        <v>534</v>
      </c>
      <c r="V183" s="331" t="s">
        <v>412</v>
      </c>
      <c r="W183" s="1300">
        <v>225000</v>
      </c>
      <c r="X183" s="149">
        <v>580</v>
      </c>
      <c r="Y183" s="331">
        <f t="shared" si="74"/>
        <v>6.3</v>
      </c>
      <c r="Z183" s="331">
        <f t="shared" si="74"/>
        <v>0.3</v>
      </c>
      <c r="AA183" s="331">
        <f t="shared" si="74"/>
        <v>-0.5</v>
      </c>
      <c r="AB183" s="1378">
        <f t="shared" si="80"/>
        <v>614</v>
      </c>
      <c r="AC183" s="1024">
        <v>7.9</v>
      </c>
      <c r="AF183" s="331">
        <v>3.1540348337361643E-4</v>
      </c>
      <c r="AG183" s="331">
        <f t="shared" si="77"/>
        <v>1.7983624742881517</v>
      </c>
      <c r="AH183" s="331">
        <v>1.7538371039379201E-4</v>
      </c>
      <c r="AI183" s="331">
        <v>7.1129596690824899</v>
      </c>
      <c r="AJ183" s="331" t="s">
        <v>422</v>
      </c>
      <c r="AK183" s="331">
        <v>525.05307187040898</v>
      </c>
      <c r="AL183" s="331">
        <v>2468.768468879</v>
      </c>
      <c r="AM183" s="331">
        <v>589.61142156819506</v>
      </c>
      <c r="AN183" s="331">
        <v>7475.1072062060803</v>
      </c>
      <c r="AO183" s="331" t="s">
        <v>422</v>
      </c>
      <c r="AQ183" s="137">
        <v>1.1309063073197435E-2</v>
      </c>
      <c r="AR183" s="137">
        <f t="shared" si="75"/>
        <v>1.1106487830007663</v>
      </c>
      <c r="AS183" s="137" t="e">
        <f>AE183/#REF!</f>
        <v>#REF!</v>
      </c>
      <c r="AV183" s="1400">
        <v>2598.0169999999998</v>
      </c>
      <c r="AW183" s="332">
        <f t="shared" si="79"/>
        <v>0.85106382978723405</v>
      </c>
      <c r="AX183" s="331">
        <v>0.38038625713638113</v>
      </c>
      <c r="AZ183" s="331">
        <v>7.1952758699999997</v>
      </c>
      <c r="BA183" s="331">
        <f t="shared" si="76"/>
        <v>1.097942614394853</v>
      </c>
      <c r="BB183" s="331">
        <v>4.05689783970554</v>
      </c>
      <c r="BC183" s="331">
        <f t="shared" si="78"/>
        <v>1.9473006992390527</v>
      </c>
    </row>
    <row r="184" spans="3:138" ht="13.9" thickBot="1" x14ac:dyDescent="0.4">
      <c r="C184" s="1704"/>
      <c r="D184" s="1293" t="s">
        <v>441</v>
      </c>
      <c r="E184" s="1324" t="s">
        <v>291</v>
      </c>
      <c r="F184" s="1329" t="s">
        <v>240</v>
      </c>
      <c r="G184" s="325">
        <v>3</v>
      </c>
      <c r="H184" s="1026">
        <v>1500</v>
      </c>
      <c r="I184" s="114" t="s">
        <v>411</v>
      </c>
      <c r="J184" s="1352">
        <v>79.900000000000006</v>
      </c>
      <c r="K184" s="1350">
        <v>119.9</v>
      </c>
      <c r="L184" s="1350">
        <v>3.8</v>
      </c>
      <c r="M184" s="1350">
        <v>2.83</v>
      </c>
      <c r="P184" s="1025">
        <v>216000</v>
      </c>
      <c r="Q184" s="149">
        <v>423</v>
      </c>
      <c r="R184" s="592">
        <v>7</v>
      </c>
      <c r="S184" s="1299">
        <v>0.3</v>
      </c>
      <c r="T184" s="1299">
        <v>-0.5</v>
      </c>
      <c r="U184" s="1300">
        <v>472</v>
      </c>
      <c r="V184" s="331" t="s">
        <v>412</v>
      </c>
      <c r="W184" s="1300">
        <v>226000</v>
      </c>
      <c r="X184" s="149">
        <v>535</v>
      </c>
      <c r="Y184" s="331">
        <f t="shared" si="74"/>
        <v>7</v>
      </c>
      <c r="Z184" s="331">
        <f t="shared" si="74"/>
        <v>0.3</v>
      </c>
      <c r="AA184" s="331">
        <f t="shared" si="74"/>
        <v>-0.5</v>
      </c>
      <c r="AB184" s="1378">
        <f t="shared" si="80"/>
        <v>567</v>
      </c>
      <c r="AC184" s="1024">
        <v>21.1</v>
      </c>
      <c r="AG184" s="331" t="e">
        <f t="shared" si="77"/>
        <v>#DIV/0!</v>
      </c>
      <c r="AQ184" s="137">
        <v>0</v>
      </c>
      <c r="AR184" s="137"/>
      <c r="AS184" s="137"/>
      <c r="AV184" s="1400">
        <v>1358.3230000000001</v>
      </c>
      <c r="AW184" s="332">
        <f t="shared" si="79"/>
        <v>0.91090800375843506</v>
      </c>
      <c r="AX184" s="331">
        <v>0.5083269958300799</v>
      </c>
      <c r="AZ184" s="331">
        <v>15.040149449465147</v>
      </c>
      <c r="BA184" s="331">
        <f t="shared" si="76"/>
        <v>1.4029115914636308</v>
      </c>
      <c r="BB184" s="331">
        <v>18.916879971323635</v>
      </c>
      <c r="BC184" s="331">
        <f t="shared" si="78"/>
        <v>1.1154059248663517</v>
      </c>
    </row>
    <row r="185" spans="3:138" ht="13.9" thickBot="1" x14ac:dyDescent="0.4">
      <c r="C185" s="1704"/>
      <c r="D185" s="1293" t="s">
        <v>441</v>
      </c>
      <c r="E185" s="1324" t="s">
        <v>292</v>
      </c>
      <c r="F185" s="1329" t="s">
        <v>240</v>
      </c>
      <c r="G185" s="325">
        <v>3</v>
      </c>
      <c r="H185" s="1026">
        <v>1500</v>
      </c>
      <c r="I185" s="114" t="s">
        <v>411</v>
      </c>
      <c r="J185" s="1352">
        <v>40.799999999999997</v>
      </c>
      <c r="K185" s="1350">
        <v>60.4</v>
      </c>
      <c r="L185" s="1350">
        <v>3.18</v>
      </c>
      <c r="M185" s="1350">
        <v>2.82</v>
      </c>
      <c r="P185" s="1025">
        <v>219300</v>
      </c>
      <c r="Q185" s="149">
        <v>454</v>
      </c>
      <c r="R185" s="592">
        <v>7</v>
      </c>
      <c r="S185" s="1299">
        <v>0.3</v>
      </c>
      <c r="T185" s="1299">
        <v>-0.5</v>
      </c>
      <c r="U185" s="1300">
        <v>475</v>
      </c>
      <c r="V185" s="331" t="s">
        <v>412</v>
      </c>
      <c r="W185" s="1300">
        <v>200000</v>
      </c>
      <c r="X185" s="149">
        <v>545</v>
      </c>
      <c r="Y185" s="331">
        <f t="shared" si="74"/>
        <v>7</v>
      </c>
      <c r="Z185" s="331">
        <f t="shared" si="74"/>
        <v>0.3</v>
      </c>
      <c r="AA185" s="331">
        <f t="shared" si="74"/>
        <v>-0.5</v>
      </c>
      <c r="AB185" s="1378">
        <f t="shared" si="80"/>
        <v>577</v>
      </c>
      <c r="AC185" s="1024">
        <v>5.9</v>
      </c>
      <c r="AQ185" s="137">
        <v>0</v>
      </c>
      <c r="AR185" s="137"/>
      <c r="AS185" s="137"/>
      <c r="AV185" s="1400">
        <v>5531.28</v>
      </c>
      <c r="AW185" s="332">
        <f t="shared" si="79"/>
        <v>0.84056964223688779</v>
      </c>
      <c r="AX185" s="331">
        <v>0.24081792265761953</v>
      </c>
      <c r="AZ185" s="331">
        <v>4.61650808</v>
      </c>
      <c r="BA185" s="331">
        <f t="shared" si="76"/>
        <v>1.2780222405675938</v>
      </c>
      <c r="BB185" s="331">
        <v>2.6898247340842856</v>
      </c>
      <c r="BC185" s="331">
        <f t="shared" si="78"/>
        <v>2.193451463672623</v>
      </c>
    </row>
    <row r="186" spans="3:138" ht="13.9" thickBot="1" x14ac:dyDescent="0.4">
      <c r="C186" s="1704"/>
      <c r="D186" s="1293" t="s">
        <v>441</v>
      </c>
      <c r="E186" s="1324" t="s">
        <v>293</v>
      </c>
      <c r="F186" s="1329" t="s">
        <v>240</v>
      </c>
      <c r="G186" s="325">
        <v>3</v>
      </c>
      <c r="H186" s="1026">
        <v>1500</v>
      </c>
      <c r="I186" s="114" t="s">
        <v>411</v>
      </c>
      <c r="J186" s="1352">
        <v>80.2</v>
      </c>
      <c r="K186" s="1350">
        <v>80.5</v>
      </c>
      <c r="L186" s="1350">
        <v>3.81</v>
      </c>
      <c r="M186" s="1350">
        <v>2.81</v>
      </c>
      <c r="P186" s="1025">
        <v>210000</v>
      </c>
      <c r="Q186" s="149">
        <v>431</v>
      </c>
      <c r="R186" s="592">
        <v>7</v>
      </c>
      <c r="S186" s="1299">
        <v>0.3</v>
      </c>
      <c r="T186" s="1299">
        <v>-0.5</v>
      </c>
      <c r="U186" s="1300">
        <v>447</v>
      </c>
      <c r="V186" s="331" t="s">
        <v>412</v>
      </c>
      <c r="W186" s="1300">
        <v>220000</v>
      </c>
      <c r="X186" s="149">
        <v>512</v>
      </c>
      <c r="Y186" s="331">
        <f t="shared" si="74"/>
        <v>7</v>
      </c>
      <c r="Z186" s="331">
        <f t="shared" si="74"/>
        <v>0.3</v>
      </c>
      <c r="AA186" s="331">
        <f t="shared" si="74"/>
        <v>-0.5</v>
      </c>
      <c r="AB186" s="1378">
        <f t="shared" si="80"/>
        <v>542</v>
      </c>
      <c r="AC186" s="1024">
        <v>11.4</v>
      </c>
      <c r="AQ186" s="137">
        <v>0</v>
      </c>
      <c r="AR186" s="137"/>
      <c r="AS186" s="137"/>
      <c r="AV186" s="1400">
        <v>1347.2550000000001</v>
      </c>
      <c r="AW186" s="332">
        <f t="shared" si="79"/>
        <v>0.86574848757883904</v>
      </c>
      <c r="AX186" s="331">
        <v>0.48967222923463649</v>
      </c>
      <c r="AZ186" s="331">
        <v>8.7469861103364739</v>
      </c>
      <c r="BA186" s="331">
        <f t="shared" si="76"/>
        <v>1.3033060595041315</v>
      </c>
      <c r="BB186" s="331">
        <v>8.0973794378659765</v>
      </c>
      <c r="BC186" s="331">
        <f t="shared" si="78"/>
        <v>1.4078628879227144</v>
      </c>
    </row>
    <row r="187" spans="3:138" ht="13.9" thickBot="1" x14ac:dyDescent="0.4">
      <c r="C187" s="1705"/>
      <c r="D187" s="1293" t="s">
        <v>441</v>
      </c>
      <c r="E187" s="1326" t="s">
        <v>294</v>
      </c>
      <c r="F187" s="1329" t="s">
        <v>240</v>
      </c>
      <c r="G187" s="325">
        <v>3</v>
      </c>
      <c r="H187" s="1033">
        <v>1500</v>
      </c>
      <c r="I187" s="114" t="s">
        <v>411</v>
      </c>
      <c r="J187" s="1035">
        <v>60.5</v>
      </c>
      <c r="K187" s="1034">
        <v>60.6</v>
      </c>
      <c r="L187" s="1034">
        <v>2.88</v>
      </c>
      <c r="M187" s="1034">
        <v>2.87</v>
      </c>
      <c r="P187" s="1032">
        <v>218300</v>
      </c>
      <c r="Q187" s="1377">
        <v>519</v>
      </c>
      <c r="R187" s="1179">
        <v>7</v>
      </c>
      <c r="S187" s="1299">
        <v>0.3</v>
      </c>
      <c r="T187" s="1299">
        <v>-0.5</v>
      </c>
      <c r="U187" s="1371">
        <v>534</v>
      </c>
      <c r="V187" s="331" t="s">
        <v>412</v>
      </c>
      <c r="W187" s="1370">
        <v>225000</v>
      </c>
      <c r="X187" s="1377">
        <v>580</v>
      </c>
      <c r="Y187" s="331">
        <f t="shared" si="74"/>
        <v>7</v>
      </c>
      <c r="Z187" s="331">
        <f t="shared" si="74"/>
        <v>0.3</v>
      </c>
      <c r="AA187" s="331">
        <f t="shared" si="74"/>
        <v>-0.5</v>
      </c>
      <c r="AB187" s="1378">
        <f t="shared" si="80"/>
        <v>614</v>
      </c>
      <c r="AC187" s="1031">
        <v>8.4</v>
      </c>
      <c r="AQ187" s="137">
        <v>0</v>
      </c>
      <c r="AR187" s="137"/>
      <c r="AS187" s="137"/>
      <c r="AV187" s="1401">
        <v>2578.951</v>
      </c>
      <c r="AW187" s="332">
        <f t="shared" si="79"/>
        <v>0.85051099948033948</v>
      </c>
      <c r="AX187" s="331">
        <v>0.38154175079227493</v>
      </c>
      <c r="AZ187" s="331">
        <v>7.1196783300000002</v>
      </c>
      <c r="BA187" s="331">
        <f t="shared" si="76"/>
        <v>1.1798285836320923</v>
      </c>
      <c r="BB187" s="331">
        <v>3.9756361247029339</v>
      </c>
      <c r="BC187" s="331">
        <f t="shared" si="78"/>
        <v>2.1128694217777948</v>
      </c>
    </row>
    <row r="188" spans="3:138" x14ac:dyDescent="0.35">
      <c r="C188" s="1712" t="s">
        <v>427</v>
      </c>
      <c r="D188" s="1293" t="s">
        <v>441</v>
      </c>
      <c r="E188" s="1247" t="s">
        <v>171</v>
      </c>
      <c r="F188" s="1248" t="s">
        <v>57</v>
      </c>
      <c r="G188" s="1248">
        <v>4</v>
      </c>
      <c r="H188" s="1248">
        <v>1000</v>
      </c>
      <c r="I188" s="1248" t="s">
        <v>423</v>
      </c>
      <c r="J188" s="272">
        <v>138.6</v>
      </c>
      <c r="K188" s="272">
        <f>202.05+2*N188</f>
        <v>214.27</v>
      </c>
      <c r="L188" s="1148">
        <v>5</v>
      </c>
      <c r="M188" s="172">
        <v>6.01</v>
      </c>
      <c r="N188" s="1249">
        <v>6.11</v>
      </c>
      <c r="O188" s="1238"/>
      <c r="P188" s="1238">
        <v>199950</v>
      </c>
      <c r="Q188" s="1238">
        <v>494</v>
      </c>
      <c r="R188" s="1238">
        <v>7.9</v>
      </c>
      <c r="S188" s="1235">
        <v>0.3</v>
      </c>
      <c r="T188" s="1232">
        <v>-0.5</v>
      </c>
      <c r="U188" s="1238" t="b">
        <v>0</v>
      </c>
      <c r="V188" s="1234" t="s">
        <v>412</v>
      </c>
      <c r="W188" s="1238">
        <v>199950</v>
      </c>
      <c r="X188" s="1238">
        <v>494</v>
      </c>
      <c r="Y188" s="1238">
        <v>7.9</v>
      </c>
      <c r="Z188" s="1235">
        <v>0.3</v>
      </c>
      <c r="AA188" s="1232">
        <v>-0.5</v>
      </c>
      <c r="AB188" s="1241" t="b">
        <v>0</v>
      </c>
      <c r="AC188" s="1250">
        <v>132</v>
      </c>
      <c r="AD188" s="1251"/>
      <c r="AE188" s="1250">
        <v>116</v>
      </c>
      <c r="AF188" s="1238"/>
      <c r="AG188" s="1238"/>
      <c r="AH188" s="1405">
        <v>3.3484364953315601E-5</v>
      </c>
      <c r="AI188" s="1238">
        <v>113.38559563532201</v>
      </c>
      <c r="AJ188" s="1241" t="s">
        <v>490</v>
      </c>
      <c r="AK188" s="1286">
        <v>461.85224559317402</v>
      </c>
      <c r="AL188" s="1241">
        <v>39832.0979456731</v>
      </c>
      <c r="AM188" s="1286">
        <v>461.85224559317402</v>
      </c>
      <c r="AN188" s="1241">
        <v>39832.0979456731</v>
      </c>
      <c r="AO188" s="137" t="s">
        <v>490</v>
      </c>
      <c r="AP188" s="1282" t="s">
        <v>434</v>
      </c>
      <c r="AQ188" s="137">
        <v>0.19921029230144086</v>
      </c>
      <c r="AR188" s="137">
        <f t="shared" ref="AR188:AR196" si="81">AC188/AI188</f>
        <v>1.1641690398183102</v>
      </c>
      <c r="AS188" s="137">
        <f>AE188/AI188</f>
        <v>1.0230576410524543</v>
      </c>
      <c r="AT188" s="137">
        <v>127.95147766183</v>
      </c>
      <c r="AU188" s="137">
        <v>575.23692357704499</v>
      </c>
      <c r="AV188" s="331">
        <v>1244.4341011398801</v>
      </c>
      <c r="AW188" s="332">
        <f>MAX(((J188-M188)/2-L188)/(0.5*J188),(K188-2*(N188+L188))/(K188-N188))</f>
        <v>0.92260760953112997</v>
      </c>
      <c r="AX188" s="331">
        <f>SQRT(Q188/AV188)*AW188</f>
        <v>0.58129227965036112</v>
      </c>
      <c r="AZ188" s="331">
        <v>102.59179005930876</v>
      </c>
      <c r="BA188" s="331">
        <f t="shared" si="76"/>
        <v>1.2866526641526599</v>
      </c>
      <c r="BB188" s="1513">
        <v>108.33097413175746</v>
      </c>
      <c r="BC188" s="331">
        <f t="shared" si="78"/>
        <v>1.2184880737752355</v>
      </c>
      <c r="DR188" s="335"/>
      <c r="DS188" s="335"/>
      <c r="DT188" s="335"/>
      <c r="DU188" s="335"/>
      <c r="DX188" s="335"/>
      <c r="EB188" s="331"/>
      <c r="EC188" s="331"/>
      <c r="ED188" s="331"/>
      <c r="EE188" s="331"/>
      <c r="EH188" s="331"/>
    </row>
    <row r="189" spans="3:138" x14ac:dyDescent="0.35">
      <c r="C189" s="1713"/>
      <c r="D189" s="1293" t="s">
        <v>441</v>
      </c>
      <c r="E189" s="738" t="s">
        <v>172</v>
      </c>
      <c r="F189" s="844" t="s">
        <v>57</v>
      </c>
      <c r="G189" s="844">
        <v>4</v>
      </c>
      <c r="H189" s="844">
        <v>1000</v>
      </c>
      <c r="I189" s="844" t="s">
        <v>423</v>
      </c>
      <c r="J189" s="273">
        <v>139.30000000000001</v>
      </c>
      <c r="K189" s="273">
        <f>202.05+2*N189</f>
        <v>218.27</v>
      </c>
      <c r="L189" s="119">
        <v>5</v>
      </c>
      <c r="M189" s="176">
        <v>6.06</v>
      </c>
      <c r="N189" s="1070">
        <v>8.11</v>
      </c>
      <c r="O189" s="1310"/>
      <c r="P189" s="1310">
        <v>199950</v>
      </c>
      <c r="Q189" s="1310">
        <v>494</v>
      </c>
      <c r="R189" s="1310">
        <v>7.9</v>
      </c>
      <c r="S189" s="1222">
        <v>0.3</v>
      </c>
      <c r="T189" s="1226">
        <v>-0.5</v>
      </c>
      <c r="U189" s="1310" t="b">
        <v>0</v>
      </c>
      <c r="V189" s="1223" t="s">
        <v>412</v>
      </c>
      <c r="W189" s="1310">
        <v>199750</v>
      </c>
      <c r="X189" s="1310">
        <v>490</v>
      </c>
      <c r="Y189" s="1310">
        <v>7.3</v>
      </c>
      <c r="Z189" s="1222">
        <v>0.3</v>
      </c>
      <c r="AA189" s="1226">
        <v>-0.5</v>
      </c>
      <c r="AB189" s="150" t="b">
        <v>0</v>
      </c>
      <c r="AC189" s="1229">
        <v>169</v>
      </c>
      <c r="AD189" s="999"/>
      <c r="AE189" s="1229">
        <v>144</v>
      </c>
      <c r="AF189" s="1310"/>
      <c r="AG189" s="1310"/>
      <c r="AH189" s="1406">
        <v>3.5492495145548198E-5</v>
      </c>
      <c r="AI189" s="1486">
        <v>144.58002253854301</v>
      </c>
      <c r="AJ189" s="150" t="s">
        <v>490</v>
      </c>
      <c r="AK189" s="339">
        <v>471.063140825738</v>
      </c>
      <c r="AL189" s="1290">
        <v>35663.2547050625</v>
      </c>
      <c r="AM189" s="339">
        <v>466.39416011455398</v>
      </c>
      <c r="AN189" s="1290">
        <v>37262.161779004098</v>
      </c>
      <c r="AO189" s="331" t="s">
        <v>490</v>
      </c>
      <c r="AP189" s="1282"/>
      <c r="AQ189" s="137">
        <v>0.17836086374124782</v>
      </c>
      <c r="AR189" s="137">
        <f t="shared" si="81"/>
        <v>1.1689028472446599</v>
      </c>
      <c r="AS189" s="137">
        <f>AE189/AI189</f>
        <v>0.99598822487118943</v>
      </c>
      <c r="AT189" s="331">
        <v>158.395279784434</v>
      </c>
      <c r="AU189" s="331">
        <v>794.37679857826402</v>
      </c>
      <c r="AV189" s="331">
        <v>1731.9185023994401</v>
      </c>
      <c r="AW189" s="332">
        <f t="shared" ref="AW189:AW195" si="82">MAX(((J189-M189)/2-L189)/(0.5*J189),(K189-2*(N189+L189))/(K189-N189))</f>
        <v>0.91382755995432041</v>
      </c>
      <c r="AX189" s="331">
        <f>SQRT(Q189/AV189)*AW189</f>
        <v>0.48804964391057654</v>
      </c>
      <c r="AZ189" s="331">
        <v>136.51056474084132</v>
      </c>
      <c r="BA189" s="331">
        <f t="shared" si="76"/>
        <v>1.2379994201975377</v>
      </c>
      <c r="BB189" s="1513">
        <v>155.59836139423896</v>
      </c>
      <c r="BC189" s="331">
        <f t="shared" si="78"/>
        <v>1.0861296898352635</v>
      </c>
      <c r="DR189" s="335"/>
      <c r="DS189" s="335"/>
      <c r="DT189" s="335"/>
      <c r="DU189" s="335"/>
      <c r="DX189" s="335"/>
      <c r="EB189" s="331"/>
      <c r="EC189" s="331"/>
      <c r="ED189" s="331"/>
      <c r="EE189" s="331"/>
      <c r="EH189" s="331"/>
    </row>
    <row r="190" spans="3:138" x14ac:dyDescent="0.35">
      <c r="C190" s="1713"/>
      <c r="D190" s="1293" t="s">
        <v>441</v>
      </c>
      <c r="E190" s="738" t="s">
        <v>173</v>
      </c>
      <c r="F190" s="844" t="s">
        <v>57</v>
      </c>
      <c r="G190" s="844">
        <v>4</v>
      </c>
      <c r="H190" s="844">
        <v>1000</v>
      </c>
      <c r="I190" s="844" t="s">
        <v>423</v>
      </c>
      <c r="J190" s="273">
        <v>139</v>
      </c>
      <c r="K190" s="273">
        <f>202.05+2*N190</f>
        <v>222.57000000000002</v>
      </c>
      <c r="L190" s="119">
        <v>6</v>
      </c>
      <c r="M190" s="176">
        <v>7.99</v>
      </c>
      <c r="N190" s="1070">
        <v>10.26</v>
      </c>
      <c r="O190" s="1310"/>
      <c r="P190" s="1310">
        <v>199750</v>
      </c>
      <c r="Q190" s="1310">
        <v>490</v>
      </c>
      <c r="R190" s="1310">
        <v>7.3</v>
      </c>
      <c r="S190" s="1222">
        <v>0.3</v>
      </c>
      <c r="T190" s="1226">
        <v>-0.5</v>
      </c>
      <c r="U190" s="1310" t="b">
        <v>0</v>
      </c>
      <c r="V190" s="1223" t="s">
        <v>412</v>
      </c>
      <c r="W190" s="1310">
        <v>202200</v>
      </c>
      <c r="X190" s="1310">
        <v>473</v>
      </c>
      <c r="Y190" s="1310">
        <v>8.1</v>
      </c>
      <c r="Z190" s="1222">
        <v>0.3</v>
      </c>
      <c r="AA190" s="1226">
        <v>-0.5</v>
      </c>
      <c r="AB190" s="150" t="b">
        <v>0</v>
      </c>
      <c r="AC190" s="1229">
        <v>219</v>
      </c>
      <c r="AD190" s="999"/>
      <c r="AE190" s="1229">
        <v>185</v>
      </c>
      <c r="AF190" s="1310"/>
      <c r="AG190" s="1310"/>
      <c r="AH190" s="1406">
        <v>3.3235518002238599E-5</v>
      </c>
      <c r="AI190" s="1486">
        <v>181.99789805973899</v>
      </c>
      <c r="AJ190" s="150" t="s">
        <v>490</v>
      </c>
      <c r="AK190" s="339">
        <v>458.56093843672602</v>
      </c>
      <c r="AL190" s="1290">
        <v>40605.280230935001</v>
      </c>
      <c r="AM190" s="339">
        <v>448.85707324808402</v>
      </c>
      <c r="AN190" s="1290">
        <v>35018.6621139255</v>
      </c>
      <c r="AO190" s="331" t="s">
        <v>490</v>
      </c>
      <c r="AP190" s="1282"/>
      <c r="AQ190" s="137">
        <v>0.20328050178190238</v>
      </c>
      <c r="AR190" s="137">
        <f t="shared" si="81"/>
        <v>1.203310600478009</v>
      </c>
      <c r="AS190" s="137">
        <f>AE190/AI190</f>
        <v>1.0164952561115601</v>
      </c>
      <c r="AT190" s="331">
        <v>201.31643320054999</v>
      </c>
      <c r="AU190" s="331">
        <v>1036.1168664720899</v>
      </c>
      <c r="AV190" s="331">
        <v>2427.0426430441998</v>
      </c>
      <c r="AW190" s="332">
        <f t="shared" si="82"/>
        <v>0.89515331355093963</v>
      </c>
      <c r="AX190" s="331">
        <f>SQRT(Q190/AV190)*AW190</f>
        <v>0.40221360824670005</v>
      </c>
      <c r="AZ190" s="331">
        <v>190.58100263999998</v>
      </c>
      <c r="BA190" s="331">
        <f t="shared" si="76"/>
        <v>1.1491176820686708</v>
      </c>
      <c r="BB190" s="1513">
        <v>217.59330255491861</v>
      </c>
      <c r="BC190" s="331">
        <f t="shared" si="78"/>
        <v>1.0064648012074102</v>
      </c>
      <c r="DR190" s="335"/>
      <c r="DS190" s="335"/>
      <c r="DT190" s="335"/>
      <c r="DU190" s="335"/>
      <c r="DX190" s="335"/>
      <c r="EB190" s="331"/>
      <c r="EC190" s="331"/>
      <c r="ED190" s="331"/>
      <c r="EE190" s="331"/>
      <c r="EH190" s="331"/>
    </row>
    <row r="191" spans="3:138" ht="13.9" thickBot="1" x14ac:dyDescent="0.4">
      <c r="C191" s="1713"/>
      <c r="D191" s="1293" t="s">
        <v>441</v>
      </c>
      <c r="E191" s="738" t="s">
        <v>174</v>
      </c>
      <c r="F191" s="844" t="s">
        <v>57</v>
      </c>
      <c r="G191" s="844">
        <v>4</v>
      </c>
      <c r="H191" s="844">
        <v>1000</v>
      </c>
      <c r="I191" s="844" t="s">
        <v>423</v>
      </c>
      <c r="J191" s="273">
        <v>139.63999999999999</v>
      </c>
      <c r="K191" s="273">
        <f>202.05+2*N191</f>
        <v>226.69</v>
      </c>
      <c r="L191" s="119">
        <v>6</v>
      </c>
      <c r="M191" s="176">
        <v>8.07</v>
      </c>
      <c r="N191" s="1070">
        <v>12.32</v>
      </c>
      <c r="O191" s="1310"/>
      <c r="P191" s="1310">
        <v>199750</v>
      </c>
      <c r="Q191" s="1310">
        <v>490</v>
      </c>
      <c r="R191" s="1310">
        <v>7.3</v>
      </c>
      <c r="S191" s="1222">
        <v>0.3</v>
      </c>
      <c r="T191" s="1226">
        <v>-0.5</v>
      </c>
      <c r="U191" s="1310" t="b">
        <v>0</v>
      </c>
      <c r="V191" s="1223" t="s">
        <v>412</v>
      </c>
      <c r="W191" s="1310">
        <v>197250</v>
      </c>
      <c r="X191" s="1310">
        <v>460</v>
      </c>
      <c r="Y191" s="1310">
        <v>7.9</v>
      </c>
      <c r="Z191" s="1222">
        <v>0.3</v>
      </c>
      <c r="AA191" s="1226">
        <v>-0.5</v>
      </c>
      <c r="AB191" s="150" t="b">
        <v>0</v>
      </c>
      <c r="AC191" s="1229">
        <v>259</v>
      </c>
      <c r="AD191" s="999"/>
      <c r="AE191" s="1229">
        <v>214</v>
      </c>
      <c r="AF191" s="1310"/>
      <c r="AG191" s="1310"/>
      <c r="AH191" s="1406">
        <v>3.4194423877611801E-5</v>
      </c>
      <c r="AI191" s="1486">
        <v>210.37813228628801</v>
      </c>
      <c r="AJ191" s="150" t="s">
        <v>490</v>
      </c>
      <c r="AK191" s="339">
        <v>463.96144019238199</v>
      </c>
      <c r="AL191" s="1290">
        <v>38271.148739147102</v>
      </c>
      <c r="AM191" s="339">
        <v>440.87921199368901</v>
      </c>
      <c r="AN191" s="1290">
        <v>32578.170488035299</v>
      </c>
      <c r="AO191" s="331" t="s">
        <v>490</v>
      </c>
      <c r="AP191" s="1282"/>
      <c r="AQ191" s="137">
        <v>0.19159523774291415</v>
      </c>
      <c r="AR191" s="137">
        <f t="shared" si="81"/>
        <v>1.2311165480238511</v>
      </c>
      <c r="AS191" s="137">
        <f>AE191/AI191</f>
        <v>1.0172159894868886</v>
      </c>
      <c r="AT191" s="331">
        <v>229.02116859237901</v>
      </c>
      <c r="AU191" s="331">
        <v>1297.1321460214999</v>
      </c>
      <c r="AV191" s="331">
        <v>2544.4809067485298</v>
      </c>
      <c r="AW191" s="332">
        <f t="shared" si="82"/>
        <v>0.88655128982600184</v>
      </c>
      <c r="AX191" s="331">
        <f>SQRT(Q191/AV191)*AW191</f>
        <v>0.38904721236575557</v>
      </c>
      <c r="AZ191" s="331">
        <v>210.47939224999999</v>
      </c>
      <c r="BA191" s="331">
        <f t="shared" si="76"/>
        <v>1.2305242676317163</v>
      </c>
      <c r="BB191" s="1513">
        <v>244.49629123684778</v>
      </c>
      <c r="BC191" s="331">
        <f t="shared" si="78"/>
        <v>1.059320772064809</v>
      </c>
      <c r="DR191" s="335"/>
      <c r="DS191" s="335"/>
      <c r="DT191" s="335"/>
      <c r="DU191" s="335"/>
      <c r="DX191" s="335"/>
      <c r="EB191" s="331"/>
      <c r="EC191" s="331"/>
      <c r="ED191" s="331"/>
      <c r="EE191" s="331"/>
      <c r="EH191" s="331"/>
    </row>
    <row r="192" spans="3:138" x14ac:dyDescent="0.35">
      <c r="D192" s="1293" t="s">
        <v>441</v>
      </c>
      <c r="E192" s="1308" t="s">
        <v>302</v>
      </c>
      <c r="F192" s="844" t="s">
        <v>57</v>
      </c>
      <c r="G192" s="844">
        <v>4</v>
      </c>
      <c r="H192" s="1306">
        <v>1000</v>
      </c>
      <c r="I192" s="844" t="s">
        <v>423</v>
      </c>
      <c r="J192" s="1051">
        <v>80.3</v>
      </c>
      <c r="K192" s="1050">
        <v>161</v>
      </c>
      <c r="L192" s="331">
        <v>3</v>
      </c>
      <c r="M192" s="1052">
        <v>6</v>
      </c>
      <c r="N192" s="1052">
        <v>9.86</v>
      </c>
      <c r="P192" s="1054">
        <v>198000</v>
      </c>
      <c r="Q192" s="1306">
        <v>300</v>
      </c>
      <c r="R192" s="331">
        <v>7</v>
      </c>
      <c r="S192" s="1222">
        <v>0.3</v>
      </c>
      <c r="T192" s="1226">
        <v>-0.5</v>
      </c>
      <c r="U192" s="1045">
        <v>624</v>
      </c>
      <c r="V192" s="1223" t="s">
        <v>412</v>
      </c>
      <c r="W192" s="331">
        <v>198000</v>
      </c>
      <c r="X192" s="331">
        <v>299.5</v>
      </c>
      <c r="Y192" s="331">
        <v>7</v>
      </c>
      <c r="Z192" s="1222">
        <v>0.3</v>
      </c>
      <c r="AA192" s="1226">
        <v>-0.5</v>
      </c>
      <c r="AB192" s="331">
        <v>617</v>
      </c>
      <c r="AC192" s="1307">
        <v>54.7</v>
      </c>
      <c r="AH192" s="1475">
        <v>2.5158070650202599E-5</v>
      </c>
      <c r="AI192" s="137">
        <v>39.7273174134097</v>
      </c>
      <c r="AJ192" s="150" t="s">
        <v>490</v>
      </c>
      <c r="AK192" s="331">
        <v>253.758731417343</v>
      </c>
      <c r="AL192" s="331">
        <v>45161.018259262397</v>
      </c>
      <c r="AM192" s="331">
        <v>253.432058777245</v>
      </c>
      <c r="AN192" s="331">
        <v>45023.557582024201</v>
      </c>
      <c r="AO192" s="331" t="s">
        <v>490</v>
      </c>
      <c r="AQ192" s="137">
        <v>0.22808595080435554</v>
      </c>
      <c r="AR192" s="137">
        <f t="shared" si="81"/>
        <v>1.376886323100597</v>
      </c>
      <c r="AV192" s="1400">
        <v>994.55</v>
      </c>
      <c r="AW192" s="332">
        <f t="shared" si="82"/>
        <v>0.89506417890697376</v>
      </c>
      <c r="AX192" s="331">
        <v>0.49117842164005493</v>
      </c>
      <c r="AZ192" s="331">
        <v>44.901402394999991</v>
      </c>
      <c r="BA192" s="331">
        <f>AC192/AZ192</f>
        <v>1.218224756518766</v>
      </c>
      <c r="BB192" s="331">
        <v>55.965231760089431</v>
      </c>
      <c r="BC192" s="331">
        <f t="shared" si="78"/>
        <v>0.97739253961257233</v>
      </c>
      <c r="DR192" s="335"/>
      <c r="DS192" s="335"/>
      <c r="DT192" s="335"/>
      <c r="DU192" s="335"/>
      <c r="DX192" s="335"/>
      <c r="EB192" s="331"/>
      <c r="EC192" s="331"/>
      <c r="ED192" s="331"/>
      <c r="EE192" s="331"/>
      <c r="EH192" s="331"/>
    </row>
    <row r="193" spans="2:138" x14ac:dyDescent="0.35">
      <c r="D193" s="1293" t="s">
        <v>441</v>
      </c>
      <c r="E193" s="1309" t="s">
        <v>303</v>
      </c>
      <c r="F193" s="844" t="s">
        <v>57</v>
      </c>
      <c r="G193" s="844">
        <v>4</v>
      </c>
      <c r="H193" s="1304">
        <v>1000</v>
      </c>
      <c r="I193" s="844" t="s">
        <v>423</v>
      </c>
      <c r="J193" s="52">
        <v>159.1</v>
      </c>
      <c r="K193" s="719">
        <v>158.80000000000001</v>
      </c>
      <c r="L193" s="331">
        <v>3</v>
      </c>
      <c r="M193" s="64">
        <v>6</v>
      </c>
      <c r="N193" s="64">
        <v>9.89</v>
      </c>
      <c r="P193" s="124">
        <v>198000</v>
      </c>
      <c r="Q193" s="1304">
        <v>300</v>
      </c>
      <c r="R193" s="331">
        <v>7</v>
      </c>
      <c r="S193" s="1222">
        <v>0.3</v>
      </c>
      <c r="T193" s="1226">
        <v>-0.5</v>
      </c>
      <c r="U193" s="119">
        <v>624</v>
      </c>
      <c r="V193" s="1223" t="s">
        <v>412</v>
      </c>
      <c r="W193" s="331">
        <v>198000</v>
      </c>
      <c r="X193" s="331">
        <v>301.5</v>
      </c>
      <c r="Y193" s="331">
        <v>7</v>
      </c>
      <c r="Z193" s="1222">
        <v>0.3</v>
      </c>
      <c r="AA193" s="1226">
        <v>-0.5</v>
      </c>
      <c r="AB193" s="331">
        <v>618.5</v>
      </c>
      <c r="AC193" s="1305">
        <v>89.5</v>
      </c>
      <c r="AH193" s="1475">
        <v>5.3400858264266498E-5</v>
      </c>
      <c r="AI193" s="137">
        <v>84.564206379921202</v>
      </c>
      <c r="AJ193" s="150" t="s">
        <v>490</v>
      </c>
      <c r="AK193" s="331">
        <v>308.36442320157499</v>
      </c>
      <c r="AL193" s="331">
        <v>16431.114291087801</v>
      </c>
      <c r="AM193" s="331">
        <v>309.78872444029099</v>
      </c>
      <c r="AN193" s="331">
        <v>16607.700439652599</v>
      </c>
      <c r="AO193" s="331" t="s">
        <v>490</v>
      </c>
      <c r="AQ193" s="137">
        <v>8.2985425712564648E-2</v>
      </c>
      <c r="AR193" s="137">
        <f t="shared" si="81"/>
        <v>1.0583674089945785</v>
      </c>
      <c r="AV193" s="1400">
        <v>1664.4055000000001</v>
      </c>
      <c r="AW193" s="332">
        <f t="shared" si="82"/>
        <v>0.92457573852922692</v>
      </c>
      <c r="AX193" s="331">
        <v>0.39351073115623852</v>
      </c>
      <c r="AZ193" s="331">
        <v>79.384823370000007</v>
      </c>
      <c r="BA193" s="331">
        <f>AC193/AZ193</f>
        <v>1.1274195268137686</v>
      </c>
      <c r="BB193" s="331">
        <v>88.236927616505582</v>
      </c>
      <c r="BC193" s="331">
        <f t="shared" si="78"/>
        <v>1.0143145553410922</v>
      </c>
      <c r="DR193" s="335"/>
      <c r="DS193" s="335"/>
      <c r="DT193" s="335"/>
      <c r="DU193" s="335"/>
      <c r="DX193" s="335"/>
      <c r="EB193" s="331"/>
      <c r="EC193" s="331"/>
      <c r="ED193" s="331"/>
      <c r="EE193" s="331"/>
      <c r="EH193" s="331"/>
    </row>
    <row r="194" spans="2:138" x14ac:dyDescent="0.35">
      <c r="D194" s="1293" t="s">
        <v>441</v>
      </c>
      <c r="E194" s="1309" t="s">
        <v>304</v>
      </c>
      <c r="F194" s="844" t="s">
        <v>57</v>
      </c>
      <c r="G194" s="844">
        <v>4</v>
      </c>
      <c r="H194" s="1304">
        <v>1000</v>
      </c>
      <c r="I194" s="844" t="s">
        <v>423</v>
      </c>
      <c r="J194" s="52">
        <v>160.9</v>
      </c>
      <c r="K194" s="719">
        <v>320</v>
      </c>
      <c r="L194" s="331">
        <v>3</v>
      </c>
      <c r="M194" s="64">
        <v>6</v>
      </c>
      <c r="N194" s="64">
        <v>9.84</v>
      </c>
      <c r="P194" s="124">
        <v>198000</v>
      </c>
      <c r="Q194" s="1304">
        <v>300</v>
      </c>
      <c r="R194" s="331">
        <v>7</v>
      </c>
      <c r="S194" s="1222">
        <v>0.3</v>
      </c>
      <c r="T194" s="1226">
        <v>-0.5</v>
      </c>
      <c r="U194" s="119">
        <v>624</v>
      </c>
      <c r="V194" s="1223" t="s">
        <v>412</v>
      </c>
      <c r="W194" s="331">
        <v>198000</v>
      </c>
      <c r="X194" s="331">
        <v>302</v>
      </c>
      <c r="Y194" s="331">
        <v>7</v>
      </c>
      <c r="Z194" s="1222">
        <v>0.3</v>
      </c>
      <c r="AA194" s="1226">
        <v>-0.5</v>
      </c>
      <c r="AB194" s="331">
        <v>619.5</v>
      </c>
      <c r="AC194" s="1305">
        <v>212.7</v>
      </c>
      <c r="AH194" s="1475">
        <v>2.3712977667942899E-5</v>
      </c>
      <c r="AI194" s="137">
        <v>193.88209841377201</v>
      </c>
      <c r="AJ194" s="150" t="s">
        <v>490</v>
      </c>
      <c r="AK194" s="331">
        <v>303.09899096937897</v>
      </c>
      <c r="AL194" s="331">
        <v>18713.626709549</v>
      </c>
      <c r="AM194" s="331">
        <v>304.92877448445603</v>
      </c>
      <c r="AN194" s="331">
        <v>18910.4948412831</v>
      </c>
      <c r="AO194" s="331" t="s">
        <v>490</v>
      </c>
      <c r="AQ194" s="137">
        <v>9.4513266209843433E-2</v>
      </c>
      <c r="AR194" s="137">
        <f t="shared" si="81"/>
        <v>1.0970584790456925</v>
      </c>
      <c r="AV194" s="1476">
        <v>1400.9135000000001</v>
      </c>
      <c r="AW194" s="332">
        <f t="shared" si="82"/>
        <v>0.94892958473046163</v>
      </c>
      <c r="AX194" s="331">
        <v>0.44058712115339005</v>
      </c>
      <c r="AZ194" s="331">
        <v>189.15795065999998</v>
      </c>
      <c r="BA194" s="331">
        <f>AC194/AZ194</f>
        <v>1.1244570966108394</v>
      </c>
      <c r="BB194" s="331">
        <v>201.3714062258905</v>
      </c>
      <c r="BC194" s="331">
        <f t="shared" si="78"/>
        <v>1.0562572114205804</v>
      </c>
      <c r="DR194" s="335"/>
      <c r="DS194" s="335"/>
      <c r="DT194" s="335"/>
      <c r="DU194" s="335"/>
      <c r="DX194" s="335"/>
      <c r="EB194" s="331"/>
      <c r="EC194" s="331"/>
      <c r="ED194" s="331"/>
      <c r="EE194" s="331"/>
      <c r="EH194" s="331"/>
    </row>
    <row r="195" spans="2:138" ht="13.9" thickBot="1" x14ac:dyDescent="0.4">
      <c r="D195" s="1293" t="s">
        <v>441</v>
      </c>
      <c r="E195" s="1058" t="s">
        <v>305</v>
      </c>
      <c r="F195" s="844" t="s">
        <v>57</v>
      </c>
      <c r="G195" s="844">
        <v>4</v>
      </c>
      <c r="H195" s="1060">
        <v>1000</v>
      </c>
      <c r="I195" s="844" t="s">
        <v>423</v>
      </c>
      <c r="J195" s="1062">
        <v>161.75</v>
      </c>
      <c r="K195" s="1061">
        <v>159.19999999999999</v>
      </c>
      <c r="L195" s="331">
        <v>3</v>
      </c>
      <c r="M195" s="1063">
        <v>6.8</v>
      </c>
      <c r="N195" s="1063">
        <v>10.06</v>
      </c>
      <c r="P195" s="1066">
        <v>202000</v>
      </c>
      <c r="Q195" s="1060">
        <v>524</v>
      </c>
      <c r="R195" s="331">
        <v>7</v>
      </c>
      <c r="S195" s="1222">
        <v>0.3</v>
      </c>
      <c r="T195" s="1226">
        <v>-0.5</v>
      </c>
      <c r="U195" s="1064">
        <v>778</v>
      </c>
      <c r="V195" s="1223" t="s">
        <v>412</v>
      </c>
      <c r="W195" s="331">
        <v>202000</v>
      </c>
      <c r="X195" s="331">
        <v>523</v>
      </c>
      <c r="Y195" s="331">
        <v>7</v>
      </c>
      <c r="Z195" s="1222">
        <v>0.3</v>
      </c>
      <c r="AA195" s="1226">
        <v>-0.5</v>
      </c>
      <c r="AB195" s="331">
        <v>767</v>
      </c>
      <c r="AC195" s="1059">
        <v>162.5</v>
      </c>
      <c r="AH195" s="1475">
        <v>6.6969458177345905E-5</v>
      </c>
      <c r="AI195" s="137">
        <v>153.06112735439001</v>
      </c>
      <c r="AJ195" s="150" t="s">
        <v>490</v>
      </c>
      <c r="AK195" s="331">
        <v>536.237863220544</v>
      </c>
      <c r="AL195" s="331">
        <v>28524.668096040899</v>
      </c>
      <c r="AM195" s="331">
        <v>535.35322813139805</v>
      </c>
      <c r="AN195" s="331">
        <v>28335.794819834198</v>
      </c>
      <c r="AO195" s="331" t="s">
        <v>490</v>
      </c>
      <c r="AQ195" s="137">
        <v>0.14121122819822227</v>
      </c>
      <c r="AR195" s="137">
        <f t="shared" si="81"/>
        <v>1.0616673404198553</v>
      </c>
      <c r="AV195" s="1401">
        <v>1809.0569</v>
      </c>
      <c r="AW195" s="332">
        <f t="shared" si="82"/>
        <v>0.92086553323029363</v>
      </c>
      <c r="AX195" s="331">
        <v>0.49513194738504401</v>
      </c>
      <c r="AZ195" s="331">
        <v>128.23151905788413</v>
      </c>
      <c r="BA195" s="331">
        <f>AC195/AZ195</f>
        <v>1.2672391405317984</v>
      </c>
      <c r="BB195" s="331">
        <v>149.68165694225814</v>
      </c>
      <c r="BC195" s="331">
        <f t="shared" si="78"/>
        <v>1.0856373674610424</v>
      </c>
      <c r="DR195" s="335"/>
      <c r="DS195" s="335"/>
      <c r="DT195" s="335"/>
      <c r="DU195" s="335"/>
      <c r="DX195" s="335"/>
      <c r="EB195" s="331"/>
      <c r="EC195" s="331"/>
      <c r="ED195" s="331"/>
      <c r="EE195" s="331"/>
      <c r="EH195" s="331"/>
    </row>
    <row r="196" spans="2:138" ht="13.9" x14ac:dyDescent="0.4">
      <c r="B196" s="1220" t="s">
        <v>412</v>
      </c>
      <c r="D196" s="1293" t="s">
        <v>441</v>
      </c>
      <c r="E196" s="1247" t="s">
        <v>171</v>
      </c>
      <c r="F196" s="1248" t="s">
        <v>57</v>
      </c>
      <c r="G196" s="1248">
        <v>4</v>
      </c>
      <c r="H196" s="1248">
        <v>1000</v>
      </c>
      <c r="I196" s="1248" t="s">
        <v>423</v>
      </c>
      <c r="J196" s="272">
        <v>1</v>
      </c>
      <c r="K196" s="272">
        <v>220</v>
      </c>
      <c r="L196" s="1148">
        <v>5</v>
      </c>
      <c r="M196" s="172">
        <v>6</v>
      </c>
      <c r="N196" s="1249">
        <v>6</v>
      </c>
      <c r="O196" s="1238"/>
      <c r="P196" s="1238">
        <v>199950</v>
      </c>
      <c r="Q196" s="1238">
        <v>494</v>
      </c>
      <c r="R196" s="1238">
        <v>7.9</v>
      </c>
      <c r="S196" s="1235">
        <v>0.3</v>
      </c>
      <c r="T196" s="1232">
        <v>-0.5</v>
      </c>
      <c r="U196" s="1238">
        <v>655</v>
      </c>
      <c r="V196" s="1234" t="s">
        <v>457</v>
      </c>
      <c r="W196" s="1238">
        <v>199950</v>
      </c>
      <c r="X196" s="1238">
        <v>494</v>
      </c>
      <c r="Y196" s="1238">
        <v>7.9</v>
      </c>
      <c r="Z196" s="1235">
        <v>0.3</v>
      </c>
      <c r="AA196" s="1232">
        <v>-0.5</v>
      </c>
      <c r="AB196" s="1241" t="b">
        <v>0</v>
      </c>
      <c r="AC196" s="1250">
        <v>132</v>
      </c>
      <c r="AD196" s="1251"/>
      <c r="AE196" s="1250">
        <v>116</v>
      </c>
      <c r="AF196" s="1238"/>
      <c r="AG196" s="1238"/>
      <c r="AH196" s="1405">
        <v>3.3484364953315601E-5</v>
      </c>
      <c r="AI196" s="1238">
        <v>113.38559563532201</v>
      </c>
      <c r="AJ196" s="1241" t="s">
        <v>490</v>
      </c>
      <c r="AK196" s="1286">
        <v>461.85224559317402</v>
      </c>
      <c r="AL196" s="1241">
        <v>39832.0979456731</v>
      </c>
      <c r="AM196" s="1286">
        <v>461.85224559317402</v>
      </c>
      <c r="AN196" s="1241">
        <v>39832.0979456731</v>
      </c>
      <c r="AO196" s="137" t="s">
        <v>490</v>
      </c>
      <c r="AP196" s="1282" t="s">
        <v>434</v>
      </c>
      <c r="AQ196" s="137">
        <v>0.19921029230144086</v>
      </c>
      <c r="AR196" s="137">
        <f t="shared" si="81"/>
        <v>1.1641690398183102</v>
      </c>
      <c r="AS196" s="137">
        <f t="shared" ref="AS196" si="83">AE196/AI196</f>
        <v>1.0230576410524543</v>
      </c>
      <c r="AT196" s="137">
        <v>127.95147766183</v>
      </c>
      <c r="AU196" s="137">
        <v>575.23692357704499</v>
      </c>
      <c r="AV196" s="331">
        <v>1244.4341011398801</v>
      </c>
      <c r="AW196" s="332">
        <f>MAX(((J196-M196)/2-L196)/(0.5*J196),(K196-2*(N196+L196))/(K196-N196))</f>
        <v>0.92523364485981308</v>
      </c>
      <c r="AX196" s="331">
        <f>SQRT(Q196/AV196)*AW196</f>
        <v>0.58294682275935239</v>
      </c>
      <c r="BD196" s="137">
        <v>4.6632670018930443E-3</v>
      </c>
      <c r="BE196" s="137"/>
      <c r="BF196" s="137" t="s">
        <v>473</v>
      </c>
      <c r="BG196" s="331">
        <v>0.5587451159971345</v>
      </c>
      <c r="BH196" s="331" t="s">
        <v>474</v>
      </c>
      <c r="BI196" s="137">
        <v>1.2626179363196899</v>
      </c>
      <c r="BJ196" s="137" t="s">
        <v>475</v>
      </c>
      <c r="BK196" s="653"/>
      <c r="BL196" s="653"/>
      <c r="BM196" s="653"/>
      <c r="BN196" s="653"/>
      <c r="BO196" s="653"/>
      <c r="BP196" s="653"/>
      <c r="BQ196" s="653"/>
      <c r="BR196" s="653"/>
      <c r="BS196" s="1514">
        <v>1.213237143848273</v>
      </c>
      <c r="BT196" s="1515">
        <v>1.1371846347817494</v>
      </c>
      <c r="BU196" s="1515">
        <v>0.28209426797961062</v>
      </c>
      <c r="BV196" s="1516">
        <v>1.4971827005431646</v>
      </c>
      <c r="BW196" s="1177"/>
      <c r="CC196" s="1177"/>
      <c r="CD196" s="137" t="s">
        <v>473</v>
      </c>
      <c r="CE196" s="1523">
        <v>0.28413755018822406</v>
      </c>
      <c r="CF196" s="331" t="s">
        <v>474</v>
      </c>
      <c r="CG196" s="331">
        <v>0.92711262043548737</v>
      </c>
      <c r="CH196" s="137" t="s">
        <v>475</v>
      </c>
      <c r="CI196" s="1177"/>
      <c r="CJ196" s="1177"/>
      <c r="CK196" s="1177"/>
      <c r="CL196" s="1177"/>
      <c r="CM196" s="1177"/>
      <c r="CN196" s="1177"/>
      <c r="CO196" s="1177"/>
      <c r="CP196" s="1177"/>
      <c r="CQ196" s="1177"/>
      <c r="CR196" s="1177"/>
      <c r="CS196" s="1177"/>
      <c r="CT196" s="1177"/>
      <c r="CU196" s="1177"/>
      <c r="CV196" s="1177"/>
      <c r="CW196" s="1177"/>
      <c r="CX196" s="1177"/>
      <c r="CY196" s="1177"/>
      <c r="CZ196" s="1177"/>
      <c r="DA196" s="1177"/>
      <c r="DB196" s="1177"/>
      <c r="DC196" s="1177"/>
      <c r="DD196" s="1095"/>
      <c r="DE196" s="1095"/>
      <c r="DF196" s="1095"/>
      <c r="DG196" s="1095"/>
      <c r="DH196" s="1095"/>
      <c r="DI196" s="1095"/>
      <c r="DJ196" s="1095"/>
      <c r="DK196" s="1095"/>
      <c r="DL196" s="1095"/>
      <c r="DM196" s="1095"/>
      <c r="DN196" s="1095"/>
      <c r="DO196" s="1095"/>
      <c r="DP196" s="1095"/>
      <c r="DQ196" s="1095"/>
      <c r="DR196" s="1095"/>
      <c r="DS196" s="1095"/>
      <c r="DT196" s="1095"/>
      <c r="DU196" s="1095"/>
      <c r="DV196" s="1095"/>
      <c r="DW196" s="1095"/>
      <c r="DX196" s="1095"/>
      <c r="DY196" s="1095"/>
      <c r="DZ196" s="1095"/>
      <c r="EA196" s="1096"/>
      <c r="EB196" s="1096"/>
      <c r="EC196" s="1096"/>
      <c r="ED196" s="1096"/>
      <c r="EE196" s="1095"/>
      <c r="EF196" s="1095"/>
      <c r="EH196" s="331"/>
    </row>
    <row r="197" spans="2:138" x14ac:dyDescent="0.35">
      <c r="AH197" s="137"/>
      <c r="AI197" s="137"/>
      <c r="DR197" s="335"/>
      <c r="DS197" s="335"/>
      <c r="DT197" s="335"/>
      <c r="DU197" s="335"/>
      <c r="DX197" s="335"/>
      <c r="EB197" s="331"/>
      <c r="EC197" s="331"/>
      <c r="ED197" s="331"/>
      <c r="EE197" s="331"/>
      <c r="EH197" s="331"/>
    </row>
    <row r="198" spans="2:138" x14ac:dyDescent="0.35">
      <c r="AH198" s="137"/>
      <c r="AI198" s="137"/>
      <c r="DR198" s="335"/>
      <c r="DS198" s="335"/>
      <c r="DT198" s="335"/>
      <c r="DU198" s="335"/>
      <c r="DX198" s="335"/>
      <c r="EB198" s="331"/>
      <c r="EC198" s="331"/>
      <c r="ED198" s="331"/>
      <c r="EE198" s="331"/>
      <c r="EH198" s="331"/>
    </row>
    <row r="199" spans="2:138" x14ac:dyDescent="0.35">
      <c r="AH199" s="137"/>
      <c r="AI199" s="137"/>
      <c r="DR199" s="335"/>
      <c r="DS199" s="335"/>
      <c r="DT199" s="335"/>
      <c r="DU199" s="335"/>
      <c r="DX199" s="335"/>
      <c r="EB199" s="331"/>
      <c r="EC199" s="331"/>
      <c r="ED199" s="331"/>
      <c r="EE199" s="331"/>
      <c r="EH199" s="331"/>
    </row>
    <row r="200" spans="2:138" x14ac:dyDescent="0.35">
      <c r="AH200" s="137"/>
      <c r="AI200" s="137"/>
      <c r="DR200" s="335"/>
      <c r="DS200" s="335"/>
      <c r="DT200" s="335"/>
      <c r="DU200" s="335"/>
      <c r="DX200" s="335"/>
      <c r="EB200" s="331"/>
      <c r="EC200" s="331"/>
      <c r="ED200" s="331"/>
      <c r="EE200" s="331"/>
      <c r="EH200" s="331"/>
    </row>
    <row r="201" spans="2:138" x14ac:dyDescent="0.35">
      <c r="AH201" s="137"/>
      <c r="AI201" s="137"/>
      <c r="DR201" s="335"/>
      <c r="DS201" s="335"/>
      <c r="DT201" s="335"/>
      <c r="DU201" s="335"/>
      <c r="DX201" s="335"/>
      <c r="EB201" s="331"/>
      <c r="EC201" s="331"/>
      <c r="ED201" s="331"/>
      <c r="EE201" s="331"/>
      <c r="EH201" s="331"/>
    </row>
    <row r="202" spans="2:138" x14ac:dyDescent="0.35">
      <c r="AH202" s="137"/>
      <c r="AI202" s="137"/>
      <c r="DR202" s="335"/>
      <c r="DS202" s="335"/>
      <c r="DT202" s="335"/>
      <c r="DU202" s="335"/>
      <c r="DX202" s="335"/>
      <c r="EB202" s="331"/>
      <c r="EC202" s="331"/>
      <c r="ED202" s="331"/>
      <c r="EE202" s="331"/>
      <c r="EH202" s="331"/>
    </row>
    <row r="203" spans="2:138" x14ac:dyDescent="0.35">
      <c r="AH203" s="137"/>
      <c r="AI203" s="137"/>
      <c r="DR203" s="335"/>
      <c r="DS203" s="335"/>
      <c r="DT203" s="335"/>
      <c r="DU203" s="335"/>
      <c r="DX203" s="335"/>
      <c r="EB203" s="331"/>
      <c r="EC203" s="331"/>
      <c r="ED203" s="331"/>
      <c r="EE203" s="331"/>
      <c r="EH203" s="331"/>
    </row>
    <row r="204" spans="2:138" x14ac:dyDescent="0.35">
      <c r="AH204" s="137"/>
      <c r="AI204" s="137"/>
      <c r="DR204" s="335"/>
      <c r="DS204" s="335"/>
      <c r="DT204" s="335"/>
      <c r="DU204" s="335"/>
      <c r="DX204" s="335"/>
      <c r="EB204" s="331"/>
      <c r="EC204" s="331"/>
      <c r="ED204" s="331"/>
      <c r="EE204" s="331"/>
      <c r="EH204" s="331"/>
    </row>
    <row r="205" spans="2:138" x14ac:dyDescent="0.35">
      <c r="AH205" s="137"/>
      <c r="AI205" s="137"/>
      <c r="DR205" s="335"/>
      <c r="DS205" s="335"/>
      <c r="DT205" s="335"/>
      <c r="DU205" s="335"/>
      <c r="DX205" s="335"/>
      <c r="EB205" s="331"/>
      <c r="EC205" s="331"/>
      <c r="ED205" s="331"/>
      <c r="EE205" s="331"/>
      <c r="EH205" s="331"/>
    </row>
    <row r="206" spans="2:138" x14ac:dyDescent="0.35">
      <c r="AH206" s="137"/>
      <c r="AI206" s="137"/>
      <c r="DR206" s="335"/>
      <c r="DS206" s="335"/>
      <c r="DT206" s="335"/>
      <c r="DU206" s="335"/>
      <c r="DX206" s="335"/>
      <c r="EB206" s="331"/>
      <c r="EC206" s="331"/>
      <c r="ED206" s="331"/>
      <c r="EE206" s="331"/>
      <c r="EH206" s="331"/>
    </row>
    <row r="207" spans="2:138" x14ac:dyDescent="0.35">
      <c r="AH207" s="137"/>
      <c r="AI207" s="137"/>
      <c r="DR207" s="335"/>
      <c r="DS207" s="335"/>
      <c r="DT207" s="335"/>
      <c r="DU207" s="335"/>
      <c r="DX207" s="335"/>
      <c r="EB207" s="331"/>
      <c r="EC207" s="331"/>
      <c r="ED207" s="331"/>
      <c r="EE207" s="331"/>
      <c r="EH207" s="331"/>
    </row>
    <row r="208" spans="2:138" x14ac:dyDescent="0.35">
      <c r="AH208" s="137"/>
      <c r="AI208" s="137"/>
      <c r="DR208" s="335"/>
      <c r="DS208" s="335"/>
      <c r="DT208" s="335"/>
      <c r="DU208" s="335"/>
      <c r="DX208" s="335"/>
      <c r="EB208" s="331"/>
      <c r="EC208" s="331"/>
      <c r="ED208" s="331"/>
      <c r="EE208" s="331"/>
      <c r="EH208" s="331"/>
    </row>
    <row r="209" spans="1:138" x14ac:dyDescent="0.35">
      <c r="AH209" s="137"/>
      <c r="AI209" s="137"/>
      <c r="DR209" s="335"/>
      <c r="DS209" s="335"/>
      <c r="DT209" s="335"/>
      <c r="DU209" s="335"/>
      <c r="DX209" s="335"/>
      <c r="EB209" s="331"/>
      <c r="EC209" s="331"/>
      <c r="ED209" s="331"/>
      <c r="EE209" s="331"/>
      <c r="EH209" s="331"/>
    </row>
    <row r="210" spans="1:138" x14ac:dyDescent="0.35">
      <c r="AH210" s="137"/>
      <c r="AI210" s="137"/>
      <c r="DR210" s="335"/>
      <c r="DS210" s="335"/>
      <c r="DT210" s="335"/>
      <c r="DU210" s="335"/>
      <c r="DX210" s="335"/>
      <c r="EB210" s="331"/>
      <c r="EC210" s="331"/>
      <c r="ED210" s="331"/>
      <c r="EE210" s="331"/>
      <c r="EH210" s="331"/>
    </row>
    <row r="211" spans="1:138" ht="13.9" thickBot="1" x14ac:dyDescent="0.4">
      <c r="DR211" s="335"/>
      <c r="DS211" s="335"/>
      <c r="DT211" s="335"/>
      <c r="DU211" s="335"/>
      <c r="DX211" s="335"/>
      <c r="EB211" s="331"/>
      <c r="EC211" s="331"/>
      <c r="ED211" s="331"/>
      <c r="EE211" s="331"/>
      <c r="EH211" s="331"/>
    </row>
    <row r="212" spans="1:138" ht="13.9" customHeight="1" x14ac:dyDescent="0.4">
      <c r="J212" s="1216" t="s">
        <v>228</v>
      </c>
      <c r="K212" s="1216"/>
      <c r="L212" s="1216"/>
      <c r="M212" s="1216"/>
      <c r="N212" s="1216"/>
      <c r="O212" s="1216"/>
      <c r="P212" s="1301" t="s">
        <v>424</v>
      </c>
      <c r="Q212" s="1301"/>
      <c r="R212" s="1301"/>
      <c r="S212" s="1301"/>
      <c r="T212" s="1301"/>
      <c r="U212" s="1301"/>
      <c r="V212" s="1301" t="s">
        <v>425</v>
      </c>
      <c r="W212" s="1301"/>
      <c r="X212" s="1301"/>
      <c r="Y212" s="1301"/>
      <c r="Z212" s="1301"/>
      <c r="AA212" s="1301"/>
      <c r="AB212" s="1447"/>
      <c r="AC212" s="1687" t="s">
        <v>7</v>
      </c>
      <c r="AI212" s="331" t="s">
        <v>506</v>
      </c>
      <c r="AK212" s="331" t="s">
        <v>480</v>
      </c>
      <c r="AS212" s="331" t="s">
        <v>480</v>
      </c>
    </row>
    <row r="213" spans="1:138" ht="14.65" x14ac:dyDescent="0.4">
      <c r="A213" s="1218"/>
      <c r="B213" s="1218" t="s">
        <v>410</v>
      </c>
      <c r="C213" s="1489" t="s">
        <v>224</v>
      </c>
      <c r="D213" s="1489" t="s">
        <v>440</v>
      </c>
      <c r="E213" s="1489" t="s">
        <v>227</v>
      </c>
      <c r="F213" s="1218" t="s">
        <v>226</v>
      </c>
      <c r="G213" s="1489" t="s">
        <v>399</v>
      </c>
      <c r="H213" s="1489" t="s">
        <v>8</v>
      </c>
      <c r="I213" s="1489" t="s">
        <v>400</v>
      </c>
      <c r="J213" s="1489" t="s">
        <v>9</v>
      </c>
      <c r="K213" s="1489" t="s">
        <v>49</v>
      </c>
      <c r="L213" s="1489" t="s">
        <v>401</v>
      </c>
      <c r="M213" s="1489" t="s">
        <v>404</v>
      </c>
      <c r="N213" s="1489" t="s">
        <v>402</v>
      </c>
      <c r="O213" s="1489" t="s">
        <v>403</v>
      </c>
      <c r="P213" s="1218" t="s">
        <v>405</v>
      </c>
      <c r="Q213" s="1490" t="s">
        <v>413</v>
      </c>
      <c r="R213" s="1491" t="s">
        <v>392</v>
      </c>
      <c r="S213" s="1491" t="s">
        <v>406</v>
      </c>
      <c r="T213" s="1218" t="s">
        <v>407</v>
      </c>
      <c r="U213" s="1492" t="s">
        <v>414</v>
      </c>
      <c r="V213" s="1218" t="s">
        <v>408</v>
      </c>
      <c r="W213" s="1218" t="s">
        <v>405</v>
      </c>
      <c r="X213" s="1490" t="s">
        <v>415</v>
      </c>
      <c r="Y213" s="1491" t="s">
        <v>392</v>
      </c>
      <c r="Z213" s="1491" t="s">
        <v>406</v>
      </c>
      <c r="AA213" s="1218" t="s">
        <v>407</v>
      </c>
      <c r="AB213" s="1493" t="s">
        <v>414</v>
      </c>
      <c r="AC213" s="1688"/>
      <c r="AD213" s="331" t="s">
        <v>478</v>
      </c>
      <c r="AE213" s="331" t="s">
        <v>479</v>
      </c>
      <c r="AF213" s="331" t="s">
        <v>437</v>
      </c>
      <c r="AG213" s="331" t="s">
        <v>480</v>
      </c>
      <c r="AH213" s="331" t="s">
        <v>481</v>
      </c>
      <c r="AI213" s="331" t="s">
        <v>500</v>
      </c>
      <c r="AJ213" s="331" t="s">
        <v>502</v>
      </c>
      <c r="AK213" s="331" t="s">
        <v>500</v>
      </c>
      <c r="AL213" s="331" t="s">
        <v>502</v>
      </c>
      <c r="AM213" s="331" t="s">
        <v>508</v>
      </c>
      <c r="AO213" s="331" t="s">
        <v>492</v>
      </c>
      <c r="AP213" s="331" t="s">
        <v>503</v>
      </c>
      <c r="AQ213" s="331" t="s">
        <v>504</v>
      </c>
      <c r="AR213" s="331" t="s">
        <v>505</v>
      </c>
      <c r="AS213" s="331" t="s">
        <v>501</v>
      </c>
      <c r="AT213" s="331" t="s">
        <v>500</v>
      </c>
      <c r="AU213" s="331" t="s">
        <v>502</v>
      </c>
    </row>
    <row r="214" spans="1:138" ht="13.9" customHeight="1" x14ac:dyDescent="0.4">
      <c r="A214" s="1218"/>
      <c r="B214" s="1218"/>
      <c r="C214" s="1689" t="s">
        <v>200</v>
      </c>
      <c r="D214" s="1293" t="s">
        <v>441</v>
      </c>
      <c r="E214" s="1409" t="s">
        <v>38</v>
      </c>
      <c r="F214" s="1422" t="s">
        <v>37</v>
      </c>
      <c r="G214" s="1489" t="s">
        <v>472</v>
      </c>
      <c r="H214" s="1431">
        <v>75</v>
      </c>
      <c r="I214" s="1218" t="s">
        <v>8</v>
      </c>
      <c r="J214" s="34">
        <v>24.9</v>
      </c>
      <c r="L214" s="71">
        <v>3.08</v>
      </c>
      <c r="M214" s="34">
        <v>2.92</v>
      </c>
      <c r="N214" s="1489"/>
      <c r="O214" s="1489"/>
      <c r="P214" s="1218">
        <v>203000</v>
      </c>
      <c r="Q214" s="690">
        <v>279</v>
      </c>
      <c r="R214" s="1491">
        <v>7</v>
      </c>
      <c r="S214" s="1491">
        <v>0.3</v>
      </c>
      <c r="T214" s="1218">
        <v>-0.5</v>
      </c>
      <c r="U214" s="170">
        <v>641</v>
      </c>
      <c r="V214" s="1218" t="s">
        <v>412</v>
      </c>
      <c r="W214" s="1218">
        <v>203000</v>
      </c>
      <c r="X214" s="1490">
        <v>463.64010257416777</v>
      </c>
      <c r="Y214" s="1491">
        <v>7</v>
      </c>
      <c r="Z214" s="1491">
        <v>0.3</v>
      </c>
      <c r="AA214" s="1218">
        <v>-0.5</v>
      </c>
      <c r="AB214" s="331">
        <f>MAX(U214,X214*1.05)</f>
        <v>641</v>
      </c>
      <c r="AC214" s="447">
        <v>55.87</v>
      </c>
      <c r="AI214" s="331">
        <v>44.189948934062194</v>
      </c>
      <c r="AJ214" s="331">
        <v>36.180720000000001</v>
      </c>
      <c r="AK214" s="331">
        <v>0.11203198226423182</v>
      </c>
      <c r="AM214" s="331">
        <v>1.7066666666666667E-2</v>
      </c>
      <c r="AO214" s="331">
        <v>0.4034251514583308</v>
      </c>
      <c r="AP214" s="331" t="e">
        <f t="shared" ref="AP214:AP236" si="84">AC214/AD214</f>
        <v>#DIV/0!</v>
      </c>
      <c r="AQ214" s="331">
        <f t="shared" ref="AQ214:AQ236" si="85">AC214/AI214</f>
        <v>1.2643146540713621</v>
      </c>
      <c r="AR214" s="331">
        <f t="shared" ref="AR214:AR236" si="86">AC214/AJ214</f>
        <v>1.5441925976044699</v>
      </c>
      <c r="AS214" s="331" t="e">
        <f>AM214/AG214</f>
        <v>#DIV/0!</v>
      </c>
      <c r="AT214" s="331">
        <f>AM214/AK214</f>
        <v>0.1523374515182126</v>
      </c>
    </row>
    <row r="215" spans="1:138" ht="13.9" x14ac:dyDescent="0.4">
      <c r="C215" s="1690"/>
      <c r="D215" s="1293" t="s">
        <v>441</v>
      </c>
      <c r="E215" s="1409" t="s">
        <v>42</v>
      </c>
      <c r="F215" s="1423" t="s">
        <v>37</v>
      </c>
      <c r="G215" s="1489" t="s">
        <v>472</v>
      </c>
      <c r="H215" s="1424">
        <v>90</v>
      </c>
      <c r="I215" s="1218" t="s">
        <v>8</v>
      </c>
      <c r="J215" s="1437">
        <v>30</v>
      </c>
      <c r="L215" s="1444">
        <v>4.07</v>
      </c>
      <c r="M215" s="1437">
        <v>2.93</v>
      </c>
      <c r="P215" s="331">
        <v>203000</v>
      </c>
      <c r="Q215" s="1458">
        <v>279</v>
      </c>
      <c r="R215" s="1491">
        <v>7</v>
      </c>
      <c r="S215" s="1491">
        <v>0.3</v>
      </c>
      <c r="T215" s="1218">
        <v>-0.5</v>
      </c>
      <c r="U215" s="1465">
        <v>641</v>
      </c>
      <c r="V215" s="1218" t="s">
        <v>412</v>
      </c>
      <c r="W215" s="331">
        <v>203000</v>
      </c>
      <c r="X215" s="331">
        <v>447.83349088515814</v>
      </c>
      <c r="Y215" s="1491">
        <v>7</v>
      </c>
      <c r="Z215" s="1491">
        <v>0.3</v>
      </c>
      <c r="AA215" s="1218">
        <v>-0.5</v>
      </c>
      <c r="AB215" s="331">
        <f t="shared" ref="AB215:AB236" si="87">MAX(U215,X215*1.05)</f>
        <v>641</v>
      </c>
      <c r="AC215" s="459">
        <v>59.38</v>
      </c>
      <c r="AI215" s="331">
        <v>50.371411041246787</v>
      </c>
      <c r="AJ215" s="331">
        <v>44.157330000000002</v>
      </c>
      <c r="AK215" s="331">
        <v>2.5861431736519089E-2</v>
      </c>
      <c r="AM215" s="331">
        <v>7.7777777777777776E-3</v>
      </c>
      <c r="AO215" s="331">
        <v>0.48732365516542703</v>
      </c>
      <c r="AP215" s="331" t="e">
        <f t="shared" si="84"/>
        <v>#DIV/0!</v>
      </c>
      <c r="AQ215" s="331">
        <f t="shared" si="85"/>
        <v>1.1788432917111753</v>
      </c>
      <c r="AR215" s="331">
        <f t="shared" si="86"/>
        <v>1.344737102537676</v>
      </c>
      <c r="AS215" s="331" t="e">
        <f t="shared" ref="AS215:AS278" si="88">AM215/AG215</f>
        <v>#DIV/0!</v>
      </c>
      <c r="AT215" s="331">
        <f t="shared" ref="AT215:AT278" si="89">AM215/AK215</f>
        <v>0.30074815103120256</v>
      </c>
    </row>
    <row r="216" spans="1:138" ht="13.9" x14ac:dyDescent="0.4">
      <c r="C216" s="1690"/>
      <c r="D216" s="1293" t="s">
        <v>441</v>
      </c>
      <c r="E216" s="1409" t="s">
        <v>43</v>
      </c>
      <c r="F216" s="1423" t="s">
        <v>37</v>
      </c>
      <c r="G216" s="1489" t="s">
        <v>472</v>
      </c>
      <c r="H216" s="1424">
        <v>120</v>
      </c>
      <c r="I216" s="1218" t="s">
        <v>8</v>
      </c>
      <c r="J216" s="1437">
        <v>40.049999999999997</v>
      </c>
      <c r="L216" s="1444">
        <v>4.07</v>
      </c>
      <c r="M216" s="1437">
        <v>2.93</v>
      </c>
      <c r="P216" s="331">
        <v>203000</v>
      </c>
      <c r="Q216" s="1458">
        <v>279</v>
      </c>
      <c r="R216" s="1491">
        <v>7</v>
      </c>
      <c r="S216" s="1491">
        <v>0.3</v>
      </c>
      <c r="T216" s="1218">
        <v>-0.5</v>
      </c>
      <c r="U216" s="1465">
        <v>641</v>
      </c>
      <c r="V216" s="1218" t="s">
        <v>412</v>
      </c>
      <c r="W216" s="331">
        <v>203000</v>
      </c>
      <c r="X216" s="331">
        <v>447.83349088515814</v>
      </c>
      <c r="Y216" s="1491">
        <v>7</v>
      </c>
      <c r="Z216" s="1491">
        <v>0.3</v>
      </c>
      <c r="AA216" s="1218">
        <v>-0.5</v>
      </c>
      <c r="AB216" s="331">
        <f t="shared" si="87"/>
        <v>641</v>
      </c>
      <c r="AC216" s="459">
        <v>66.86</v>
      </c>
      <c r="AI216" s="331" t="s">
        <v>507</v>
      </c>
      <c r="AJ216" s="331">
        <v>54.17301669293483</v>
      </c>
      <c r="AK216" s="331" t="e">
        <v>#VALUE!</v>
      </c>
      <c r="AM216" s="331">
        <v>4.1666666666666666E-3</v>
      </c>
      <c r="AO216" s="331">
        <v>0.692552393855139</v>
      </c>
      <c r="AP216" s="331" t="e">
        <f t="shared" si="84"/>
        <v>#DIV/0!</v>
      </c>
      <c r="AQ216" s="331" t="e">
        <f t="shared" si="85"/>
        <v>#VALUE!</v>
      </c>
      <c r="AR216" s="331">
        <f t="shared" si="86"/>
        <v>1.234193775454262</v>
      </c>
      <c r="AS216" s="331" t="e">
        <f t="shared" si="88"/>
        <v>#DIV/0!</v>
      </c>
      <c r="AT216" s="331" t="e">
        <f t="shared" si="89"/>
        <v>#VALUE!</v>
      </c>
    </row>
    <row r="217" spans="1:138" ht="13.9" x14ac:dyDescent="0.4">
      <c r="C217" s="1690"/>
      <c r="D217" s="1293" t="s">
        <v>441</v>
      </c>
      <c r="E217" s="1409" t="s">
        <v>44</v>
      </c>
      <c r="F217" s="1423" t="s">
        <v>37</v>
      </c>
      <c r="G217" s="1489" t="s">
        <v>472</v>
      </c>
      <c r="H217" s="1424">
        <v>120</v>
      </c>
      <c r="I217" s="1218" t="s">
        <v>8</v>
      </c>
      <c r="J217" s="1437">
        <v>39.85</v>
      </c>
      <c r="L217" s="1444">
        <v>4.07</v>
      </c>
      <c r="M217" s="1437">
        <v>2.93</v>
      </c>
      <c r="P217" s="331">
        <v>203000</v>
      </c>
      <c r="Q217" s="1458">
        <v>279</v>
      </c>
      <c r="R217" s="1491">
        <v>7</v>
      </c>
      <c r="S217" s="1491">
        <v>0.3</v>
      </c>
      <c r="T217" s="1218">
        <v>-0.5</v>
      </c>
      <c r="U217" s="1465">
        <v>641</v>
      </c>
      <c r="V217" s="1218" t="s">
        <v>412</v>
      </c>
      <c r="W217" s="331">
        <v>203000</v>
      </c>
      <c r="X217" s="331">
        <v>447.83349088515814</v>
      </c>
      <c r="Y217" s="1491">
        <v>7</v>
      </c>
      <c r="Z217" s="1491">
        <v>0.3</v>
      </c>
      <c r="AA217" s="1218">
        <v>-0.5</v>
      </c>
      <c r="AB217" s="331">
        <f t="shared" si="87"/>
        <v>641</v>
      </c>
      <c r="AC217" s="459">
        <v>65.64</v>
      </c>
      <c r="AI217" s="331" t="s">
        <v>507</v>
      </c>
      <c r="AJ217" s="331">
        <v>54.310224060624741</v>
      </c>
      <c r="AK217" s="331" t="e">
        <v>#VALUE!</v>
      </c>
      <c r="AM217" s="331">
        <v>3.7500000000000003E-3</v>
      </c>
      <c r="AO217" s="331">
        <v>0.68928690813801796</v>
      </c>
      <c r="AP217" s="331" t="e">
        <f t="shared" si="84"/>
        <v>#DIV/0!</v>
      </c>
      <c r="AQ217" s="331" t="e">
        <f t="shared" si="85"/>
        <v>#VALUE!</v>
      </c>
      <c r="AR217" s="331">
        <f t="shared" si="86"/>
        <v>1.2086122113347977</v>
      </c>
      <c r="AS217" s="331" t="e">
        <f t="shared" si="88"/>
        <v>#DIV/0!</v>
      </c>
      <c r="AT217" s="331" t="e">
        <f t="shared" si="89"/>
        <v>#VALUE!</v>
      </c>
    </row>
    <row r="218" spans="1:138" ht="13.9" x14ac:dyDescent="0.4">
      <c r="C218" s="1690"/>
      <c r="D218" s="1293" t="s">
        <v>441</v>
      </c>
      <c r="E218" s="1409" t="s">
        <v>45</v>
      </c>
      <c r="F218" s="1423" t="s">
        <v>37</v>
      </c>
      <c r="G218" s="1489" t="s">
        <v>472</v>
      </c>
      <c r="H218" s="1424">
        <v>150</v>
      </c>
      <c r="I218" s="1218" t="s">
        <v>8</v>
      </c>
      <c r="J218" s="1437">
        <v>50</v>
      </c>
      <c r="L218" s="1444">
        <v>4.07</v>
      </c>
      <c r="M218" s="1437">
        <v>2.93</v>
      </c>
      <c r="P218" s="331">
        <v>203000</v>
      </c>
      <c r="Q218" s="1458">
        <v>279</v>
      </c>
      <c r="R218" s="1491">
        <v>7</v>
      </c>
      <c r="S218" s="1491">
        <v>0.3</v>
      </c>
      <c r="T218" s="1218">
        <v>-0.5</v>
      </c>
      <c r="U218" s="1465">
        <v>641</v>
      </c>
      <c r="V218" s="1218" t="s">
        <v>412</v>
      </c>
      <c r="W218" s="331">
        <v>203000</v>
      </c>
      <c r="X218" s="331">
        <v>447.83349088515814</v>
      </c>
      <c r="Y218" s="1491">
        <v>7</v>
      </c>
      <c r="Z218" s="1491">
        <v>0.3</v>
      </c>
      <c r="AA218" s="1218">
        <v>-0.5</v>
      </c>
      <c r="AB218" s="331">
        <f t="shared" si="87"/>
        <v>641</v>
      </c>
      <c r="AC218" s="459">
        <v>68.69</v>
      </c>
      <c r="AI218" s="331" t="s">
        <v>507</v>
      </c>
      <c r="AJ218" s="331">
        <v>60.091011043277156</v>
      </c>
      <c r="AK218" s="331" t="e">
        <v>#VALUE!</v>
      </c>
      <c r="AM218" s="331">
        <v>2.0666666666666667E-3</v>
      </c>
      <c r="AO218" s="331">
        <v>0.89513938126014625</v>
      </c>
      <c r="AP218" s="331" t="e">
        <f t="shared" si="84"/>
        <v>#DIV/0!</v>
      </c>
      <c r="AQ218" s="331" t="e">
        <f t="shared" si="85"/>
        <v>#VALUE!</v>
      </c>
      <c r="AR218" s="331">
        <f t="shared" si="86"/>
        <v>1.143099422150343</v>
      </c>
      <c r="AS218" s="331" t="e">
        <f t="shared" si="88"/>
        <v>#DIV/0!</v>
      </c>
      <c r="AT218" s="331" t="e">
        <f t="shared" si="89"/>
        <v>#VALUE!</v>
      </c>
    </row>
    <row r="219" spans="1:138" ht="13.9" x14ac:dyDescent="0.4">
      <c r="C219" s="1691"/>
      <c r="D219" s="1293" t="s">
        <v>441</v>
      </c>
      <c r="E219" s="247" t="s">
        <v>46</v>
      </c>
      <c r="F219" s="1472" t="s">
        <v>37</v>
      </c>
      <c r="G219" s="1489" t="s">
        <v>472</v>
      </c>
      <c r="H219" s="199">
        <v>180</v>
      </c>
      <c r="I219" s="1218" t="s">
        <v>8</v>
      </c>
      <c r="J219" s="36">
        <v>59</v>
      </c>
      <c r="L219" s="65">
        <v>3.07</v>
      </c>
      <c r="M219" s="36">
        <v>2.93</v>
      </c>
      <c r="P219" s="331">
        <v>203000</v>
      </c>
      <c r="Q219" s="1459">
        <v>279</v>
      </c>
      <c r="R219" s="1491">
        <v>7</v>
      </c>
      <c r="S219" s="1491">
        <v>0.3</v>
      </c>
      <c r="T219" s="1218">
        <v>-0.5</v>
      </c>
      <c r="U219" s="1460">
        <v>641</v>
      </c>
      <c r="V219" s="1218" t="s">
        <v>412</v>
      </c>
      <c r="W219" s="331">
        <v>203000</v>
      </c>
      <c r="X219" s="331">
        <v>464.02996800866055</v>
      </c>
      <c r="Y219" s="1491">
        <v>7</v>
      </c>
      <c r="Z219" s="1491">
        <v>0.3</v>
      </c>
      <c r="AA219" s="1218">
        <v>-0.5</v>
      </c>
      <c r="AB219" s="331">
        <f t="shared" si="87"/>
        <v>641</v>
      </c>
      <c r="AC219" s="466">
        <v>69.61</v>
      </c>
      <c r="AI219" s="331" t="s">
        <v>507</v>
      </c>
      <c r="AJ219" s="331">
        <v>65.317140772789884</v>
      </c>
      <c r="AK219" s="331" t="e">
        <v>#VALUE!</v>
      </c>
      <c r="AM219" s="331">
        <v>1.3888888888888889E-3</v>
      </c>
      <c r="AO219" s="331">
        <v>1.1018430146392955</v>
      </c>
      <c r="AP219" s="331" t="e">
        <f t="shared" si="84"/>
        <v>#DIV/0!</v>
      </c>
      <c r="AQ219" s="331" t="e">
        <f t="shared" si="85"/>
        <v>#VALUE!</v>
      </c>
      <c r="AR219" s="331">
        <f t="shared" si="86"/>
        <v>1.0657233182043764</v>
      </c>
      <c r="AS219" s="331" t="e">
        <f t="shared" si="88"/>
        <v>#DIV/0!</v>
      </c>
      <c r="AT219" s="331" t="e">
        <f t="shared" si="89"/>
        <v>#VALUE!</v>
      </c>
    </row>
    <row r="220" spans="1:138" ht="13.9" x14ac:dyDescent="0.4">
      <c r="C220" s="1689" t="s">
        <v>200</v>
      </c>
      <c r="D220" s="1293" t="s">
        <v>441</v>
      </c>
      <c r="E220" s="1410" t="s">
        <v>47</v>
      </c>
      <c r="F220" s="1424" t="s">
        <v>37</v>
      </c>
      <c r="G220" s="1489" t="s">
        <v>472</v>
      </c>
      <c r="H220" s="1431">
        <v>75</v>
      </c>
      <c r="I220" s="1218" t="s">
        <v>8</v>
      </c>
      <c r="J220" s="34">
        <v>25.3</v>
      </c>
      <c r="L220" s="1444">
        <v>3.03</v>
      </c>
      <c r="M220" s="34">
        <v>2.97</v>
      </c>
      <c r="P220" s="331">
        <v>206000</v>
      </c>
      <c r="Q220" s="1458">
        <v>508</v>
      </c>
      <c r="R220" s="1491">
        <v>7</v>
      </c>
      <c r="S220" s="1491">
        <v>0.3</v>
      </c>
      <c r="T220" s="1218">
        <v>-0.5</v>
      </c>
      <c r="U220" s="1465">
        <v>829</v>
      </c>
      <c r="V220" s="1218" t="s">
        <v>412</v>
      </c>
      <c r="W220" s="331">
        <v>206000</v>
      </c>
      <c r="X220" s="331">
        <v>847.74491739147186</v>
      </c>
      <c r="Y220" s="1491">
        <v>7</v>
      </c>
      <c r="Z220" s="1491">
        <v>0.3</v>
      </c>
      <c r="AA220" s="1218">
        <v>-0.5</v>
      </c>
      <c r="AB220" s="331">
        <f t="shared" si="87"/>
        <v>890.13216326104543</v>
      </c>
      <c r="AC220" s="459">
        <v>79.67</v>
      </c>
      <c r="AI220" s="331">
        <v>78.188458226604666</v>
      </c>
      <c r="AJ220" s="331">
        <v>67.043446367534955</v>
      </c>
      <c r="AK220" s="331">
        <v>3.3560856070201289E-2</v>
      </c>
      <c r="AM220" s="331">
        <v>1.4933333333333335E-2</v>
      </c>
      <c r="AO220" s="331">
        <v>0.54334197927981998</v>
      </c>
      <c r="AP220" s="331" t="e">
        <f t="shared" si="84"/>
        <v>#DIV/0!</v>
      </c>
      <c r="AQ220" s="331">
        <f t="shared" si="85"/>
        <v>1.0189483436174371</v>
      </c>
      <c r="AR220" s="331">
        <f t="shared" si="86"/>
        <v>1.1883338986370979</v>
      </c>
      <c r="AS220" s="331" t="e">
        <f t="shared" si="88"/>
        <v>#DIV/0!</v>
      </c>
      <c r="AT220" s="331">
        <f t="shared" si="89"/>
        <v>0.44496282520613811</v>
      </c>
    </row>
    <row r="221" spans="1:138" ht="13.9" x14ac:dyDescent="0.4">
      <c r="C221" s="1690"/>
      <c r="D221" s="1293" t="s">
        <v>441</v>
      </c>
      <c r="E221" s="1410" t="s">
        <v>48</v>
      </c>
      <c r="F221" s="1424" t="s">
        <v>37</v>
      </c>
      <c r="G221" s="1489" t="s">
        <v>472</v>
      </c>
      <c r="H221" s="1424">
        <v>90</v>
      </c>
      <c r="I221" s="1218" t="s">
        <v>8</v>
      </c>
      <c r="J221" s="1437">
        <v>30</v>
      </c>
      <c r="L221" s="1444">
        <v>4.0299999999999994</v>
      </c>
      <c r="M221" s="1437">
        <v>2.97</v>
      </c>
      <c r="P221" s="331">
        <v>206000</v>
      </c>
      <c r="Q221" s="1458">
        <v>508</v>
      </c>
      <c r="R221" s="1491">
        <v>7</v>
      </c>
      <c r="S221" s="1491">
        <v>0.3</v>
      </c>
      <c r="T221" s="1218">
        <v>-0.5</v>
      </c>
      <c r="U221" s="1465">
        <v>829</v>
      </c>
      <c r="V221" s="1218" t="s">
        <v>412</v>
      </c>
      <c r="W221" s="331">
        <v>206000</v>
      </c>
      <c r="X221" s="331">
        <v>817.82151196930533</v>
      </c>
      <c r="Y221" s="1491">
        <v>7</v>
      </c>
      <c r="Z221" s="1491">
        <v>0.3</v>
      </c>
      <c r="AA221" s="1218">
        <v>-0.5</v>
      </c>
      <c r="AB221" s="331">
        <f t="shared" si="87"/>
        <v>858.71258756777058</v>
      </c>
      <c r="AC221" s="459">
        <v>89.76</v>
      </c>
      <c r="AI221" s="331">
        <v>90.631115656908804</v>
      </c>
      <c r="AJ221" s="331">
        <v>74.34510162690097</v>
      </c>
      <c r="AK221" s="331">
        <v>1.274804041462237E-2</v>
      </c>
      <c r="AM221" s="331">
        <v>1.0555555555555556E-2</v>
      </c>
      <c r="AO221" s="331">
        <v>0.64564500878697328</v>
      </c>
      <c r="AP221" s="331" t="e">
        <f t="shared" si="84"/>
        <v>#DIV/0!</v>
      </c>
      <c r="AQ221" s="331">
        <f t="shared" si="85"/>
        <v>0.99038833792793113</v>
      </c>
      <c r="AR221" s="331">
        <f t="shared" si="86"/>
        <v>1.2073424884191875</v>
      </c>
      <c r="AS221" s="331" t="e">
        <f t="shared" si="88"/>
        <v>#DIV/0!</v>
      </c>
      <c r="AT221" s="331">
        <f t="shared" si="89"/>
        <v>0.82801397016658573</v>
      </c>
    </row>
    <row r="222" spans="1:138" ht="13.9" x14ac:dyDescent="0.4">
      <c r="C222" s="1690"/>
      <c r="D222" s="1293" t="s">
        <v>441</v>
      </c>
      <c r="E222" s="1410" t="s">
        <v>44</v>
      </c>
      <c r="F222" s="1424" t="s">
        <v>37</v>
      </c>
      <c r="G222" s="1489" t="s">
        <v>472</v>
      </c>
      <c r="H222" s="1424">
        <v>120</v>
      </c>
      <c r="I222" s="1218" t="s">
        <v>8</v>
      </c>
      <c r="J222" s="1437">
        <v>40</v>
      </c>
      <c r="L222" s="1444">
        <v>2.98</v>
      </c>
      <c r="M222" s="1437">
        <v>3.02</v>
      </c>
      <c r="P222" s="331">
        <v>206000</v>
      </c>
      <c r="Q222" s="1458">
        <v>508</v>
      </c>
      <c r="R222" s="1491">
        <v>7</v>
      </c>
      <c r="S222" s="1491">
        <v>0.3</v>
      </c>
      <c r="T222" s="1218">
        <v>-0.5</v>
      </c>
      <c r="U222" s="1465">
        <v>829</v>
      </c>
      <c r="V222" s="1218" t="s">
        <v>412</v>
      </c>
      <c r="W222" s="331">
        <v>206000</v>
      </c>
      <c r="X222" s="331">
        <v>851.31302633702262</v>
      </c>
      <c r="Y222" s="1491">
        <v>7</v>
      </c>
      <c r="Z222" s="1491">
        <v>0.3</v>
      </c>
      <c r="AA222" s="1218">
        <v>-0.5</v>
      </c>
      <c r="AB222" s="331">
        <f t="shared" si="87"/>
        <v>893.87867765387375</v>
      </c>
      <c r="AC222" s="459">
        <v>108.66</v>
      </c>
      <c r="AI222" s="331" t="s">
        <v>507</v>
      </c>
      <c r="AJ222" s="331">
        <v>87.366849991745568</v>
      </c>
      <c r="AK222" s="331" t="e">
        <v>#VALUE!</v>
      </c>
      <c r="AM222" s="331">
        <v>4.7499999999999999E-3</v>
      </c>
      <c r="AO222" s="331">
        <v>0.92334140235158779</v>
      </c>
      <c r="AP222" s="331" t="e">
        <f t="shared" si="84"/>
        <v>#DIV/0!</v>
      </c>
      <c r="AQ222" s="331" t="e">
        <f t="shared" si="85"/>
        <v>#VALUE!</v>
      </c>
      <c r="AR222" s="331">
        <f t="shared" si="86"/>
        <v>1.2437211598022158</v>
      </c>
      <c r="AS222" s="331" t="e">
        <f t="shared" si="88"/>
        <v>#DIV/0!</v>
      </c>
      <c r="AT222" s="331" t="e">
        <f t="shared" si="89"/>
        <v>#VALUE!</v>
      </c>
    </row>
    <row r="223" spans="1:138" ht="13.9" x14ac:dyDescent="0.4">
      <c r="C223" s="1690"/>
      <c r="D223" s="1293" t="s">
        <v>441</v>
      </c>
      <c r="E223" s="1410" t="s">
        <v>44</v>
      </c>
      <c r="F223" s="1424" t="s">
        <v>37</v>
      </c>
      <c r="G223" s="1489" t="s">
        <v>472</v>
      </c>
      <c r="H223" s="1424">
        <v>120</v>
      </c>
      <c r="I223" s="1218" t="s">
        <v>8</v>
      </c>
      <c r="J223" s="1437">
        <v>40.049999999999997</v>
      </c>
      <c r="L223" s="1444">
        <v>3.98</v>
      </c>
      <c r="M223" s="1437">
        <v>3.02</v>
      </c>
      <c r="P223" s="331">
        <v>206000</v>
      </c>
      <c r="Q223" s="1458">
        <v>508</v>
      </c>
      <c r="R223" s="1491">
        <v>7</v>
      </c>
      <c r="S223" s="1491">
        <v>0.3</v>
      </c>
      <c r="T223" s="1218">
        <v>-0.5</v>
      </c>
      <c r="U223" s="1465">
        <v>829</v>
      </c>
      <c r="V223" s="1218" t="s">
        <v>412</v>
      </c>
      <c r="W223" s="331">
        <v>206000</v>
      </c>
      <c r="X223" s="331">
        <v>820.83385598141865</v>
      </c>
      <c r="Y223" s="1491">
        <v>7</v>
      </c>
      <c r="Z223" s="1491">
        <v>0.3</v>
      </c>
      <c r="AA223" s="1218">
        <v>-0.5</v>
      </c>
      <c r="AB223" s="331">
        <f t="shared" si="87"/>
        <v>861.87554878048957</v>
      </c>
      <c r="AC223" s="459">
        <v>100.23</v>
      </c>
      <c r="AI223" s="331" t="s">
        <v>507</v>
      </c>
      <c r="AJ223" s="331">
        <v>88.067616760302599</v>
      </c>
      <c r="AK223" s="331" t="e">
        <v>#VALUE!</v>
      </c>
      <c r="AM223" s="331">
        <v>5.0000000000000001E-3</v>
      </c>
      <c r="AO223" s="331">
        <v>0.90193164278327709</v>
      </c>
      <c r="AP223" s="331" t="e">
        <f t="shared" si="84"/>
        <v>#DIV/0!</v>
      </c>
      <c r="AQ223" s="331" t="e">
        <f t="shared" si="85"/>
        <v>#VALUE!</v>
      </c>
      <c r="AR223" s="331">
        <f t="shared" si="86"/>
        <v>1.1381027860990072</v>
      </c>
      <c r="AS223" s="331" t="e">
        <f t="shared" si="88"/>
        <v>#DIV/0!</v>
      </c>
      <c r="AT223" s="331" t="e">
        <f t="shared" si="89"/>
        <v>#VALUE!</v>
      </c>
    </row>
    <row r="224" spans="1:138" ht="13.9" x14ac:dyDescent="0.4">
      <c r="C224" s="1690"/>
      <c r="D224" s="1293" t="s">
        <v>441</v>
      </c>
      <c r="E224" s="1410" t="s">
        <v>45</v>
      </c>
      <c r="F224" s="1424" t="s">
        <v>37</v>
      </c>
      <c r="G224" s="1489" t="s">
        <v>472</v>
      </c>
      <c r="H224" s="1424">
        <v>150</v>
      </c>
      <c r="I224" s="1218" t="s">
        <v>8</v>
      </c>
      <c r="J224" s="1437">
        <v>50.05</v>
      </c>
      <c r="L224" s="1444">
        <v>2.99</v>
      </c>
      <c r="M224" s="1437">
        <v>3.01</v>
      </c>
      <c r="P224" s="331">
        <v>206000</v>
      </c>
      <c r="Q224" s="1458">
        <v>508</v>
      </c>
      <c r="R224" s="1491">
        <v>7</v>
      </c>
      <c r="S224" s="1491">
        <v>0.3</v>
      </c>
      <c r="T224" s="1218">
        <v>-0.5</v>
      </c>
      <c r="U224" s="1465">
        <v>829</v>
      </c>
      <c r="V224" s="1218" t="s">
        <v>412</v>
      </c>
      <c r="W224" s="331">
        <v>206000</v>
      </c>
      <c r="X224" s="331">
        <v>850.59820512937097</v>
      </c>
      <c r="Y224" s="1491">
        <v>7</v>
      </c>
      <c r="Z224" s="1491">
        <v>0.3</v>
      </c>
      <c r="AA224" s="1218">
        <v>-0.5</v>
      </c>
      <c r="AB224" s="331">
        <f t="shared" si="87"/>
        <v>893.12811538583958</v>
      </c>
      <c r="AC224" s="459">
        <v>108.73</v>
      </c>
      <c r="AI224" s="331" t="s">
        <v>507</v>
      </c>
      <c r="AJ224" s="331">
        <v>94.671344844565652</v>
      </c>
      <c r="AK224" s="331" t="e">
        <v>#VALUE!</v>
      </c>
      <c r="AM224" s="331">
        <v>3.1999999999999997E-3</v>
      </c>
      <c r="AO224" s="331">
        <v>1.1944429354678434</v>
      </c>
      <c r="AP224" s="331" t="e">
        <f t="shared" si="84"/>
        <v>#DIV/0!</v>
      </c>
      <c r="AQ224" s="331" t="e">
        <f t="shared" si="85"/>
        <v>#VALUE!</v>
      </c>
      <c r="AR224" s="331">
        <f t="shared" si="86"/>
        <v>1.1484995821968758</v>
      </c>
      <c r="AS224" s="331" t="e">
        <f t="shared" si="88"/>
        <v>#DIV/0!</v>
      </c>
      <c r="AT224" s="331" t="e">
        <f t="shared" si="89"/>
        <v>#VALUE!</v>
      </c>
    </row>
    <row r="225" spans="3:46" ht="14.25" thickBot="1" x14ac:dyDescent="0.45">
      <c r="C225" s="1692"/>
      <c r="D225" s="1293" t="s">
        <v>441</v>
      </c>
      <c r="E225" s="1411" t="s">
        <v>46</v>
      </c>
      <c r="F225" s="1425" t="s">
        <v>37</v>
      </c>
      <c r="G225" s="1489" t="s">
        <v>472</v>
      </c>
      <c r="H225" s="1425">
        <v>180</v>
      </c>
      <c r="I225" s="1218" t="s">
        <v>8</v>
      </c>
      <c r="J225" s="1443">
        <v>60</v>
      </c>
      <c r="L225" s="1445">
        <v>3.97</v>
      </c>
      <c r="M225" s="1443">
        <v>3.03</v>
      </c>
      <c r="P225" s="331">
        <v>206000</v>
      </c>
      <c r="Q225" s="691">
        <v>508</v>
      </c>
      <c r="R225" s="1491">
        <v>7</v>
      </c>
      <c r="S225" s="1491">
        <v>0.3</v>
      </c>
      <c r="T225" s="1218">
        <v>-0.5</v>
      </c>
      <c r="U225" s="192">
        <v>829</v>
      </c>
      <c r="V225" s="1218" t="s">
        <v>412</v>
      </c>
      <c r="W225" s="331">
        <v>206000</v>
      </c>
      <c r="X225" s="331">
        <v>821.43616719289219</v>
      </c>
      <c r="Y225" s="1491">
        <v>7</v>
      </c>
      <c r="Z225" s="1491">
        <v>0.3</v>
      </c>
      <c r="AA225" s="1218">
        <v>-0.5</v>
      </c>
      <c r="AB225" s="331">
        <f t="shared" si="87"/>
        <v>862.50797555253678</v>
      </c>
      <c r="AC225" s="476">
        <v>106.36</v>
      </c>
      <c r="AI225" s="331" t="s">
        <v>507</v>
      </c>
      <c r="AJ225" s="331">
        <v>101.34099090041823</v>
      </c>
      <c r="AK225" s="331" t="e">
        <v>#VALUE!</v>
      </c>
      <c r="AM225" s="331">
        <v>2.5000000000000001E-3</v>
      </c>
      <c r="AO225" s="331">
        <v>1.4249371798021133</v>
      </c>
      <c r="AP225" s="331" t="e">
        <f t="shared" si="84"/>
        <v>#DIV/0!</v>
      </c>
      <c r="AQ225" s="331" t="e">
        <f t="shared" si="85"/>
        <v>#VALUE!</v>
      </c>
      <c r="AR225" s="331">
        <f t="shared" si="86"/>
        <v>1.0495259524797191</v>
      </c>
      <c r="AS225" s="331" t="e">
        <f t="shared" si="88"/>
        <v>#DIV/0!</v>
      </c>
      <c r="AT225" s="331" t="e">
        <f t="shared" si="89"/>
        <v>#VALUE!</v>
      </c>
    </row>
    <row r="226" spans="3:46" ht="13.9" x14ac:dyDescent="0.4">
      <c r="C226" s="1640" t="s">
        <v>201</v>
      </c>
      <c r="D226" s="1293" t="s">
        <v>441</v>
      </c>
      <c r="E226" s="1412" t="s">
        <v>51</v>
      </c>
      <c r="F226" s="1467" t="s">
        <v>37</v>
      </c>
      <c r="G226" s="1489" t="s">
        <v>472</v>
      </c>
      <c r="H226" s="39">
        <v>150</v>
      </c>
      <c r="I226" s="331" t="s">
        <v>472</v>
      </c>
      <c r="J226" s="1446">
        <v>24.83</v>
      </c>
      <c r="K226" s="1446">
        <v>49.75</v>
      </c>
      <c r="L226" s="442">
        <v>4.07</v>
      </c>
      <c r="M226" s="1446">
        <v>2.93</v>
      </c>
      <c r="P226" s="331">
        <v>203000</v>
      </c>
      <c r="Q226" s="690">
        <v>279</v>
      </c>
      <c r="R226" s="1491">
        <v>7</v>
      </c>
      <c r="S226" s="1491">
        <v>0.3</v>
      </c>
      <c r="T226" s="1218">
        <v>-0.5</v>
      </c>
      <c r="U226" s="170">
        <v>641</v>
      </c>
      <c r="V226" s="1218" t="s">
        <v>412</v>
      </c>
      <c r="W226" s="331">
        <v>203000</v>
      </c>
      <c r="X226" s="331">
        <v>447.83349088515814</v>
      </c>
      <c r="Y226" s="1491">
        <v>7</v>
      </c>
      <c r="Z226" s="1491">
        <v>0.3</v>
      </c>
      <c r="AA226" s="1218">
        <v>-0.5</v>
      </c>
      <c r="AB226" s="331">
        <f t="shared" si="87"/>
        <v>641</v>
      </c>
      <c r="AC226" s="104">
        <v>106.04</v>
      </c>
      <c r="AI226" s="331">
        <v>103.09561888790543</v>
      </c>
      <c r="AJ226" s="331">
        <v>71.842500000000001</v>
      </c>
      <c r="AK226" s="331">
        <v>2.0615763546798029E-2</v>
      </c>
      <c r="AM226" s="331">
        <v>1.4E-2</v>
      </c>
      <c r="AO226" s="331">
        <v>0.29642580322563095</v>
      </c>
      <c r="AP226" s="331" t="e">
        <f t="shared" si="84"/>
        <v>#DIV/0!</v>
      </c>
      <c r="AQ226" s="331">
        <f t="shared" si="85"/>
        <v>1.0285597113035032</v>
      </c>
      <c r="AR226" s="331">
        <f t="shared" si="86"/>
        <v>1.4760065420885966</v>
      </c>
      <c r="AS226" s="331" t="e">
        <f t="shared" si="88"/>
        <v>#DIV/0!</v>
      </c>
      <c r="AT226" s="331">
        <f t="shared" si="89"/>
        <v>0.67909199522102748</v>
      </c>
    </row>
    <row r="227" spans="3:46" ht="13.9" x14ac:dyDescent="0.4">
      <c r="C227" s="1641"/>
      <c r="D227" s="1293" t="s">
        <v>441</v>
      </c>
      <c r="E227" s="1412" t="s">
        <v>52</v>
      </c>
      <c r="F227" s="1468" t="s">
        <v>37</v>
      </c>
      <c r="G227" s="1489" t="s">
        <v>472</v>
      </c>
      <c r="H227" s="39">
        <v>240</v>
      </c>
      <c r="I227" s="331" t="s">
        <v>472</v>
      </c>
      <c r="J227" s="1446">
        <v>39.58</v>
      </c>
      <c r="K227" s="1446">
        <v>80.3</v>
      </c>
      <c r="L227" s="442">
        <v>4.08</v>
      </c>
      <c r="M227" s="1446">
        <v>2.92</v>
      </c>
      <c r="P227" s="331">
        <v>203000</v>
      </c>
      <c r="Q227" s="1458">
        <v>279</v>
      </c>
      <c r="R227" s="1491">
        <v>7</v>
      </c>
      <c r="S227" s="1491">
        <v>0.3</v>
      </c>
      <c r="T227" s="1218">
        <v>-0.5</v>
      </c>
      <c r="U227" s="1465">
        <v>641</v>
      </c>
      <c r="V227" s="1218" t="s">
        <v>412</v>
      </c>
      <c r="W227" s="331">
        <v>203000</v>
      </c>
      <c r="X227" s="331">
        <v>447.50222910240649</v>
      </c>
      <c r="Y227" s="1491">
        <v>7</v>
      </c>
      <c r="Z227" s="1491">
        <v>0.3</v>
      </c>
      <c r="AA227" s="1218">
        <v>-0.5</v>
      </c>
      <c r="AB227" s="331">
        <f t="shared" si="87"/>
        <v>641</v>
      </c>
      <c r="AC227" s="105">
        <v>134.18</v>
      </c>
      <c r="AI227" s="331">
        <v>132.52972242195531</v>
      </c>
      <c r="AJ227" s="331">
        <v>115.15634612208827</v>
      </c>
      <c r="AK227" s="331">
        <v>3.3128685739761189E-3</v>
      </c>
      <c r="AM227" s="331">
        <v>4.5833333333333334E-3</v>
      </c>
      <c r="AO227" s="331">
        <v>0.53287251961327387</v>
      </c>
      <c r="AP227" s="331" t="e">
        <f t="shared" si="84"/>
        <v>#DIV/0!</v>
      </c>
      <c r="AQ227" s="331">
        <f t="shared" si="85"/>
        <v>1.012452131853038</v>
      </c>
      <c r="AR227" s="331">
        <f t="shared" si="86"/>
        <v>1.1651984846561816</v>
      </c>
      <c r="AS227" s="331" t="e">
        <f t="shared" si="88"/>
        <v>#DIV/0!</v>
      </c>
      <c r="AT227" s="331">
        <f t="shared" si="89"/>
        <v>1.3834938606792957</v>
      </c>
    </row>
    <row r="228" spans="3:46" ht="13.9" x14ac:dyDescent="0.4">
      <c r="C228" s="1641"/>
      <c r="D228" s="1293" t="s">
        <v>441</v>
      </c>
      <c r="E228" s="1412" t="s">
        <v>53</v>
      </c>
      <c r="F228" s="1468" t="s">
        <v>37</v>
      </c>
      <c r="G228" s="1489" t="s">
        <v>472</v>
      </c>
      <c r="H228" s="39">
        <v>300</v>
      </c>
      <c r="I228" s="331" t="s">
        <v>472</v>
      </c>
      <c r="J228" s="1446">
        <v>49.98</v>
      </c>
      <c r="K228" s="1446">
        <v>100.45</v>
      </c>
      <c r="L228" s="442">
        <v>3.07</v>
      </c>
      <c r="M228" s="1446">
        <v>2.93</v>
      </c>
      <c r="P228" s="331">
        <v>203000</v>
      </c>
      <c r="Q228" s="1458">
        <v>279</v>
      </c>
      <c r="R228" s="1491">
        <v>7</v>
      </c>
      <c r="S228" s="1491">
        <v>0.3</v>
      </c>
      <c r="T228" s="1218">
        <v>-0.5</v>
      </c>
      <c r="U228" s="1465">
        <v>641</v>
      </c>
      <c r="V228" s="1218" t="s">
        <v>412</v>
      </c>
      <c r="W228" s="331">
        <v>203000</v>
      </c>
      <c r="X228" s="331">
        <v>464.02996800866055</v>
      </c>
      <c r="Y228" s="1491">
        <v>7</v>
      </c>
      <c r="Z228" s="1491">
        <v>0.3</v>
      </c>
      <c r="AA228" s="1218">
        <v>-0.5</v>
      </c>
      <c r="AB228" s="331">
        <f t="shared" si="87"/>
        <v>641</v>
      </c>
      <c r="AC228" s="105">
        <v>146.22999999999999</v>
      </c>
      <c r="AI228" s="331" t="s">
        <v>507</v>
      </c>
      <c r="AJ228" s="331">
        <v>135.08046396228087</v>
      </c>
      <c r="AK228" s="331" t="e">
        <v>#VALUE!</v>
      </c>
      <c r="AM228" s="331">
        <v>3.0000000000000001E-3</v>
      </c>
      <c r="AO228" s="331">
        <v>0.68779134770680372</v>
      </c>
      <c r="AP228" s="331" t="e">
        <f t="shared" si="84"/>
        <v>#DIV/0!</v>
      </c>
      <c r="AQ228" s="331" t="e">
        <f t="shared" si="85"/>
        <v>#VALUE!</v>
      </c>
      <c r="AR228" s="331">
        <f t="shared" si="86"/>
        <v>1.0825399595964702</v>
      </c>
      <c r="AS228" s="331" t="e">
        <f t="shared" si="88"/>
        <v>#DIV/0!</v>
      </c>
      <c r="AT228" s="331" t="e">
        <f t="shared" si="89"/>
        <v>#VALUE!</v>
      </c>
    </row>
    <row r="229" spans="3:46" ht="13.9" x14ac:dyDescent="0.4">
      <c r="C229" s="1641"/>
      <c r="D229" s="1293" t="s">
        <v>441</v>
      </c>
      <c r="E229" s="1412" t="s">
        <v>53</v>
      </c>
      <c r="F229" s="1468" t="s">
        <v>37</v>
      </c>
      <c r="G229" s="1489" t="s">
        <v>472</v>
      </c>
      <c r="H229" s="39">
        <v>300</v>
      </c>
      <c r="I229" s="331" t="s">
        <v>472</v>
      </c>
      <c r="J229" s="1446">
        <v>49.6</v>
      </c>
      <c r="K229" s="1446">
        <v>101.1</v>
      </c>
      <c r="L229" s="442">
        <v>3.07</v>
      </c>
      <c r="M229" s="1446">
        <v>2.93</v>
      </c>
      <c r="P229" s="331">
        <v>203000</v>
      </c>
      <c r="Q229" s="1458">
        <v>279</v>
      </c>
      <c r="R229" s="1491">
        <v>7</v>
      </c>
      <c r="S229" s="1491">
        <v>0.3</v>
      </c>
      <c r="T229" s="1218">
        <v>-0.5</v>
      </c>
      <c r="U229" s="1465">
        <v>641</v>
      </c>
      <c r="V229" s="1218" t="s">
        <v>412</v>
      </c>
      <c r="W229" s="331">
        <v>203000</v>
      </c>
      <c r="X229" s="331">
        <v>464.02996800866055</v>
      </c>
      <c r="Y229" s="1491">
        <v>7</v>
      </c>
      <c r="Z229" s="1491">
        <v>0.3</v>
      </c>
      <c r="AA229" s="1218">
        <v>-0.5</v>
      </c>
      <c r="AB229" s="331">
        <f t="shared" si="87"/>
        <v>641</v>
      </c>
      <c r="AC229" s="105">
        <v>140.43</v>
      </c>
      <c r="AI229" s="331" t="s">
        <v>507</v>
      </c>
      <c r="AJ229" s="331">
        <v>135.0899669992159</v>
      </c>
      <c r="AK229" s="331" t="e">
        <v>#VALUE!</v>
      </c>
      <c r="AM229" s="331">
        <v>2.8E-3</v>
      </c>
      <c r="AO229" s="331">
        <v>0.68623587107984196</v>
      </c>
      <c r="AP229" s="331" t="e">
        <f t="shared" si="84"/>
        <v>#DIV/0!</v>
      </c>
      <c r="AQ229" s="331" t="e">
        <f t="shared" si="85"/>
        <v>#VALUE!</v>
      </c>
      <c r="AR229" s="331">
        <f t="shared" si="86"/>
        <v>1.0395294566976621</v>
      </c>
      <c r="AS229" s="331" t="e">
        <f t="shared" si="88"/>
        <v>#DIV/0!</v>
      </c>
      <c r="AT229" s="331" t="e">
        <f t="shared" si="89"/>
        <v>#VALUE!</v>
      </c>
    </row>
    <row r="230" spans="3:46" ht="13.9" x14ac:dyDescent="0.4">
      <c r="C230" s="1641"/>
      <c r="D230" s="1293" t="s">
        <v>441</v>
      </c>
      <c r="E230" s="1412" t="s">
        <v>54</v>
      </c>
      <c r="F230" s="1468" t="s">
        <v>37</v>
      </c>
      <c r="G230" s="1489" t="s">
        <v>472</v>
      </c>
      <c r="H230" s="39">
        <v>450</v>
      </c>
      <c r="I230" s="331" t="s">
        <v>472</v>
      </c>
      <c r="J230" s="1446">
        <v>49.68</v>
      </c>
      <c r="K230" s="1446">
        <v>150.4</v>
      </c>
      <c r="L230" s="442">
        <v>3.08</v>
      </c>
      <c r="M230" s="1446">
        <v>2.92</v>
      </c>
      <c r="P230" s="331">
        <v>203000</v>
      </c>
      <c r="Q230" s="1458">
        <v>279</v>
      </c>
      <c r="R230" s="1491">
        <v>7</v>
      </c>
      <c r="S230" s="1491">
        <v>0.3</v>
      </c>
      <c r="T230" s="1218">
        <v>-0.5</v>
      </c>
      <c r="U230" s="1465">
        <v>641</v>
      </c>
      <c r="V230" s="1218" t="s">
        <v>412</v>
      </c>
      <c r="W230" s="331">
        <v>203000</v>
      </c>
      <c r="X230" s="331">
        <v>463.64010257416777</v>
      </c>
      <c r="Y230" s="1491">
        <v>7</v>
      </c>
      <c r="Z230" s="1491">
        <v>0.3</v>
      </c>
      <c r="AA230" s="1218">
        <v>-0.5</v>
      </c>
      <c r="AB230" s="331">
        <f t="shared" si="87"/>
        <v>641</v>
      </c>
      <c r="AC230" s="105">
        <v>156</v>
      </c>
      <c r="AI230" s="331" t="s">
        <v>507</v>
      </c>
      <c r="AJ230" s="331">
        <v>143.52108955498028</v>
      </c>
      <c r="AK230" s="331" t="e">
        <v>#VALUE!</v>
      </c>
      <c r="AM230" s="331">
        <v>1.8888888888888887E-3</v>
      </c>
      <c r="AO230" s="331">
        <v>0.90106678745671187</v>
      </c>
      <c r="AP230" s="331" t="e">
        <f t="shared" si="84"/>
        <v>#DIV/0!</v>
      </c>
      <c r="AQ230" s="331" t="e">
        <f t="shared" si="85"/>
        <v>#VALUE!</v>
      </c>
      <c r="AR230" s="331">
        <f t="shared" si="86"/>
        <v>1.0869482699979036</v>
      </c>
      <c r="AS230" s="331" t="e">
        <f t="shared" si="88"/>
        <v>#DIV/0!</v>
      </c>
      <c r="AT230" s="331" t="e">
        <f t="shared" si="89"/>
        <v>#VALUE!</v>
      </c>
    </row>
    <row r="231" spans="3:46" ht="13.9" customHeight="1" x14ac:dyDescent="0.4">
      <c r="C231" s="1643"/>
      <c r="D231" s="1293" t="s">
        <v>441</v>
      </c>
      <c r="E231" s="131" t="s">
        <v>55</v>
      </c>
      <c r="F231" s="1466" t="s">
        <v>37</v>
      </c>
      <c r="G231" s="1489" t="s">
        <v>472</v>
      </c>
      <c r="H231" s="38">
        <v>150</v>
      </c>
      <c r="I231" s="331" t="s">
        <v>472</v>
      </c>
      <c r="J231" s="645">
        <v>49.48</v>
      </c>
      <c r="K231" s="645">
        <v>50.25</v>
      </c>
      <c r="L231" s="179">
        <v>4.08</v>
      </c>
      <c r="M231" s="645">
        <v>2.92</v>
      </c>
      <c r="P231" s="331">
        <v>203000</v>
      </c>
      <c r="Q231" s="1459">
        <v>279</v>
      </c>
      <c r="R231" s="1491">
        <v>7</v>
      </c>
      <c r="S231" s="1491">
        <v>0.3</v>
      </c>
      <c r="T231" s="1218">
        <v>-0.5</v>
      </c>
      <c r="U231" s="1460">
        <v>641</v>
      </c>
      <c r="V231" s="1218" t="s">
        <v>412</v>
      </c>
      <c r="W231" s="331">
        <v>203000</v>
      </c>
      <c r="X231" s="331">
        <v>447.50222910240649</v>
      </c>
      <c r="Y231" s="1491">
        <v>7</v>
      </c>
      <c r="Z231" s="1491">
        <v>0.3</v>
      </c>
      <c r="AA231" s="1218">
        <v>-0.5</v>
      </c>
      <c r="AB231" s="331">
        <f t="shared" si="87"/>
        <v>641</v>
      </c>
      <c r="AC231" s="106">
        <v>125.02</v>
      </c>
      <c r="AI231" s="331">
        <v>122.09471287842536</v>
      </c>
      <c r="AJ231" s="331">
        <v>96.62713372514466</v>
      </c>
      <c r="AK231" s="331">
        <v>1.8819703314199051E-3</v>
      </c>
      <c r="AM231" s="331">
        <v>4.6666666666666662E-3</v>
      </c>
      <c r="AO231" s="331">
        <v>0.62350963226838341</v>
      </c>
      <c r="AP231" s="331" t="e">
        <f t="shared" si="84"/>
        <v>#DIV/0!</v>
      </c>
      <c r="AQ231" s="331">
        <f t="shared" si="85"/>
        <v>1.0239591629531695</v>
      </c>
      <c r="AR231" s="331">
        <f t="shared" si="86"/>
        <v>1.2938394753136182</v>
      </c>
      <c r="AS231" s="331" t="e">
        <f t="shared" si="88"/>
        <v>#DIV/0!</v>
      </c>
      <c r="AT231" s="331">
        <f t="shared" si="89"/>
        <v>2.4796706880845294</v>
      </c>
    </row>
    <row r="232" spans="3:46" ht="13.9" customHeight="1" x14ac:dyDescent="0.4">
      <c r="C232" s="1640" t="s">
        <v>201</v>
      </c>
      <c r="D232" s="1293" t="s">
        <v>441</v>
      </c>
      <c r="E232" s="132" t="s">
        <v>51</v>
      </c>
      <c r="F232" s="1468" t="s">
        <v>37</v>
      </c>
      <c r="G232" s="1489" t="s">
        <v>472</v>
      </c>
      <c r="H232" s="40">
        <v>150</v>
      </c>
      <c r="I232" s="331" t="s">
        <v>472</v>
      </c>
      <c r="J232" s="647">
        <v>25.03</v>
      </c>
      <c r="K232" s="647">
        <v>50.25</v>
      </c>
      <c r="L232" s="442">
        <v>3.98</v>
      </c>
      <c r="M232" s="647">
        <v>3.02</v>
      </c>
      <c r="P232" s="331">
        <v>206000</v>
      </c>
      <c r="Q232" s="1458">
        <v>508</v>
      </c>
      <c r="R232" s="1491">
        <v>7</v>
      </c>
      <c r="S232" s="1491">
        <v>0.3</v>
      </c>
      <c r="T232" s="1218">
        <v>-0.5</v>
      </c>
      <c r="U232" s="1465">
        <v>829</v>
      </c>
      <c r="V232" s="1218" t="s">
        <v>412</v>
      </c>
      <c r="W232" s="331">
        <v>206000</v>
      </c>
      <c r="X232" s="331">
        <v>820.83385598141865</v>
      </c>
      <c r="Y232" s="1491">
        <v>7</v>
      </c>
      <c r="Z232" s="1491">
        <v>0.3</v>
      </c>
      <c r="AA232" s="1218">
        <v>-0.5</v>
      </c>
      <c r="AB232" s="331">
        <f t="shared" si="87"/>
        <v>861.87554878048957</v>
      </c>
      <c r="AC232" s="105">
        <v>186.16</v>
      </c>
      <c r="AI232" s="331">
        <v>178.29630950866951</v>
      </c>
      <c r="AJ232" s="331">
        <v>136.53209192891251</v>
      </c>
      <c r="AK232" s="331">
        <v>1.8395647705136835E-2</v>
      </c>
      <c r="AM232" s="331">
        <v>1.3333333333333334E-2</v>
      </c>
      <c r="AO232" s="331">
        <v>0.38934919619324382</v>
      </c>
      <c r="AP232" s="331" t="e">
        <f t="shared" si="84"/>
        <v>#DIV/0!</v>
      </c>
      <c r="AQ232" s="331">
        <f t="shared" si="85"/>
        <v>1.0441046172688624</v>
      </c>
      <c r="AR232" s="331">
        <f t="shared" si="86"/>
        <v>1.3634889597745783</v>
      </c>
      <c r="AS232" s="331" t="e">
        <f t="shared" si="88"/>
        <v>#DIV/0!</v>
      </c>
      <c r="AT232" s="331">
        <f t="shared" si="89"/>
        <v>0.72480912588960422</v>
      </c>
    </row>
    <row r="233" spans="3:46" ht="13.9" customHeight="1" x14ac:dyDescent="0.4">
      <c r="C233" s="1641"/>
      <c r="D233" s="1293" t="s">
        <v>441</v>
      </c>
      <c r="E233" s="133" t="s">
        <v>52</v>
      </c>
      <c r="F233" s="1468" t="s">
        <v>37</v>
      </c>
      <c r="G233" s="1489" t="s">
        <v>472</v>
      </c>
      <c r="H233" s="39">
        <v>240.5</v>
      </c>
      <c r="I233" s="331" t="s">
        <v>472</v>
      </c>
      <c r="J233" s="1446">
        <v>39.979999999999997</v>
      </c>
      <c r="K233" s="1446">
        <v>80.05</v>
      </c>
      <c r="L233" s="442">
        <v>2.98</v>
      </c>
      <c r="M233" s="1446">
        <v>3.02</v>
      </c>
      <c r="P233" s="331">
        <v>206000</v>
      </c>
      <c r="Q233" s="1458">
        <v>508</v>
      </c>
      <c r="R233" s="1491">
        <v>7</v>
      </c>
      <c r="S233" s="1491">
        <v>0.3</v>
      </c>
      <c r="T233" s="1218">
        <v>-0.5</v>
      </c>
      <c r="U233" s="1465">
        <v>829</v>
      </c>
      <c r="V233" s="1218" t="s">
        <v>412</v>
      </c>
      <c r="W233" s="331">
        <v>206000</v>
      </c>
      <c r="X233" s="331">
        <v>851.31302633702262</v>
      </c>
      <c r="Y233" s="1491">
        <v>7</v>
      </c>
      <c r="Z233" s="1491">
        <v>0.3</v>
      </c>
      <c r="AA233" s="1218">
        <v>-0.5</v>
      </c>
      <c r="AB233" s="331">
        <f t="shared" si="87"/>
        <v>893.87867765387375</v>
      </c>
      <c r="AC233" s="105">
        <v>229.72</v>
      </c>
      <c r="AI233" s="331" t="s">
        <v>507</v>
      </c>
      <c r="AJ233" s="331">
        <v>198.04382171998833</v>
      </c>
      <c r="AK233" s="331" t="e">
        <v>#VALUE!</v>
      </c>
      <c r="AM233" s="331">
        <v>5.8212058212058207E-3</v>
      </c>
      <c r="AO233" s="331">
        <v>0.71262445973935451</v>
      </c>
      <c r="AP233" s="331" t="e">
        <f t="shared" si="84"/>
        <v>#DIV/0!</v>
      </c>
      <c r="AQ233" s="331" t="e">
        <f t="shared" si="85"/>
        <v>#VALUE!</v>
      </c>
      <c r="AR233" s="331">
        <f t="shared" si="86"/>
        <v>1.1599452989995225</v>
      </c>
      <c r="AS233" s="331" t="e">
        <f t="shared" si="88"/>
        <v>#DIV/0!</v>
      </c>
      <c r="AT233" s="331" t="e">
        <f t="shared" si="89"/>
        <v>#VALUE!</v>
      </c>
    </row>
    <row r="234" spans="3:46" ht="13.9" x14ac:dyDescent="0.4">
      <c r="C234" s="1641"/>
      <c r="D234" s="1293" t="s">
        <v>441</v>
      </c>
      <c r="E234" s="133" t="s">
        <v>53</v>
      </c>
      <c r="F234" s="1468" t="s">
        <v>37</v>
      </c>
      <c r="G234" s="1489" t="s">
        <v>472</v>
      </c>
      <c r="H234" s="39">
        <v>300</v>
      </c>
      <c r="I234" s="331" t="s">
        <v>472</v>
      </c>
      <c r="J234" s="1446">
        <v>50.05</v>
      </c>
      <c r="K234" s="1446">
        <v>100.45</v>
      </c>
      <c r="L234" s="442">
        <v>3.48</v>
      </c>
      <c r="M234" s="1446">
        <v>3.02</v>
      </c>
      <c r="P234" s="331">
        <v>206000</v>
      </c>
      <c r="Q234" s="1458">
        <v>508</v>
      </c>
      <c r="R234" s="1491">
        <v>7</v>
      </c>
      <c r="S234" s="1491">
        <v>0.3</v>
      </c>
      <c r="T234" s="1218">
        <v>-0.5</v>
      </c>
      <c r="U234" s="1465">
        <v>829</v>
      </c>
      <c r="V234" s="1218" t="s">
        <v>412</v>
      </c>
      <c r="W234" s="331">
        <v>206000</v>
      </c>
      <c r="X234" s="331">
        <v>834.83672041870534</v>
      </c>
      <c r="Y234" s="1491">
        <v>7</v>
      </c>
      <c r="Z234" s="1491">
        <v>0.3</v>
      </c>
      <c r="AA234" s="1218">
        <v>-0.5</v>
      </c>
      <c r="AB234" s="331">
        <f t="shared" si="87"/>
        <v>876.57855643964069</v>
      </c>
      <c r="AC234" s="105">
        <v>233.78</v>
      </c>
      <c r="AI234" s="331" t="s">
        <v>507</v>
      </c>
      <c r="AJ234" s="331">
        <v>215.09083946635991</v>
      </c>
      <c r="AK234" s="331" t="e">
        <v>#VALUE!</v>
      </c>
      <c r="AM234" s="331">
        <v>3.3333333333333335E-3</v>
      </c>
      <c r="AO234" s="331">
        <v>0.88610885734982481</v>
      </c>
      <c r="AP234" s="331" t="e">
        <f t="shared" si="84"/>
        <v>#DIV/0!</v>
      </c>
      <c r="AQ234" s="331" t="e">
        <f t="shared" si="85"/>
        <v>#VALUE!</v>
      </c>
      <c r="AR234" s="331">
        <f t="shared" si="86"/>
        <v>1.0868896164058306</v>
      </c>
      <c r="AS234" s="331" t="e">
        <f t="shared" si="88"/>
        <v>#DIV/0!</v>
      </c>
      <c r="AT234" s="331" t="e">
        <f t="shared" si="89"/>
        <v>#VALUE!</v>
      </c>
    </row>
    <row r="235" spans="3:46" ht="13.9" x14ac:dyDescent="0.4">
      <c r="C235" s="1641"/>
      <c r="D235" s="1293" t="s">
        <v>441</v>
      </c>
      <c r="E235" s="133" t="s">
        <v>53</v>
      </c>
      <c r="F235" s="1468" t="s">
        <v>37</v>
      </c>
      <c r="G235" s="1489" t="s">
        <v>472</v>
      </c>
      <c r="H235" s="39">
        <v>300</v>
      </c>
      <c r="I235" s="331" t="s">
        <v>472</v>
      </c>
      <c r="J235" s="1446">
        <v>50.05</v>
      </c>
      <c r="K235" s="1446">
        <v>100.45</v>
      </c>
      <c r="L235" s="442">
        <v>2.99</v>
      </c>
      <c r="M235" s="1446">
        <v>3.01</v>
      </c>
      <c r="P235" s="331">
        <v>206000</v>
      </c>
      <c r="Q235" s="1458">
        <v>508</v>
      </c>
      <c r="R235" s="1491">
        <v>7</v>
      </c>
      <c r="S235" s="1491">
        <v>0.3</v>
      </c>
      <c r="T235" s="1218">
        <v>-0.5</v>
      </c>
      <c r="U235" s="1465">
        <v>829</v>
      </c>
      <c r="V235" s="1218" t="s">
        <v>412</v>
      </c>
      <c r="W235" s="331">
        <v>206000</v>
      </c>
      <c r="X235" s="331">
        <v>850.59820512937097</v>
      </c>
      <c r="Y235" s="1491">
        <v>7</v>
      </c>
      <c r="Z235" s="1491">
        <v>0.3</v>
      </c>
      <c r="AA235" s="1218">
        <v>-0.5</v>
      </c>
      <c r="AB235" s="331">
        <f t="shared" si="87"/>
        <v>893.12811538583958</v>
      </c>
      <c r="AC235" s="105">
        <v>229.61</v>
      </c>
      <c r="AI235" s="331" t="s">
        <v>507</v>
      </c>
      <c r="AJ235" s="331">
        <v>212.80511891604147</v>
      </c>
      <c r="AK235" s="331" t="e">
        <v>#VALUE!</v>
      </c>
      <c r="AM235" s="331">
        <v>3.3333333333333335E-3</v>
      </c>
      <c r="AO235" s="331">
        <v>0.89400547062930391</v>
      </c>
      <c r="AP235" s="331" t="e">
        <f t="shared" si="84"/>
        <v>#DIV/0!</v>
      </c>
      <c r="AQ235" s="331" t="e">
        <f t="shared" si="85"/>
        <v>#VALUE!</v>
      </c>
      <c r="AR235" s="331">
        <f t="shared" si="86"/>
        <v>1.0789684062561888</v>
      </c>
      <c r="AS235" s="331" t="e">
        <f t="shared" si="88"/>
        <v>#DIV/0!</v>
      </c>
      <c r="AT235" s="331" t="e">
        <f t="shared" si="89"/>
        <v>#VALUE!</v>
      </c>
    </row>
    <row r="236" spans="3:46" ht="14.25" thickBot="1" x14ac:dyDescent="0.45">
      <c r="C236" s="1642"/>
      <c r="D236" s="1293" t="s">
        <v>441</v>
      </c>
      <c r="E236" s="134" t="s">
        <v>54</v>
      </c>
      <c r="F236" s="95" t="s">
        <v>37</v>
      </c>
      <c r="G236" s="1489" t="s">
        <v>472</v>
      </c>
      <c r="H236" s="41">
        <v>450.5</v>
      </c>
      <c r="I236" s="331" t="s">
        <v>472</v>
      </c>
      <c r="J236" s="649">
        <v>50</v>
      </c>
      <c r="K236" s="649">
        <v>150.5</v>
      </c>
      <c r="L236" s="190">
        <v>3.98</v>
      </c>
      <c r="M236" s="649">
        <v>3.02</v>
      </c>
      <c r="P236" s="331">
        <v>206000</v>
      </c>
      <c r="Q236" s="691">
        <v>508</v>
      </c>
      <c r="R236" s="1491">
        <v>7</v>
      </c>
      <c r="S236" s="1491">
        <v>0.3</v>
      </c>
      <c r="T236" s="1218">
        <v>-0.5</v>
      </c>
      <c r="U236" s="192">
        <v>829</v>
      </c>
      <c r="V236" s="1218" t="s">
        <v>412</v>
      </c>
      <c r="W236" s="331">
        <v>206000</v>
      </c>
      <c r="X236" s="331">
        <v>820.83385598141865</v>
      </c>
      <c r="Y236" s="1491">
        <v>7</v>
      </c>
      <c r="Z236" s="1491">
        <v>0.3</v>
      </c>
      <c r="AA236" s="1218">
        <v>-0.5</v>
      </c>
      <c r="AB236" s="331">
        <f t="shared" si="87"/>
        <v>861.87554878048957</v>
      </c>
      <c r="AC236" s="107">
        <v>228.19</v>
      </c>
      <c r="AI236" s="331" t="s">
        <v>507</v>
      </c>
      <c r="AJ236" s="331">
        <v>227.03333998458584</v>
      </c>
      <c r="AK236" s="331" t="e">
        <v>#VALUE!</v>
      </c>
      <c r="AM236" s="331">
        <v>3.2186459489456157E-3</v>
      </c>
      <c r="AO236" s="331">
        <v>1.1558138368742144</v>
      </c>
      <c r="AP236" s="331" t="e">
        <f t="shared" si="84"/>
        <v>#DIV/0!</v>
      </c>
      <c r="AQ236" s="331" t="e">
        <f t="shared" si="85"/>
        <v>#VALUE!</v>
      </c>
      <c r="AR236" s="331">
        <f t="shared" si="86"/>
        <v>1.0050946703047785</v>
      </c>
      <c r="AS236" s="331" t="e">
        <f t="shared" si="88"/>
        <v>#DIV/0!</v>
      </c>
      <c r="AT236" s="331" t="e">
        <f t="shared" si="89"/>
        <v>#VALUE!</v>
      </c>
    </row>
    <row r="237" spans="3:46" ht="13.9" x14ac:dyDescent="0.4">
      <c r="C237" s="1574" t="s">
        <v>202</v>
      </c>
      <c r="D237" s="1293" t="s">
        <v>441</v>
      </c>
      <c r="E237" s="1409" t="s">
        <v>58</v>
      </c>
      <c r="F237" s="1467" t="s">
        <v>57</v>
      </c>
      <c r="G237" s="1489" t="s">
        <v>472</v>
      </c>
      <c r="H237" s="1432">
        <v>150</v>
      </c>
      <c r="I237" s="1494" t="s">
        <v>423</v>
      </c>
      <c r="J237" s="34">
        <v>49.9</v>
      </c>
      <c r="K237" s="34">
        <v>50.9</v>
      </c>
      <c r="L237" s="34">
        <v>2.95</v>
      </c>
      <c r="M237" s="34">
        <v>2.96</v>
      </c>
      <c r="N237" s="34">
        <v>2.95</v>
      </c>
      <c r="P237" s="1426">
        <v>203000</v>
      </c>
      <c r="Q237" s="331">
        <v>279</v>
      </c>
      <c r="R237" s="1491">
        <v>7</v>
      </c>
      <c r="S237" s="1491">
        <v>0.3</v>
      </c>
      <c r="T237" s="1218">
        <v>-0.5</v>
      </c>
      <c r="U237" s="331">
        <v>641</v>
      </c>
      <c r="V237" s="1218" t="s">
        <v>457</v>
      </c>
      <c r="W237" s="331">
        <f t="shared" ref="W237:W300" si="90">P237</f>
        <v>203000</v>
      </c>
      <c r="Y237" s="1491"/>
      <c r="Z237" s="1491"/>
      <c r="AA237" s="1218"/>
      <c r="AC237" s="703">
        <v>152.76</v>
      </c>
      <c r="AD237" s="331">
        <v>150.823701262935</v>
      </c>
      <c r="AE237" s="331">
        <v>311.43817827953399</v>
      </c>
      <c r="AF237" s="331">
        <v>9803.3356183628694</v>
      </c>
      <c r="AG237" s="331">
        <v>1.53417821812578E-3</v>
      </c>
      <c r="AH237" s="331" t="s">
        <v>471</v>
      </c>
      <c r="AI237" s="331">
        <v>148.76274252451319</v>
      </c>
      <c r="AJ237" s="331">
        <v>119.30319</v>
      </c>
      <c r="AK237" s="331">
        <v>1.830932749146482E-2</v>
      </c>
      <c r="AM237" s="331">
        <v>1.6E-2</v>
      </c>
      <c r="AO237" s="331">
        <v>0.33142263162217356</v>
      </c>
      <c r="AP237" s="331">
        <f t="shared" ref="AP237:AP268" si="91">AC237/AD237</f>
        <v>1.0128381595256661</v>
      </c>
      <c r="AQ237" s="331">
        <f>AC237/AI237</f>
        <v>1.0268700173689533</v>
      </c>
      <c r="AR237" s="331">
        <f>AC237/AJ237</f>
        <v>1.2804351669054279</v>
      </c>
      <c r="AS237" s="331">
        <f t="shared" si="88"/>
        <v>10.429036086528662</v>
      </c>
      <c r="AT237" s="331">
        <f t="shared" si="89"/>
        <v>0.8738715284577574</v>
      </c>
    </row>
    <row r="238" spans="3:46" ht="13.9" x14ac:dyDescent="0.4">
      <c r="C238" s="1579"/>
      <c r="D238" s="1293" t="s">
        <v>441</v>
      </c>
      <c r="E238" s="1409" t="s">
        <v>59</v>
      </c>
      <c r="F238" s="1468" t="s">
        <v>57</v>
      </c>
      <c r="G238" s="1489" t="s">
        <v>472</v>
      </c>
      <c r="H238" s="1433">
        <v>300</v>
      </c>
      <c r="I238" s="1494" t="s">
        <v>423</v>
      </c>
      <c r="J238" s="1437">
        <v>98.9</v>
      </c>
      <c r="K238" s="1437">
        <v>50</v>
      </c>
      <c r="L238" s="1437">
        <v>2.93</v>
      </c>
      <c r="M238" s="1437">
        <v>2.94</v>
      </c>
      <c r="N238" s="1437">
        <v>2.93</v>
      </c>
      <c r="P238" s="1426">
        <v>203000</v>
      </c>
      <c r="Q238" s="331">
        <v>279</v>
      </c>
      <c r="R238" s="1491">
        <v>7</v>
      </c>
      <c r="S238" s="1491">
        <v>0.3</v>
      </c>
      <c r="T238" s="1218">
        <v>-0.5</v>
      </c>
      <c r="U238" s="331">
        <v>641</v>
      </c>
      <c r="V238" s="1218" t="s">
        <v>457</v>
      </c>
      <c r="W238" s="331">
        <f t="shared" si="90"/>
        <v>203000</v>
      </c>
      <c r="Y238" s="1491"/>
      <c r="Z238" s="1491"/>
      <c r="AA238" s="1218"/>
      <c r="AC238" s="703">
        <v>192.81</v>
      </c>
      <c r="AD238" s="331">
        <v>178.30999943523301</v>
      </c>
      <c r="AE238" s="331">
        <v>233.014087500561</v>
      </c>
      <c r="AF238" s="331">
        <v>45547.280028597299</v>
      </c>
      <c r="AG238" s="331">
        <v>1.1478526477860099E-3</v>
      </c>
      <c r="AH238" s="331" t="s">
        <v>471</v>
      </c>
      <c r="AI238" s="331">
        <v>198.19614404701287</v>
      </c>
      <c r="AJ238" s="331">
        <v>166.18781520121877</v>
      </c>
      <c r="AK238" s="331">
        <v>1.4763730433735782E-3</v>
      </c>
      <c r="AM238" s="331">
        <v>2.7333333333333333E-3</v>
      </c>
      <c r="AO238" s="331">
        <v>0.66699960110467615</v>
      </c>
      <c r="AP238" s="331">
        <f t="shared" si="91"/>
        <v>1.0813190545156934</v>
      </c>
      <c r="AQ238" s="331">
        <f t="shared" ref="AQ238:AQ301" si="92">AC238/AI238</f>
        <v>0.97282417338182292</v>
      </c>
      <c r="AR238" s="331">
        <f t="shared" ref="AR238:AR301" si="93">AC238/AJ238</f>
        <v>1.1601933617488582</v>
      </c>
      <c r="AS238" s="331">
        <f t="shared" si="88"/>
        <v>2.3812580287246927</v>
      </c>
      <c r="AT238" s="331">
        <f t="shared" si="89"/>
        <v>1.8513839341631062</v>
      </c>
    </row>
    <row r="239" spans="3:46" ht="13.9" x14ac:dyDescent="0.4">
      <c r="C239" s="1579"/>
      <c r="D239" s="1293" t="s">
        <v>441</v>
      </c>
      <c r="E239" s="1409" t="s">
        <v>60</v>
      </c>
      <c r="F239" s="1468" t="s">
        <v>57</v>
      </c>
      <c r="G239" s="1489" t="s">
        <v>472</v>
      </c>
      <c r="H239" s="1433">
        <v>300</v>
      </c>
      <c r="I239" s="1494" t="s">
        <v>423</v>
      </c>
      <c r="J239" s="1437">
        <v>49.7</v>
      </c>
      <c r="K239" s="1437">
        <v>101.25</v>
      </c>
      <c r="L239" s="1437">
        <v>2.93</v>
      </c>
      <c r="M239" s="1437">
        <v>2.93</v>
      </c>
      <c r="N239" s="1437">
        <v>2.94</v>
      </c>
      <c r="P239" s="1426">
        <v>203000</v>
      </c>
      <c r="Q239" s="331">
        <v>278.99999999999994</v>
      </c>
      <c r="R239" s="1491">
        <v>7</v>
      </c>
      <c r="S239" s="1491">
        <v>0.3</v>
      </c>
      <c r="T239" s="1218">
        <v>-0.5</v>
      </c>
      <c r="U239" s="331">
        <v>640.99999999999989</v>
      </c>
      <c r="V239" s="1218" t="s">
        <v>457</v>
      </c>
      <c r="W239" s="331">
        <f t="shared" si="90"/>
        <v>203000</v>
      </c>
      <c r="Y239" s="1491"/>
      <c r="Z239" s="1491"/>
      <c r="AA239" s="1218"/>
      <c r="AC239" s="703">
        <v>171.08</v>
      </c>
      <c r="AD239" s="331">
        <v>163.069842726037</v>
      </c>
      <c r="AE239" s="331">
        <v>259.91904876873798</v>
      </c>
      <c r="AF239" s="331">
        <v>26504.007430272199</v>
      </c>
      <c r="AG239" s="331">
        <v>1.2803894028016599E-3</v>
      </c>
      <c r="AH239" s="331" t="s">
        <v>482</v>
      </c>
      <c r="AI239" s="331">
        <v>163.51253008138676</v>
      </c>
      <c r="AJ239" s="331">
        <v>155.07941515724644</v>
      </c>
      <c r="AK239" s="331">
        <v>3.1014765485297951E-3</v>
      </c>
      <c r="AM239" s="331">
        <v>4.6666666666666662E-3</v>
      </c>
      <c r="AO239" s="331">
        <v>0.5427223250379738</v>
      </c>
      <c r="AP239" s="331">
        <f t="shared" si="91"/>
        <v>1.0491210216435933</v>
      </c>
      <c r="AQ239" s="331">
        <f t="shared" si="92"/>
        <v>1.0462806728930598</v>
      </c>
      <c r="AR239" s="331">
        <f t="shared" si="93"/>
        <v>1.1031767164360879</v>
      </c>
      <c r="AS239" s="331">
        <f t="shared" si="88"/>
        <v>3.6447245318146084</v>
      </c>
      <c r="AT239" s="331">
        <f t="shared" si="89"/>
        <v>1.5046596656933693</v>
      </c>
    </row>
    <row r="240" spans="3:46" ht="13.9" x14ac:dyDescent="0.4">
      <c r="C240" s="1579"/>
      <c r="D240" s="1293" t="s">
        <v>441</v>
      </c>
      <c r="E240" s="1409" t="s">
        <v>61</v>
      </c>
      <c r="F240" s="1468" t="s">
        <v>57</v>
      </c>
      <c r="G240" s="1489" t="s">
        <v>472</v>
      </c>
      <c r="H240" s="1433">
        <v>300</v>
      </c>
      <c r="I240" s="1494" t="s">
        <v>423</v>
      </c>
      <c r="J240" s="1437">
        <v>75.2</v>
      </c>
      <c r="K240" s="1437">
        <v>101.3</v>
      </c>
      <c r="L240" s="1437">
        <v>2.93</v>
      </c>
      <c r="M240" s="1437">
        <v>2.93</v>
      </c>
      <c r="N240" s="1437">
        <v>2.94</v>
      </c>
      <c r="P240" s="1426">
        <v>203000</v>
      </c>
      <c r="Q240" s="331">
        <v>279</v>
      </c>
      <c r="R240" s="1491">
        <v>7</v>
      </c>
      <c r="S240" s="1491">
        <v>0.3</v>
      </c>
      <c r="T240" s="1218">
        <v>-0.5</v>
      </c>
      <c r="U240" s="331">
        <v>641.00000000000011</v>
      </c>
      <c r="V240" s="1218" t="s">
        <v>457</v>
      </c>
      <c r="W240" s="331">
        <f t="shared" si="90"/>
        <v>203000</v>
      </c>
      <c r="Y240" s="1491"/>
      <c r="Z240" s="1491"/>
      <c r="AA240" s="1218"/>
      <c r="AC240" s="703">
        <v>199.94</v>
      </c>
      <c r="AD240" s="331">
        <v>192.910092591107</v>
      </c>
      <c r="AE240" s="331">
        <v>248.124318822872</v>
      </c>
      <c r="AF240" s="331">
        <v>33610.5562576507</v>
      </c>
      <c r="AG240" s="331">
        <v>1.2222872848417299E-3</v>
      </c>
      <c r="AH240" s="331" t="s">
        <v>471</v>
      </c>
      <c r="AI240" s="331">
        <v>203.60471628191294</v>
      </c>
      <c r="AJ240" s="331">
        <v>191.02140366651076</v>
      </c>
      <c r="AK240" s="331">
        <v>2.135444976689035E-3</v>
      </c>
      <c r="AM240" s="331">
        <v>3.5666666666666668E-3</v>
      </c>
      <c r="AO240" s="331">
        <v>0.60200478222749776</v>
      </c>
      <c r="AP240" s="331">
        <f t="shared" si="91"/>
        <v>1.0364413666204266</v>
      </c>
      <c r="AQ240" s="331">
        <f t="shared" si="92"/>
        <v>0.98200082812994005</v>
      </c>
      <c r="AR240" s="331">
        <f t="shared" si="93"/>
        <v>1.0466889896226472</v>
      </c>
      <c r="AS240" s="331">
        <f t="shared" si="88"/>
        <v>2.918026482725379</v>
      </c>
      <c r="AT240" s="331">
        <f t="shared" si="89"/>
        <v>1.6702217596806042</v>
      </c>
    </row>
    <row r="241" spans="3:46" ht="13.9" x14ac:dyDescent="0.4">
      <c r="C241" s="1579"/>
      <c r="D241" s="1293" t="s">
        <v>441</v>
      </c>
      <c r="E241" s="1409" t="s">
        <v>62</v>
      </c>
      <c r="F241" s="1468" t="s">
        <v>57</v>
      </c>
      <c r="G241" s="1489" t="s">
        <v>472</v>
      </c>
      <c r="H241" s="1433">
        <v>300</v>
      </c>
      <c r="I241" s="1494" t="s">
        <v>423</v>
      </c>
      <c r="J241" s="1437">
        <v>99.7</v>
      </c>
      <c r="K241" s="1437">
        <v>101.2</v>
      </c>
      <c r="L241" s="1437">
        <v>2.92</v>
      </c>
      <c r="M241" s="1437">
        <v>2.92</v>
      </c>
      <c r="N241" s="1437">
        <v>2.93</v>
      </c>
      <c r="P241" s="1426">
        <v>203000</v>
      </c>
      <c r="Q241" s="331">
        <v>279</v>
      </c>
      <c r="R241" s="1491">
        <v>7</v>
      </c>
      <c r="S241" s="1491">
        <v>0.3</v>
      </c>
      <c r="T241" s="1218">
        <v>-0.5</v>
      </c>
      <c r="U241" s="331">
        <v>641</v>
      </c>
      <c r="V241" s="1218" t="s">
        <v>457</v>
      </c>
      <c r="W241" s="331">
        <f t="shared" si="90"/>
        <v>203000</v>
      </c>
      <c r="Y241" s="1491"/>
      <c r="Z241" s="1491"/>
      <c r="AA241" s="1218"/>
      <c r="AC241" s="703">
        <v>203.37</v>
      </c>
      <c r="AD241" s="331">
        <v>204.116145586269</v>
      </c>
      <c r="AE241" s="331">
        <v>222.355473705713</v>
      </c>
      <c r="AF241" s="331">
        <v>56228.840228750101</v>
      </c>
      <c r="AG241" s="331">
        <v>1.0953471611118799E-3</v>
      </c>
      <c r="AH241" s="331" t="s">
        <v>471</v>
      </c>
      <c r="AI241" s="331" t="s">
        <v>507</v>
      </c>
      <c r="AJ241" s="331">
        <v>203.3733618810048</v>
      </c>
      <c r="AK241" s="331" t="e">
        <v>#VALUE!</v>
      </c>
      <c r="AM241" s="331">
        <v>1.6666666666666668E-3</v>
      </c>
      <c r="AO241" s="331">
        <v>0.72544976719427601</v>
      </c>
      <c r="AP241" s="331">
        <f t="shared" si="91"/>
        <v>0.99634450482040071</v>
      </c>
      <c r="AQ241" s="331" t="e">
        <f t="shared" si="92"/>
        <v>#VALUE!</v>
      </c>
      <c r="AR241" s="331">
        <f t="shared" si="93"/>
        <v>0.99998346941323235</v>
      </c>
      <c r="AS241" s="331">
        <f t="shared" si="88"/>
        <v>1.5215876078729633</v>
      </c>
      <c r="AT241" s="331" t="e">
        <f t="shared" si="89"/>
        <v>#VALUE!</v>
      </c>
    </row>
    <row r="242" spans="3:46" ht="13.9" x14ac:dyDescent="0.4">
      <c r="C242" s="1579"/>
      <c r="D242" s="1293" t="s">
        <v>441</v>
      </c>
      <c r="E242" s="1409" t="s">
        <v>63</v>
      </c>
      <c r="F242" s="1468" t="s">
        <v>57</v>
      </c>
      <c r="G242" s="1489" t="s">
        <v>472</v>
      </c>
      <c r="H242" s="1433">
        <v>450</v>
      </c>
      <c r="I242" s="1494" t="s">
        <v>423</v>
      </c>
      <c r="J242" s="1437">
        <v>99.6</v>
      </c>
      <c r="K242" s="1437">
        <v>150.9</v>
      </c>
      <c r="L242" s="1437">
        <v>2.93</v>
      </c>
      <c r="M242" s="1437">
        <v>2.95</v>
      </c>
      <c r="N242" s="1437">
        <v>2.93</v>
      </c>
      <c r="P242" s="1426">
        <v>203000</v>
      </c>
      <c r="Q242" s="331">
        <v>279</v>
      </c>
      <c r="R242" s="1491">
        <v>7</v>
      </c>
      <c r="S242" s="1491">
        <v>0.3</v>
      </c>
      <c r="T242" s="1218">
        <v>-0.5</v>
      </c>
      <c r="U242" s="331">
        <v>641</v>
      </c>
      <c r="V242" s="1218" t="s">
        <v>457</v>
      </c>
      <c r="W242" s="331">
        <f t="shared" si="90"/>
        <v>203000</v>
      </c>
      <c r="Y242" s="1491"/>
      <c r="Z242" s="1491"/>
      <c r="AA242" s="1218"/>
      <c r="AC242" s="703">
        <v>207.72</v>
      </c>
      <c r="AD242" s="331">
        <v>219.79046930794101</v>
      </c>
      <c r="AE242" s="331">
        <v>205.86127467502499</v>
      </c>
      <c r="AF242" s="331">
        <v>76784.119149001897</v>
      </c>
      <c r="AG242" s="331">
        <v>1.0140949491380499E-3</v>
      </c>
      <c r="AH242" s="331" t="s">
        <v>471</v>
      </c>
      <c r="AI242" s="331" t="s">
        <v>507</v>
      </c>
      <c r="AJ242" s="331">
        <v>212.7660841658394</v>
      </c>
      <c r="AK242" s="331" t="e">
        <v>#VALUE!</v>
      </c>
      <c r="AM242" s="331">
        <v>1.3333333333333333E-3</v>
      </c>
      <c r="AO242" s="331">
        <v>0.88814529461645664</v>
      </c>
      <c r="AP242" s="331">
        <f t="shared" si="91"/>
        <v>0.94508192577254346</v>
      </c>
      <c r="AQ242" s="331" t="e">
        <f t="shared" si="92"/>
        <v>#VALUE!</v>
      </c>
      <c r="AR242" s="331">
        <f t="shared" si="93"/>
        <v>0.97628341854566325</v>
      </c>
      <c r="AS242" s="331">
        <f t="shared" si="88"/>
        <v>1.3148012762183918</v>
      </c>
      <c r="AT242" s="331" t="e">
        <f t="shared" si="89"/>
        <v>#VALUE!</v>
      </c>
    </row>
    <row r="243" spans="3:46" ht="13.9" x14ac:dyDescent="0.4">
      <c r="C243" s="1579"/>
      <c r="D243" s="1293" t="s">
        <v>441</v>
      </c>
      <c r="E243" s="1409" t="s">
        <v>64</v>
      </c>
      <c r="F243" s="1468" t="s">
        <v>57</v>
      </c>
      <c r="G243" s="1489" t="s">
        <v>472</v>
      </c>
      <c r="H243" s="1433">
        <v>600</v>
      </c>
      <c r="I243" s="1494" t="s">
        <v>423</v>
      </c>
      <c r="J243" s="1437">
        <v>100.15</v>
      </c>
      <c r="K243" s="1437">
        <v>200.7</v>
      </c>
      <c r="L243" s="1437">
        <v>2.93</v>
      </c>
      <c r="M243" s="1437">
        <v>2.93</v>
      </c>
      <c r="N243" s="1437">
        <v>2.93</v>
      </c>
      <c r="P243" s="1426">
        <v>203000</v>
      </c>
      <c r="Q243" s="331">
        <v>279</v>
      </c>
      <c r="R243" s="1491">
        <v>7</v>
      </c>
      <c r="S243" s="1491">
        <v>0.3</v>
      </c>
      <c r="T243" s="1218">
        <v>-0.5</v>
      </c>
      <c r="U243" s="331">
        <v>641</v>
      </c>
      <c r="V243" s="1218" t="s">
        <v>457</v>
      </c>
      <c r="W243" s="331">
        <f t="shared" si="90"/>
        <v>203000</v>
      </c>
      <c r="Y243" s="1491"/>
      <c r="Z243" s="1491"/>
      <c r="AA243" s="1218"/>
      <c r="AC243" s="703">
        <v>206.07</v>
      </c>
      <c r="AD243" s="331">
        <v>210.58855911153401</v>
      </c>
      <c r="AE243" s="331">
        <v>173.54735853561601</v>
      </c>
      <c r="AF243" s="331">
        <v>127667.426697705</v>
      </c>
      <c r="AG243" s="331">
        <v>8.5491309623456297E-4</v>
      </c>
      <c r="AH243" s="331" t="s">
        <v>471</v>
      </c>
      <c r="AI243" s="331" t="s">
        <v>507</v>
      </c>
      <c r="AJ243" s="331">
        <v>215.59063888137862</v>
      </c>
      <c r="AK243" s="331" t="e">
        <v>#VALUE!</v>
      </c>
      <c r="AM243" s="331">
        <v>1.3333333333333335E-3</v>
      </c>
      <c r="AO243" s="331">
        <v>1.1422987337622745</v>
      </c>
      <c r="AP243" s="331">
        <f t="shared" si="91"/>
        <v>0.97854318805068208</v>
      </c>
      <c r="AQ243" s="331" t="e">
        <f t="shared" si="92"/>
        <v>#VALUE!</v>
      </c>
      <c r="AR243" s="331">
        <f t="shared" si="93"/>
        <v>0.95583927516158507</v>
      </c>
      <c r="AS243" s="331">
        <f t="shared" si="88"/>
        <v>1.5596127129248072</v>
      </c>
      <c r="AT243" s="331" t="e">
        <f t="shared" si="89"/>
        <v>#VALUE!</v>
      </c>
    </row>
    <row r="244" spans="3:46" ht="13.9" x14ac:dyDescent="0.4">
      <c r="C244" s="1575"/>
      <c r="D244" s="1293" t="s">
        <v>441</v>
      </c>
      <c r="E244" s="247" t="s">
        <v>65</v>
      </c>
      <c r="F244" s="1466" t="s">
        <v>57</v>
      </c>
      <c r="G244" s="1489" t="s">
        <v>472</v>
      </c>
      <c r="H244" s="715">
        <v>600</v>
      </c>
      <c r="I244" s="1494" t="s">
        <v>423</v>
      </c>
      <c r="J244" s="210">
        <v>150.4</v>
      </c>
      <c r="K244" s="210">
        <v>201.1</v>
      </c>
      <c r="L244" s="1437">
        <v>2.94</v>
      </c>
      <c r="M244" s="210">
        <v>2.95</v>
      </c>
      <c r="N244" s="210">
        <v>2.94</v>
      </c>
      <c r="P244" s="44">
        <v>203000</v>
      </c>
      <c r="Q244" s="331">
        <v>279</v>
      </c>
      <c r="R244" s="1491">
        <v>7</v>
      </c>
      <c r="S244" s="1491">
        <v>0.3</v>
      </c>
      <c r="T244" s="1218">
        <v>-0.5</v>
      </c>
      <c r="U244" s="331">
        <v>641</v>
      </c>
      <c r="V244" s="1218" t="s">
        <v>457</v>
      </c>
      <c r="W244" s="331">
        <f t="shared" si="90"/>
        <v>203000</v>
      </c>
      <c r="Y244" s="1491"/>
      <c r="Z244" s="1491"/>
      <c r="AA244" s="1218"/>
      <c r="AC244" s="703">
        <v>231.41</v>
      </c>
      <c r="AD244" s="331">
        <v>231.23871887143099</v>
      </c>
      <c r="AE244" s="331">
        <v>152.477866359779</v>
      </c>
      <c r="AF244" s="331">
        <v>159664.49674766301</v>
      </c>
      <c r="AG244" s="331">
        <v>7.5112249438314999E-4</v>
      </c>
      <c r="AH244" s="331" t="s">
        <v>471</v>
      </c>
      <c r="AI244" s="331" t="s">
        <v>507</v>
      </c>
      <c r="AJ244" s="331">
        <v>229.36805839114891</v>
      </c>
      <c r="AK244" s="331" t="e">
        <v>#VALUE!</v>
      </c>
      <c r="AM244" s="331">
        <v>1.3333333333333335E-3</v>
      </c>
      <c r="AO244" s="331">
        <v>1.2694278229809057</v>
      </c>
      <c r="AP244" s="331">
        <f t="shared" si="91"/>
        <v>1.000740711284879</v>
      </c>
      <c r="AQ244" s="331" t="e">
        <f t="shared" si="92"/>
        <v>#VALUE!</v>
      </c>
      <c r="AR244" s="331">
        <f t="shared" si="93"/>
        <v>1.0089024671664129</v>
      </c>
      <c r="AS244" s="331">
        <f t="shared" si="88"/>
        <v>1.7751210266020816</v>
      </c>
      <c r="AT244" s="331" t="e">
        <f t="shared" si="89"/>
        <v>#VALUE!</v>
      </c>
    </row>
    <row r="245" spans="3:46" ht="13.9" x14ac:dyDescent="0.4">
      <c r="C245" s="1574" t="s">
        <v>202</v>
      </c>
      <c r="D245" s="1293" t="s">
        <v>441</v>
      </c>
      <c r="E245" s="257" t="s">
        <v>58</v>
      </c>
      <c r="F245" s="1468" t="s">
        <v>57</v>
      </c>
      <c r="G245" s="1489" t="s">
        <v>472</v>
      </c>
      <c r="H245" s="1432">
        <v>150</v>
      </c>
      <c r="I245" s="1494" t="s">
        <v>423</v>
      </c>
      <c r="J245" s="34">
        <v>49.3</v>
      </c>
      <c r="K245" s="14">
        <v>51.3</v>
      </c>
      <c r="L245" s="34">
        <v>3.01</v>
      </c>
      <c r="M245" s="34">
        <v>3.01</v>
      </c>
      <c r="N245" s="34">
        <v>3.04</v>
      </c>
      <c r="P245" s="1426">
        <v>206000</v>
      </c>
      <c r="Q245" s="331">
        <v>508.00000000000006</v>
      </c>
      <c r="R245" s="1491">
        <v>7</v>
      </c>
      <c r="S245" s="1491">
        <v>0.3</v>
      </c>
      <c r="T245" s="1218">
        <v>-0.5</v>
      </c>
      <c r="U245" s="331">
        <v>829</v>
      </c>
      <c r="V245" s="1218" t="s">
        <v>457</v>
      </c>
      <c r="W245" s="331">
        <f t="shared" si="90"/>
        <v>206000</v>
      </c>
      <c r="Y245" s="1491"/>
      <c r="Z245" s="1491"/>
      <c r="AA245" s="1218"/>
      <c r="AC245" s="704">
        <v>253.36</v>
      </c>
      <c r="AD245" s="331">
        <v>271.92183852352298</v>
      </c>
      <c r="AE245" s="331">
        <v>549.62428766671303</v>
      </c>
      <c r="AF245" s="331">
        <v>20383.206376782899</v>
      </c>
      <c r="AG245" s="331">
        <v>2.6680790663432602E-3</v>
      </c>
      <c r="AH245" s="331" t="s">
        <v>471</v>
      </c>
      <c r="AI245" s="331">
        <v>246.81571968292897</v>
      </c>
      <c r="AJ245" s="331">
        <v>221.4149496</v>
      </c>
      <c r="AK245" s="331">
        <v>1.3266150566995833E-2</v>
      </c>
      <c r="AM245" s="331">
        <v>1.0333333333333333E-2</v>
      </c>
      <c r="AO245" s="331">
        <v>0.42635900347573891</v>
      </c>
      <c r="AP245" s="331">
        <f t="shared" si="91"/>
        <v>0.9317383310428109</v>
      </c>
      <c r="AQ245" s="331">
        <f t="shared" si="92"/>
        <v>1.026514844052389</v>
      </c>
      <c r="AR245" s="331">
        <f t="shared" si="93"/>
        <v>1.1442768451620398</v>
      </c>
      <c r="AS245" s="331">
        <f t="shared" si="88"/>
        <v>3.8729486931943509</v>
      </c>
      <c r="AT245" s="331">
        <f t="shared" si="89"/>
        <v>0.77892477408187244</v>
      </c>
    </row>
    <row r="246" spans="3:46" ht="13.9" x14ac:dyDescent="0.4">
      <c r="C246" s="1579"/>
      <c r="D246" s="1293" t="s">
        <v>441</v>
      </c>
      <c r="E246" s="1409" t="s">
        <v>59</v>
      </c>
      <c r="F246" s="1468" t="s">
        <v>57</v>
      </c>
      <c r="G246" s="1489" t="s">
        <v>472</v>
      </c>
      <c r="H246" s="1433">
        <v>300</v>
      </c>
      <c r="I246" s="1494" t="s">
        <v>423</v>
      </c>
      <c r="J246" s="1437">
        <v>99.2</v>
      </c>
      <c r="K246" s="1438">
        <v>51.6</v>
      </c>
      <c r="L246" s="1437">
        <v>2.99</v>
      </c>
      <c r="M246" s="1437">
        <v>3.01</v>
      </c>
      <c r="N246" s="1437">
        <v>2.99</v>
      </c>
      <c r="P246" s="1426">
        <v>206000</v>
      </c>
      <c r="Q246" s="331">
        <v>508</v>
      </c>
      <c r="R246" s="1491">
        <v>7</v>
      </c>
      <c r="S246" s="1491">
        <v>0.3</v>
      </c>
      <c r="T246" s="1218">
        <v>-0.5</v>
      </c>
      <c r="U246" s="331">
        <v>829</v>
      </c>
      <c r="V246" s="1218" t="s">
        <v>457</v>
      </c>
      <c r="W246" s="331">
        <f t="shared" si="90"/>
        <v>206000</v>
      </c>
      <c r="Y246" s="1491"/>
      <c r="Z246" s="1491"/>
      <c r="AA246" s="1218"/>
      <c r="AC246" s="705">
        <v>289.64999999999998</v>
      </c>
      <c r="AD246" s="331">
        <v>308.758149548473</v>
      </c>
      <c r="AE246" s="331">
        <v>391.33625663013402</v>
      </c>
      <c r="AF246" s="331">
        <v>94216.611622529395</v>
      </c>
      <c r="AG246" s="331">
        <v>1.8996905661656999E-3</v>
      </c>
      <c r="AH246" s="331" t="s">
        <v>471</v>
      </c>
      <c r="AI246" s="331" t="s">
        <v>507</v>
      </c>
      <c r="AJ246" s="331">
        <v>269.93234601692518</v>
      </c>
      <c r="AK246" s="331" t="e">
        <v>#VALUE!</v>
      </c>
      <c r="AM246" s="331">
        <v>3.3333333333333335E-3</v>
      </c>
      <c r="AO246" s="331">
        <v>0.87685589295219613</v>
      </c>
      <c r="AP246" s="331">
        <f t="shared" si="91"/>
        <v>0.93811289005191689</v>
      </c>
      <c r="AQ246" s="331" t="e">
        <f t="shared" si="92"/>
        <v>#VALUE!</v>
      </c>
      <c r="AR246" s="331">
        <f t="shared" si="93"/>
        <v>1.0730466514073806</v>
      </c>
      <c r="AS246" s="331">
        <f t="shared" si="88"/>
        <v>1.7546717305973001</v>
      </c>
      <c r="AT246" s="331" t="e">
        <f t="shared" si="89"/>
        <v>#VALUE!</v>
      </c>
    </row>
    <row r="247" spans="3:46" ht="13.9" x14ac:dyDescent="0.4">
      <c r="C247" s="1579"/>
      <c r="D247" s="1293" t="s">
        <v>441</v>
      </c>
      <c r="E247" s="1409" t="s">
        <v>60</v>
      </c>
      <c r="F247" s="1468" t="s">
        <v>57</v>
      </c>
      <c r="G247" s="1489" t="s">
        <v>472</v>
      </c>
      <c r="H247" s="1433">
        <v>300</v>
      </c>
      <c r="I247" s="1494" t="s">
        <v>423</v>
      </c>
      <c r="J247" s="1437">
        <v>50.25</v>
      </c>
      <c r="K247" s="1438">
        <v>101.3</v>
      </c>
      <c r="L247" s="1437">
        <v>3.01</v>
      </c>
      <c r="M247" s="1437">
        <v>3.01</v>
      </c>
      <c r="N247" s="1437">
        <v>3.03</v>
      </c>
      <c r="P247" s="1426">
        <v>206000</v>
      </c>
      <c r="Q247" s="331">
        <v>507.99999999999994</v>
      </c>
      <c r="R247" s="1491">
        <v>7</v>
      </c>
      <c r="S247" s="1491">
        <v>0.3</v>
      </c>
      <c r="T247" s="1218">
        <v>-0.5</v>
      </c>
      <c r="U247" s="331">
        <v>828.99999999999989</v>
      </c>
      <c r="V247" s="1218" t="s">
        <v>457</v>
      </c>
      <c r="W247" s="331">
        <f t="shared" si="90"/>
        <v>206000</v>
      </c>
      <c r="Y247" s="1491"/>
      <c r="Z247" s="1491"/>
      <c r="AA247" s="1218"/>
      <c r="AC247" s="705">
        <v>279.52999999999997</v>
      </c>
      <c r="AD247" s="331">
        <v>301.52559698580802</v>
      </c>
      <c r="AE247" s="331">
        <v>463.86420996982901</v>
      </c>
      <c r="AF247" s="331">
        <v>48010.290928788003</v>
      </c>
      <c r="AG247" s="331">
        <v>2.2517680095622702E-3</v>
      </c>
      <c r="AH247" s="331" t="s">
        <v>482</v>
      </c>
      <c r="AI247" s="331" t="s">
        <v>507</v>
      </c>
      <c r="AJ247" s="331">
        <v>269.48661912292181</v>
      </c>
      <c r="AK247" s="331" t="e">
        <v>#VALUE!</v>
      </c>
      <c r="AM247" s="331">
        <v>4.6666666666666662E-3</v>
      </c>
      <c r="AO247" s="331">
        <v>0.70549582528815902</v>
      </c>
      <c r="AP247" s="331">
        <f t="shared" si="91"/>
        <v>0.92705230598766275</v>
      </c>
      <c r="AQ247" s="331" t="e">
        <f t="shared" si="92"/>
        <v>#VALUE!</v>
      </c>
      <c r="AR247" s="331">
        <f t="shared" si="93"/>
        <v>1.0372685698079023</v>
      </c>
      <c r="AS247" s="331">
        <f t="shared" si="88"/>
        <v>2.0724455835811599</v>
      </c>
      <c r="AT247" s="331" t="e">
        <f t="shared" si="89"/>
        <v>#VALUE!</v>
      </c>
    </row>
    <row r="248" spans="3:46" ht="13.9" x14ac:dyDescent="0.4">
      <c r="C248" s="1579"/>
      <c r="D248" s="1293" t="s">
        <v>441</v>
      </c>
      <c r="E248" s="1409" t="s">
        <v>61</v>
      </c>
      <c r="F248" s="1468" t="s">
        <v>57</v>
      </c>
      <c r="G248" s="1489" t="s">
        <v>472</v>
      </c>
      <c r="H248" s="1433">
        <v>300</v>
      </c>
      <c r="I248" s="1494" t="s">
        <v>423</v>
      </c>
      <c r="J248" s="1437">
        <v>74.8</v>
      </c>
      <c r="K248" s="1438">
        <v>102.05</v>
      </c>
      <c r="L248" s="1437">
        <v>2.99</v>
      </c>
      <c r="M248" s="1437">
        <v>2.99</v>
      </c>
      <c r="N248" s="1437">
        <v>3.02</v>
      </c>
      <c r="P248" s="1426">
        <v>206000</v>
      </c>
      <c r="Q248" s="331">
        <v>508</v>
      </c>
      <c r="R248" s="1491">
        <v>7</v>
      </c>
      <c r="S248" s="1491">
        <v>0.3</v>
      </c>
      <c r="T248" s="1218">
        <v>-0.5</v>
      </c>
      <c r="U248" s="331">
        <v>829</v>
      </c>
      <c r="V248" s="1218" t="s">
        <v>457</v>
      </c>
      <c r="W248" s="331">
        <f t="shared" si="90"/>
        <v>206000</v>
      </c>
      <c r="Y248" s="1491"/>
      <c r="Z248" s="1491"/>
      <c r="AA248" s="1218"/>
      <c r="AC248" s="705">
        <v>309.89999999999998</v>
      </c>
      <c r="AD248" s="331">
        <v>338.137068562531</v>
      </c>
      <c r="AE248" s="331">
        <v>424.279394459005</v>
      </c>
      <c r="AF248" s="331">
        <v>70381.4472932606</v>
      </c>
      <c r="AG248" s="331">
        <v>2.05960871096604E-3</v>
      </c>
      <c r="AH248" s="331" t="s">
        <v>471</v>
      </c>
      <c r="AI248" s="331" t="s">
        <v>507</v>
      </c>
      <c r="AJ248" s="331">
        <v>304.21630884368244</v>
      </c>
      <c r="AK248" s="331" t="e">
        <v>#VALUE!</v>
      </c>
      <c r="AM248" s="331">
        <v>3.666666666666667E-3</v>
      </c>
      <c r="AO248" s="331">
        <v>0.78645016137618384</v>
      </c>
      <c r="AP248" s="331">
        <f t="shared" si="91"/>
        <v>0.91649224179244582</v>
      </c>
      <c r="AQ248" s="331" t="e">
        <f t="shared" si="92"/>
        <v>#VALUE!</v>
      </c>
      <c r="AR248" s="331">
        <f t="shared" si="93"/>
        <v>1.0186830587022802</v>
      </c>
      <c r="AS248" s="331">
        <f t="shared" si="88"/>
        <v>1.7802734311348156</v>
      </c>
      <c r="AT248" s="331" t="e">
        <f t="shared" si="89"/>
        <v>#VALUE!</v>
      </c>
    </row>
    <row r="249" spans="3:46" ht="13.9" x14ac:dyDescent="0.4">
      <c r="C249" s="1579"/>
      <c r="D249" s="1293" t="s">
        <v>441</v>
      </c>
      <c r="E249" s="1409" t="s">
        <v>62</v>
      </c>
      <c r="F249" s="1468" t="s">
        <v>57</v>
      </c>
      <c r="G249" s="1489" t="s">
        <v>472</v>
      </c>
      <c r="H249" s="1433">
        <v>300</v>
      </c>
      <c r="I249" s="1494" t="s">
        <v>423</v>
      </c>
      <c r="J249" s="1437">
        <v>99.7</v>
      </c>
      <c r="K249" s="1438">
        <v>100.3</v>
      </c>
      <c r="L249" s="1437">
        <v>3.02</v>
      </c>
      <c r="M249" s="1437">
        <v>3.02</v>
      </c>
      <c r="N249" s="1437">
        <v>3.03</v>
      </c>
      <c r="P249" s="1426">
        <v>206000</v>
      </c>
      <c r="Q249" s="331">
        <v>508</v>
      </c>
      <c r="R249" s="1491">
        <v>7</v>
      </c>
      <c r="S249" s="1491">
        <v>0.3</v>
      </c>
      <c r="T249" s="1218">
        <v>-0.5</v>
      </c>
      <c r="U249" s="331">
        <v>828.99999999999989</v>
      </c>
      <c r="V249" s="1218" t="s">
        <v>457</v>
      </c>
      <c r="W249" s="331">
        <f t="shared" si="90"/>
        <v>206000</v>
      </c>
      <c r="Y249" s="1491"/>
      <c r="Z249" s="1491"/>
      <c r="AA249" s="1218"/>
      <c r="AC249" s="703">
        <v>323.35000000000002</v>
      </c>
      <c r="AD249" s="331">
        <v>354.79733368233599</v>
      </c>
      <c r="AE249" s="331">
        <v>374.26752321013402</v>
      </c>
      <c r="AF249" s="331">
        <v>107971.629349293</v>
      </c>
      <c r="AG249" s="331">
        <v>1.8168326369424001E-3</v>
      </c>
      <c r="AH249" s="331" t="s">
        <v>471</v>
      </c>
      <c r="AI249" s="331" t="s">
        <v>507</v>
      </c>
      <c r="AJ249" s="331">
        <v>320.38923481532441</v>
      </c>
      <c r="AK249" s="331" t="e">
        <v>#VALUE!</v>
      </c>
      <c r="AM249" s="331">
        <v>2.666666666666667E-3</v>
      </c>
      <c r="AO249" s="331">
        <v>0.9339230295828137</v>
      </c>
      <c r="AP249" s="331">
        <f t="shared" si="91"/>
        <v>0.91136536073720331</v>
      </c>
      <c r="AQ249" s="331" t="e">
        <f t="shared" si="92"/>
        <v>#VALUE!</v>
      </c>
      <c r="AR249" s="331">
        <f t="shared" si="93"/>
        <v>1.009241150647219</v>
      </c>
      <c r="AS249" s="331">
        <f t="shared" si="88"/>
        <v>1.4677558144015275</v>
      </c>
      <c r="AT249" s="331" t="e">
        <f t="shared" si="89"/>
        <v>#VALUE!</v>
      </c>
    </row>
    <row r="250" spans="3:46" ht="13.9" customHeight="1" x14ac:dyDescent="0.4">
      <c r="C250" s="1579"/>
      <c r="D250" s="1293" t="s">
        <v>441</v>
      </c>
      <c r="E250" s="1409" t="s">
        <v>63</v>
      </c>
      <c r="F250" s="1468" t="s">
        <v>57</v>
      </c>
      <c r="G250" s="1489" t="s">
        <v>472</v>
      </c>
      <c r="H250" s="1433">
        <v>450</v>
      </c>
      <c r="I250" s="1494" t="s">
        <v>423</v>
      </c>
      <c r="J250" s="1437">
        <v>99.5</v>
      </c>
      <c r="K250" s="1438">
        <v>151.25</v>
      </c>
      <c r="L250" s="1437">
        <v>3.02</v>
      </c>
      <c r="M250" s="1437">
        <v>3.02</v>
      </c>
      <c r="N250" s="1437">
        <v>3.03</v>
      </c>
      <c r="P250" s="1426">
        <v>206000</v>
      </c>
      <c r="Q250" s="331">
        <v>507.99999999999994</v>
      </c>
      <c r="R250" s="1491">
        <v>7</v>
      </c>
      <c r="S250" s="1491">
        <v>0.3</v>
      </c>
      <c r="T250" s="1218">
        <v>-0.5</v>
      </c>
      <c r="U250" s="331">
        <v>828.99999999999989</v>
      </c>
      <c r="V250" s="1218" t="s">
        <v>457</v>
      </c>
      <c r="W250" s="331">
        <f t="shared" si="90"/>
        <v>206000</v>
      </c>
      <c r="Y250" s="1491"/>
      <c r="Z250" s="1491"/>
      <c r="AA250" s="1218"/>
      <c r="AC250" s="703">
        <v>310.11</v>
      </c>
      <c r="AD250" s="331">
        <v>354.94547323563899</v>
      </c>
      <c r="AE250" s="331">
        <v>322.49157215956001</v>
      </c>
      <c r="AF250" s="331">
        <v>150191.079164608</v>
      </c>
      <c r="AG250" s="331">
        <v>1.5654930687357201E-3</v>
      </c>
      <c r="AH250" s="331" t="s">
        <v>471</v>
      </c>
      <c r="AI250" s="331" t="s">
        <v>507</v>
      </c>
      <c r="AJ250" s="331">
        <v>328.70270221833755</v>
      </c>
      <c r="AK250" s="331" t="e">
        <v>#VALUE!</v>
      </c>
      <c r="AM250" s="331">
        <v>2.7777777777777779E-3</v>
      </c>
      <c r="AO250" s="331">
        <v>1.1550312197899799</v>
      </c>
      <c r="AP250" s="331">
        <f t="shared" si="91"/>
        <v>0.87368349051778471</v>
      </c>
      <c r="AQ250" s="331" t="e">
        <f t="shared" si="92"/>
        <v>#VALUE!</v>
      </c>
      <c r="AR250" s="331">
        <f t="shared" si="93"/>
        <v>0.94343611387171522</v>
      </c>
      <c r="AS250" s="331">
        <f t="shared" si="88"/>
        <v>1.7743788415627348</v>
      </c>
      <c r="AT250" s="331" t="e">
        <f t="shared" si="89"/>
        <v>#VALUE!</v>
      </c>
    </row>
    <row r="251" spans="3:46" ht="13.9" customHeight="1" x14ac:dyDescent="0.4">
      <c r="C251" s="1579"/>
      <c r="D251" s="1293" t="s">
        <v>441</v>
      </c>
      <c r="E251" s="1409" t="s">
        <v>64</v>
      </c>
      <c r="F251" s="1468" t="s">
        <v>57</v>
      </c>
      <c r="G251" s="1489" t="s">
        <v>472</v>
      </c>
      <c r="H251" s="1433">
        <v>600</v>
      </c>
      <c r="I251" s="1494" t="s">
        <v>423</v>
      </c>
      <c r="J251" s="1437">
        <v>100.1</v>
      </c>
      <c r="K251" s="1438">
        <v>201.95</v>
      </c>
      <c r="L251" s="1437">
        <v>3.01</v>
      </c>
      <c r="M251" s="1437">
        <v>3.02</v>
      </c>
      <c r="N251" s="1437">
        <v>3.01</v>
      </c>
      <c r="P251" s="1426">
        <v>206000</v>
      </c>
      <c r="Q251" s="331">
        <v>508.00000000000011</v>
      </c>
      <c r="R251" s="1491">
        <v>7</v>
      </c>
      <c r="S251" s="1491">
        <v>0.3</v>
      </c>
      <c r="T251" s="1218">
        <v>-0.5</v>
      </c>
      <c r="U251" s="331">
        <v>829.00000000000011</v>
      </c>
      <c r="V251" s="1218" t="s">
        <v>457</v>
      </c>
      <c r="W251" s="331">
        <f t="shared" si="90"/>
        <v>206000</v>
      </c>
      <c r="Y251" s="1491"/>
      <c r="Z251" s="1491"/>
      <c r="AA251" s="1218"/>
      <c r="AC251" s="703">
        <v>311.48</v>
      </c>
      <c r="AD251" s="331">
        <v>283.94277000820102</v>
      </c>
      <c r="AE251" s="331">
        <v>226.55505476763099</v>
      </c>
      <c r="AF251" s="331">
        <v>197191.92634227299</v>
      </c>
      <c r="AG251" s="331">
        <v>1.0997818192603401E-3</v>
      </c>
      <c r="AH251" s="331" t="s">
        <v>471</v>
      </c>
      <c r="AI251" s="331" t="s">
        <v>507</v>
      </c>
      <c r="AJ251" s="331">
        <v>330.21596726767717</v>
      </c>
      <c r="AK251" s="331" t="e">
        <v>#VALUE!</v>
      </c>
      <c r="AM251" s="331">
        <v>1.75E-3</v>
      </c>
      <c r="AO251" s="331">
        <v>1.4927610694160272</v>
      </c>
      <c r="AP251" s="331">
        <f t="shared" si="91"/>
        <v>1.0969816205955998</v>
      </c>
      <c r="AQ251" s="331" t="e">
        <f t="shared" si="92"/>
        <v>#VALUE!</v>
      </c>
      <c r="AR251" s="331">
        <f t="shared" si="93"/>
        <v>0.94326147392960702</v>
      </c>
      <c r="AS251" s="331">
        <f t="shared" si="88"/>
        <v>1.591224704166291</v>
      </c>
      <c r="AT251" s="331" t="e">
        <f t="shared" si="89"/>
        <v>#VALUE!</v>
      </c>
    </row>
    <row r="252" spans="3:46" ht="13.9" customHeight="1" x14ac:dyDescent="0.4">
      <c r="C252" s="1575"/>
      <c r="D252" s="1293" t="s">
        <v>441</v>
      </c>
      <c r="E252" s="247" t="s">
        <v>65</v>
      </c>
      <c r="F252" s="1466" t="s">
        <v>57</v>
      </c>
      <c r="G252" s="1489" t="s">
        <v>472</v>
      </c>
      <c r="H252" s="1434">
        <v>600</v>
      </c>
      <c r="I252" s="1494" t="s">
        <v>423</v>
      </c>
      <c r="J252" s="36">
        <v>149.75</v>
      </c>
      <c r="K252" s="210">
        <v>201.4</v>
      </c>
      <c r="L252" s="1437">
        <v>3.01</v>
      </c>
      <c r="M252" s="36">
        <v>3.01</v>
      </c>
      <c r="N252" s="36">
        <v>3.02</v>
      </c>
      <c r="P252" s="44">
        <v>206000</v>
      </c>
      <c r="Q252" s="331">
        <v>507.99999999999994</v>
      </c>
      <c r="R252" s="1491">
        <v>7</v>
      </c>
      <c r="S252" s="1491">
        <v>0.3</v>
      </c>
      <c r="T252" s="1218">
        <v>-0.5</v>
      </c>
      <c r="U252" s="331">
        <v>829</v>
      </c>
      <c r="V252" s="1218" t="s">
        <v>457</v>
      </c>
      <c r="W252" s="331">
        <f t="shared" si="90"/>
        <v>206000</v>
      </c>
      <c r="Y252" s="1491"/>
      <c r="Z252" s="1491"/>
      <c r="AA252" s="1218"/>
      <c r="AC252" s="706">
        <v>359.71</v>
      </c>
      <c r="AD252" s="331">
        <v>286.77713061549298</v>
      </c>
      <c r="AE252" s="331">
        <v>184.85966002319299</v>
      </c>
      <c r="AF252" s="331">
        <v>203319.71081909799</v>
      </c>
      <c r="AG252" s="331">
        <v>8.9737699040385395E-4</v>
      </c>
      <c r="AH252" s="331" t="s">
        <v>471</v>
      </c>
      <c r="AI252" s="331" t="s">
        <v>507</v>
      </c>
      <c r="AJ252" s="331">
        <v>341.63487525523436</v>
      </c>
      <c r="AK252" s="331" t="e">
        <v>#VALUE!</v>
      </c>
      <c r="AM252" s="331">
        <v>2.4166666666666668E-3</v>
      </c>
      <c r="AO252" s="331">
        <v>1.655594505948268</v>
      </c>
      <c r="AP252" s="331">
        <f t="shared" si="91"/>
        <v>1.2543189871102185</v>
      </c>
      <c r="AQ252" s="331" t="e">
        <f t="shared" si="92"/>
        <v>#VALUE!</v>
      </c>
      <c r="AR252" s="331">
        <f t="shared" si="93"/>
        <v>1.0529077270909819</v>
      </c>
      <c r="AS252" s="331">
        <f t="shared" si="88"/>
        <v>2.6930339116217747</v>
      </c>
      <c r="AT252" s="331" t="e">
        <f t="shared" si="89"/>
        <v>#VALUE!</v>
      </c>
    </row>
    <row r="253" spans="3:46" ht="13.9" x14ac:dyDescent="0.4">
      <c r="C253" s="1666" t="s">
        <v>203</v>
      </c>
      <c r="D253" s="1293" t="s">
        <v>441</v>
      </c>
      <c r="E253" s="1413" t="s">
        <v>66</v>
      </c>
      <c r="F253" s="1100" t="s">
        <v>57</v>
      </c>
      <c r="G253" s="1489" t="s">
        <v>472</v>
      </c>
      <c r="H253" s="1108">
        <v>451</v>
      </c>
      <c r="I253" s="1494" t="s">
        <v>423</v>
      </c>
      <c r="J253" s="1448">
        <v>79.5</v>
      </c>
      <c r="K253" s="1448">
        <v>158.80000000000001</v>
      </c>
      <c r="L253" s="1110">
        <v>4.2426406871192857</v>
      </c>
      <c r="M253" s="1448">
        <v>6</v>
      </c>
      <c r="N253" s="1448">
        <v>9.86</v>
      </c>
      <c r="P253" s="1477">
        <v>198000</v>
      </c>
      <c r="Q253" s="331">
        <v>299</v>
      </c>
      <c r="R253" s="1491">
        <v>7</v>
      </c>
      <c r="S253" s="1491">
        <v>0.3</v>
      </c>
      <c r="T253" s="1218">
        <v>-0.5</v>
      </c>
      <c r="U253" s="331">
        <v>609.99999999999989</v>
      </c>
      <c r="V253" s="1218" t="s">
        <v>457</v>
      </c>
      <c r="W253" s="331">
        <f t="shared" si="90"/>
        <v>198000</v>
      </c>
      <c r="Y253" s="1491"/>
      <c r="Z253" s="1491"/>
      <c r="AA253" s="1218"/>
      <c r="AC253" s="1103">
        <v>885</v>
      </c>
      <c r="AD253" s="331">
        <v>777.91247015741499</v>
      </c>
      <c r="AE253" s="331">
        <v>295.58149230467899</v>
      </c>
      <c r="AF253" s="331">
        <v>20512.112430388399</v>
      </c>
      <c r="AG253" s="331">
        <v>1.4928358197206001E-3</v>
      </c>
      <c r="AH253" s="331" t="s">
        <v>482</v>
      </c>
      <c r="AI253" s="331">
        <v>856.9936911348567</v>
      </c>
      <c r="AJ253" s="331">
        <v>718.26378</v>
      </c>
      <c r="AK253" s="331">
        <v>1.6377412188213938E-2</v>
      </c>
      <c r="AM253" s="331">
        <v>2.2172949002217297E-2</v>
      </c>
      <c r="AO253" s="331">
        <v>0.35090911267109387</v>
      </c>
      <c r="AP253" s="331">
        <f t="shared" si="91"/>
        <v>1.1376601275216931</v>
      </c>
      <c r="AQ253" s="331">
        <f t="shared" si="92"/>
        <v>1.0326797141622555</v>
      </c>
      <c r="AR253" s="331">
        <f t="shared" si="93"/>
        <v>1.2321378644486292</v>
      </c>
      <c r="AS253" s="331">
        <f t="shared" si="88"/>
        <v>14.85290526212534</v>
      </c>
      <c r="AT253" s="331">
        <f t="shared" si="89"/>
        <v>1.3538737834402272</v>
      </c>
    </row>
    <row r="254" spans="3:46" ht="13.9" x14ac:dyDescent="0.4">
      <c r="C254" s="1666"/>
      <c r="D254" s="1293" t="s">
        <v>441</v>
      </c>
      <c r="E254" s="1409" t="s">
        <v>68</v>
      </c>
      <c r="F254" s="1468" t="s">
        <v>57</v>
      </c>
      <c r="G254" s="1489" t="s">
        <v>472</v>
      </c>
      <c r="H254" s="1433">
        <v>447</v>
      </c>
      <c r="I254" s="1494" t="s">
        <v>423</v>
      </c>
      <c r="J254" s="1437">
        <v>160.75</v>
      </c>
      <c r="K254" s="1437">
        <v>159.1</v>
      </c>
      <c r="L254" s="1437">
        <v>4.2426406871192857</v>
      </c>
      <c r="M254" s="1437">
        <v>6</v>
      </c>
      <c r="N254" s="1437">
        <v>9.94</v>
      </c>
      <c r="P254" s="1426">
        <v>198000</v>
      </c>
      <c r="Q254" s="331">
        <v>300</v>
      </c>
      <c r="R254" s="1491">
        <v>7</v>
      </c>
      <c r="S254" s="1491">
        <v>0.3</v>
      </c>
      <c r="T254" s="1218">
        <v>-0.5</v>
      </c>
      <c r="U254" s="331">
        <v>610</v>
      </c>
      <c r="V254" s="1218" t="s">
        <v>457</v>
      </c>
      <c r="W254" s="331">
        <f t="shared" si="90"/>
        <v>198000</v>
      </c>
      <c r="Y254" s="1491"/>
      <c r="Z254" s="1491"/>
      <c r="AA254" s="1218"/>
      <c r="AC254" s="705">
        <v>1440</v>
      </c>
      <c r="AD254" s="331">
        <v>1288.3602005273999</v>
      </c>
      <c r="AE254" s="331">
        <v>302.33489899442799</v>
      </c>
      <c r="AF254" s="331">
        <v>18539.373285837501</v>
      </c>
      <c r="AG254" s="331">
        <v>1.5269439343152901E-3</v>
      </c>
      <c r="AH254" s="331" t="s">
        <v>471</v>
      </c>
      <c r="AI254" s="331">
        <v>1320.6725359853372</v>
      </c>
      <c r="AJ254" s="331">
        <v>1209.309</v>
      </c>
      <c r="AK254" s="331">
        <v>8.6264379585853871E-3</v>
      </c>
      <c r="AM254" s="331">
        <v>1.7002237136465325E-2</v>
      </c>
      <c r="AO254" s="331">
        <v>0.41969578029887661</v>
      </c>
      <c r="AP254" s="331">
        <f t="shared" si="91"/>
        <v>1.1176998477681359</v>
      </c>
      <c r="AQ254" s="331">
        <f t="shared" si="92"/>
        <v>1.0903535590869498</v>
      </c>
      <c r="AR254" s="331">
        <f t="shared" si="93"/>
        <v>1.1907626586753262</v>
      </c>
      <c r="AS254" s="331">
        <f t="shared" si="88"/>
        <v>11.134814287788139</v>
      </c>
      <c r="AT254" s="331">
        <f t="shared" si="89"/>
        <v>1.9709452752215064</v>
      </c>
    </row>
    <row r="255" spans="3:46" ht="13.9" x14ac:dyDescent="0.4">
      <c r="C255" s="1666"/>
      <c r="D255" s="1293" t="s">
        <v>441</v>
      </c>
      <c r="E255" s="1414" t="s">
        <v>69</v>
      </c>
      <c r="F255" s="1468" t="s">
        <v>57</v>
      </c>
      <c r="G255" s="1489" t="s">
        <v>472</v>
      </c>
      <c r="H255" s="717">
        <v>894</v>
      </c>
      <c r="I255" s="1494" t="s">
        <v>423</v>
      </c>
      <c r="J255" s="1438">
        <v>160.69999999999999</v>
      </c>
      <c r="K255" s="1438">
        <v>320</v>
      </c>
      <c r="L255" s="1437">
        <v>4.2426406871192857</v>
      </c>
      <c r="M255" s="1438">
        <v>6</v>
      </c>
      <c r="N255" s="1438">
        <v>9.84</v>
      </c>
      <c r="P255" s="1426">
        <v>198000</v>
      </c>
      <c r="Q255" s="331">
        <v>300</v>
      </c>
      <c r="R255" s="1491">
        <v>7</v>
      </c>
      <c r="S255" s="1491">
        <v>0.3</v>
      </c>
      <c r="T255" s="1218">
        <v>-0.5</v>
      </c>
      <c r="U255" s="331">
        <v>615.00000000000011</v>
      </c>
      <c r="V255" s="1218" t="s">
        <v>457</v>
      </c>
      <c r="W255" s="331">
        <f t="shared" si="90"/>
        <v>198000</v>
      </c>
      <c r="Y255" s="1491"/>
      <c r="Z255" s="1491"/>
      <c r="AA255" s="1218"/>
      <c r="AC255" s="705">
        <v>1430</v>
      </c>
      <c r="AD255" s="331">
        <v>1276.69607389309</v>
      </c>
      <c r="AE255" s="331">
        <v>245.80723328087399</v>
      </c>
      <c r="AF255" s="331">
        <v>52162.360122360697</v>
      </c>
      <c r="AG255" s="331">
        <v>1.2414506731357299E-3</v>
      </c>
      <c r="AH255" s="331" t="s">
        <v>471</v>
      </c>
      <c r="AI255" s="331" t="s">
        <v>507</v>
      </c>
      <c r="AJ255" s="331">
        <v>1299.5392930311018</v>
      </c>
      <c r="AK255" s="331" t="e">
        <v>#VALUE!</v>
      </c>
      <c r="AM255" s="331">
        <v>6.3758389261744965E-3</v>
      </c>
      <c r="AO255" s="331">
        <v>0.77958161304296325</v>
      </c>
      <c r="AP255" s="331">
        <f t="shared" si="91"/>
        <v>1.1200786383241808</v>
      </c>
      <c r="AQ255" s="331" t="e">
        <f t="shared" si="92"/>
        <v>#VALUE!</v>
      </c>
      <c r="AR255" s="331">
        <f t="shared" si="93"/>
        <v>1.1003899671741406</v>
      </c>
      <c r="AS255" s="331">
        <f t="shared" si="88"/>
        <v>5.1357972283103468</v>
      </c>
      <c r="AT255" s="331" t="e">
        <f t="shared" si="89"/>
        <v>#VALUE!</v>
      </c>
    </row>
    <row r="256" spans="3:46" ht="13.9" x14ac:dyDescent="0.4">
      <c r="C256" s="1666"/>
      <c r="D256" s="1293" t="s">
        <v>441</v>
      </c>
      <c r="E256" s="1415" t="s">
        <v>68</v>
      </c>
      <c r="F256" s="1468" t="s">
        <v>57</v>
      </c>
      <c r="G256" s="1489" t="s">
        <v>472</v>
      </c>
      <c r="H256" s="717">
        <v>449</v>
      </c>
      <c r="I256" s="1494" t="s">
        <v>423</v>
      </c>
      <c r="J256" s="1438">
        <v>160.30000000000001</v>
      </c>
      <c r="K256" s="1438">
        <v>160.5</v>
      </c>
      <c r="L256" s="1437">
        <v>4.2426406871192857</v>
      </c>
      <c r="M256" s="1438">
        <v>6.8</v>
      </c>
      <c r="N256" s="1438">
        <v>10.06</v>
      </c>
      <c r="P256" s="44">
        <v>198000</v>
      </c>
      <c r="Q256" s="331">
        <v>521.99999999999989</v>
      </c>
      <c r="R256" s="1491">
        <v>7</v>
      </c>
      <c r="S256" s="1491">
        <v>0.3</v>
      </c>
      <c r="T256" s="1218">
        <v>-0.5</v>
      </c>
      <c r="U256" s="331">
        <v>755.99999999999989</v>
      </c>
      <c r="V256" s="1218" t="s">
        <v>457</v>
      </c>
      <c r="W256" s="331">
        <f t="shared" si="90"/>
        <v>198000</v>
      </c>
      <c r="Y256" s="1491"/>
      <c r="Z256" s="1491"/>
      <c r="AA256" s="1218"/>
      <c r="AC256" s="705">
        <v>2590</v>
      </c>
      <c r="AD256" s="331">
        <v>2292.1472893432001</v>
      </c>
      <c r="AE256" s="331">
        <v>515.20924122379904</v>
      </c>
      <c r="AF256" s="331">
        <v>33507.660515189098</v>
      </c>
      <c r="AG256" s="331">
        <v>2.6020668748676702E-3</v>
      </c>
      <c r="AH256" s="331" t="s">
        <v>471</v>
      </c>
      <c r="AI256" s="331">
        <v>2260.2406345748841</v>
      </c>
      <c r="AJ256" s="331">
        <v>2177.8486629421182</v>
      </c>
      <c r="AK256" s="331">
        <v>6.3935128749093391E-3</v>
      </c>
      <c r="AM256" s="331">
        <v>1.5144766146993317E-2</v>
      </c>
      <c r="AO256" s="331">
        <v>0.53197410638094611</v>
      </c>
      <c r="AP256" s="331">
        <f t="shared" si="91"/>
        <v>1.1299448390780105</v>
      </c>
      <c r="AQ256" s="331">
        <f t="shared" si="92"/>
        <v>1.1458956893265209</v>
      </c>
      <c r="AR256" s="331">
        <f t="shared" si="93"/>
        <v>1.1892470051160924</v>
      </c>
      <c r="AS256" s="331">
        <f t="shared" si="88"/>
        <v>5.8202832115002865</v>
      </c>
      <c r="AT256" s="331">
        <f t="shared" si="89"/>
        <v>2.3687707279713694</v>
      </c>
    </row>
    <row r="257" spans="3:46" ht="13.9" x14ac:dyDescent="0.4">
      <c r="C257" s="1647" t="s">
        <v>389</v>
      </c>
      <c r="D257" s="1293" t="s">
        <v>441</v>
      </c>
      <c r="E257" s="513" t="s">
        <v>174</v>
      </c>
      <c r="F257" s="42" t="s">
        <v>57</v>
      </c>
      <c r="G257" s="1489" t="s">
        <v>472</v>
      </c>
      <c r="H257" s="1435">
        <v>600.15</v>
      </c>
      <c r="I257" s="1494" t="s">
        <v>423</v>
      </c>
      <c r="J257" s="14">
        <v>139.29</v>
      </c>
      <c r="K257" s="14">
        <v>199.13</v>
      </c>
      <c r="L257" s="34">
        <v>8.14</v>
      </c>
      <c r="M257" s="14">
        <v>8.14</v>
      </c>
      <c r="N257" s="14">
        <v>12.68</v>
      </c>
      <c r="P257" s="1478">
        <v>214000</v>
      </c>
      <c r="Q257" s="331">
        <v>534.34775358103332</v>
      </c>
      <c r="R257" s="1491">
        <v>7</v>
      </c>
      <c r="S257" s="1491">
        <v>0.3</v>
      </c>
      <c r="T257" s="1218">
        <v>-0.5</v>
      </c>
      <c r="U257" s="331">
        <v>723.92967604929015</v>
      </c>
      <c r="V257" s="1218" t="s">
        <v>457</v>
      </c>
      <c r="W257" s="331">
        <f t="shared" si="90"/>
        <v>214000</v>
      </c>
      <c r="Y257" s="1491"/>
      <c r="Z257" s="1491"/>
      <c r="AA257" s="1218"/>
      <c r="AC257" s="704">
        <v>2978</v>
      </c>
      <c r="AD257" s="331">
        <v>3119.4509205537702</v>
      </c>
      <c r="AE257" s="331">
        <v>574.370703648279</v>
      </c>
      <c r="AF257" s="331">
        <v>22180.218377780198</v>
      </c>
      <c r="AG257" s="331">
        <v>2.68397525069289E-3</v>
      </c>
      <c r="AH257" s="331" t="s">
        <v>482</v>
      </c>
      <c r="AI257" s="331">
        <v>2994.2664978202565</v>
      </c>
      <c r="AJ257" s="331">
        <v>2643.3553908000004</v>
      </c>
      <c r="AK257" s="331">
        <v>1.7240613715934921E-2</v>
      </c>
      <c r="AM257" s="331">
        <v>1.3749895859368493E-2</v>
      </c>
      <c r="AO257" s="331">
        <v>0.39780109362539567</v>
      </c>
      <c r="AP257" s="331">
        <f t="shared" si="91"/>
        <v>0.95465518639137315</v>
      </c>
      <c r="AQ257" s="331">
        <f t="shared" si="92"/>
        <v>0.99456745155045545</v>
      </c>
      <c r="AR257" s="331">
        <f t="shared" si="93"/>
        <v>1.1265984174374377</v>
      </c>
      <c r="AS257" s="331">
        <f t="shared" si="88"/>
        <v>5.1229592582192574</v>
      </c>
      <c r="AT257" s="331">
        <f t="shared" si="89"/>
        <v>0.79752937371712729</v>
      </c>
    </row>
    <row r="258" spans="3:46" ht="13.9" x14ac:dyDescent="0.4">
      <c r="C258" s="1559"/>
      <c r="D258" s="1293" t="s">
        <v>441</v>
      </c>
      <c r="E258" s="515" t="s">
        <v>173</v>
      </c>
      <c r="F258" s="1426" t="s">
        <v>57</v>
      </c>
      <c r="G258" s="1489" t="s">
        <v>472</v>
      </c>
      <c r="H258" s="717">
        <v>600.28</v>
      </c>
      <c r="I258" s="1494" t="s">
        <v>423</v>
      </c>
      <c r="J258" s="1438">
        <v>139</v>
      </c>
      <c r="K258" s="1438">
        <v>199.15</v>
      </c>
      <c r="L258" s="1437">
        <v>8.0250000000000004</v>
      </c>
      <c r="M258" s="1438">
        <v>8.0250000000000004</v>
      </c>
      <c r="N258" s="1438">
        <v>10.35</v>
      </c>
      <c r="P258" s="1478">
        <v>215000</v>
      </c>
      <c r="Q258" s="331">
        <v>501.99694212222283</v>
      </c>
      <c r="R258" s="1491">
        <v>7</v>
      </c>
      <c r="S258" s="1491">
        <v>0.3</v>
      </c>
      <c r="T258" s="1218">
        <v>-0.5</v>
      </c>
      <c r="U258" s="331">
        <v>754.8751243296208</v>
      </c>
      <c r="V258" s="1218" t="s">
        <v>457</v>
      </c>
      <c r="W258" s="331">
        <f t="shared" si="90"/>
        <v>215000</v>
      </c>
      <c r="Y258" s="1491"/>
      <c r="Z258" s="1491"/>
      <c r="AA258" s="1218"/>
      <c r="AC258" s="1496">
        <v>2540</v>
      </c>
      <c r="AD258" s="331">
        <v>2537.50618098423</v>
      </c>
      <c r="AE258" s="331">
        <v>533.76106469825197</v>
      </c>
      <c r="AF258" s="331">
        <v>22246.510994173601</v>
      </c>
      <c r="AG258" s="331">
        <v>2.4826096032476799E-3</v>
      </c>
      <c r="AH258" s="331" t="s">
        <v>482</v>
      </c>
      <c r="AI258" s="331">
        <v>2343.1275004810909</v>
      </c>
      <c r="AJ258" s="331">
        <v>2163.2861699999999</v>
      </c>
      <c r="AK258" s="331">
        <v>1.0795025297063976E-2</v>
      </c>
      <c r="AM258" s="331">
        <v>1.0979876057839675E-2</v>
      </c>
      <c r="AO258" s="331">
        <v>0.44468216355703677</v>
      </c>
      <c r="AP258" s="331">
        <f t="shared" si="91"/>
        <v>1.0009827834251039</v>
      </c>
      <c r="AQ258" s="331">
        <f t="shared" si="92"/>
        <v>1.0840212491545966</v>
      </c>
      <c r="AR258" s="331">
        <f t="shared" si="93"/>
        <v>1.1741396192626703</v>
      </c>
      <c r="AS258" s="331">
        <f t="shared" si="88"/>
        <v>4.4227155342813909</v>
      </c>
      <c r="AT258" s="331">
        <f t="shared" si="89"/>
        <v>1.0171236987120331</v>
      </c>
    </row>
    <row r="259" spans="3:46" ht="13.9" x14ac:dyDescent="0.4">
      <c r="C259" s="1559"/>
      <c r="D259" s="1293" t="s">
        <v>441</v>
      </c>
      <c r="E259" s="515" t="s">
        <v>172</v>
      </c>
      <c r="F259" s="1426" t="s">
        <v>57</v>
      </c>
      <c r="G259" s="1489" t="s">
        <v>472</v>
      </c>
      <c r="H259" s="717">
        <v>600.33000000000004</v>
      </c>
      <c r="I259" s="1494" t="s">
        <v>423</v>
      </c>
      <c r="J259" s="1438">
        <v>139.04</v>
      </c>
      <c r="K259" s="1438">
        <v>201.06</v>
      </c>
      <c r="L259" s="1437">
        <v>5.98</v>
      </c>
      <c r="M259" s="1438">
        <v>5.98</v>
      </c>
      <c r="N259" s="1438">
        <v>8.0399999999999991</v>
      </c>
      <c r="P259" s="1478">
        <v>210000</v>
      </c>
      <c r="Q259" s="331">
        <v>507.97198947343099</v>
      </c>
      <c r="R259" s="1491">
        <v>7</v>
      </c>
      <c r="S259" s="1491">
        <v>0.3</v>
      </c>
      <c r="T259" s="1218">
        <v>-0.5</v>
      </c>
      <c r="U259" s="331">
        <v>727.5</v>
      </c>
      <c r="V259" s="1218" t="s">
        <v>457</v>
      </c>
      <c r="W259" s="331">
        <f t="shared" si="90"/>
        <v>210000</v>
      </c>
      <c r="Y259" s="1491"/>
      <c r="Z259" s="1491"/>
      <c r="AA259" s="1218"/>
      <c r="AC259" s="1496">
        <v>1849</v>
      </c>
      <c r="AD259" s="331">
        <v>1693.57798886929</v>
      </c>
      <c r="AE259" s="331">
        <v>471.51838490891299</v>
      </c>
      <c r="AF259" s="331">
        <v>44659.874874454501</v>
      </c>
      <c r="AG259" s="331">
        <v>2.2453256424233899E-3</v>
      </c>
      <c r="AH259" s="331" t="s">
        <v>471</v>
      </c>
      <c r="AI259" s="331">
        <v>1710.7458656493004</v>
      </c>
      <c r="AJ259" s="331">
        <v>1586.6818768297762</v>
      </c>
      <c r="AK259" s="331">
        <v>3.2398336098416339E-3</v>
      </c>
      <c r="AM259" s="331">
        <v>6.0983125947395595E-3</v>
      </c>
      <c r="AO259" s="331">
        <v>0.62735085236810395</v>
      </c>
      <c r="AP259" s="331">
        <f t="shared" si="91"/>
        <v>1.0917713929634127</v>
      </c>
      <c r="AQ259" s="331">
        <f t="shared" si="92"/>
        <v>1.0808151211274308</v>
      </c>
      <c r="AR259" s="331">
        <f t="shared" si="93"/>
        <v>1.1653249633722047</v>
      </c>
      <c r="AS259" s="331">
        <f t="shared" si="88"/>
        <v>2.7160036297263428</v>
      </c>
      <c r="AT259" s="331">
        <f t="shared" si="89"/>
        <v>1.8822919103668569</v>
      </c>
    </row>
    <row r="260" spans="3:46" ht="13.9" x14ac:dyDescent="0.4">
      <c r="C260" s="1648"/>
      <c r="D260" s="1293" t="s">
        <v>441</v>
      </c>
      <c r="E260" s="518" t="s">
        <v>171</v>
      </c>
      <c r="F260" s="44" t="s">
        <v>57</v>
      </c>
      <c r="G260" s="1489" t="s">
        <v>472</v>
      </c>
      <c r="H260" s="715">
        <v>600.35</v>
      </c>
      <c r="I260" s="1494" t="s">
        <v>423</v>
      </c>
      <c r="J260" s="210">
        <v>138.88999999999999</v>
      </c>
      <c r="K260" s="177">
        <v>202.05</v>
      </c>
      <c r="L260" s="177">
        <v>6.01</v>
      </c>
      <c r="M260" s="177">
        <v>6.01</v>
      </c>
      <c r="N260" s="177">
        <v>6.12</v>
      </c>
      <c r="P260" s="519">
        <v>195000</v>
      </c>
      <c r="Q260" s="331">
        <v>516</v>
      </c>
      <c r="R260" s="1491">
        <v>7</v>
      </c>
      <c r="S260" s="1491">
        <v>0.3</v>
      </c>
      <c r="T260" s="1218">
        <v>-0.5</v>
      </c>
      <c r="U260" s="331">
        <v>727.5</v>
      </c>
      <c r="V260" s="1218" t="s">
        <v>457</v>
      </c>
      <c r="W260" s="331">
        <f t="shared" si="90"/>
        <v>195000</v>
      </c>
      <c r="Y260" s="1491"/>
      <c r="Z260" s="1491"/>
      <c r="AA260" s="1218"/>
      <c r="AC260" s="1497">
        <v>1473</v>
      </c>
      <c r="AD260" s="331">
        <v>1355.3759459360999</v>
      </c>
      <c r="AE260" s="331">
        <v>440.63552094097901</v>
      </c>
      <c r="AF260" s="331">
        <v>63900.996515367602</v>
      </c>
      <c r="AG260" s="331">
        <v>2.25966933815887E-3</v>
      </c>
      <c r="AH260" s="331" t="s">
        <v>471</v>
      </c>
      <c r="AI260" s="331" t="s">
        <v>507</v>
      </c>
      <c r="AJ260" s="331">
        <v>1209.2457116555581</v>
      </c>
      <c r="AK260" s="331" t="e">
        <v>#VALUE!</v>
      </c>
      <c r="AM260" s="331">
        <v>4.4873823602898308E-3</v>
      </c>
      <c r="AO260" s="331">
        <v>0.77803232835042102</v>
      </c>
      <c r="AP260" s="331">
        <f t="shared" si="91"/>
        <v>1.0867833418591932</v>
      </c>
      <c r="AQ260" s="331" t="e">
        <f t="shared" si="92"/>
        <v>#VALUE!</v>
      </c>
      <c r="AR260" s="331">
        <f t="shared" si="93"/>
        <v>1.2181147187889054</v>
      </c>
      <c r="AS260" s="331">
        <f t="shared" si="88"/>
        <v>1.9858579680273281</v>
      </c>
      <c r="AT260" s="331" t="e">
        <f t="shared" si="89"/>
        <v>#VALUE!</v>
      </c>
    </row>
    <row r="261" spans="3:46" ht="13.9" x14ac:dyDescent="0.4">
      <c r="C261" s="1664" t="s">
        <v>204</v>
      </c>
      <c r="D261" s="1293" t="s">
        <v>441</v>
      </c>
      <c r="E261" s="1416" t="s">
        <v>163</v>
      </c>
      <c r="F261" s="125" t="s">
        <v>57</v>
      </c>
      <c r="G261" s="1489" t="s">
        <v>472</v>
      </c>
      <c r="H261" s="717">
        <v>399.5</v>
      </c>
      <c r="I261" s="1494" t="s">
        <v>423</v>
      </c>
      <c r="J261" s="1438">
        <v>79.2</v>
      </c>
      <c r="K261" s="1438">
        <v>139.1</v>
      </c>
      <c r="L261" s="1437">
        <v>5.6568542494923806</v>
      </c>
      <c r="M261" s="1438">
        <v>6</v>
      </c>
      <c r="N261" s="1438">
        <v>6</v>
      </c>
      <c r="P261" s="1478">
        <v>220000</v>
      </c>
      <c r="Q261" s="331">
        <v>345</v>
      </c>
      <c r="R261" s="1491">
        <v>7</v>
      </c>
      <c r="S261" s="1491">
        <v>0.3</v>
      </c>
      <c r="T261" s="1218">
        <v>-0.5</v>
      </c>
      <c r="U261" s="331">
        <v>479</v>
      </c>
      <c r="V261" s="1218" t="s">
        <v>457</v>
      </c>
      <c r="W261" s="331">
        <f t="shared" si="90"/>
        <v>220000</v>
      </c>
      <c r="Y261" s="1491"/>
      <c r="Z261" s="1491"/>
      <c r="AA261" s="1218"/>
      <c r="AC261" s="710">
        <v>680</v>
      </c>
      <c r="AD261" s="331">
        <v>665.58423077105397</v>
      </c>
      <c r="AE261" s="331">
        <v>343.27201688522803</v>
      </c>
      <c r="AF261" s="331">
        <v>22768.2366271024</v>
      </c>
      <c r="AG261" s="331">
        <v>1.56032734947831E-3</v>
      </c>
      <c r="AH261" s="331" t="s">
        <v>482</v>
      </c>
      <c r="AI261" s="331">
        <v>658.15951641348477</v>
      </c>
      <c r="AJ261" s="331">
        <v>590.98500000000001</v>
      </c>
      <c r="AK261" s="331">
        <v>1.4208064235429375E-2</v>
      </c>
      <c r="AM261" s="331">
        <v>1.4267834793491866E-2</v>
      </c>
      <c r="AO261" s="331">
        <v>0.3688835668968804</v>
      </c>
      <c r="AP261" s="331">
        <f t="shared" si="91"/>
        <v>1.0216588202701946</v>
      </c>
      <c r="AQ261" s="331">
        <f t="shared" si="92"/>
        <v>1.0331841795823766</v>
      </c>
      <c r="AR261" s="331">
        <f t="shared" si="93"/>
        <v>1.1506214201714087</v>
      </c>
      <c r="AS261" s="331">
        <f t="shared" si="88"/>
        <v>9.1441291458886926</v>
      </c>
      <c r="AT261" s="331">
        <f t="shared" si="89"/>
        <v>1.0042068051686763</v>
      </c>
    </row>
    <row r="262" spans="3:46" ht="13.9" x14ac:dyDescent="0.4">
      <c r="C262" s="1664"/>
      <c r="D262" s="1293" t="s">
        <v>441</v>
      </c>
      <c r="E262" s="1416" t="s">
        <v>164</v>
      </c>
      <c r="F262" s="125" t="s">
        <v>57</v>
      </c>
      <c r="G262" s="1489" t="s">
        <v>472</v>
      </c>
      <c r="H262" s="717">
        <v>399.5</v>
      </c>
      <c r="I262" s="1494" t="s">
        <v>423</v>
      </c>
      <c r="J262" s="1438">
        <v>99.55</v>
      </c>
      <c r="K262" s="1438">
        <v>140.80000000000001</v>
      </c>
      <c r="L262" s="1437">
        <v>5.6568542494923806</v>
      </c>
      <c r="M262" s="1438">
        <v>6</v>
      </c>
      <c r="N262" s="1438">
        <v>6</v>
      </c>
      <c r="P262" s="1478">
        <v>220000</v>
      </c>
      <c r="Q262" s="331">
        <v>345</v>
      </c>
      <c r="R262" s="1491">
        <v>7</v>
      </c>
      <c r="S262" s="1491">
        <v>0.3</v>
      </c>
      <c r="T262" s="1218">
        <v>-0.5</v>
      </c>
      <c r="U262" s="331">
        <v>478.99999999999989</v>
      </c>
      <c r="V262" s="1218" t="s">
        <v>457</v>
      </c>
      <c r="W262" s="331">
        <f t="shared" si="90"/>
        <v>220000</v>
      </c>
      <c r="Y262" s="1491"/>
      <c r="Z262" s="1491"/>
      <c r="AA262" s="1218"/>
      <c r="AC262" s="710">
        <v>788</v>
      </c>
      <c r="AD262" s="331">
        <v>812.57182927252495</v>
      </c>
      <c r="AE262" s="331">
        <v>370.47216223076902</v>
      </c>
      <c r="AF262" s="331">
        <v>14977.874913093299</v>
      </c>
      <c r="AG262" s="331">
        <v>1.6839643737762201E-3</v>
      </c>
      <c r="AH262" s="331" t="s">
        <v>471</v>
      </c>
      <c r="AI262" s="331">
        <v>729.0119583570081</v>
      </c>
      <c r="AJ262" s="331">
        <v>678.75300000000004</v>
      </c>
      <c r="AK262" s="331">
        <v>9.8022918200678013E-3</v>
      </c>
      <c r="AM262" s="331">
        <v>1.6270337922403004E-2</v>
      </c>
      <c r="AO262" s="331">
        <v>0.40894896164511363</v>
      </c>
      <c r="AP262" s="331">
        <f t="shared" si="91"/>
        <v>0.96976042192537804</v>
      </c>
      <c r="AQ262" s="331">
        <f t="shared" si="92"/>
        <v>1.0809150535416931</v>
      </c>
      <c r="AR262" s="331">
        <f t="shared" si="93"/>
        <v>1.16095251144378</v>
      </c>
      <c r="AS262" s="331">
        <f t="shared" si="88"/>
        <v>9.6619252614694258</v>
      </c>
      <c r="AT262" s="331">
        <f t="shared" si="89"/>
        <v>1.6598503922412773</v>
      </c>
    </row>
    <row r="263" spans="3:46" ht="13.9" x14ac:dyDescent="0.4">
      <c r="C263" s="1664"/>
      <c r="D263" s="1293" t="s">
        <v>441</v>
      </c>
      <c r="E263" s="1416" t="s">
        <v>165</v>
      </c>
      <c r="F263" s="125" t="s">
        <v>57</v>
      </c>
      <c r="G263" s="1489" t="s">
        <v>472</v>
      </c>
      <c r="H263" s="717">
        <v>399</v>
      </c>
      <c r="I263" s="1494" t="s">
        <v>423</v>
      </c>
      <c r="J263" s="1438">
        <v>119.6</v>
      </c>
      <c r="K263" s="1438">
        <v>138.9</v>
      </c>
      <c r="L263" s="1437">
        <v>5.6568542494923806</v>
      </c>
      <c r="M263" s="1438">
        <v>6</v>
      </c>
      <c r="N263" s="1438">
        <v>6</v>
      </c>
      <c r="P263" s="1478">
        <v>220000</v>
      </c>
      <c r="Q263" s="331">
        <v>345</v>
      </c>
      <c r="R263" s="1491">
        <v>7</v>
      </c>
      <c r="S263" s="1491">
        <v>0.3</v>
      </c>
      <c r="T263" s="1218">
        <v>-0.5</v>
      </c>
      <c r="U263" s="331">
        <v>479</v>
      </c>
      <c r="V263" s="1218" t="s">
        <v>457</v>
      </c>
      <c r="W263" s="331">
        <f t="shared" si="90"/>
        <v>220000</v>
      </c>
      <c r="Y263" s="1491"/>
      <c r="Z263" s="1491"/>
      <c r="AA263" s="1218"/>
      <c r="AC263" s="710">
        <v>871</v>
      </c>
      <c r="AD263" s="331">
        <v>842.94599434714598</v>
      </c>
      <c r="AE263" s="331">
        <v>347.95941562157202</v>
      </c>
      <c r="AF263" s="331">
        <v>21159.977247418199</v>
      </c>
      <c r="AG263" s="331">
        <v>1.58163370737078E-3</v>
      </c>
      <c r="AH263" s="331" t="s">
        <v>471</v>
      </c>
      <c r="AI263" s="331">
        <v>791.94219694543665</v>
      </c>
      <c r="AJ263" s="331">
        <v>757.827</v>
      </c>
      <c r="AK263" s="331">
        <v>6.5742037939217936E-3</v>
      </c>
      <c r="AM263" s="331">
        <v>8.2706766917293225E-3</v>
      </c>
      <c r="AO263" s="331">
        <v>0.45694006481673377</v>
      </c>
      <c r="AP263" s="331">
        <f t="shared" si="91"/>
        <v>1.0332809051125293</v>
      </c>
      <c r="AQ263" s="331">
        <f t="shared" si="92"/>
        <v>1.0998277441958435</v>
      </c>
      <c r="AR263" s="331">
        <f t="shared" si="93"/>
        <v>1.1493388332693346</v>
      </c>
      <c r="AS263" s="331">
        <f t="shared" si="88"/>
        <v>5.2291985515900743</v>
      </c>
      <c r="AT263" s="331">
        <f t="shared" si="89"/>
        <v>1.2580499404925674</v>
      </c>
    </row>
    <row r="264" spans="3:46" ht="13.9" x14ac:dyDescent="0.4">
      <c r="C264" s="1664"/>
      <c r="D264" s="1293" t="s">
        <v>441</v>
      </c>
      <c r="E264" s="1416" t="s">
        <v>166</v>
      </c>
      <c r="F264" s="125" t="s">
        <v>57</v>
      </c>
      <c r="G264" s="1489" t="s">
        <v>472</v>
      </c>
      <c r="H264" s="717">
        <v>503</v>
      </c>
      <c r="I264" s="1494" t="s">
        <v>423</v>
      </c>
      <c r="J264" s="444">
        <v>99.3</v>
      </c>
      <c r="K264" s="1438">
        <v>160</v>
      </c>
      <c r="L264" s="1437">
        <v>5.6568542494923806</v>
      </c>
      <c r="M264" s="1438">
        <v>6</v>
      </c>
      <c r="N264" s="1438">
        <v>6</v>
      </c>
      <c r="P264" s="1478">
        <v>220000</v>
      </c>
      <c r="Q264" s="331">
        <v>345</v>
      </c>
      <c r="R264" s="1491">
        <v>7</v>
      </c>
      <c r="S264" s="1491">
        <v>0.3</v>
      </c>
      <c r="T264" s="1218">
        <v>-0.5</v>
      </c>
      <c r="U264" s="331">
        <v>479</v>
      </c>
      <c r="V264" s="1218" t="s">
        <v>457</v>
      </c>
      <c r="W264" s="331">
        <f t="shared" si="90"/>
        <v>220000</v>
      </c>
      <c r="Y264" s="1491"/>
      <c r="Z264" s="1491"/>
      <c r="AA264" s="1218"/>
      <c r="AC264" s="710">
        <v>789</v>
      </c>
      <c r="AD264" s="331">
        <v>794.622488101714</v>
      </c>
      <c r="AE264" s="331">
        <v>344.65769415864702</v>
      </c>
      <c r="AF264" s="331">
        <v>22279.561782245899</v>
      </c>
      <c r="AG264" s="331">
        <v>1.5666258825393E-3</v>
      </c>
      <c r="AH264" s="331" t="s">
        <v>482</v>
      </c>
      <c r="AI264" s="331">
        <v>751.35066394953083</v>
      </c>
      <c r="AJ264" s="331">
        <v>717.46199999999999</v>
      </c>
      <c r="AK264" s="331">
        <v>6.8207353437658713E-3</v>
      </c>
      <c r="AM264" s="331">
        <v>1.2326043737574554E-2</v>
      </c>
      <c r="AO264" s="331">
        <v>0.4522911790856089</v>
      </c>
      <c r="AP264" s="331">
        <f t="shared" si="91"/>
        <v>0.9929243279847948</v>
      </c>
      <c r="AQ264" s="331">
        <f t="shared" si="92"/>
        <v>1.0501088744003535</v>
      </c>
      <c r="AR264" s="331">
        <f t="shared" si="93"/>
        <v>1.0997098104150465</v>
      </c>
      <c r="AS264" s="331">
        <f t="shared" si="88"/>
        <v>7.8678923123596141</v>
      </c>
      <c r="AT264" s="331">
        <f t="shared" si="89"/>
        <v>1.8071429422694893</v>
      </c>
    </row>
    <row r="265" spans="3:46" ht="13.9" x14ac:dyDescent="0.4">
      <c r="C265" s="1664"/>
      <c r="D265" s="1293" t="s">
        <v>441</v>
      </c>
      <c r="E265" s="1416" t="s">
        <v>167</v>
      </c>
      <c r="F265" s="125" t="s">
        <v>57</v>
      </c>
      <c r="G265" s="1489" t="s">
        <v>472</v>
      </c>
      <c r="H265" s="717">
        <v>509</v>
      </c>
      <c r="I265" s="1494" t="s">
        <v>423</v>
      </c>
      <c r="J265" s="1438">
        <v>139.25</v>
      </c>
      <c r="K265" s="1438">
        <v>139.5</v>
      </c>
      <c r="L265" s="1437">
        <v>5.6568542494923806</v>
      </c>
      <c r="M265" s="1438">
        <v>6</v>
      </c>
      <c r="N265" s="1438">
        <v>6</v>
      </c>
      <c r="P265" s="1478">
        <v>220000</v>
      </c>
      <c r="Q265" s="331">
        <v>345</v>
      </c>
      <c r="R265" s="1491">
        <v>7</v>
      </c>
      <c r="S265" s="1491">
        <v>0.3</v>
      </c>
      <c r="T265" s="1218">
        <v>-0.5</v>
      </c>
      <c r="U265" s="331">
        <v>479</v>
      </c>
      <c r="V265" s="1218" t="s">
        <v>457</v>
      </c>
      <c r="W265" s="331">
        <f t="shared" si="90"/>
        <v>220000</v>
      </c>
      <c r="Y265" s="1491"/>
      <c r="Z265" s="1491"/>
      <c r="AA265" s="1218"/>
      <c r="AC265" s="710">
        <v>902</v>
      </c>
      <c r="AD265" s="331">
        <v>874.39230293415005</v>
      </c>
      <c r="AE265" s="331">
        <v>328.47920435164002</v>
      </c>
      <c r="AF265" s="331">
        <v>28755.712918502799</v>
      </c>
      <c r="AG265" s="331">
        <v>1.49308729250745E-3</v>
      </c>
      <c r="AH265" s="331" t="s">
        <v>471</v>
      </c>
      <c r="AI265" s="331">
        <v>860.25258536691581</v>
      </c>
      <c r="AJ265" s="331">
        <v>822.05542739279292</v>
      </c>
      <c r="AK265" s="331">
        <v>4.1923876519361376E-3</v>
      </c>
      <c r="AM265" s="331">
        <v>1.1198428290766208E-2</v>
      </c>
      <c r="AO265" s="331">
        <v>0.51776410829546937</v>
      </c>
      <c r="AP265" s="331">
        <f t="shared" si="91"/>
        <v>1.0315735819874081</v>
      </c>
      <c r="AQ265" s="331">
        <f t="shared" si="92"/>
        <v>1.0485292521559562</v>
      </c>
      <c r="AR265" s="331">
        <f t="shared" si="93"/>
        <v>1.097249613521508</v>
      </c>
      <c r="AS265" s="331">
        <f t="shared" si="88"/>
        <v>7.5001832424411523</v>
      </c>
      <c r="AT265" s="331">
        <f t="shared" si="89"/>
        <v>2.6711337835361015</v>
      </c>
    </row>
    <row r="266" spans="3:46" ht="13.9" x14ac:dyDescent="0.4">
      <c r="C266" s="1664"/>
      <c r="D266" s="1293" t="s">
        <v>441</v>
      </c>
      <c r="E266" s="1416" t="s">
        <v>168</v>
      </c>
      <c r="F266" s="125" t="s">
        <v>57</v>
      </c>
      <c r="G266" s="1489" t="s">
        <v>472</v>
      </c>
      <c r="H266" s="717">
        <v>504</v>
      </c>
      <c r="I266" s="1494" t="s">
        <v>423</v>
      </c>
      <c r="J266" s="444">
        <v>100.2</v>
      </c>
      <c r="K266" s="1438">
        <v>178.2</v>
      </c>
      <c r="L266" s="1437">
        <v>5.6568542494923806</v>
      </c>
      <c r="M266" s="1438">
        <v>6</v>
      </c>
      <c r="N266" s="1438">
        <v>6</v>
      </c>
      <c r="P266" s="1478">
        <v>220000</v>
      </c>
      <c r="Q266" s="331">
        <v>345</v>
      </c>
      <c r="R266" s="1491">
        <v>7</v>
      </c>
      <c r="S266" s="1491">
        <v>0.3</v>
      </c>
      <c r="T266" s="1218">
        <v>-0.5</v>
      </c>
      <c r="U266" s="331">
        <v>479.00000000000006</v>
      </c>
      <c r="V266" s="1218" t="s">
        <v>457</v>
      </c>
      <c r="W266" s="331">
        <f t="shared" si="90"/>
        <v>220000</v>
      </c>
      <c r="Y266" s="1491"/>
      <c r="Z266" s="1491"/>
      <c r="AA266" s="1218"/>
      <c r="AC266" s="710">
        <v>811</v>
      </c>
      <c r="AD266" s="331">
        <v>830.23037742433496</v>
      </c>
      <c r="AE266" s="331">
        <v>342.28666283868301</v>
      </c>
      <c r="AF266" s="331">
        <v>23122.708853552602</v>
      </c>
      <c r="AG266" s="331">
        <v>1.55584846744855E-3</v>
      </c>
      <c r="AH266" s="331" t="s">
        <v>482</v>
      </c>
      <c r="AI266" s="331">
        <v>780.50523288575027</v>
      </c>
      <c r="AJ266" s="331">
        <v>758.86199999999997</v>
      </c>
      <c r="AK266" s="331">
        <v>4.7397515890084761E-3</v>
      </c>
      <c r="AM266" s="331">
        <v>1.2499999999999999E-2</v>
      </c>
      <c r="AO266" s="331">
        <v>0.50041234112948407</v>
      </c>
      <c r="AP266" s="331">
        <f t="shared" si="91"/>
        <v>0.97683729968542665</v>
      </c>
      <c r="AQ266" s="331">
        <f t="shared" si="92"/>
        <v>1.0390705479340629</v>
      </c>
      <c r="AR266" s="331">
        <f t="shared" si="93"/>
        <v>1.068705509038534</v>
      </c>
      <c r="AS266" s="331">
        <f t="shared" si="88"/>
        <v>8.0342014415445373</v>
      </c>
      <c r="AT266" s="331">
        <f t="shared" si="89"/>
        <v>2.6372690140528894</v>
      </c>
    </row>
    <row r="267" spans="3:46" ht="13.9" x14ac:dyDescent="0.4">
      <c r="C267" s="1665"/>
      <c r="D267" s="1293" t="s">
        <v>441</v>
      </c>
      <c r="E267" s="549" t="s">
        <v>169</v>
      </c>
      <c r="F267" s="117" t="s">
        <v>57</v>
      </c>
      <c r="G267" s="1489" t="s">
        <v>472</v>
      </c>
      <c r="H267" s="715">
        <v>504</v>
      </c>
      <c r="I267" s="1494" t="s">
        <v>423</v>
      </c>
      <c r="J267" s="210">
        <v>99.15</v>
      </c>
      <c r="K267" s="210">
        <v>199.5</v>
      </c>
      <c r="L267" s="36">
        <v>5.6568542494923806</v>
      </c>
      <c r="M267" s="210">
        <v>6</v>
      </c>
      <c r="N267" s="210">
        <v>6</v>
      </c>
      <c r="P267" s="519">
        <v>220000</v>
      </c>
      <c r="Q267" s="331">
        <v>345</v>
      </c>
      <c r="R267" s="1491">
        <v>7</v>
      </c>
      <c r="S267" s="1491">
        <v>0.3</v>
      </c>
      <c r="T267" s="1218">
        <v>-0.5</v>
      </c>
      <c r="U267" s="331">
        <v>479.00000000000006</v>
      </c>
      <c r="V267" s="1218" t="s">
        <v>457</v>
      </c>
      <c r="W267" s="331">
        <f t="shared" si="90"/>
        <v>220000</v>
      </c>
      <c r="Y267" s="1491"/>
      <c r="Z267" s="1491"/>
      <c r="AA267" s="1218"/>
      <c r="AC267" s="712">
        <v>827</v>
      </c>
      <c r="AD267" s="331">
        <v>852.606641446666</v>
      </c>
      <c r="AE267" s="331">
        <v>335.57399173435999</v>
      </c>
      <c r="AF267" s="331">
        <v>25699.6269659356</v>
      </c>
      <c r="AG267" s="331">
        <v>1.52533632606527E-3</v>
      </c>
      <c r="AH267" s="331" t="s">
        <v>471</v>
      </c>
      <c r="AI267" s="331">
        <v>810.20297999318723</v>
      </c>
      <c r="AJ267" s="331">
        <v>770.54671516149494</v>
      </c>
      <c r="AK267" s="331">
        <v>3.1830135785458689E-3</v>
      </c>
      <c r="AM267" s="331">
        <v>9.7222222222222224E-3</v>
      </c>
      <c r="AO267" s="331">
        <v>0.55893401026325162</v>
      </c>
      <c r="AP267" s="331">
        <f t="shared" si="91"/>
        <v>0.96996664088469009</v>
      </c>
      <c r="AQ267" s="331">
        <f t="shared" si="92"/>
        <v>1.0207318664848086</v>
      </c>
      <c r="AR267" s="331">
        <f t="shared" si="93"/>
        <v>1.0732639354989311</v>
      </c>
      <c r="AS267" s="331">
        <f t="shared" si="88"/>
        <v>6.3738219932790106</v>
      </c>
      <c r="AT267" s="331">
        <f t="shared" si="89"/>
        <v>3.0544080263282232</v>
      </c>
    </row>
    <row r="268" spans="3:46" ht="13.9" x14ac:dyDescent="0.4">
      <c r="C268" s="1583" t="s">
        <v>332</v>
      </c>
      <c r="D268" s="1293" t="s">
        <v>441</v>
      </c>
      <c r="E268" s="1416" t="s">
        <v>317</v>
      </c>
      <c r="F268" s="1467" t="s">
        <v>57</v>
      </c>
      <c r="G268" s="1489" t="s">
        <v>472</v>
      </c>
      <c r="H268" s="717">
        <v>449.6</v>
      </c>
      <c r="I268" s="1494" t="s">
        <v>423</v>
      </c>
      <c r="J268" s="1438">
        <v>149.5</v>
      </c>
      <c r="K268" s="1438">
        <v>149.55000000000001</v>
      </c>
      <c r="L268" s="1437">
        <v>5</v>
      </c>
      <c r="M268" s="1438">
        <v>6</v>
      </c>
      <c r="N268" s="1438">
        <v>10</v>
      </c>
      <c r="P268" s="1478">
        <v>188700</v>
      </c>
      <c r="Q268" s="331">
        <v>325.21938258168979</v>
      </c>
      <c r="R268" s="1491">
        <v>7</v>
      </c>
      <c r="S268" s="1491">
        <v>0.3</v>
      </c>
      <c r="T268" s="1218">
        <v>-0.5</v>
      </c>
      <c r="U268" s="331">
        <v>667.2071802086374</v>
      </c>
      <c r="V268" s="1218" t="s">
        <v>457</v>
      </c>
      <c r="W268" s="331">
        <f t="shared" si="90"/>
        <v>188700</v>
      </c>
      <c r="Y268" s="1491"/>
      <c r="Z268" s="1491"/>
      <c r="AA268" s="1218"/>
      <c r="AC268" s="732">
        <v>1568.3</v>
      </c>
      <c r="AD268" s="331">
        <v>1344.58080967209</v>
      </c>
      <c r="AE268" s="331">
        <v>334.91856623396598</v>
      </c>
      <c r="AF268" s="331">
        <v>17652.875140777898</v>
      </c>
      <c r="AG268" s="331">
        <v>1.7748731649918699E-3</v>
      </c>
      <c r="AH268" s="331" t="s">
        <v>471</v>
      </c>
      <c r="AI268" s="331">
        <v>1382.6644751481604</v>
      </c>
      <c r="AJ268" s="331">
        <v>1225.1989800000001</v>
      </c>
      <c r="AK268" s="331">
        <v>1.1536215450672226E-2</v>
      </c>
      <c r="AM268" s="331">
        <v>1.9572953736654804E-2</v>
      </c>
      <c r="AO268" s="331">
        <v>0.40124666562972583</v>
      </c>
      <c r="AP268" s="331">
        <f t="shared" si="91"/>
        <v>1.1663858272545697</v>
      </c>
      <c r="AQ268" s="331">
        <f t="shared" si="92"/>
        <v>1.1342592712754465</v>
      </c>
      <c r="AR268" s="331">
        <f t="shared" si="93"/>
        <v>1.2800369781568051</v>
      </c>
      <c r="AS268" s="331">
        <f t="shared" si="88"/>
        <v>11.027804196219542</v>
      </c>
      <c r="AT268" s="331">
        <f t="shared" si="89"/>
        <v>1.6966529292337609</v>
      </c>
    </row>
    <row r="269" spans="3:46" ht="13.9" x14ac:dyDescent="0.4">
      <c r="C269" s="1584"/>
      <c r="D269" s="1293" t="s">
        <v>441</v>
      </c>
      <c r="E269" s="1416" t="s">
        <v>318</v>
      </c>
      <c r="F269" s="1468" t="s">
        <v>57</v>
      </c>
      <c r="G269" s="1489" t="s">
        <v>472</v>
      </c>
      <c r="H269" s="717">
        <v>598</v>
      </c>
      <c r="I269" s="1494" t="s">
        <v>423</v>
      </c>
      <c r="J269" s="1438">
        <v>185.25</v>
      </c>
      <c r="K269" s="1438">
        <v>193.85</v>
      </c>
      <c r="L269" s="1437">
        <v>5</v>
      </c>
      <c r="M269" s="1438">
        <v>6</v>
      </c>
      <c r="N269" s="1438">
        <v>6</v>
      </c>
      <c r="P269" s="1478">
        <v>188700</v>
      </c>
      <c r="Q269" s="331">
        <v>312.60000000000002</v>
      </c>
      <c r="R269" s="1491">
        <v>7</v>
      </c>
      <c r="S269" s="1491">
        <v>0.3</v>
      </c>
      <c r="T269" s="1218">
        <v>-0.5</v>
      </c>
      <c r="U269" s="331">
        <v>695.7</v>
      </c>
      <c r="V269" s="1218" t="s">
        <v>457</v>
      </c>
      <c r="W269" s="331">
        <f t="shared" si="90"/>
        <v>188700</v>
      </c>
      <c r="Y269" s="1491"/>
      <c r="Z269" s="1491"/>
      <c r="AA269" s="1218"/>
      <c r="AC269" s="710">
        <v>949.4</v>
      </c>
      <c r="AD269" s="331">
        <v>894.08348818934996</v>
      </c>
      <c r="AE269" s="331">
        <v>253.595454082419</v>
      </c>
      <c r="AF269" s="331">
        <v>55354.457377806502</v>
      </c>
      <c r="AG269" s="331">
        <v>1.34390807674838E-3</v>
      </c>
      <c r="AH269" s="331" t="s">
        <v>471</v>
      </c>
      <c r="AI269" s="331" t="s">
        <v>507</v>
      </c>
      <c r="AJ269" s="331">
        <v>871.9928362027315</v>
      </c>
      <c r="AK269" s="331" t="e">
        <v>#VALUE!</v>
      </c>
      <c r="AM269" s="331">
        <v>4.180602006688963E-3</v>
      </c>
      <c r="AO269" s="331">
        <v>0.74724602263405582</v>
      </c>
      <c r="AP269" s="331">
        <f t="shared" ref="AP269:AP300" si="94">AC269/AD269</f>
        <v>1.0618695150300494</v>
      </c>
      <c r="AQ269" s="331" t="e">
        <f t="shared" si="92"/>
        <v>#VALUE!</v>
      </c>
      <c r="AR269" s="331">
        <f t="shared" si="93"/>
        <v>1.0887704125349855</v>
      </c>
      <c r="AS269" s="331">
        <f t="shared" si="88"/>
        <v>3.1107797319025248</v>
      </c>
      <c r="AT269" s="331" t="e">
        <f t="shared" si="89"/>
        <v>#VALUE!</v>
      </c>
    </row>
    <row r="270" spans="3:46" ht="13.9" x14ac:dyDescent="0.4">
      <c r="C270" s="1584"/>
      <c r="D270" s="1293" t="s">
        <v>441</v>
      </c>
      <c r="E270" s="1416" t="s">
        <v>319</v>
      </c>
      <c r="F270" s="1468" t="s">
        <v>57</v>
      </c>
      <c r="G270" s="1489" t="s">
        <v>472</v>
      </c>
      <c r="H270" s="717">
        <v>601.1</v>
      </c>
      <c r="I270" s="1494" t="s">
        <v>423</v>
      </c>
      <c r="J270" s="1438">
        <v>126.25</v>
      </c>
      <c r="K270" s="1438">
        <v>194.2</v>
      </c>
      <c r="L270" s="1437">
        <v>5</v>
      </c>
      <c r="M270" s="1438">
        <v>6</v>
      </c>
      <c r="N270" s="1438">
        <v>6</v>
      </c>
      <c r="P270" s="1478">
        <v>188700</v>
      </c>
      <c r="Q270" s="331">
        <v>312.60000000000002</v>
      </c>
      <c r="R270" s="1491">
        <v>7</v>
      </c>
      <c r="S270" s="1491">
        <v>0.3</v>
      </c>
      <c r="T270" s="1218">
        <v>-0.5</v>
      </c>
      <c r="U270" s="331">
        <v>695.69999999999993</v>
      </c>
      <c r="V270" s="1218" t="s">
        <v>457</v>
      </c>
      <c r="W270" s="331">
        <f t="shared" si="90"/>
        <v>188700</v>
      </c>
      <c r="Y270" s="1491"/>
      <c r="Z270" s="1491"/>
      <c r="AA270" s="1218"/>
      <c r="AC270" s="710">
        <v>859.8</v>
      </c>
      <c r="AD270" s="331">
        <v>817.60932345055903</v>
      </c>
      <c r="AE270" s="331">
        <v>289.96024876780098</v>
      </c>
      <c r="AF270" s="331">
        <v>29563.847398301201</v>
      </c>
      <c r="AG270" s="331">
        <v>1.5366202902374201E-3</v>
      </c>
      <c r="AH270" s="331" t="s">
        <v>471</v>
      </c>
      <c r="AI270" s="331">
        <v>827.50583070881282</v>
      </c>
      <c r="AJ270" s="331">
        <v>787.00265683255179</v>
      </c>
      <c r="AK270" s="331">
        <v>2.7106217489118625E-3</v>
      </c>
      <c r="AM270" s="331">
        <v>6.9871901513891199E-3</v>
      </c>
      <c r="AO270" s="331">
        <v>0.59341404797578789</v>
      </c>
      <c r="AP270" s="331">
        <f t="shared" si="94"/>
        <v>1.0516024895256619</v>
      </c>
      <c r="AQ270" s="331">
        <f t="shared" si="92"/>
        <v>1.0390259114712521</v>
      </c>
      <c r="AR270" s="331">
        <f t="shared" si="93"/>
        <v>1.0924994884520918</v>
      </c>
      <c r="AS270" s="331">
        <f t="shared" si="88"/>
        <v>4.5471156379885773</v>
      </c>
      <c r="AT270" s="331">
        <f t="shared" si="89"/>
        <v>2.5777075514848282</v>
      </c>
    </row>
    <row r="271" spans="3:46" ht="13.9" x14ac:dyDescent="0.4">
      <c r="C271" s="1584"/>
      <c r="D271" s="1293" t="s">
        <v>441</v>
      </c>
      <c r="E271" s="1416" t="s">
        <v>320</v>
      </c>
      <c r="F271" s="1468" t="s">
        <v>57</v>
      </c>
      <c r="G271" s="1489" t="s">
        <v>472</v>
      </c>
      <c r="H271" s="717">
        <v>779.9</v>
      </c>
      <c r="I271" s="1494" t="s">
        <v>423</v>
      </c>
      <c r="J271" s="1438">
        <v>245.7</v>
      </c>
      <c r="K271" s="1438">
        <v>253.25</v>
      </c>
      <c r="L271" s="1437">
        <v>5</v>
      </c>
      <c r="M271" s="1438">
        <v>6</v>
      </c>
      <c r="N271" s="1438">
        <v>6</v>
      </c>
      <c r="P271" s="1478">
        <v>188700</v>
      </c>
      <c r="Q271" s="331">
        <v>312.60000000000002</v>
      </c>
      <c r="R271" s="1491">
        <v>7</v>
      </c>
      <c r="S271" s="1491">
        <v>0.3</v>
      </c>
      <c r="T271" s="1218">
        <v>-0.5</v>
      </c>
      <c r="U271" s="331">
        <v>695.7</v>
      </c>
      <c r="V271" s="1218" t="s">
        <v>457</v>
      </c>
      <c r="W271" s="331">
        <f t="shared" si="90"/>
        <v>188700</v>
      </c>
      <c r="Y271" s="1491"/>
      <c r="Z271" s="1491"/>
      <c r="AA271" s="1218"/>
      <c r="AC271" s="710">
        <v>968.8</v>
      </c>
      <c r="AD271" s="331">
        <v>982.21801411030299</v>
      </c>
      <c r="AE271" s="331">
        <v>213.18136714917799</v>
      </c>
      <c r="AF271" s="331">
        <v>101994.21029752299</v>
      </c>
      <c r="AG271" s="331">
        <v>1.12973697482341E-3</v>
      </c>
      <c r="AH271" s="331" t="s">
        <v>471</v>
      </c>
      <c r="AI271" s="331" t="s">
        <v>507</v>
      </c>
      <c r="AJ271" s="331">
        <v>934.51096099407266</v>
      </c>
      <c r="AK271" s="331" t="e">
        <v>#VALUE!</v>
      </c>
      <c r="AM271" s="331">
        <v>3.5902038722913192E-3</v>
      </c>
      <c r="AO271" s="331">
        <v>1.0110674880328285</v>
      </c>
      <c r="AP271" s="331">
        <f t="shared" si="94"/>
        <v>0.98633906737858279</v>
      </c>
      <c r="AQ271" s="331" t="e">
        <f t="shared" si="92"/>
        <v>#VALUE!</v>
      </c>
      <c r="AR271" s="331">
        <f t="shared" si="93"/>
        <v>1.0366919602199773</v>
      </c>
      <c r="AS271" s="331">
        <f t="shared" si="88"/>
        <v>3.1779112769611761</v>
      </c>
      <c r="AT271" s="331" t="e">
        <f t="shared" si="89"/>
        <v>#VALUE!</v>
      </c>
    </row>
    <row r="272" spans="3:46" ht="13.9" x14ac:dyDescent="0.4">
      <c r="C272" s="1584"/>
      <c r="D272" s="1293" t="s">
        <v>441</v>
      </c>
      <c r="E272" s="1416" t="s">
        <v>321</v>
      </c>
      <c r="F272" s="1468" t="s">
        <v>57</v>
      </c>
      <c r="G272" s="1489" t="s">
        <v>472</v>
      </c>
      <c r="H272" s="717">
        <v>779.9</v>
      </c>
      <c r="I272" s="1494" t="s">
        <v>423</v>
      </c>
      <c r="J272" s="1438">
        <v>165.7</v>
      </c>
      <c r="K272" s="1438">
        <v>258.95</v>
      </c>
      <c r="L272" s="1437">
        <v>5</v>
      </c>
      <c r="M272" s="1438">
        <v>6</v>
      </c>
      <c r="N272" s="1438">
        <v>10</v>
      </c>
      <c r="P272" s="1478">
        <v>188700</v>
      </c>
      <c r="Q272" s="331">
        <v>323.69855298354997</v>
      </c>
      <c r="R272" s="1491">
        <v>7</v>
      </c>
      <c r="S272" s="1491">
        <v>0.3</v>
      </c>
      <c r="T272" s="1218">
        <v>-0.5</v>
      </c>
      <c r="U272" s="331">
        <v>670.64100301198471</v>
      </c>
      <c r="V272" s="1218" t="s">
        <v>457</v>
      </c>
      <c r="W272" s="331">
        <f t="shared" si="90"/>
        <v>188700</v>
      </c>
      <c r="Y272" s="1491"/>
      <c r="Z272" s="1491"/>
      <c r="AA272" s="1218"/>
      <c r="AC272" s="710">
        <v>1622.8</v>
      </c>
      <c r="AD272" s="331">
        <v>1480.5923627851901</v>
      </c>
      <c r="AE272" s="331">
        <v>296.41192253026901</v>
      </c>
      <c r="AF272" s="331">
        <v>32469.597960142699</v>
      </c>
      <c r="AG272" s="331">
        <v>1.5708104002664001E-3</v>
      </c>
      <c r="AH272" s="331" t="s">
        <v>471</v>
      </c>
      <c r="AI272" s="331">
        <v>1542.9525864496604</v>
      </c>
      <c r="AJ272" s="331">
        <v>1419.6262477517696</v>
      </c>
      <c r="AK272" s="331">
        <v>2.0170188165273485E-3</v>
      </c>
      <c r="AM272" s="331">
        <v>7.4368508783177328E-3</v>
      </c>
      <c r="AO272" s="331">
        <v>0.65046198679402423</v>
      </c>
      <c r="AP272" s="331">
        <f t="shared" si="94"/>
        <v>1.0960477986981498</v>
      </c>
      <c r="AQ272" s="331">
        <f t="shared" si="92"/>
        <v>1.0517497519052537</v>
      </c>
      <c r="AR272" s="331">
        <f t="shared" si="93"/>
        <v>1.1431177766471929</v>
      </c>
      <c r="AS272" s="331">
        <f t="shared" si="88"/>
        <v>4.7344038956302352</v>
      </c>
      <c r="AT272" s="331">
        <f t="shared" si="89"/>
        <v>3.6870508184557123</v>
      </c>
    </row>
    <row r="273" spans="3:46" ht="13.9" x14ac:dyDescent="0.4">
      <c r="C273" s="1584"/>
      <c r="D273" s="1293" t="s">
        <v>441</v>
      </c>
      <c r="E273" s="1416" t="s">
        <v>322</v>
      </c>
      <c r="F273" s="1468" t="s">
        <v>57</v>
      </c>
      <c r="G273" s="1489" t="s">
        <v>472</v>
      </c>
      <c r="H273" s="717">
        <v>850.4</v>
      </c>
      <c r="I273" s="1494" t="s">
        <v>423</v>
      </c>
      <c r="J273" s="1438">
        <v>185.6</v>
      </c>
      <c r="K273" s="1438">
        <v>282.89999999999998</v>
      </c>
      <c r="L273" s="1437">
        <v>5</v>
      </c>
      <c r="M273" s="1438">
        <v>6</v>
      </c>
      <c r="N273" s="1438">
        <v>6</v>
      </c>
      <c r="P273" s="1478">
        <v>188700</v>
      </c>
      <c r="Q273" s="331">
        <v>312.60000000000002</v>
      </c>
      <c r="R273" s="1491">
        <v>7</v>
      </c>
      <c r="S273" s="1491">
        <v>0.3</v>
      </c>
      <c r="T273" s="1218">
        <v>-0.5</v>
      </c>
      <c r="U273" s="331">
        <v>695.70000000000016</v>
      </c>
      <c r="V273" s="1218" t="s">
        <v>457</v>
      </c>
      <c r="W273" s="331">
        <f t="shared" si="90"/>
        <v>188700</v>
      </c>
      <c r="Y273" s="1491"/>
      <c r="Z273" s="1491"/>
      <c r="AA273" s="1218"/>
      <c r="AC273" s="710">
        <v>905.5</v>
      </c>
      <c r="AD273" s="331">
        <v>948.23306695853501</v>
      </c>
      <c r="AE273" s="331">
        <v>233.31765946183</v>
      </c>
      <c r="AF273" s="331">
        <v>76674.830316798107</v>
      </c>
      <c r="AG273" s="331">
        <v>1.2364475859132501E-3</v>
      </c>
      <c r="AH273" s="331" t="s">
        <v>471</v>
      </c>
      <c r="AI273" s="331" t="s">
        <v>507</v>
      </c>
      <c r="AJ273" s="331">
        <v>904.30671853848878</v>
      </c>
      <c r="AK273" s="331" t="e">
        <v>#VALUE!</v>
      </c>
      <c r="AM273" s="331">
        <v>2.9397930385700846E-3</v>
      </c>
      <c r="AO273" s="331">
        <v>0.8985420526775596</v>
      </c>
      <c r="AP273" s="331">
        <f t="shared" si="94"/>
        <v>0.95493400467924872</v>
      </c>
      <c r="AQ273" s="331" t="e">
        <f t="shared" si="92"/>
        <v>#VALUE!</v>
      </c>
      <c r="AR273" s="331">
        <f t="shared" si="93"/>
        <v>1.0013195539047191</v>
      </c>
      <c r="AS273" s="331">
        <f t="shared" si="88"/>
        <v>2.3776123404363556</v>
      </c>
      <c r="AT273" s="331" t="e">
        <f t="shared" si="89"/>
        <v>#VALUE!</v>
      </c>
    </row>
    <row r="274" spans="3:46" ht="13.9" x14ac:dyDescent="0.4">
      <c r="C274" s="1584"/>
      <c r="D274" s="1293" t="s">
        <v>441</v>
      </c>
      <c r="E274" s="1416" t="s">
        <v>323</v>
      </c>
      <c r="F274" s="1468" t="s">
        <v>57</v>
      </c>
      <c r="G274" s="1489" t="s">
        <v>472</v>
      </c>
      <c r="H274" s="717">
        <v>951.6</v>
      </c>
      <c r="I274" s="1494" t="s">
        <v>423</v>
      </c>
      <c r="J274" s="1438">
        <v>305.5</v>
      </c>
      <c r="K274" s="1438">
        <v>313.7</v>
      </c>
      <c r="L274" s="1437">
        <v>5</v>
      </c>
      <c r="M274" s="1438">
        <v>6</v>
      </c>
      <c r="N274" s="1438">
        <v>6</v>
      </c>
      <c r="P274" s="1478">
        <v>188700</v>
      </c>
      <c r="Q274" s="331">
        <v>312.60000000000002</v>
      </c>
      <c r="R274" s="1491">
        <v>7</v>
      </c>
      <c r="S274" s="1491">
        <v>0.3</v>
      </c>
      <c r="T274" s="1218">
        <v>-0.5</v>
      </c>
      <c r="U274" s="331">
        <v>695.7</v>
      </c>
      <c r="V274" s="1218" t="s">
        <v>457</v>
      </c>
      <c r="W274" s="331">
        <f t="shared" si="90"/>
        <v>188700</v>
      </c>
      <c r="Y274" s="1491"/>
      <c r="Z274" s="1491"/>
      <c r="AA274" s="1218"/>
      <c r="AC274" s="710">
        <v>1088.7</v>
      </c>
      <c r="AD274" s="331">
        <v>964.31208785744298</v>
      </c>
      <c r="AE274" s="331">
        <v>169.542551549731</v>
      </c>
      <c r="AF274" s="331">
        <v>155295.290802506</v>
      </c>
      <c r="AG274" s="331">
        <v>8.9847669077759197E-4</v>
      </c>
      <c r="AH274" s="331" t="s">
        <v>471</v>
      </c>
      <c r="AI274" s="331" t="s">
        <v>507</v>
      </c>
      <c r="AJ274" s="331">
        <v>969.70586993158838</v>
      </c>
      <c r="AK274" s="331" t="e">
        <v>#VALUE!</v>
      </c>
      <c r="AM274" s="331">
        <v>3.5729298024379992E-3</v>
      </c>
      <c r="AO274" s="331">
        <v>1.2740843143389859</v>
      </c>
      <c r="AP274" s="331">
        <f t="shared" si="94"/>
        <v>1.1289913438904706</v>
      </c>
      <c r="AQ274" s="331" t="e">
        <f t="shared" si="92"/>
        <v>#VALUE!</v>
      </c>
      <c r="AR274" s="331">
        <f t="shared" si="93"/>
        <v>1.1227115703412278</v>
      </c>
      <c r="AS274" s="331">
        <f t="shared" si="88"/>
        <v>3.976652749161234</v>
      </c>
      <c r="AT274" s="331" t="e">
        <f t="shared" si="89"/>
        <v>#VALUE!</v>
      </c>
    </row>
    <row r="275" spans="3:46" ht="13.9" x14ac:dyDescent="0.4">
      <c r="C275" s="1584"/>
      <c r="D275" s="1293" t="s">
        <v>441</v>
      </c>
      <c r="E275" s="1416" t="s">
        <v>324</v>
      </c>
      <c r="F275" s="1468" t="s">
        <v>57</v>
      </c>
      <c r="G275" s="1489" t="s">
        <v>472</v>
      </c>
      <c r="H275" s="717">
        <v>961.6</v>
      </c>
      <c r="I275" s="1494" t="s">
        <v>423</v>
      </c>
      <c r="J275" s="1438">
        <v>205.6</v>
      </c>
      <c r="K275" s="1438">
        <v>319.60000000000002</v>
      </c>
      <c r="L275" s="1437">
        <v>5</v>
      </c>
      <c r="M275" s="1438">
        <v>6</v>
      </c>
      <c r="N275" s="1438">
        <v>10</v>
      </c>
      <c r="P275" s="1478">
        <v>188700</v>
      </c>
      <c r="Q275" s="331">
        <v>323.66348991471506</v>
      </c>
      <c r="R275" s="1491">
        <v>7</v>
      </c>
      <c r="S275" s="1491">
        <v>0.3</v>
      </c>
      <c r="T275" s="1218">
        <v>-0.5</v>
      </c>
      <c r="U275" s="331">
        <v>670.72017056992013</v>
      </c>
      <c r="V275" s="1218" t="s">
        <v>457</v>
      </c>
      <c r="W275" s="331">
        <f t="shared" si="90"/>
        <v>188700</v>
      </c>
      <c r="Y275" s="1491"/>
      <c r="Z275" s="1491"/>
      <c r="AA275" s="1218"/>
      <c r="AC275" s="710">
        <v>1804.4</v>
      </c>
      <c r="AD275" s="331">
        <v>1606.54048760253</v>
      </c>
      <c r="AE275" s="331">
        <v>260.93122360153302</v>
      </c>
      <c r="AF275" s="331">
        <v>58226.627434612499</v>
      </c>
      <c r="AG275" s="331">
        <v>1.38278337891644E-3</v>
      </c>
      <c r="AH275" s="331" t="s">
        <v>471</v>
      </c>
      <c r="AI275" s="331" t="s">
        <v>507</v>
      </c>
      <c r="AJ275" s="331">
        <v>1662.1216141829161</v>
      </c>
      <c r="AK275" s="331" t="e">
        <v>#VALUE!</v>
      </c>
      <c r="AM275" s="331">
        <v>4.5757071547420968E-3</v>
      </c>
      <c r="AO275" s="331">
        <v>0.81937251694213142</v>
      </c>
      <c r="AP275" s="331">
        <f t="shared" si="94"/>
        <v>1.1231587463399317</v>
      </c>
      <c r="AQ275" s="331" t="e">
        <f t="shared" si="92"/>
        <v>#VALUE!</v>
      </c>
      <c r="AR275" s="331">
        <f t="shared" si="93"/>
        <v>1.085600466658408</v>
      </c>
      <c r="AS275" s="331">
        <f t="shared" si="88"/>
        <v>3.3090556514554414</v>
      </c>
      <c r="AT275" s="331" t="e">
        <f t="shared" si="89"/>
        <v>#VALUE!</v>
      </c>
    </row>
    <row r="276" spans="3:46" ht="13.9" x14ac:dyDescent="0.4">
      <c r="C276" s="1584"/>
      <c r="D276" s="1293" t="s">
        <v>441</v>
      </c>
      <c r="E276" s="1416" t="s">
        <v>325</v>
      </c>
      <c r="F276" s="1468" t="s">
        <v>57</v>
      </c>
      <c r="G276" s="1489" t="s">
        <v>472</v>
      </c>
      <c r="H276" s="717">
        <v>1117.8</v>
      </c>
      <c r="I276" s="1494" t="s">
        <v>423</v>
      </c>
      <c r="J276" s="1438">
        <v>246.05</v>
      </c>
      <c r="K276" s="1438">
        <v>373.3</v>
      </c>
      <c r="L276" s="1437">
        <v>5</v>
      </c>
      <c r="M276" s="1438">
        <v>6</v>
      </c>
      <c r="N276" s="1438">
        <v>6</v>
      </c>
      <c r="P276" s="1478">
        <v>188700</v>
      </c>
      <c r="Q276" s="331">
        <v>312.60000000000002</v>
      </c>
      <c r="R276" s="1491">
        <v>7</v>
      </c>
      <c r="S276" s="1491">
        <v>0.3</v>
      </c>
      <c r="T276" s="1218">
        <v>-0.5</v>
      </c>
      <c r="U276" s="331">
        <v>695.69999999999993</v>
      </c>
      <c r="V276" s="1218" t="s">
        <v>457</v>
      </c>
      <c r="W276" s="331">
        <f t="shared" si="90"/>
        <v>188700</v>
      </c>
      <c r="Y276" s="1491"/>
      <c r="Z276" s="1491"/>
      <c r="AA276" s="1218"/>
      <c r="AC276" s="710">
        <v>978.5</v>
      </c>
      <c r="AD276" s="331">
        <v>975.25258727424296</v>
      </c>
      <c r="AE276" s="331">
        <v>182.90802194610299</v>
      </c>
      <c r="AF276" s="331">
        <v>140911.7729945</v>
      </c>
      <c r="AG276" s="331">
        <v>9.6930589266615698E-4</v>
      </c>
      <c r="AH276" s="331" t="s">
        <v>471</v>
      </c>
      <c r="AI276" s="331" t="s">
        <v>507</v>
      </c>
      <c r="AJ276" s="331">
        <v>957.8069142547796</v>
      </c>
      <c r="AK276" s="331" t="e">
        <v>#VALUE!</v>
      </c>
      <c r="AM276" s="331">
        <v>4.2941492216854536E-3</v>
      </c>
      <c r="AO276" s="331">
        <v>1.2093175174869124</v>
      </c>
      <c r="AP276" s="331">
        <f t="shared" si="94"/>
        <v>1.0033298170834217</v>
      </c>
      <c r="AQ276" s="331" t="e">
        <f t="shared" si="92"/>
        <v>#VALUE!</v>
      </c>
      <c r="AR276" s="331">
        <f t="shared" si="93"/>
        <v>1.0216046527094875</v>
      </c>
      <c r="AS276" s="331">
        <f t="shared" si="88"/>
        <v>4.4301280474773934</v>
      </c>
      <c r="AT276" s="331" t="e">
        <f t="shared" si="89"/>
        <v>#VALUE!</v>
      </c>
    </row>
    <row r="277" spans="3:46" ht="13.9" x14ac:dyDescent="0.4">
      <c r="C277" s="1584"/>
      <c r="D277" s="1293" t="s">
        <v>441</v>
      </c>
      <c r="E277" s="1416" t="s">
        <v>326</v>
      </c>
      <c r="F277" s="1468" t="s">
        <v>57</v>
      </c>
      <c r="G277" s="1489" t="s">
        <v>472</v>
      </c>
      <c r="H277" s="717">
        <v>1400.7</v>
      </c>
      <c r="I277" s="1494" t="s">
        <v>423</v>
      </c>
      <c r="J277" s="1438">
        <v>186</v>
      </c>
      <c r="K277" s="1438">
        <v>462.55</v>
      </c>
      <c r="L277" s="1437">
        <v>5</v>
      </c>
      <c r="M277" s="1438">
        <v>6</v>
      </c>
      <c r="N277" s="1438">
        <v>6</v>
      </c>
      <c r="P277" s="1478">
        <v>188700</v>
      </c>
      <c r="Q277" s="331">
        <v>312.60000000000002</v>
      </c>
      <c r="R277" s="1491">
        <v>7</v>
      </c>
      <c r="S277" s="1491">
        <v>0.3</v>
      </c>
      <c r="T277" s="1218">
        <v>-0.5</v>
      </c>
      <c r="U277" s="331">
        <v>695.7</v>
      </c>
      <c r="V277" s="1218" t="s">
        <v>457</v>
      </c>
      <c r="W277" s="331">
        <f t="shared" si="90"/>
        <v>188700</v>
      </c>
      <c r="Y277" s="1491"/>
      <c r="Z277" s="1491"/>
      <c r="AA277" s="1218"/>
      <c r="AC277" s="710">
        <v>893.8</v>
      </c>
      <c r="AD277" s="331">
        <v>778.03859240757095</v>
      </c>
      <c r="AE277" s="331">
        <v>151.16853344196599</v>
      </c>
      <c r="AF277" s="331">
        <v>170294.55657663499</v>
      </c>
      <c r="AG277" s="331">
        <v>8.0110510568079504E-4</v>
      </c>
      <c r="AH277" s="331" t="s">
        <v>471</v>
      </c>
      <c r="AI277" s="331" t="s">
        <v>507</v>
      </c>
      <c r="AJ277" s="331">
        <v>928.82420427606598</v>
      </c>
      <c r="AK277" s="331" t="e">
        <v>#VALUE!</v>
      </c>
      <c r="AM277" s="331">
        <v>2.7843221246519594E-3</v>
      </c>
      <c r="AO277" s="331">
        <v>1.4048179814281665</v>
      </c>
      <c r="AP277" s="331">
        <f t="shared" si="94"/>
        <v>1.148786202538123</v>
      </c>
      <c r="AQ277" s="331" t="e">
        <f t="shared" si="92"/>
        <v>#VALUE!</v>
      </c>
      <c r="AR277" s="331">
        <f t="shared" si="93"/>
        <v>0.96229189106525903</v>
      </c>
      <c r="AS277" s="331">
        <f t="shared" si="88"/>
        <v>3.4756015220821581</v>
      </c>
      <c r="AT277" s="331" t="e">
        <f t="shared" si="89"/>
        <v>#VALUE!</v>
      </c>
    </row>
    <row r="278" spans="3:46" ht="13.9" x14ac:dyDescent="0.4">
      <c r="C278" s="1584"/>
      <c r="D278" s="1293" t="s">
        <v>441</v>
      </c>
      <c r="E278" s="1416" t="s">
        <v>327</v>
      </c>
      <c r="F278" s="1468" t="s">
        <v>57</v>
      </c>
      <c r="G278" s="1489" t="s">
        <v>472</v>
      </c>
      <c r="H278" s="717">
        <v>499.4</v>
      </c>
      <c r="I278" s="1494" t="s">
        <v>423</v>
      </c>
      <c r="J278" s="1438">
        <v>150</v>
      </c>
      <c r="K278" s="1438">
        <v>150.65</v>
      </c>
      <c r="L278" s="1437">
        <v>5</v>
      </c>
      <c r="M278" s="1438">
        <v>6</v>
      </c>
      <c r="N278" s="1438">
        <v>10.199999999999999</v>
      </c>
      <c r="P278" s="1478">
        <v>192200</v>
      </c>
      <c r="Q278" s="331">
        <v>581.065833658727</v>
      </c>
      <c r="R278" s="1491">
        <v>7</v>
      </c>
      <c r="S278" s="1491">
        <v>0.3</v>
      </c>
      <c r="T278" s="1218">
        <v>-0.5</v>
      </c>
      <c r="U278" s="331">
        <v>779.65868801249519</v>
      </c>
      <c r="V278" s="1218" t="s">
        <v>457</v>
      </c>
      <c r="W278" s="331">
        <f t="shared" si="90"/>
        <v>192200</v>
      </c>
      <c r="Y278" s="1491"/>
      <c r="Z278" s="1491"/>
      <c r="AA278" s="1218"/>
      <c r="AC278" s="710">
        <v>2549.9</v>
      </c>
      <c r="AD278" s="331">
        <v>2366.2753404027299</v>
      </c>
      <c r="AE278" s="331">
        <v>578.44851178292799</v>
      </c>
      <c r="AF278" s="331">
        <v>34900.723961892902</v>
      </c>
      <c r="AG278" s="331">
        <v>3.0096176471536302E-3</v>
      </c>
      <c r="AH278" s="331" t="s">
        <v>471</v>
      </c>
      <c r="AI278" s="331">
        <v>2317.95842455201</v>
      </c>
      <c r="AJ278" s="331">
        <v>2213.7708344734201</v>
      </c>
      <c r="AK278" s="331">
        <v>7.2664767191835912E-3</v>
      </c>
      <c r="AM278" s="331">
        <v>1.3616339607529036E-2</v>
      </c>
      <c r="AO278" s="331">
        <v>0.53329671776336818</v>
      </c>
      <c r="AP278" s="331">
        <f t="shared" si="94"/>
        <v>1.0776007155473371</v>
      </c>
      <c r="AQ278" s="331">
        <f t="shared" si="92"/>
        <v>1.100062871271221</v>
      </c>
      <c r="AR278" s="331">
        <f t="shared" si="93"/>
        <v>1.1518355740767239</v>
      </c>
      <c r="AS278" s="331">
        <f t="shared" si="88"/>
        <v>4.5242755738114431</v>
      </c>
      <c r="AT278" s="331">
        <f t="shared" si="89"/>
        <v>1.8738571846768222</v>
      </c>
    </row>
    <row r="279" spans="3:46" ht="13.9" x14ac:dyDescent="0.4">
      <c r="C279" s="1584"/>
      <c r="D279" s="1293" t="s">
        <v>441</v>
      </c>
      <c r="E279" s="1416" t="s">
        <v>328</v>
      </c>
      <c r="F279" s="1468" t="s">
        <v>57</v>
      </c>
      <c r="G279" s="1489" t="s">
        <v>472</v>
      </c>
      <c r="H279" s="717">
        <v>600</v>
      </c>
      <c r="I279" s="1494" t="s">
        <v>423</v>
      </c>
      <c r="J279" s="1438">
        <v>125.8</v>
      </c>
      <c r="K279" s="1438">
        <v>193.1</v>
      </c>
      <c r="L279" s="1437">
        <v>5</v>
      </c>
      <c r="M279" s="1438">
        <v>6</v>
      </c>
      <c r="N279" s="1438">
        <v>6</v>
      </c>
      <c r="P279" s="1478">
        <v>192200</v>
      </c>
      <c r="Q279" s="331">
        <v>605.6</v>
      </c>
      <c r="R279" s="1491">
        <v>7</v>
      </c>
      <c r="S279" s="1491">
        <v>0.3</v>
      </c>
      <c r="T279" s="1218">
        <v>-0.5</v>
      </c>
      <c r="U279" s="331">
        <v>797.9</v>
      </c>
      <c r="V279" s="1218" t="s">
        <v>457</v>
      </c>
      <c r="W279" s="331">
        <f t="shared" si="90"/>
        <v>192200</v>
      </c>
      <c r="Y279" s="1491"/>
      <c r="Z279" s="1491"/>
      <c r="AA279" s="1218"/>
      <c r="AC279" s="710">
        <v>1447.7</v>
      </c>
      <c r="AD279" s="331">
        <v>1448.1373405695299</v>
      </c>
      <c r="AE279" s="331">
        <v>515.76820217301304</v>
      </c>
      <c r="AF279" s="331">
        <v>71302.998480273003</v>
      </c>
      <c r="AG279" s="331">
        <v>2.6834974098491802E-3</v>
      </c>
      <c r="AH279" s="331" t="s">
        <v>471</v>
      </c>
      <c r="AI279" s="331" t="s">
        <v>507</v>
      </c>
      <c r="AJ279" s="331">
        <v>1270.5125598578443</v>
      </c>
      <c r="AK279" s="331" t="e">
        <v>#VALUE!</v>
      </c>
      <c r="AM279" s="331">
        <v>5.333333333333334E-3</v>
      </c>
      <c r="AO279" s="331">
        <v>0.81408176236909191</v>
      </c>
      <c r="AP279" s="331">
        <f t="shared" si="94"/>
        <v>0.9996979978643753</v>
      </c>
      <c r="AQ279" s="331" t="e">
        <f t="shared" si="92"/>
        <v>#VALUE!</v>
      </c>
      <c r="AR279" s="331">
        <f t="shared" si="93"/>
        <v>1.1394613841219965</v>
      </c>
      <c r="AS279" s="331">
        <f t="shared" ref="AS279:AS336" si="95">AM279/AG279</f>
        <v>1.9874561137113531</v>
      </c>
      <c r="AT279" s="331" t="e">
        <f t="shared" ref="AT279:AT336" si="96">AM279/AK279</f>
        <v>#VALUE!</v>
      </c>
    </row>
    <row r="280" spans="3:46" ht="13.9" x14ac:dyDescent="0.4">
      <c r="C280" s="1584"/>
      <c r="D280" s="1293" t="s">
        <v>441</v>
      </c>
      <c r="E280" s="1416" t="s">
        <v>329</v>
      </c>
      <c r="F280" s="1468" t="s">
        <v>57</v>
      </c>
      <c r="G280" s="1489" t="s">
        <v>472</v>
      </c>
      <c r="H280" s="717">
        <v>601.4</v>
      </c>
      <c r="I280" s="1494" t="s">
        <v>423</v>
      </c>
      <c r="J280" s="1438">
        <v>124.9</v>
      </c>
      <c r="K280" s="1438">
        <v>200.55</v>
      </c>
      <c r="L280" s="1437">
        <v>5</v>
      </c>
      <c r="M280" s="1438">
        <v>6</v>
      </c>
      <c r="N280" s="1438">
        <v>10.199999999999999</v>
      </c>
      <c r="P280" s="1478">
        <v>192200</v>
      </c>
      <c r="Q280" s="331">
        <v>583.97415386650346</v>
      </c>
      <c r="R280" s="1491">
        <v>7</v>
      </c>
      <c r="S280" s="1491">
        <v>0.3</v>
      </c>
      <c r="T280" s="1218">
        <v>-0.5</v>
      </c>
      <c r="U280" s="331">
        <v>781.82104297217313</v>
      </c>
      <c r="V280" s="1218" t="s">
        <v>457</v>
      </c>
      <c r="W280" s="331">
        <f t="shared" si="90"/>
        <v>192200</v>
      </c>
      <c r="Y280" s="1491"/>
      <c r="Z280" s="1491"/>
      <c r="AA280" s="1218"/>
      <c r="AC280" s="710">
        <v>2298.6</v>
      </c>
      <c r="AD280" s="331">
        <v>2237.2229220385102</v>
      </c>
      <c r="AE280" s="331">
        <v>576.88817397905405</v>
      </c>
      <c r="AF280" s="331">
        <v>36385.749252494497</v>
      </c>
      <c r="AG280" s="331">
        <v>3.0014993443239E-3</v>
      </c>
      <c r="AH280" s="331" t="s">
        <v>471</v>
      </c>
      <c r="AI280" s="331">
        <v>2145.1288770207389</v>
      </c>
      <c r="AJ280" s="331">
        <v>1963.6966011048619</v>
      </c>
      <c r="AK280" s="331">
        <v>4.3929655898016194E-3</v>
      </c>
      <c r="AM280" s="331">
        <v>1.1805786498170934E-2</v>
      </c>
      <c r="AO280" s="331">
        <v>0.61416351600407815</v>
      </c>
      <c r="AP280" s="331">
        <f t="shared" si="94"/>
        <v>1.0274344936111972</v>
      </c>
      <c r="AQ280" s="331">
        <f t="shared" si="92"/>
        <v>1.071544010536285</v>
      </c>
      <c r="AR280" s="331">
        <f t="shared" si="93"/>
        <v>1.1705474250486081</v>
      </c>
      <c r="AS280" s="331">
        <f t="shared" si="95"/>
        <v>3.9332963775243588</v>
      </c>
      <c r="AT280" s="331">
        <f t="shared" si="96"/>
        <v>2.6874297685323021</v>
      </c>
    </row>
    <row r="281" spans="3:46" ht="13.9" x14ac:dyDescent="0.4">
      <c r="C281" s="1584"/>
      <c r="D281" s="1293" t="s">
        <v>441</v>
      </c>
      <c r="E281" s="1416" t="s">
        <v>330</v>
      </c>
      <c r="F281" s="1468" t="s">
        <v>57</v>
      </c>
      <c r="G281" s="1489" t="s">
        <v>472</v>
      </c>
      <c r="H281" s="717">
        <v>780</v>
      </c>
      <c r="I281" s="1494" t="s">
        <v>423</v>
      </c>
      <c r="J281" s="1438">
        <v>245.25</v>
      </c>
      <c r="K281" s="1438">
        <v>252.85</v>
      </c>
      <c r="L281" s="1437">
        <v>5</v>
      </c>
      <c r="M281" s="1438">
        <v>6</v>
      </c>
      <c r="N281" s="1438">
        <v>6</v>
      </c>
      <c r="P281" s="1478">
        <v>192200</v>
      </c>
      <c r="Q281" s="331">
        <v>605.59999999999991</v>
      </c>
      <c r="R281" s="1491">
        <v>7</v>
      </c>
      <c r="S281" s="1491">
        <v>0.3</v>
      </c>
      <c r="T281" s="1218">
        <v>-0.5</v>
      </c>
      <c r="U281" s="331">
        <v>797.89999999999975</v>
      </c>
      <c r="V281" s="1218" t="s">
        <v>457</v>
      </c>
      <c r="W281" s="331">
        <f t="shared" si="90"/>
        <v>192200</v>
      </c>
      <c r="Y281" s="1491"/>
      <c r="Z281" s="1491"/>
      <c r="AA281" s="1218"/>
      <c r="AC281" s="710">
        <v>1653.2</v>
      </c>
      <c r="AD281" s="331">
        <v>1351.0255289987599</v>
      </c>
      <c r="AE281" s="331">
        <v>293.72489125340701</v>
      </c>
      <c r="AF281" s="331">
        <v>181691.07121239501</v>
      </c>
      <c r="AG281" s="331">
        <v>1.52822524065248E-3</v>
      </c>
      <c r="AH281" s="331" t="s">
        <v>471</v>
      </c>
      <c r="AI281" s="331" t="s">
        <v>507</v>
      </c>
      <c r="AJ281" s="331">
        <v>1399.5624712955532</v>
      </c>
      <c r="AK281" s="331" t="e">
        <v>#VALUE!</v>
      </c>
      <c r="AM281" s="331">
        <v>5.7692307692307696E-3</v>
      </c>
      <c r="AO281" s="331">
        <v>1.3916399735761991</v>
      </c>
      <c r="AP281" s="331">
        <f t="shared" si="94"/>
        <v>1.2236630356090907</v>
      </c>
      <c r="AQ281" s="331" t="e">
        <f t="shared" si="92"/>
        <v>#VALUE!</v>
      </c>
      <c r="AR281" s="331">
        <f t="shared" si="93"/>
        <v>1.1812263002948762</v>
      </c>
      <c r="AS281" s="331">
        <f t="shared" si="95"/>
        <v>3.7751181015486832</v>
      </c>
      <c r="AT281" s="331" t="e">
        <f t="shared" si="96"/>
        <v>#VALUE!</v>
      </c>
    </row>
    <row r="282" spans="3:46" ht="14.25" thickBot="1" x14ac:dyDescent="0.45">
      <c r="C282" s="1663"/>
      <c r="D282" s="1293" t="s">
        <v>441</v>
      </c>
      <c r="E282" s="735" t="s">
        <v>331</v>
      </c>
      <c r="F282" s="95" t="s">
        <v>57</v>
      </c>
      <c r="G282" s="1489" t="s">
        <v>472</v>
      </c>
      <c r="H282" s="1436">
        <v>1117</v>
      </c>
      <c r="I282" s="1494" t="s">
        <v>423</v>
      </c>
      <c r="J282" s="1449">
        <v>245</v>
      </c>
      <c r="K282" s="1449">
        <v>372.85</v>
      </c>
      <c r="L282" s="1443">
        <v>5</v>
      </c>
      <c r="M282" s="1449">
        <v>6</v>
      </c>
      <c r="N282" s="1449">
        <v>6</v>
      </c>
      <c r="P282" s="1479">
        <v>192200</v>
      </c>
      <c r="Q282" s="331">
        <v>605.6</v>
      </c>
      <c r="R282" s="1491">
        <v>7</v>
      </c>
      <c r="S282" s="1491">
        <v>0.3</v>
      </c>
      <c r="T282" s="1218">
        <v>-0.5</v>
      </c>
      <c r="U282" s="331">
        <v>797.9</v>
      </c>
      <c r="V282" s="1218" t="s">
        <v>457</v>
      </c>
      <c r="W282" s="331">
        <f t="shared" si="90"/>
        <v>192200</v>
      </c>
      <c r="Y282" s="1491"/>
      <c r="Z282" s="1491"/>
      <c r="AA282" s="1218"/>
      <c r="AC282" s="736">
        <v>1686.3</v>
      </c>
      <c r="AD282" s="331">
        <v>1158.6227782697299</v>
      </c>
      <c r="AE282" s="331">
        <v>217.924323364175</v>
      </c>
      <c r="AF282" s="331">
        <v>190363.469260813</v>
      </c>
      <c r="AG282" s="331">
        <v>1.1338414326960201E-3</v>
      </c>
      <c r="AH282" s="331" t="s">
        <v>471</v>
      </c>
      <c r="AI282" s="331" t="s">
        <v>507</v>
      </c>
      <c r="AJ282" s="331">
        <v>1420.7778318565211</v>
      </c>
      <c r="AK282" s="331" t="e">
        <v>#VALUE!</v>
      </c>
      <c r="AM282" s="331">
        <v>5.7296329453894361E-3</v>
      </c>
      <c r="AO282" s="331">
        <v>1.6640126090897667</v>
      </c>
      <c r="AP282" s="331">
        <f t="shared" si="94"/>
        <v>1.4554348763264393</v>
      </c>
      <c r="AQ282" s="331" t="e">
        <f t="shared" si="92"/>
        <v>#VALUE!</v>
      </c>
      <c r="AR282" s="331">
        <f t="shared" si="93"/>
        <v>1.1868850725215234</v>
      </c>
      <c r="AS282" s="331">
        <f t="shared" si="95"/>
        <v>5.0532929739263954</v>
      </c>
      <c r="AT282" s="331" t="e">
        <f t="shared" si="96"/>
        <v>#VALUE!</v>
      </c>
    </row>
    <row r="283" spans="3:46" ht="13.9" x14ac:dyDescent="0.4">
      <c r="C283" s="1579" t="s">
        <v>205</v>
      </c>
      <c r="D283" s="1293" t="s">
        <v>441</v>
      </c>
      <c r="E283" s="1409" t="s">
        <v>72</v>
      </c>
      <c r="F283" s="1468" t="s">
        <v>127</v>
      </c>
      <c r="G283" s="1489" t="s">
        <v>472</v>
      </c>
      <c r="H283" s="1437">
        <v>400.2</v>
      </c>
      <c r="I283" s="1469" t="s">
        <v>411</v>
      </c>
      <c r="J283" s="1444">
        <v>79.900000000000006</v>
      </c>
      <c r="K283" s="1444">
        <v>79.900000000000006</v>
      </c>
      <c r="L283" s="1444">
        <v>4.5999999999999996</v>
      </c>
      <c r="M283" s="1426">
        <v>3.68</v>
      </c>
      <c r="P283" s="331">
        <v>186600</v>
      </c>
      <c r="Q283" s="654">
        <v>457</v>
      </c>
      <c r="R283" s="1491">
        <v>7</v>
      </c>
      <c r="S283" s="1491">
        <v>0.3</v>
      </c>
      <c r="T283" s="1218">
        <v>-0.5</v>
      </c>
      <c r="U283" s="654">
        <v>706</v>
      </c>
      <c r="V283" s="1218" t="s">
        <v>412</v>
      </c>
      <c r="W283" s="331">
        <f t="shared" si="90"/>
        <v>186600</v>
      </c>
      <c r="X283" s="331">
        <v>594</v>
      </c>
      <c r="Y283" s="1491">
        <v>7</v>
      </c>
      <c r="Z283" s="1491">
        <v>0.3</v>
      </c>
      <c r="AA283" s="1218">
        <v>-0.5</v>
      </c>
      <c r="AB283" s="331">
        <f>MAX(U283,X283*1.05)</f>
        <v>706</v>
      </c>
      <c r="AC283" s="1498">
        <v>727</v>
      </c>
      <c r="AD283" s="331">
        <v>575.301383834033</v>
      </c>
      <c r="AE283" s="331">
        <v>533.28633782140002</v>
      </c>
      <c r="AF283" s="331">
        <v>12090.130091212101</v>
      </c>
      <c r="AG283" s="331">
        <v>2.8579117782497302E-3</v>
      </c>
      <c r="AH283" s="331" t="s">
        <v>471</v>
      </c>
      <c r="AI283" s="331">
        <v>554.50610912215825</v>
      </c>
      <c r="AJ283" s="331">
        <v>493.56</v>
      </c>
      <c r="AK283" s="331">
        <v>1.0256473889359014E-2</v>
      </c>
      <c r="AM283" s="331">
        <v>1.8490754622688656E-2</v>
      </c>
      <c r="AO283" s="331">
        <v>0.45707254604108921</v>
      </c>
      <c r="AP283" s="331">
        <f t="shared" si="94"/>
        <v>1.2636854706571157</v>
      </c>
      <c r="AQ283" s="331">
        <f t="shared" si="92"/>
        <v>1.3110766284449378</v>
      </c>
      <c r="AR283" s="331">
        <f t="shared" si="93"/>
        <v>1.4729718777858822</v>
      </c>
      <c r="AS283" s="331">
        <f t="shared" si="95"/>
        <v>6.470022889934322</v>
      </c>
      <c r="AT283" s="331">
        <f t="shared" si="96"/>
        <v>1.8028373905258632</v>
      </c>
    </row>
    <row r="284" spans="3:46" ht="13.9" x14ac:dyDescent="0.4">
      <c r="C284" s="1579"/>
      <c r="D284" s="1293" t="s">
        <v>441</v>
      </c>
      <c r="E284" s="1409" t="s">
        <v>74</v>
      </c>
      <c r="F284" s="1468" t="s">
        <v>127</v>
      </c>
      <c r="G284" s="1489" t="s">
        <v>472</v>
      </c>
      <c r="H284" s="1437">
        <v>399.9</v>
      </c>
      <c r="I284" s="1469" t="s">
        <v>411</v>
      </c>
      <c r="J284" s="1444">
        <v>80.099999999999994</v>
      </c>
      <c r="K284" s="1444">
        <v>80.099999999999994</v>
      </c>
      <c r="L284" s="1444">
        <v>4.4000000000000004</v>
      </c>
      <c r="M284" s="1426">
        <v>3.82</v>
      </c>
      <c r="P284" s="331">
        <v>186600</v>
      </c>
      <c r="Q284" s="654">
        <v>457</v>
      </c>
      <c r="R284" s="1491">
        <v>7</v>
      </c>
      <c r="S284" s="1491">
        <v>0.3</v>
      </c>
      <c r="T284" s="1218">
        <v>-0.5</v>
      </c>
      <c r="U284" s="654">
        <v>706</v>
      </c>
      <c r="V284" s="1218" t="s">
        <v>412</v>
      </c>
      <c r="W284" s="331">
        <f t="shared" si="90"/>
        <v>186600</v>
      </c>
      <c r="X284" s="331">
        <v>594</v>
      </c>
      <c r="Y284" s="1491">
        <v>7</v>
      </c>
      <c r="Z284" s="1491">
        <v>0.3</v>
      </c>
      <c r="AA284" s="1218">
        <v>-0.5</v>
      </c>
      <c r="AB284" s="331">
        <f t="shared" ref="AB284:AB336" si="97">MAX(U284,X284*1.05)</f>
        <v>706</v>
      </c>
      <c r="AC284" s="1498">
        <v>714</v>
      </c>
      <c r="AD284" s="331">
        <v>612.90836220768006</v>
      </c>
      <c r="AE284" s="331">
        <v>546.40336817336595</v>
      </c>
      <c r="AF284" s="331">
        <v>10542.601683306701</v>
      </c>
      <c r="AG284" s="331">
        <v>2.92820668903197E-3</v>
      </c>
      <c r="AH284" s="331" t="s">
        <v>471</v>
      </c>
      <c r="AI284" s="331">
        <v>583.67024381941008</v>
      </c>
      <c r="AJ284" s="331">
        <v>513.66800000000001</v>
      </c>
      <c r="AK284" s="331">
        <v>1.1533760969450397E-2</v>
      </c>
      <c r="AM284" s="331">
        <v>1.8004501125281323E-2</v>
      </c>
      <c r="AO284" s="331">
        <v>0.44241109134829792</v>
      </c>
      <c r="AP284" s="331">
        <f t="shared" si="94"/>
        <v>1.1649376057265568</v>
      </c>
      <c r="AQ284" s="331">
        <f t="shared" si="92"/>
        <v>1.2232934736020473</v>
      </c>
      <c r="AR284" s="331">
        <f t="shared" si="93"/>
        <v>1.3900028812384653</v>
      </c>
      <c r="AS284" s="331">
        <f t="shared" si="95"/>
        <v>6.1486442171995019</v>
      </c>
      <c r="AT284" s="331">
        <f t="shared" si="96"/>
        <v>1.5610260324425005</v>
      </c>
    </row>
    <row r="285" spans="3:46" ht="13.9" x14ac:dyDescent="0.4">
      <c r="C285" s="1579"/>
      <c r="D285" s="1293" t="s">
        <v>441</v>
      </c>
      <c r="E285" s="1409" t="s">
        <v>75</v>
      </c>
      <c r="F285" s="1468" t="s">
        <v>127</v>
      </c>
      <c r="G285" s="1489" t="s">
        <v>472</v>
      </c>
      <c r="H285" s="1437">
        <v>399.4</v>
      </c>
      <c r="I285" s="1469" t="s">
        <v>411</v>
      </c>
      <c r="J285" s="1444">
        <v>80.099999999999994</v>
      </c>
      <c r="K285" s="1444">
        <v>80.099999999999994</v>
      </c>
      <c r="L285" s="1444">
        <v>4.4000000000000004</v>
      </c>
      <c r="M285" s="1426">
        <v>3.83</v>
      </c>
      <c r="P285" s="331">
        <v>186600</v>
      </c>
      <c r="Q285" s="654">
        <v>457</v>
      </c>
      <c r="R285" s="1491">
        <v>7</v>
      </c>
      <c r="S285" s="1491">
        <v>0.3</v>
      </c>
      <c r="T285" s="1218">
        <v>-0.5</v>
      </c>
      <c r="U285" s="654">
        <v>706</v>
      </c>
      <c r="V285" s="1218" t="s">
        <v>412</v>
      </c>
      <c r="W285" s="331">
        <f t="shared" si="90"/>
        <v>186600</v>
      </c>
      <c r="X285" s="331">
        <v>594</v>
      </c>
      <c r="Y285" s="1491">
        <v>7</v>
      </c>
      <c r="Z285" s="1491">
        <v>0.3</v>
      </c>
      <c r="AA285" s="1218">
        <v>-0.5</v>
      </c>
      <c r="AB285" s="331">
        <f t="shared" si="97"/>
        <v>706</v>
      </c>
      <c r="AC285" s="1498">
        <v>711</v>
      </c>
      <c r="AD285" s="331">
        <v>615.60129297763399</v>
      </c>
      <c r="AE285" s="331">
        <v>547.48517954172701</v>
      </c>
      <c r="AF285" s="331">
        <v>10425.1753743557</v>
      </c>
      <c r="AG285" s="331">
        <v>2.9340041776083898E-3</v>
      </c>
      <c r="AH285" s="331" t="s">
        <v>471</v>
      </c>
      <c r="AI285" s="331">
        <v>584.68462260032345</v>
      </c>
      <c r="AJ285" s="331">
        <v>514.125</v>
      </c>
      <c r="AK285" s="331">
        <v>1.1663394819713251E-2</v>
      </c>
      <c r="AM285" s="331">
        <v>1.9278918377566352E-2</v>
      </c>
      <c r="AO285" s="331">
        <v>0.44103968010139072</v>
      </c>
      <c r="AP285" s="331">
        <f t="shared" si="94"/>
        <v>1.1549683343920982</v>
      </c>
      <c r="AQ285" s="331">
        <f t="shared" si="92"/>
        <v>1.2160401907577152</v>
      </c>
      <c r="AR285" s="331">
        <f t="shared" si="93"/>
        <v>1.3829321663019694</v>
      </c>
      <c r="AS285" s="331">
        <f t="shared" si="95"/>
        <v>6.5708558033756033</v>
      </c>
      <c r="AT285" s="331">
        <f t="shared" si="96"/>
        <v>1.6529422758613543</v>
      </c>
    </row>
    <row r="286" spans="3:46" ht="13.9" x14ac:dyDescent="0.4">
      <c r="C286" s="1579"/>
      <c r="D286" s="1293" t="s">
        <v>441</v>
      </c>
      <c r="E286" s="1409" t="s">
        <v>76</v>
      </c>
      <c r="F286" s="1468" t="s">
        <v>127</v>
      </c>
      <c r="G286" s="1489" t="s">
        <v>472</v>
      </c>
      <c r="H286" s="1437">
        <v>400.5</v>
      </c>
      <c r="I286" s="1469" t="s">
        <v>411</v>
      </c>
      <c r="J286" s="1444">
        <v>100.2</v>
      </c>
      <c r="K286" s="1444">
        <v>100.2</v>
      </c>
      <c r="L286" s="1444">
        <v>1.3</v>
      </c>
      <c r="M286" s="1426">
        <v>1.91</v>
      </c>
      <c r="P286" s="331">
        <v>201300</v>
      </c>
      <c r="Q286" s="654">
        <v>382</v>
      </c>
      <c r="R286" s="1491">
        <v>7</v>
      </c>
      <c r="S286" s="1491">
        <v>0.3</v>
      </c>
      <c r="T286" s="1218">
        <v>-0.5</v>
      </c>
      <c r="U286" s="654">
        <v>675</v>
      </c>
      <c r="V286" s="1218" t="s">
        <v>412</v>
      </c>
      <c r="W286" s="331">
        <f t="shared" si="90"/>
        <v>201300</v>
      </c>
      <c r="X286" s="331">
        <v>587</v>
      </c>
      <c r="Y286" s="1491">
        <v>7</v>
      </c>
      <c r="Z286" s="1491">
        <v>0.3</v>
      </c>
      <c r="AA286" s="1218">
        <v>-0.5</v>
      </c>
      <c r="AB286" s="331">
        <f t="shared" si="97"/>
        <v>675</v>
      </c>
      <c r="AC286" s="1498">
        <v>197</v>
      </c>
      <c r="AD286" s="331">
        <v>176.837054697779</v>
      </c>
      <c r="AE286" s="331">
        <v>236.87942356545099</v>
      </c>
      <c r="AF286" s="331">
        <v>141814.324648618</v>
      </c>
      <c r="AG286" s="331">
        <v>1.17674825417511E-3</v>
      </c>
      <c r="AH286" s="331" t="s">
        <v>471</v>
      </c>
      <c r="AI286" s="331" t="s">
        <v>507</v>
      </c>
      <c r="AJ286" s="331">
        <v>167.20790609254968</v>
      </c>
      <c r="AK286" s="331" t="e">
        <v>#VALUE!</v>
      </c>
      <c r="AM286" s="331">
        <v>2.746566791510612E-3</v>
      </c>
      <c r="AO286" s="331">
        <v>1.1356337307304702</v>
      </c>
      <c r="AP286" s="331">
        <f t="shared" si="94"/>
        <v>1.1140199113623568</v>
      </c>
      <c r="AQ286" s="331" t="e">
        <f t="shared" si="92"/>
        <v>#VALUE!</v>
      </c>
      <c r="AR286" s="331">
        <f t="shared" si="93"/>
        <v>1.1781739548305832</v>
      </c>
      <c r="AS286" s="331">
        <f t="shared" si="95"/>
        <v>2.3340309040321721</v>
      </c>
      <c r="AT286" s="331" t="e">
        <f t="shared" si="96"/>
        <v>#VALUE!</v>
      </c>
    </row>
    <row r="287" spans="3:46" ht="13.9" x14ac:dyDescent="0.4">
      <c r="C287" s="1579"/>
      <c r="D287" s="1293" t="s">
        <v>441</v>
      </c>
      <c r="E287" s="1409" t="s">
        <v>77</v>
      </c>
      <c r="F287" s="1468" t="s">
        <v>127</v>
      </c>
      <c r="G287" s="1489" t="s">
        <v>472</v>
      </c>
      <c r="H287" s="1437">
        <v>400.2</v>
      </c>
      <c r="I287" s="1469" t="s">
        <v>411</v>
      </c>
      <c r="J287" s="1444">
        <v>99.9</v>
      </c>
      <c r="K287" s="1444">
        <v>99.9</v>
      </c>
      <c r="L287" s="1444">
        <v>1.3</v>
      </c>
      <c r="M287" s="1426">
        <v>1.91</v>
      </c>
      <c r="P287" s="331">
        <v>201300</v>
      </c>
      <c r="Q287" s="654">
        <v>382</v>
      </c>
      <c r="R287" s="1491">
        <v>7</v>
      </c>
      <c r="S287" s="1491">
        <v>0.3</v>
      </c>
      <c r="T287" s="1218">
        <v>-0.5</v>
      </c>
      <c r="U287" s="654">
        <v>675</v>
      </c>
      <c r="V287" s="1218" t="s">
        <v>412</v>
      </c>
      <c r="W287" s="331">
        <f t="shared" si="90"/>
        <v>201300</v>
      </c>
      <c r="X287" s="331">
        <v>587</v>
      </c>
      <c r="Y287" s="1491">
        <v>7</v>
      </c>
      <c r="Z287" s="1491">
        <v>0.3</v>
      </c>
      <c r="AA287" s="1218">
        <v>-0.5</v>
      </c>
      <c r="AB287" s="331">
        <f t="shared" si="97"/>
        <v>675</v>
      </c>
      <c r="AC287" s="1498">
        <v>187</v>
      </c>
      <c r="AD287" s="331">
        <v>176.85182607723399</v>
      </c>
      <c r="AE287" s="331">
        <v>237.62905081821901</v>
      </c>
      <c r="AF287" s="331">
        <v>141016.797344188</v>
      </c>
      <c r="AG287" s="331">
        <v>1.1804721848893099E-3</v>
      </c>
      <c r="AH287" s="331" t="s">
        <v>471</v>
      </c>
      <c r="AI287" s="331" t="s">
        <v>507</v>
      </c>
      <c r="AJ287" s="331">
        <v>166.46204448997432</v>
      </c>
      <c r="AK287" s="331" t="e">
        <v>#VALUE!</v>
      </c>
      <c r="AM287" s="331">
        <v>2.2488755622188908E-3</v>
      </c>
      <c r="AO287" s="331">
        <v>1.1313694430751191</v>
      </c>
      <c r="AP287" s="331">
        <f t="shared" si="94"/>
        <v>1.0573823530571527</v>
      </c>
      <c r="AQ287" s="331" t="e">
        <f t="shared" si="92"/>
        <v>#VALUE!</v>
      </c>
      <c r="AR287" s="331">
        <f t="shared" si="93"/>
        <v>1.1233792097949551</v>
      </c>
      <c r="AS287" s="331">
        <f t="shared" si="95"/>
        <v>1.9050644233771272</v>
      </c>
      <c r="AT287" s="331" t="e">
        <f t="shared" si="96"/>
        <v>#VALUE!</v>
      </c>
    </row>
    <row r="288" spans="3:46" ht="13.9" x14ac:dyDescent="0.4">
      <c r="C288" s="1579"/>
      <c r="D288" s="1293" t="s">
        <v>441</v>
      </c>
      <c r="E288" s="1409" t="s">
        <v>78</v>
      </c>
      <c r="F288" s="1468" t="s">
        <v>127</v>
      </c>
      <c r="G288" s="1489" t="s">
        <v>472</v>
      </c>
      <c r="H288" s="1437">
        <v>400</v>
      </c>
      <c r="I288" s="1469" t="s">
        <v>411</v>
      </c>
      <c r="J288" s="1444">
        <v>100.1</v>
      </c>
      <c r="K288" s="1444">
        <v>100.1</v>
      </c>
      <c r="L288" s="1444">
        <v>1.5</v>
      </c>
      <c r="M288" s="1426">
        <v>2.87</v>
      </c>
      <c r="P288" s="331">
        <v>195800</v>
      </c>
      <c r="Q288" s="654">
        <v>388</v>
      </c>
      <c r="R288" s="1491">
        <v>7</v>
      </c>
      <c r="S288" s="1491">
        <v>0.3</v>
      </c>
      <c r="T288" s="1218">
        <v>-0.5</v>
      </c>
      <c r="U288" s="654">
        <v>691</v>
      </c>
      <c r="V288" s="1218" t="s">
        <v>412</v>
      </c>
      <c r="W288" s="331">
        <f t="shared" si="90"/>
        <v>195800</v>
      </c>
      <c r="X288" s="331">
        <v>573.53</v>
      </c>
      <c r="Y288" s="1491">
        <v>7</v>
      </c>
      <c r="Z288" s="1491">
        <v>0.3</v>
      </c>
      <c r="AA288" s="1218">
        <v>-0.5</v>
      </c>
      <c r="AB288" s="331">
        <f t="shared" si="97"/>
        <v>691</v>
      </c>
      <c r="AC288" s="1498">
        <v>489</v>
      </c>
      <c r="AD288" s="331">
        <v>370.62095838487801</v>
      </c>
      <c r="AE288" s="331">
        <v>334.48885819514697</v>
      </c>
      <c r="AF288" s="331">
        <v>50204.218562302201</v>
      </c>
      <c r="AG288" s="331">
        <v>1.7083189897607099E-3</v>
      </c>
      <c r="AH288" s="331" t="s">
        <v>471</v>
      </c>
      <c r="AI288" s="331" t="s">
        <v>507</v>
      </c>
      <c r="AJ288" s="331">
        <v>342.36786720644341</v>
      </c>
      <c r="AK288" s="331" t="e">
        <v>#VALUE!</v>
      </c>
      <c r="AM288" s="331">
        <v>5.5000000000000005E-3</v>
      </c>
      <c r="AO288" s="331">
        <v>0.77447503964792885</v>
      </c>
      <c r="AP288" s="331">
        <f t="shared" si="94"/>
        <v>1.3194073053261848</v>
      </c>
      <c r="AQ288" s="331" t="e">
        <f t="shared" si="92"/>
        <v>#VALUE!</v>
      </c>
      <c r="AR288" s="331">
        <f t="shared" si="93"/>
        <v>1.4282882444255183</v>
      </c>
      <c r="AS288" s="331">
        <f t="shared" si="95"/>
        <v>3.2195392271383723</v>
      </c>
      <c r="AT288" s="331" t="e">
        <f t="shared" si="96"/>
        <v>#VALUE!</v>
      </c>
    </row>
    <row r="289" spans="3:46" ht="13.9" x14ac:dyDescent="0.4">
      <c r="C289" s="1579"/>
      <c r="D289" s="1293" t="s">
        <v>441</v>
      </c>
      <c r="E289" s="1409" t="s">
        <v>79</v>
      </c>
      <c r="F289" s="1468" t="s">
        <v>127</v>
      </c>
      <c r="G289" s="1489" t="s">
        <v>472</v>
      </c>
      <c r="H289" s="1437">
        <v>399.8</v>
      </c>
      <c r="I289" s="1469" t="s">
        <v>411</v>
      </c>
      <c r="J289" s="1444">
        <v>100.1</v>
      </c>
      <c r="K289" s="1444">
        <v>100.1</v>
      </c>
      <c r="L289" s="1444">
        <v>1.5</v>
      </c>
      <c r="M289" s="1426">
        <v>2.84</v>
      </c>
      <c r="P289" s="331">
        <v>195800</v>
      </c>
      <c r="Q289" s="654">
        <v>388</v>
      </c>
      <c r="R289" s="1491">
        <v>7</v>
      </c>
      <c r="S289" s="1491">
        <v>0.3</v>
      </c>
      <c r="T289" s="1218">
        <v>-0.5</v>
      </c>
      <c r="U289" s="654">
        <v>691</v>
      </c>
      <c r="V289" s="1218" t="s">
        <v>412</v>
      </c>
      <c r="W289" s="331">
        <f t="shared" si="90"/>
        <v>195800</v>
      </c>
      <c r="X289" s="331">
        <v>573.53</v>
      </c>
      <c r="Y289" s="1491">
        <v>7</v>
      </c>
      <c r="Z289" s="1491">
        <v>0.3</v>
      </c>
      <c r="AA289" s="1218">
        <v>-0.5</v>
      </c>
      <c r="AB289" s="331">
        <f t="shared" si="97"/>
        <v>691</v>
      </c>
      <c r="AC289" s="1498">
        <v>496</v>
      </c>
      <c r="AD289" s="331">
        <v>364.28358492948303</v>
      </c>
      <c r="AE289" s="331">
        <v>332.13239321331503</v>
      </c>
      <c r="AF289" s="331">
        <v>51804.094776469799</v>
      </c>
      <c r="AG289" s="331">
        <v>1.6962839285664701E-3</v>
      </c>
      <c r="AH289" s="331" t="s">
        <v>471</v>
      </c>
      <c r="AI289" s="331" t="s">
        <v>507</v>
      </c>
      <c r="AJ289" s="331">
        <v>335.93905351389947</v>
      </c>
      <c r="AK289" s="331" t="e">
        <v>#VALUE!</v>
      </c>
      <c r="AM289" s="331">
        <v>5.7528764382191091E-3</v>
      </c>
      <c r="AO289" s="331">
        <v>0.78277929640206223</v>
      </c>
      <c r="AP289" s="331">
        <f t="shared" si="94"/>
        <v>1.3615765862631835</v>
      </c>
      <c r="AQ289" s="331" t="e">
        <f t="shared" si="92"/>
        <v>#VALUE!</v>
      </c>
      <c r="AR289" s="331">
        <f t="shared" si="93"/>
        <v>1.4764582885254751</v>
      </c>
      <c r="AS289" s="331">
        <f t="shared" si="95"/>
        <v>3.3914584353109247</v>
      </c>
      <c r="AT289" s="331" t="e">
        <f t="shared" si="96"/>
        <v>#VALUE!</v>
      </c>
    </row>
    <row r="290" spans="3:46" ht="13.9" x14ac:dyDescent="0.4">
      <c r="C290" s="1579"/>
      <c r="D290" s="1293" t="s">
        <v>441</v>
      </c>
      <c r="E290" s="1409" t="s">
        <v>80</v>
      </c>
      <c r="F290" s="1468" t="s">
        <v>127</v>
      </c>
      <c r="G290" s="1489" t="s">
        <v>472</v>
      </c>
      <c r="H290" s="1437">
        <v>399.8</v>
      </c>
      <c r="I290" s="1469" t="s">
        <v>411</v>
      </c>
      <c r="J290" s="1444">
        <v>99.8</v>
      </c>
      <c r="K290" s="1444">
        <v>99.8</v>
      </c>
      <c r="L290" s="1444">
        <v>4.5</v>
      </c>
      <c r="M290" s="1426">
        <v>3.84</v>
      </c>
      <c r="P290" s="331">
        <v>191300</v>
      </c>
      <c r="Q290" s="654">
        <v>465</v>
      </c>
      <c r="R290" s="1491">
        <v>7</v>
      </c>
      <c r="S290" s="1491">
        <v>0.3</v>
      </c>
      <c r="T290" s="1218">
        <v>-0.5</v>
      </c>
      <c r="U290" s="654">
        <v>713</v>
      </c>
      <c r="V290" s="1218" t="s">
        <v>412</v>
      </c>
      <c r="W290" s="331">
        <f t="shared" si="90"/>
        <v>191300</v>
      </c>
      <c r="X290" s="331">
        <v>591.79</v>
      </c>
      <c r="Y290" s="1491">
        <v>7</v>
      </c>
      <c r="Z290" s="1491">
        <v>0.3</v>
      </c>
      <c r="AA290" s="1218">
        <v>-0.5</v>
      </c>
      <c r="AB290" s="331">
        <f t="shared" si="97"/>
        <v>713</v>
      </c>
      <c r="AC290" s="1498">
        <v>779</v>
      </c>
      <c r="AD290" s="331">
        <v>678.986964588722</v>
      </c>
      <c r="AE290" s="331">
        <v>473.48167032277598</v>
      </c>
      <c r="AF290" s="331">
        <v>25783.914120220299</v>
      </c>
      <c r="AG290" s="331">
        <v>2.47507407382527E-3</v>
      </c>
      <c r="AH290" s="331" t="s">
        <v>471</v>
      </c>
      <c r="AI290" s="331">
        <v>728.22804829501717</v>
      </c>
      <c r="AJ290" s="331">
        <v>616.50378186164301</v>
      </c>
      <c r="AK290" s="331">
        <v>4.2715523944485715E-3</v>
      </c>
      <c r="AM290" s="331">
        <v>1.0005002501250625E-2</v>
      </c>
      <c r="AO290" s="331">
        <v>0.58176534626843868</v>
      </c>
      <c r="AP290" s="331">
        <f t="shared" si="94"/>
        <v>1.1472974307715291</v>
      </c>
      <c r="AQ290" s="331">
        <f t="shared" si="92"/>
        <v>1.0697198519390374</v>
      </c>
      <c r="AR290" s="331">
        <f t="shared" si="93"/>
        <v>1.2635770013408039</v>
      </c>
      <c r="AS290" s="331">
        <f t="shared" si="95"/>
        <v>4.0423042716405329</v>
      </c>
      <c r="AT290" s="331">
        <f t="shared" si="96"/>
        <v>2.3422403794586262</v>
      </c>
    </row>
    <row r="291" spans="3:46" ht="13.9" x14ac:dyDescent="0.4">
      <c r="C291" s="1579"/>
      <c r="D291" s="1293" t="s">
        <v>441</v>
      </c>
      <c r="E291" s="1409" t="s">
        <v>81</v>
      </c>
      <c r="F291" s="1468" t="s">
        <v>127</v>
      </c>
      <c r="G291" s="1489" t="s">
        <v>472</v>
      </c>
      <c r="H291" s="1437">
        <v>400.4</v>
      </c>
      <c r="I291" s="1469" t="s">
        <v>411</v>
      </c>
      <c r="J291" s="1444">
        <v>99.7</v>
      </c>
      <c r="K291" s="1444">
        <v>99.7</v>
      </c>
      <c r="L291" s="1444">
        <v>4.5</v>
      </c>
      <c r="M291" s="1426">
        <v>3.83</v>
      </c>
      <c r="P291" s="331">
        <v>191300</v>
      </c>
      <c r="Q291" s="654">
        <v>465</v>
      </c>
      <c r="R291" s="1491">
        <v>7</v>
      </c>
      <c r="S291" s="1491">
        <v>0.3</v>
      </c>
      <c r="T291" s="1218">
        <v>-0.5</v>
      </c>
      <c r="U291" s="654">
        <v>713</v>
      </c>
      <c r="V291" s="1218" t="s">
        <v>412</v>
      </c>
      <c r="W291" s="331">
        <f t="shared" si="90"/>
        <v>191300</v>
      </c>
      <c r="X291" s="331">
        <v>591.79</v>
      </c>
      <c r="Y291" s="1491">
        <v>7</v>
      </c>
      <c r="Z291" s="1491">
        <v>0.3</v>
      </c>
      <c r="AA291" s="1218">
        <v>-0.5</v>
      </c>
      <c r="AB291" s="331">
        <f t="shared" si="97"/>
        <v>713</v>
      </c>
      <c r="AC291" s="1498">
        <v>774</v>
      </c>
      <c r="AD291" s="331">
        <v>675.85537279581899</v>
      </c>
      <c r="AE291" s="331">
        <v>472.972314010817</v>
      </c>
      <c r="AF291" s="331">
        <v>25928.3255558214</v>
      </c>
      <c r="AG291" s="331">
        <v>2.4724114689535599E-3</v>
      </c>
      <c r="AH291" s="331" t="s">
        <v>471</v>
      </c>
      <c r="AI291" s="331">
        <v>725.46396816987044</v>
      </c>
      <c r="AJ291" s="331">
        <v>613.74105195521383</v>
      </c>
      <c r="AK291" s="331">
        <v>4.2467629425154392E-3</v>
      </c>
      <c r="AM291" s="331">
        <v>9.99000999000999E-3</v>
      </c>
      <c r="AO291" s="331">
        <v>0.58270667410265942</v>
      </c>
      <c r="AP291" s="331">
        <f t="shared" si="94"/>
        <v>1.145215427966763</v>
      </c>
      <c r="AQ291" s="331">
        <f t="shared" si="92"/>
        <v>1.0669034355387375</v>
      </c>
      <c r="AR291" s="331">
        <f t="shared" si="93"/>
        <v>1.2611181825531212</v>
      </c>
      <c r="AS291" s="331">
        <f t="shared" si="95"/>
        <v>4.0405936129386379</v>
      </c>
      <c r="AT291" s="331">
        <f t="shared" si="96"/>
        <v>2.352382302764636</v>
      </c>
    </row>
    <row r="292" spans="3:46" ht="13.9" x14ac:dyDescent="0.4">
      <c r="C292" s="1579"/>
      <c r="D292" s="1293" t="s">
        <v>441</v>
      </c>
      <c r="E292" s="1409" t="s">
        <v>82</v>
      </c>
      <c r="F292" s="1468" t="s">
        <v>127</v>
      </c>
      <c r="G292" s="1489" t="s">
        <v>472</v>
      </c>
      <c r="H292" s="1437">
        <v>399.8</v>
      </c>
      <c r="I292" s="1469" t="s">
        <v>411</v>
      </c>
      <c r="J292" s="1444">
        <v>100.1</v>
      </c>
      <c r="K292" s="1444">
        <v>100.1</v>
      </c>
      <c r="L292" s="1444">
        <v>5.8</v>
      </c>
      <c r="M292" s="1426">
        <v>5.94</v>
      </c>
      <c r="P292" s="331">
        <v>198400</v>
      </c>
      <c r="Q292" s="654">
        <v>501</v>
      </c>
      <c r="R292" s="1491">
        <v>7</v>
      </c>
      <c r="S292" s="1491">
        <v>0.3</v>
      </c>
      <c r="T292" s="1218">
        <v>-0.5</v>
      </c>
      <c r="U292" s="654">
        <v>715</v>
      </c>
      <c r="V292" s="1218" t="s">
        <v>412</v>
      </c>
      <c r="W292" s="331">
        <f t="shared" si="90"/>
        <v>198400</v>
      </c>
      <c r="X292" s="331">
        <v>593.45000000000005</v>
      </c>
      <c r="Y292" s="1491">
        <v>7</v>
      </c>
      <c r="Z292" s="1491">
        <v>0.3</v>
      </c>
      <c r="AA292" s="1218">
        <v>-0.5</v>
      </c>
      <c r="AB292" s="331">
        <f t="shared" si="97"/>
        <v>715</v>
      </c>
      <c r="AC292" s="1498">
        <v>1513</v>
      </c>
      <c r="AD292" s="331">
        <v>1471.1924110413199</v>
      </c>
      <c r="AE292" s="331">
        <v>692.45071955242599</v>
      </c>
      <c r="AF292" s="331">
        <v>5003.9027194278897</v>
      </c>
      <c r="AG292" s="331">
        <v>3.49017499774408E-3</v>
      </c>
      <c r="AH292" s="331" t="s">
        <v>482</v>
      </c>
      <c r="AI292" s="331">
        <v>1383.1916275757728</v>
      </c>
      <c r="AJ292" s="331">
        <v>1075.6469999999999</v>
      </c>
      <c r="AK292" s="331">
        <v>2.281646756689629E-2</v>
      </c>
      <c r="AM292" s="331">
        <v>3.3516758379189597E-2</v>
      </c>
      <c r="AO292" s="331">
        <v>0.35371959771334588</v>
      </c>
      <c r="AP292" s="331">
        <f t="shared" si="94"/>
        <v>1.0284174854661521</v>
      </c>
      <c r="AQ292" s="331">
        <f t="shared" si="92"/>
        <v>1.0938469911444835</v>
      </c>
      <c r="AR292" s="331">
        <f t="shared" si="93"/>
        <v>1.4065952863718303</v>
      </c>
      <c r="AS292" s="331">
        <f t="shared" si="95"/>
        <v>9.6031741677290086</v>
      </c>
      <c r="AT292" s="331">
        <f t="shared" si="96"/>
        <v>1.4689722798203009</v>
      </c>
    </row>
    <row r="293" spans="3:46" ht="13.9" x14ac:dyDescent="0.4">
      <c r="C293" s="1579"/>
      <c r="D293" s="1293" t="s">
        <v>441</v>
      </c>
      <c r="E293" s="1409" t="s">
        <v>83</v>
      </c>
      <c r="F293" s="1468" t="s">
        <v>127</v>
      </c>
      <c r="G293" s="1489" t="s">
        <v>472</v>
      </c>
      <c r="H293" s="1437">
        <v>399.6</v>
      </c>
      <c r="I293" s="1469" t="s">
        <v>411</v>
      </c>
      <c r="J293" s="1444">
        <v>100.2</v>
      </c>
      <c r="K293" s="1444">
        <v>100.2</v>
      </c>
      <c r="L293" s="1444">
        <v>5.8</v>
      </c>
      <c r="M293" s="1426">
        <v>5.92</v>
      </c>
      <c r="P293" s="331">
        <v>198400</v>
      </c>
      <c r="Q293" s="654">
        <v>501</v>
      </c>
      <c r="R293" s="1491">
        <v>7</v>
      </c>
      <c r="S293" s="1491">
        <v>0.3</v>
      </c>
      <c r="T293" s="1218">
        <v>-0.5</v>
      </c>
      <c r="U293" s="654">
        <v>715</v>
      </c>
      <c r="V293" s="1218" t="s">
        <v>412</v>
      </c>
      <c r="W293" s="331">
        <f t="shared" si="90"/>
        <v>198400</v>
      </c>
      <c r="X293" s="331">
        <v>593.45000000000005</v>
      </c>
      <c r="Y293" s="1491">
        <v>7</v>
      </c>
      <c r="Z293" s="1491">
        <v>0.3</v>
      </c>
      <c r="AA293" s="1218">
        <v>-0.5</v>
      </c>
      <c r="AB293" s="331">
        <f t="shared" si="97"/>
        <v>715</v>
      </c>
      <c r="AC293" s="1498">
        <v>1507</v>
      </c>
      <c r="AD293" s="331">
        <v>1468.63233264005</v>
      </c>
      <c r="AE293" s="331">
        <v>692.66106988830904</v>
      </c>
      <c r="AF293" s="331">
        <v>4995.0213730575597</v>
      </c>
      <c r="AG293" s="331">
        <v>3.4912352312918798E-3</v>
      </c>
      <c r="AH293" s="331" t="s">
        <v>482</v>
      </c>
      <c r="AI293" s="331">
        <v>1387.1420070109511</v>
      </c>
      <c r="AJ293" s="331">
        <v>1078.653</v>
      </c>
      <c r="AK293" s="331">
        <v>2.2797769131325106E-2</v>
      </c>
      <c r="AM293" s="331">
        <v>3.3783783783783779E-2</v>
      </c>
      <c r="AO293" s="331">
        <v>0.35559888961075081</v>
      </c>
      <c r="AP293" s="331">
        <f t="shared" si="94"/>
        <v>1.0261247600963403</v>
      </c>
      <c r="AQ293" s="331">
        <f t="shared" si="92"/>
        <v>1.0864064330712051</v>
      </c>
      <c r="AR293" s="331">
        <f t="shared" si="93"/>
        <v>1.3971128806020101</v>
      </c>
      <c r="AS293" s="331">
        <f t="shared" si="95"/>
        <v>9.676742340642166</v>
      </c>
      <c r="AT293" s="331">
        <f t="shared" si="96"/>
        <v>1.4818898984885069</v>
      </c>
    </row>
    <row r="294" spans="3:46" ht="13.9" x14ac:dyDescent="0.4">
      <c r="C294" s="1579"/>
      <c r="D294" s="1293" t="s">
        <v>441</v>
      </c>
      <c r="E294" s="1409" t="s">
        <v>84</v>
      </c>
      <c r="F294" s="1468" t="s">
        <v>127</v>
      </c>
      <c r="G294" s="1489" t="s">
        <v>472</v>
      </c>
      <c r="H294" s="1437">
        <v>399.1</v>
      </c>
      <c r="I294" s="1469" t="s">
        <v>411</v>
      </c>
      <c r="J294" s="1444">
        <v>100.3</v>
      </c>
      <c r="K294" s="1444">
        <v>100.3</v>
      </c>
      <c r="L294" s="1444">
        <v>8</v>
      </c>
      <c r="M294" s="1426">
        <v>7.97</v>
      </c>
      <c r="P294" s="331">
        <v>202400</v>
      </c>
      <c r="Q294" s="654">
        <v>328</v>
      </c>
      <c r="R294" s="1491">
        <v>7</v>
      </c>
      <c r="S294" s="1491">
        <v>0.3</v>
      </c>
      <c r="T294" s="1218">
        <v>-0.5</v>
      </c>
      <c r="U294" s="654">
        <v>653</v>
      </c>
      <c r="V294" s="1218" t="s">
        <v>412</v>
      </c>
      <c r="W294" s="331">
        <f t="shared" si="90"/>
        <v>202400</v>
      </c>
      <c r="X294" s="331">
        <v>541.99</v>
      </c>
      <c r="Y294" s="1491">
        <v>7</v>
      </c>
      <c r="Z294" s="1491">
        <v>0.3</v>
      </c>
      <c r="AA294" s="1218">
        <v>-0.5</v>
      </c>
      <c r="AB294" s="331">
        <f t="shared" si="97"/>
        <v>653</v>
      </c>
      <c r="AC294" s="1498">
        <v>1630</v>
      </c>
      <c r="AD294" s="331">
        <v>1382.6470395968799</v>
      </c>
      <c r="AE294" s="331">
        <v>498.68368416433998</v>
      </c>
      <c r="AF294" s="331">
        <v>1879.2592933097201</v>
      </c>
      <c r="AG294" s="331">
        <v>2.4638521944878402E-3</v>
      </c>
      <c r="AH294" s="331" t="s">
        <v>482</v>
      </c>
      <c r="AI294" s="331">
        <v>1599.3570722622833</v>
      </c>
      <c r="AJ294" s="331">
        <v>913.48</v>
      </c>
      <c r="AK294" s="331">
        <v>2.2235602761146701E-2</v>
      </c>
      <c r="AM294" s="331">
        <v>7.2663492858932588E-2</v>
      </c>
      <c r="AO294" s="331">
        <v>0.2133250070506473</v>
      </c>
      <c r="AP294" s="331">
        <f t="shared" si="94"/>
        <v>1.178898123179172</v>
      </c>
      <c r="AQ294" s="331">
        <f t="shared" si="92"/>
        <v>1.0191595287063522</v>
      </c>
      <c r="AR294" s="331">
        <f t="shared" si="93"/>
        <v>1.7843849892717958</v>
      </c>
      <c r="AS294" s="331">
        <f t="shared" si="95"/>
        <v>29.491823016614482</v>
      </c>
      <c r="AT294" s="331">
        <f t="shared" si="96"/>
        <v>3.2678895031305775</v>
      </c>
    </row>
    <row r="295" spans="3:46" ht="13.9" x14ac:dyDescent="0.4">
      <c r="C295" s="1579"/>
      <c r="D295" s="1293" t="s">
        <v>441</v>
      </c>
      <c r="E295" s="1409" t="s">
        <v>85</v>
      </c>
      <c r="F295" s="1468" t="s">
        <v>127</v>
      </c>
      <c r="G295" s="1489" t="s">
        <v>472</v>
      </c>
      <c r="H295" s="1437">
        <v>400</v>
      </c>
      <c r="I295" s="1469" t="s">
        <v>411</v>
      </c>
      <c r="J295" s="1444">
        <v>100.1</v>
      </c>
      <c r="K295" s="1444">
        <v>100.1</v>
      </c>
      <c r="L295" s="1444">
        <v>8</v>
      </c>
      <c r="M295" s="1426">
        <v>7.97</v>
      </c>
      <c r="P295" s="331">
        <v>202400</v>
      </c>
      <c r="Q295" s="654">
        <v>328</v>
      </c>
      <c r="R295" s="1491">
        <v>7</v>
      </c>
      <c r="S295" s="1491">
        <v>0.3</v>
      </c>
      <c r="T295" s="1218">
        <v>-0.5</v>
      </c>
      <c r="U295" s="654">
        <v>653</v>
      </c>
      <c r="V295" s="1218" t="s">
        <v>412</v>
      </c>
      <c r="W295" s="331">
        <f t="shared" si="90"/>
        <v>202400</v>
      </c>
      <c r="X295" s="331">
        <v>541.99</v>
      </c>
      <c r="Y295" s="1491">
        <v>7</v>
      </c>
      <c r="Z295" s="1491">
        <v>0.3</v>
      </c>
      <c r="AA295" s="1218">
        <v>-0.5</v>
      </c>
      <c r="AB295" s="331">
        <f t="shared" si="97"/>
        <v>653</v>
      </c>
      <c r="AC295" s="1498">
        <v>1797</v>
      </c>
      <c r="AD295" s="331">
        <v>1379.0220844586499</v>
      </c>
      <c r="AE295" s="331">
        <v>498.51284453986801</v>
      </c>
      <c r="AF295" s="331">
        <v>1883.09074008485</v>
      </c>
      <c r="AG295" s="331">
        <v>2.46300812519697E-3</v>
      </c>
      <c r="AH295" s="331" t="s">
        <v>482</v>
      </c>
      <c r="AI295" s="331">
        <v>1597.4283593556111</v>
      </c>
      <c r="AJ295" s="331">
        <v>912.16800000000001</v>
      </c>
      <c r="AK295" s="331">
        <v>2.2177679746324456E-2</v>
      </c>
      <c r="AM295" s="331">
        <v>9.5500000000000002E-2</v>
      </c>
      <c r="AO295" s="331">
        <v>0.21278594382872582</v>
      </c>
      <c r="AP295" s="331">
        <f t="shared" si="94"/>
        <v>1.3030973327054671</v>
      </c>
      <c r="AQ295" s="331">
        <f t="shared" si="92"/>
        <v>1.1249330772648198</v>
      </c>
      <c r="AR295" s="331">
        <f t="shared" si="93"/>
        <v>1.9700318362406926</v>
      </c>
      <c r="AS295" s="331">
        <f t="shared" si="95"/>
        <v>38.773725114026064</v>
      </c>
      <c r="AT295" s="331">
        <f t="shared" si="96"/>
        <v>4.3061312586510487</v>
      </c>
    </row>
    <row r="296" spans="3:46" ht="13.9" x14ac:dyDescent="0.4">
      <c r="C296" s="1579"/>
      <c r="D296" s="1293" t="s">
        <v>441</v>
      </c>
      <c r="E296" s="1409" t="s">
        <v>86</v>
      </c>
      <c r="F296" s="1468" t="s">
        <v>127</v>
      </c>
      <c r="G296" s="1489" t="s">
        <v>472</v>
      </c>
      <c r="H296" s="1437">
        <v>449.9</v>
      </c>
      <c r="I296" s="1469" t="s">
        <v>411</v>
      </c>
      <c r="J296" s="1444">
        <v>150.4</v>
      </c>
      <c r="K296" s="1444">
        <v>150.4</v>
      </c>
      <c r="L296" s="1444">
        <v>5.8</v>
      </c>
      <c r="M296" s="1426">
        <v>3.79</v>
      </c>
      <c r="P296" s="331">
        <v>206000</v>
      </c>
      <c r="Q296" s="654">
        <v>314</v>
      </c>
      <c r="R296" s="1491">
        <v>7</v>
      </c>
      <c r="S296" s="1491">
        <v>0.3</v>
      </c>
      <c r="T296" s="1218">
        <v>-0.5</v>
      </c>
      <c r="U296" s="654">
        <v>659</v>
      </c>
      <c r="V296" s="1218" t="s">
        <v>412</v>
      </c>
      <c r="W296" s="331">
        <f t="shared" si="90"/>
        <v>206000</v>
      </c>
      <c r="X296" s="331">
        <v>563</v>
      </c>
      <c r="Y296" s="1491">
        <v>7</v>
      </c>
      <c r="Z296" s="1491">
        <v>0.3</v>
      </c>
      <c r="AA296" s="1218">
        <v>-0.5</v>
      </c>
      <c r="AB296" s="331">
        <f t="shared" si="97"/>
        <v>659</v>
      </c>
      <c r="AC296" s="1498">
        <v>726</v>
      </c>
      <c r="AD296" s="331">
        <v>581.01389684684705</v>
      </c>
      <c r="AE296" s="331">
        <v>266.16338608842</v>
      </c>
      <c r="AF296" s="331">
        <v>46743.3620462732</v>
      </c>
      <c r="AG296" s="331">
        <v>1.2920552722738799E-3</v>
      </c>
      <c r="AH296" s="331" t="s">
        <v>471</v>
      </c>
      <c r="AI296" s="331" t="s">
        <v>507</v>
      </c>
      <c r="AJ296" s="331">
        <v>548.35046377474202</v>
      </c>
      <c r="AK296" s="331" t="e">
        <v>#VALUE!</v>
      </c>
      <c r="AM296" s="331">
        <v>3.778617470549011E-3</v>
      </c>
      <c r="AO296" s="331">
        <v>0.73367596594498974</v>
      </c>
      <c r="AP296" s="331">
        <f t="shared" si="94"/>
        <v>1.2495398198562722</v>
      </c>
      <c r="AQ296" s="331" t="e">
        <f t="shared" si="92"/>
        <v>#VALUE!</v>
      </c>
      <c r="AR296" s="331">
        <f t="shared" si="93"/>
        <v>1.3239707959802784</v>
      </c>
      <c r="AS296" s="331">
        <f t="shared" si="95"/>
        <v>2.924501413859057</v>
      </c>
      <c r="AT296" s="331" t="e">
        <f t="shared" si="96"/>
        <v>#VALUE!</v>
      </c>
    </row>
    <row r="297" spans="3:46" ht="13.9" x14ac:dyDescent="0.4">
      <c r="C297" s="1575"/>
      <c r="D297" s="1293" t="s">
        <v>441</v>
      </c>
      <c r="E297" s="247" t="s">
        <v>87</v>
      </c>
      <c r="F297" s="1468" t="s">
        <v>127</v>
      </c>
      <c r="G297" s="1489" t="s">
        <v>472</v>
      </c>
      <c r="H297" s="210">
        <v>450.7</v>
      </c>
      <c r="I297" s="1469" t="s">
        <v>411</v>
      </c>
      <c r="J297" s="53">
        <v>150.19999999999999</v>
      </c>
      <c r="K297" s="53">
        <v>150.19999999999999</v>
      </c>
      <c r="L297" s="65">
        <v>6</v>
      </c>
      <c r="M297" s="58">
        <v>3.74</v>
      </c>
      <c r="P297" s="331">
        <v>206000</v>
      </c>
      <c r="Q297" s="1462">
        <v>314</v>
      </c>
      <c r="R297" s="1491">
        <v>7</v>
      </c>
      <c r="S297" s="1491">
        <v>0.3</v>
      </c>
      <c r="T297" s="1218">
        <v>-0.5</v>
      </c>
      <c r="U297" s="1462">
        <v>659</v>
      </c>
      <c r="V297" s="1218" t="s">
        <v>412</v>
      </c>
      <c r="W297" s="331">
        <f t="shared" si="90"/>
        <v>206000</v>
      </c>
      <c r="X297" s="331">
        <v>563</v>
      </c>
      <c r="Y297" s="1491">
        <v>7</v>
      </c>
      <c r="Z297" s="1491">
        <v>0.3</v>
      </c>
      <c r="AA297" s="1218">
        <v>-0.5</v>
      </c>
      <c r="AB297" s="331">
        <f t="shared" si="97"/>
        <v>659</v>
      </c>
      <c r="AC297" s="1499">
        <v>713</v>
      </c>
      <c r="AD297" s="331">
        <v>567.67768265884195</v>
      </c>
      <c r="AE297" s="331">
        <v>263.96504815719697</v>
      </c>
      <c r="AF297" s="331">
        <v>48565.993391315198</v>
      </c>
      <c r="AG297" s="331">
        <v>1.28138372891843E-3</v>
      </c>
      <c r="AH297" s="331" t="s">
        <v>471</v>
      </c>
      <c r="AI297" s="331" t="s">
        <v>507</v>
      </c>
      <c r="AJ297" s="331">
        <v>537.32508532911731</v>
      </c>
      <c r="AK297" s="331" t="e">
        <v>#VALUE!</v>
      </c>
      <c r="AM297" s="331">
        <v>3.5500332815620148E-3</v>
      </c>
      <c r="AO297" s="331">
        <v>0.74168464162542669</v>
      </c>
      <c r="AP297" s="331">
        <f t="shared" si="94"/>
        <v>1.2559944168678772</v>
      </c>
      <c r="AQ297" s="331" t="e">
        <f t="shared" si="92"/>
        <v>#VALUE!</v>
      </c>
      <c r="AR297" s="331">
        <f t="shared" si="93"/>
        <v>1.3269434453507414</v>
      </c>
      <c r="AS297" s="331">
        <f t="shared" si="95"/>
        <v>2.7704685188709788</v>
      </c>
      <c r="AT297" s="331" t="e">
        <f t="shared" si="96"/>
        <v>#VALUE!</v>
      </c>
    </row>
    <row r="298" spans="3:46" ht="13.9" x14ac:dyDescent="0.4">
      <c r="C298" s="1408" t="s">
        <v>206</v>
      </c>
      <c r="D298" s="1293" t="s">
        <v>441</v>
      </c>
      <c r="E298" s="1417" t="s">
        <v>89</v>
      </c>
      <c r="F298" s="1427" t="s">
        <v>88</v>
      </c>
      <c r="G298" s="1489" t="s">
        <v>472</v>
      </c>
      <c r="H298" s="766">
        <v>399</v>
      </c>
      <c r="I298" s="1469" t="s">
        <v>411</v>
      </c>
      <c r="J298" s="68">
        <v>59.7</v>
      </c>
      <c r="K298" s="68">
        <v>59.7</v>
      </c>
      <c r="L298" s="68">
        <v>3.5</v>
      </c>
      <c r="M298" s="69">
        <v>4.7699999999999996</v>
      </c>
      <c r="P298" s="331">
        <v>185000</v>
      </c>
      <c r="Q298" s="160">
        <v>566</v>
      </c>
      <c r="R298" s="1491">
        <v>7</v>
      </c>
      <c r="S298" s="1491">
        <v>0.3</v>
      </c>
      <c r="T298" s="1218">
        <v>-0.5</v>
      </c>
      <c r="U298" s="160">
        <v>753</v>
      </c>
      <c r="V298" s="1218" t="s">
        <v>412</v>
      </c>
      <c r="W298" s="331">
        <f t="shared" si="90"/>
        <v>185000</v>
      </c>
      <c r="X298" s="331">
        <v>624.99</v>
      </c>
      <c r="Y298" s="1491">
        <v>7</v>
      </c>
      <c r="Z298" s="1491">
        <v>0.3</v>
      </c>
      <c r="AA298" s="1218">
        <v>-0.5</v>
      </c>
      <c r="AB298" s="331">
        <f t="shared" si="97"/>
        <v>753</v>
      </c>
      <c r="AC298" s="1500">
        <v>801</v>
      </c>
      <c r="AD298" s="331">
        <v>649.54799671587205</v>
      </c>
      <c r="AE298" s="331">
        <v>649.73356499342799</v>
      </c>
      <c r="AF298" s="331">
        <v>16127.341339537001</v>
      </c>
      <c r="AG298" s="331">
        <v>3.5120733242887999E-3</v>
      </c>
      <c r="AH298" s="331" t="s">
        <v>482</v>
      </c>
      <c r="AI298" s="331">
        <v>687.81074164390031</v>
      </c>
      <c r="AJ298" s="331">
        <v>565.43399999999997</v>
      </c>
      <c r="AK298" s="331">
        <v>1.9504970444080116E-2</v>
      </c>
      <c r="AM298" s="331">
        <v>2.3558897243107769E-2</v>
      </c>
      <c r="AO298" s="331">
        <v>0.27052564340449536</v>
      </c>
      <c r="AP298" s="331">
        <f t="shared" si="94"/>
        <v>1.233165222662332</v>
      </c>
      <c r="AQ298" s="331">
        <f t="shared" si="92"/>
        <v>1.164564540073294</v>
      </c>
      <c r="AR298" s="331">
        <f t="shared" si="93"/>
        <v>1.4166109572469998</v>
      </c>
      <c r="AS298" s="331">
        <f t="shared" si="95"/>
        <v>6.707974198653293</v>
      </c>
      <c r="AT298" s="331">
        <f t="shared" si="96"/>
        <v>1.207840704534779</v>
      </c>
    </row>
    <row r="299" spans="3:46" ht="13.9" x14ac:dyDescent="0.4">
      <c r="C299" s="1574" t="s">
        <v>207</v>
      </c>
      <c r="D299" s="1293" t="s">
        <v>441</v>
      </c>
      <c r="E299" s="257" t="s">
        <v>90</v>
      </c>
      <c r="F299" s="1468" t="s">
        <v>88</v>
      </c>
      <c r="G299" s="1489" t="s">
        <v>472</v>
      </c>
      <c r="H299" s="14">
        <v>300</v>
      </c>
      <c r="I299" s="1469" t="s">
        <v>411</v>
      </c>
      <c r="J299" s="54">
        <v>80.400000000000006</v>
      </c>
      <c r="K299" s="54">
        <v>80.400000000000006</v>
      </c>
      <c r="L299" s="54">
        <v>5.5</v>
      </c>
      <c r="M299" s="59">
        <v>3</v>
      </c>
      <c r="P299" s="331">
        <v>194000</v>
      </c>
      <c r="Q299" s="654">
        <v>407.5</v>
      </c>
      <c r="R299" s="1491">
        <v>7</v>
      </c>
      <c r="S299" s="1491">
        <v>0.3</v>
      </c>
      <c r="T299" s="1218">
        <v>-0.5</v>
      </c>
      <c r="U299" s="654">
        <v>695</v>
      </c>
      <c r="V299" s="1218" t="s">
        <v>412</v>
      </c>
      <c r="W299" s="331">
        <f t="shared" si="90"/>
        <v>194000</v>
      </c>
      <c r="X299" s="331">
        <v>580</v>
      </c>
      <c r="Y299" s="1491">
        <v>7</v>
      </c>
      <c r="Z299" s="1491">
        <v>0.3</v>
      </c>
      <c r="AA299" s="1218">
        <v>-0.5</v>
      </c>
      <c r="AB299" s="331">
        <f t="shared" si="97"/>
        <v>695</v>
      </c>
      <c r="AC299" s="1501">
        <v>485</v>
      </c>
      <c r="AD299" s="331">
        <v>383.4965367739</v>
      </c>
      <c r="AE299" s="331">
        <v>429.52191824756301</v>
      </c>
      <c r="AF299" s="331">
        <v>19132.060101077299</v>
      </c>
      <c r="AG299" s="331">
        <v>2.2140305064307399E-3</v>
      </c>
      <c r="AH299" s="331" t="s">
        <v>471</v>
      </c>
      <c r="AI299" s="331">
        <v>409.34309138787813</v>
      </c>
      <c r="AJ299" s="331">
        <v>370.01</v>
      </c>
      <c r="AK299" s="331">
        <v>5.2839116530002447E-3</v>
      </c>
      <c r="AM299" s="331">
        <v>6.6666666666666671E-3</v>
      </c>
      <c r="AO299" s="331">
        <v>0.52659301683427373</v>
      </c>
      <c r="AP299" s="331">
        <f t="shared" si="94"/>
        <v>1.2646789566340828</v>
      </c>
      <c r="AQ299" s="331">
        <f t="shared" si="92"/>
        <v>1.184825175271939</v>
      </c>
      <c r="AR299" s="331">
        <f t="shared" si="93"/>
        <v>1.310775384449069</v>
      </c>
      <c r="AS299" s="331">
        <f t="shared" si="95"/>
        <v>3.0110997329544773</v>
      </c>
      <c r="AT299" s="331">
        <f t="shared" si="96"/>
        <v>1.2616915468072378</v>
      </c>
    </row>
    <row r="300" spans="3:46" ht="13.9" x14ac:dyDescent="0.4">
      <c r="C300" s="1575"/>
      <c r="D300" s="1293" t="s">
        <v>441</v>
      </c>
      <c r="E300" s="247" t="s">
        <v>91</v>
      </c>
      <c r="F300" s="1468" t="s">
        <v>88</v>
      </c>
      <c r="G300" s="1489" t="s">
        <v>472</v>
      </c>
      <c r="H300" s="210">
        <v>298</v>
      </c>
      <c r="I300" s="1469" t="s">
        <v>411</v>
      </c>
      <c r="J300" s="53">
        <v>79.7</v>
      </c>
      <c r="K300" s="53">
        <v>79.7</v>
      </c>
      <c r="L300" s="53">
        <v>5.5</v>
      </c>
      <c r="M300" s="58">
        <v>3</v>
      </c>
      <c r="P300" s="331">
        <v>194000</v>
      </c>
      <c r="Q300" s="654">
        <v>407.5</v>
      </c>
      <c r="R300" s="1491">
        <v>7</v>
      </c>
      <c r="S300" s="1491">
        <v>0.3</v>
      </c>
      <c r="T300" s="1218">
        <v>-0.5</v>
      </c>
      <c r="U300" s="1462">
        <v>695</v>
      </c>
      <c r="V300" s="1218" t="s">
        <v>412</v>
      </c>
      <c r="W300" s="331">
        <f t="shared" si="90"/>
        <v>194000</v>
      </c>
      <c r="X300" s="331">
        <v>580</v>
      </c>
      <c r="Y300" s="1491">
        <v>7</v>
      </c>
      <c r="Z300" s="1491">
        <v>0.3</v>
      </c>
      <c r="AA300" s="1218">
        <v>-0.5</v>
      </c>
      <c r="AB300" s="331">
        <f t="shared" si="97"/>
        <v>695</v>
      </c>
      <c r="AC300" s="1499">
        <v>471</v>
      </c>
      <c r="AD300" s="331">
        <v>382.41216232846</v>
      </c>
      <c r="AE300" s="331">
        <v>432.46862803763798</v>
      </c>
      <c r="AF300" s="331">
        <v>18436.178345363001</v>
      </c>
      <c r="AG300" s="331">
        <v>2.22921973215277E-3</v>
      </c>
      <c r="AH300" s="331" t="s">
        <v>471</v>
      </c>
      <c r="AI300" s="331">
        <v>406.94464024880938</v>
      </c>
      <c r="AJ300" s="331">
        <v>366.75</v>
      </c>
      <c r="AK300" s="331">
        <v>5.4919943794222289E-3</v>
      </c>
      <c r="AM300" s="331">
        <v>7.3825503355704706E-3</v>
      </c>
      <c r="AO300" s="331">
        <v>0.52097334314211852</v>
      </c>
      <c r="AP300" s="331">
        <f t="shared" si="94"/>
        <v>1.2316553875591709</v>
      </c>
      <c r="AQ300" s="331">
        <f t="shared" si="92"/>
        <v>1.1574055864503503</v>
      </c>
      <c r="AR300" s="331">
        <f t="shared" si="93"/>
        <v>1.2842535787321063</v>
      </c>
      <c r="AS300" s="331">
        <f t="shared" si="95"/>
        <v>3.3117194456380936</v>
      </c>
      <c r="AT300" s="331">
        <f t="shared" si="96"/>
        <v>1.3442385089161604</v>
      </c>
    </row>
    <row r="301" spans="3:46" ht="13.9" x14ac:dyDescent="0.4">
      <c r="C301" s="1574" t="s">
        <v>92</v>
      </c>
      <c r="D301" s="1293" t="s">
        <v>441</v>
      </c>
      <c r="E301" s="797" t="s">
        <v>93</v>
      </c>
      <c r="F301" s="1467" t="s">
        <v>37</v>
      </c>
      <c r="G301" s="1489" t="s">
        <v>472</v>
      </c>
      <c r="H301" s="14">
        <v>150</v>
      </c>
      <c r="I301" s="1469" t="s">
        <v>411</v>
      </c>
      <c r="J301" s="54">
        <v>50.88</v>
      </c>
      <c r="K301" s="54">
        <v>50.88</v>
      </c>
      <c r="L301" s="169">
        <v>7.55</v>
      </c>
      <c r="M301" s="59">
        <v>2.95</v>
      </c>
      <c r="P301" s="331">
        <v>203000</v>
      </c>
      <c r="Q301" s="690">
        <v>279</v>
      </c>
      <c r="R301" s="1491">
        <v>7</v>
      </c>
      <c r="S301" s="1491">
        <v>0.3</v>
      </c>
      <c r="T301" s="1218">
        <v>-0.5</v>
      </c>
      <c r="U301" s="170">
        <v>641</v>
      </c>
      <c r="V301" s="1218" t="s">
        <v>412</v>
      </c>
      <c r="W301" s="331">
        <f t="shared" ref="W301:W336" si="98">P301</f>
        <v>203000</v>
      </c>
      <c r="X301" s="331">
        <v>414.64497089999998</v>
      </c>
      <c r="Y301" s="1491">
        <v>7</v>
      </c>
      <c r="Z301" s="1491">
        <v>0.3</v>
      </c>
      <c r="AA301" s="1218">
        <v>-0.5</v>
      </c>
      <c r="AB301" s="331">
        <f t="shared" si="97"/>
        <v>641</v>
      </c>
      <c r="AC301" s="1501">
        <v>241</v>
      </c>
      <c r="AD301" s="331">
        <v>223.75663867549801</v>
      </c>
      <c r="AE301" s="331">
        <v>454.09441044043098</v>
      </c>
      <c r="AF301" s="331">
        <v>1066.4411927408901</v>
      </c>
      <c r="AG301" s="331">
        <v>2.2369182780316698E-3</v>
      </c>
      <c r="AH301" s="331" t="s">
        <v>482</v>
      </c>
      <c r="AI301" s="331">
        <v>212.47933696351615</v>
      </c>
      <c r="AJ301" s="331">
        <v>143.71011000000001</v>
      </c>
      <c r="AK301" s="331">
        <v>2.0615763546798029E-2</v>
      </c>
      <c r="AM301" s="331">
        <v>2.4533333333333334E-2</v>
      </c>
      <c r="AO301" s="331">
        <v>0.21209549890395765</v>
      </c>
      <c r="AP301" s="331">
        <f t="shared" ref="AP301:AP332" si="99">AC301/AD301</f>
        <v>1.0770630155447996</v>
      </c>
      <c r="AQ301" s="331">
        <f t="shared" si="92"/>
        <v>1.1342279369093711</v>
      </c>
      <c r="AR301" s="331">
        <f t="shared" si="93"/>
        <v>1.6769870957582593</v>
      </c>
      <c r="AS301" s="331">
        <f t="shared" si="95"/>
        <v>10.967469654242771</v>
      </c>
      <c r="AT301" s="331">
        <f t="shared" si="96"/>
        <v>1.1900278773397053</v>
      </c>
    </row>
    <row r="302" spans="3:46" ht="13.9" x14ac:dyDescent="0.4">
      <c r="C302" s="1579"/>
      <c r="D302" s="1293" t="s">
        <v>441</v>
      </c>
      <c r="E302" s="1418" t="s">
        <v>95</v>
      </c>
      <c r="F302" s="1468" t="s">
        <v>37</v>
      </c>
      <c r="G302" s="1489" t="s">
        <v>472</v>
      </c>
      <c r="H302" s="1438">
        <v>225</v>
      </c>
      <c r="I302" s="1469" t="s">
        <v>411</v>
      </c>
      <c r="J302" s="1450">
        <v>75.33</v>
      </c>
      <c r="K302" s="1450">
        <v>75.33</v>
      </c>
      <c r="L302" s="444">
        <v>5.3600000000000012</v>
      </c>
      <c r="M302" s="1453">
        <v>2.94</v>
      </c>
      <c r="P302" s="331">
        <v>203000</v>
      </c>
      <c r="Q302" s="1458">
        <v>279</v>
      </c>
      <c r="R302" s="1491">
        <v>7</v>
      </c>
      <c r="S302" s="1491">
        <v>0.3</v>
      </c>
      <c r="T302" s="1218">
        <v>-0.5</v>
      </c>
      <c r="U302" s="1465">
        <v>641</v>
      </c>
      <c r="V302" s="1218" t="s">
        <v>457</v>
      </c>
      <c r="W302" s="331">
        <f t="shared" si="98"/>
        <v>203000</v>
      </c>
      <c r="X302" s="331">
        <v>432.75006760000002</v>
      </c>
      <c r="Y302" s="1491">
        <v>7</v>
      </c>
      <c r="Z302" s="1491">
        <v>0.3</v>
      </c>
      <c r="AA302" s="1218">
        <v>-0.5</v>
      </c>
      <c r="AB302" s="331">
        <f t="shared" si="97"/>
        <v>641</v>
      </c>
      <c r="AC302" s="1498">
        <v>282.38</v>
      </c>
      <c r="AD302" s="331">
        <v>283.10305389148198</v>
      </c>
      <c r="AE302" s="331">
        <v>348.373746295903</v>
      </c>
      <c r="AF302" s="331">
        <v>5125.3438833161899</v>
      </c>
      <c r="AG302" s="331">
        <v>1.71612682904385E-3</v>
      </c>
      <c r="AH302" s="331" t="s">
        <v>471</v>
      </c>
      <c r="AI302" s="331">
        <v>272.88509320527493</v>
      </c>
      <c r="AJ302" s="331">
        <v>227.03345999999999</v>
      </c>
      <c r="AK302" s="331">
        <v>8.8648655341274172E-3</v>
      </c>
      <c r="AM302" s="331">
        <v>9.6444444444444433E-3</v>
      </c>
      <c r="AO302" s="331">
        <v>0.40539858473924006</v>
      </c>
      <c r="AP302" s="331">
        <f t="shared" si="99"/>
        <v>0.99744596929795348</v>
      </c>
      <c r="AQ302" s="331">
        <f t="shared" ref="AQ302:AQ358" si="100">AC302/AI302</f>
        <v>1.0347945235234328</v>
      </c>
      <c r="AR302" s="331">
        <f t="shared" ref="AR302:AR358" si="101">AC302/AJ302</f>
        <v>1.2437814232316242</v>
      </c>
      <c r="AS302" s="331">
        <f t="shared" si="95"/>
        <v>5.6198902559071939</v>
      </c>
      <c r="AT302" s="331">
        <f t="shared" si="96"/>
        <v>1.0879402972685654</v>
      </c>
    </row>
    <row r="303" spans="3:46" ht="13.9" x14ac:dyDescent="0.4">
      <c r="C303" s="1579"/>
      <c r="D303" s="1293" t="s">
        <v>441</v>
      </c>
      <c r="E303" s="1418" t="s">
        <v>96</v>
      </c>
      <c r="F303" s="1468" t="s">
        <v>37</v>
      </c>
      <c r="G303" s="1489" t="s">
        <v>472</v>
      </c>
      <c r="H303" s="1438">
        <v>300</v>
      </c>
      <c r="I303" s="1469" t="s">
        <v>411</v>
      </c>
      <c r="J303" s="1450">
        <v>100.38</v>
      </c>
      <c r="K303" s="1450">
        <v>100.38</v>
      </c>
      <c r="L303" s="444">
        <v>5.5600000000000005</v>
      </c>
      <c r="M303" s="1453">
        <v>2.94</v>
      </c>
      <c r="P303" s="331">
        <v>203000</v>
      </c>
      <c r="Q303" s="1458">
        <v>279</v>
      </c>
      <c r="R303" s="1491">
        <v>7</v>
      </c>
      <c r="S303" s="1491">
        <v>0.3</v>
      </c>
      <c r="T303" s="1218">
        <v>-0.5</v>
      </c>
      <c r="U303" s="1465">
        <v>641</v>
      </c>
      <c r="V303" s="1218" t="s">
        <v>412</v>
      </c>
      <c r="W303" s="331">
        <f t="shared" si="98"/>
        <v>203000</v>
      </c>
      <c r="X303" s="331">
        <v>430.75713930000001</v>
      </c>
      <c r="Y303" s="1491">
        <v>7</v>
      </c>
      <c r="Z303" s="1491">
        <v>0.3</v>
      </c>
      <c r="AA303" s="1218">
        <v>-0.5</v>
      </c>
      <c r="AB303" s="331">
        <f t="shared" si="97"/>
        <v>641</v>
      </c>
      <c r="AC303" s="1498">
        <v>323.14999999999998</v>
      </c>
      <c r="AD303" s="331">
        <v>302.63982880541499</v>
      </c>
      <c r="AE303" s="331">
        <v>271.983525984023</v>
      </c>
      <c r="AF303" s="331">
        <v>20835.912030503801</v>
      </c>
      <c r="AG303" s="331">
        <v>1.3398203250444499E-3</v>
      </c>
      <c r="AH303" s="331" t="s">
        <v>471</v>
      </c>
      <c r="AI303" s="331">
        <v>332.78892619221051</v>
      </c>
      <c r="AJ303" s="331">
        <v>284.36025068492557</v>
      </c>
      <c r="AK303" s="331">
        <v>2.6064786996881271E-3</v>
      </c>
      <c r="AM303" s="331">
        <v>4.4000000000000003E-3</v>
      </c>
      <c r="AO303" s="331">
        <v>0.56957889298469877</v>
      </c>
      <c r="AP303" s="331">
        <f t="shared" si="99"/>
        <v>1.0677708921378362</v>
      </c>
      <c r="AQ303" s="331">
        <f t="shared" si="100"/>
        <v>0.97103591666195244</v>
      </c>
      <c r="AR303" s="331">
        <f t="shared" si="101"/>
        <v>1.1364105891088621</v>
      </c>
      <c r="AS303" s="331">
        <f t="shared" si="95"/>
        <v>3.2840224302867069</v>
      </c>
      <c r="AT303" s="331">
        <f t="shared" si="96"/>
        <v>1.6881012687832335</v>
      </c>
    </row>
    <row r="304" spans="3:46" ht="13.9" customHeight="1" x14ac:dyDescent="0.4">
      <c r="C304" s="1579"/>
      <c r="D304" s="1293" t="s">
        <v>441</v>
      </c>
      <c r="E304" s="1418" t="s">
        <v>97</v>
      </c>
      <c r="F304" s="1468" t="s">
        <v>37</v>
      </c>
      <c r="G304" s="1489" t="s">
        <v>472</v>
      </c>
      <c r="H304" s="1438">
        <v>375</v>
      </c>
      <c r="I304" s="1469" t="s">
        <v>411</v>
      </c>
      <c r="J304" s="1450">
        <v>125.88</v>
      </c>
      <c r="K304" s="1450">
        <v>125.88</v>
      </c>
      <c r="L304" s="444">
        <v>5.3800000000000008</v>
      </c>
      <c r="M304" s="1453">
        <v>2.92</v>
      </c>
      <c r="P304" s="331">
        <v>203000</v>
      </c>
      <c r="Q304" s="1458">
        <v>279</v>
      </c>
      <c r="R304" s="1491">
        <v>7</v>
      </c>
      <c r="S304" s="1491">
        <v>0.3</v>
      </c>
      <c r="T304" s="1218">
        <v>-0.5</v>
      </c>
      <c r="U304" s="1465">
        <v>641</v>
      </c>
      <c r="V304" s="1218" t="s">
        <v>412</v>
      </c>
      <c r="W304" s="331">
        <f t="shared" si="98"/>
        <v>203000</v>
      </c>
      <c r="X304" s="331">
        <v>432.17517529999998</v>
      </c>
      <c r="Y304" s="1491">
        <v>7</v>
      </c>
      <c r="Z304" s="1491">
        <v>0.3</v>
      </c>
      <c r="AA304" s="1218">
        <v>-0.5</v>
      </c>
      <c r="AB304" s="331">
        <f t="shared" si="97"/>
        <v>641</v>
      </c>
      <c r="AC304" s="1498">
        <v>353.84</v>
      </c>
      <c r="AD304" s="331">
        <v>321.51357989345303</v>
      </c>
      <c r="AE304" s="331">
        <v>228.54174098506101</v>
      </c>
      <c r="AF304" s="331">
        <v>49786.292181411198</v>
      </c>
      <c r="AG304" s="331">
        <v>1.1258213841628601E-3</v>
      </c>
      <c r="AH304" s="331" t="s">
        <v>471</v>
      </c>
      <c r="AI304" s="331" t="s">
        <v>507</v>
      </c>
      <c r="AJ304" s="331">
        <v>307.96489168166937</v>
      </c>
      <c r="AK304" s="331" t="e">
        <v>#VALUE!</v>
      </c>
      <c r="AM304" s="331">
        <v>2.48E-3</v>
      </c>
      <c r="AO304" s="331">
        <v>0.74713652686809184</v>
      </c>
      <c r="AP304" s="331">
        <f t="shared" si="99"/>
        <v>1.1005444936952886</v>
      </c>
      <c r="AQ304" s="331" t="e">
        <f t="shared" si="100"/>
        <v>#VALUE!</v>
      </c>
      <c r="AR304" s="331">
        <f t="shared" si="101"/>
        <v>1.148962136780675</v>
      </c>
      <c r="AS304" s="331">
        <f t="shared" si="95"/>
        <v>2.2028361113819863</v>
      </c>
      <c r="AT304" s="331" t="e">
        <f t="shared" si="96"/>
        <v>#VALUE!</v>
      </c>
    </row>
    <row r="305" spans="3:46" ht="13.9" customHeight="1" x14ac:dyDescent="0.4">
      <c r="C305" s="1579"/>
      <c r="D305" s="1293" t="s">
        <v>441</v>
      </c>
      <c r="E305" s="1418" t="s">
        <v>98</v>
      </c>
      <c r="F305" s="1468" t="s">
        <v>37</v>
      </c>
      <c r="G305" s="1489" t="s">
        <v>472</v>
      </c>
      <c r="H305" s="1438">
        <v>450</v>
      </c>
      <c r="I305" s="1469" t="s">
        <v>411</v>
      </c>
      <c r="J305" s="1450">
        <v>151</v>
      </c>
      <c r="K305" s="1450">
        <v>151</v>
      </c>
      <c r="L305" s="444">
        <v>6.08</v>
      </c>
      <c r="M305" s="1453">
        <v>2.92</v>
      </c>
      <c r="P305" s="331">
        <v>203000</v>
      </c>
      <c r="Q305" s="1458">
        <v>279</v>
      </c>
      <c r="R305" s="1491">
        <v>7</v>
      </c>
      <c r="S305" s="1491">
        <v>0.3</v>
      </c>
      <c r="T305" s="1218">
        <v>-0.5</v>
      </c>
      <c r="U305" s="1465">
        <v>641</v>
      </c>
      <c r="V305" s="1218" t="s">
        <v>412</v>
      </c>
      <c r="W305" s="331">
        <f t="shared" si="98"/>
        <v>203000</v>
      </c>
      <c r="X305" s="331">
        <v>425.5656171</v>
      </c>
      <c r="Y305" s="1491">
        <v>7</v>
      </c>
      <c r="Z305" s="1491">
        <v>0.3</v>
      </c>
      <c r="AA305" s="1218">
        <v>-0.5</v>
      </c>
      <c r="AB305" s="331">
        <f t="shared" si="97"/>
        <v>641</v>
      </c>
      <c r="AC305" s="1498">
        <v>363.91</v>
      </c>
      <c r="AD305" s="331">
        <v>337.88748769650601</v>
      </c>
      <c r="AE305" s="331">
        <v>199.068409941596</v>
      </c>
      <c r="AF305" s="331">
        <v>86603.0130924603</v>
      </c>
      <c r="AG305" s="331">
        <v>9.8063256128865309E-4</v>
      </c>
      <c r="AH305" s="331" t="s">
        <v>471</v>
      </c>
      <c r="AI305" s="331" t="s">
        <v>507</v>
      </c>
      <c r="AJ305" s="331">
        <v>324.36227649895761</v>
      </c>
      <c r="AK305" s="331" t="e">
        <v>#VALUE!</v>
      </c>
      <c r="AM305" s="331">
        <v>1.4666666666666667E-3</v>
      </c>
      <c r="AO305" s="331">
        <v>0.90624058103715288</v>
      </c>
      <c r="AP305" s="331">
        <f t="shared" si="99"/>
        <v>1.0770153179713706</v>
      </c>
      <c r="AQ305" s="331" t="e">
        <f t="shared" si="100"/>
        <v>#VALUE!</v>
      </c>
      <c r="AR305" s="331">
        <f t="shared" si="101"/>
        <v>1.1219245466146848</v>
      </c>
      <c r="AS305" s="331">
        <f t="shared" si="95"/>
        <v>1.4956332520096154</v>
      </c>
      <c r="AT305" s="331" t="e">
        <f t="shared" si="96"/>
        <v>#VALUE!</v>
      </c>
    </row>
    <row r="306" spans="3:46" ht="13.9" customHeight="1" x14ac:dyDescent="0.4">
      <c r="C306" s="1579"/>
      <c r="D306" s="1293" t="s">
        <v>441</v>
      </c>
      <c r="E306" s="1419" t="s">
        <v>99</v>
      </c>
      <c r="F306" s="1468" t="s">
        <v>37</v>
      </c>
      <c r="G306" s="1489" t="s">
        <v>472</v>
      </c>
      <c r="H306" s="1439">
        <v>600</v>
      </c>
      <c r="I306" s="1469" t="s">
        <v>411</v>
      </c>
      <c r="J306" s="1451">
        <v>200.58</v>
      </c>
      <c r="K306" s="1451">
        <v>200.58</v>
      </c>
      <c r="L306" s="444">
        <v>6.08</v>
      </c>
      <c r="M306" s="1454">
        <v>2.92</v>
      </c>
      <c r="P306" s="331">
        <v>203000</v>
      </c>
      <c r="Q306" s="1458">
        <v>279</v>
      </c>
      <c r="R306" s="1491">
        <v>7</v>
      </c>
      <c r="S306" s="1491">
        <v>0.3</v>
      </c>
      <c r="T306" s="1218">
        <v>-0.5</v>
      </c>
      <c r="U306" s="1465">
        <v>641</v>
      </c>
      <c r="V306" s="1218" t="s">
        <v>412</v>
      </c>
      <c r="W306" s="331">
        <f t="shared" si="98"/>
        <v>203000</v>
      </c>
      <c r="X306" s="331">
        <v>425.5656171</v>
      </c>
      <c r="Y306" s="1491">
        <v>7</v>
      </c>
      <c r="Z306" s="1491">
        <v>0.3</v>
      </c>
      <c r="AA306" s="1218">
        <v>-0.5</v>
      </c>
      <c r="AB306" s="331">
        <f t="shared" si="97"/>
        <v>641</v>
      </c>
      <c r="AC306" s="1502">
        <v>364.83</v>
      </c>
      <c r="AD306" s="331">
        <v>335.25252773423802</v>
      </c>
      <c r="AE306" s="331">
        <v>147.21526301440801</v>
      </c>
      <c r="AF306" s="331">
        <v>166414.924319677</v>
      </c>
      <c r="AG306" s="331">
        <v>7.2519833997245495E-4</v>
      </c>
      <c r="AH306" s="331" t="s">
        <v>471</v>
      </c>
      <c r="AI306" s="331" t="s">
        <v>507</v>
      </c>
      <c r="AJ306" s="331">
        <v>345.97192213089517</v>
      </c>
      <c r="AK306" s="331" t="e">
        <v>#VALUE!</v>
      </c>
      <c r="AM306" s="331">
        <v>1E-3</v>
      </c>
      <c r="AO306" s="331">
        <v>1.2377077617383154</v>
      </c>
      <c r="AP306" s="331">
        <f t="shared" si="99"/>
        <v>1.0882244571447606</v>
      </c>
      <c r="AQ306" s="331" t="e">
        <f t="shared" si="100"/>
        <v>#VALUE!</v>
      </c>
      <c r="AR306" s="331">
        <f t="shared" si="101"/>
        <v>1.0545075385105096</v>
      </c>
      <c r="AS306" s="331">
        <f t="shared" si="95"/>
        <v>1.3789331068214838</v>
      </c>
      <c r="AT306" s="331" t="e">
        <f t="shared" si="96"/>
        <v>#VALUE!</v>
      </c>
    </row>
    <row r="307" spans="3:46" ht="13.9" x14ac:dyDescent="0.4">
      <c r="C307" s="1579"/>
      <c r="D307" s="1293" t="s">
        <v>441</v>
      </c>
      <c r="E307" s="1418" t="s">
        <v>93</v>
      </c>
      <c r="F307" s="1468" t="s">
        <v>37</v>
      </c>
      <c r="G307" s="1489" t="s">
        <v>472</v>
      </c>
      <c r="H307" s="1438">
        <v>150</v>
      </c>
      <c r="I307" s="1469" t="s">
        <v>411</v>
      </c>
      <c r="J307" s="1450">
        <v>50.58</v>
      </c>
      <c r="K307" s="1450">
        <v>50.58</v>
      </c>
      <c r="L307" s="444">
        <v>3.98</v>
      </c>
      <c r="M307" s="1453">
        <v>3.02</v>
      </c>
      <c r="P307" s="331">
        <v>206000</v>
      </c>
      <c r="Q307" s="1458">
        <v>508</v>
      </c>
      <c r="R307" s="1491">
        <v>7</v>
      </c>
      <c r="S307" s="1491">
        <v>0.3</v>
      </c>
      <c r="T307" s="1218">
        <v>-0.5</v>
      </c>
      <c r="U307" s="1465">
        <v>829</v>
      </c>
      <c r="V307" s="1218" t="s">
        <v>457</v>
      </c>
      <c r="W307" s="331">
        <f t="shared" si="98"/>
        <v>206000</v>
      </c>
      <c r="X307" s="331">
        <v>820.83385599999997</v>
      </c>
      <c r="Y307" s="1491">
        <v>7</v>
      </c>
      <c r="Z307" s="1491">
        <v>0.3</v>
      </c>
      <c r="AA307" s="1218">
        <v>-0.5</v>
      </c>
      <c r="AB307" s="331">
        <f t="shared" si="97"/>
        <v>861.87554880000005</v>
      </c>
      <c r="AC307" s="1498">
        <v>377.45</v>
      </c>
      <c r="AD307" s="331">
        <v>421.231221267509</v>
      </c>
      <c r="AE307" s="331">
        <v>775.035877524949</v>
      </c>
      <c r="AF307" s="331">
        <v>2837.67762676764</v>
      </c>
      <c r="AG307" s="331">
        <v>3.7623100850725701E-3</v>
      </c>
      <c r="AH307" s="331" t="s">
        <v>471</v>
      </c>
      <c r="AI307" s="331">
        <v>392.94150921486823</v>
      </c>
      <c r="AJ307" s="331">
        <v>275.44776000000002</v>
      </c>
      <c r="AK307" s="331">
        <v>2.8491848161665233E-2</v>
      </c>
      <c r="AM307" s="331">
        <v>2.3599999999999999E-2</v>
      </c>
      <c r="AO307" s="331">
        <v>0.33388709983357923</v>
      </c>
      <c r="AP307" s="331">
        <f t="shared" si="99"/>
        <v>0.89606368413108417</v>
      </c>
      <c r="AQ307" s="331">
        <f t="shared" si="100"/>
        <v>0.96057553388589145</v>
      </c>
      <c r="AR307" s="331">
        <f t="shared" si="101"/>
        <v>1.3703142839135811</v>
      </c>
      <c r="AS307" s="331">
        <f t="shared" si="95"/>
        <v>6.2727418703832827</v>
      </c>
      <c r="AT307" s="331">
        <f t="shared" si="96"/>
        <v>0.82830709563281191</v>
      </c>
    </row>
    <row r="308" spans="3:46" ht="13.9" x14ac:dyDescent="0.4">
      <c r="C308" s="1579"/>
      <c r="D308" s="1293" t="s">
        <v>441</v>
      </c>
      <c r="E308" s="1418" t="s">
        <v>95</v>
      </c>
      <c r="F308" s="1468" t="s">
        <v>37</v>
      </c>
      <c r="G308" s="1489" t="s">
        <v>472</v>
      </c>
      <c r="H308" s="1438">
        <v>225</v>
      </c>
      <c r="I308" s="1469" t="s">
        <v>411</v>
      </c>
      <c r="J308" s="1450">
        <v>75.55</v>
      </c>
      <c r="K308" s="1450">
        <v>75.55</v>
      </c>
      <c r="L308" s="444">
        <v>3.26</v>
      </c>
      <c r="M308" s="1453">
        <v>3.04</v>
      </c>
      <c r="P308" s="331">
        <v>206000</v>
      </c>
      <c r="Q308" s="1458">
        <v>508</v>
      </c>
      <c r="R308" s="1491">
        <v>7</v>
      </c>
      <c r="S308" s="1491">
        <v>0.3</v>
      </c>
      <c r="T308" s="1218">
        <v>-0.5</v>
      </c>
      <c r="U308" s="1465">
        <v>829</v>
      </c>
      <c r="V308" s="1218" t="s">
        <v>457</v>
      </c>
      <c r="W308" s="331">
        <f t="shared" si="98"/>
        <v>206000</v>
      </c>
      <c r="X308" s="331">
        <v>842.43481629999997</v>
      </c>
      <c r="Y308" s="1491">
        <v>7</v>
      </c>
      <c r="Z308" s="1491">
        <v>0.3</v>
      </c>
      <c r="AA308" s="1218">
        <v>-0.5</v>
      </c>
      <c r="AB308" s="331">
        <f t="shared" si="97"/>
        <v>884.55655711500003</v>
      </c>
      <c r="AC308" s="1498">
        <v>459.41</v>
      </c>
      <c r="AD308" s="331">
        <v>462.227102956978</v>
      </c>
      <c r="AE308" s="331">
        <v>535.82148896931096</v>
      </c>
      <c r="AF308" s="331">
        <v>23362.5289995854</v>
      </c>
      <c r="AG308" s="331">
        <v>2.6010751891714099E-3</v>
      </c>
      <c r="AH308" s="331" t="s">
        <v>471</v>
      </c>
      <c r="AI308" s="331">
        <v>477.00041726677767</v>
      </c>
      <c r="AJ308" s="331">
        <v>411.92969160645089</v>
      </c>
      <c r="AK308" s="331">
        <v>4.9976037851530005E-3</v>
      </c>
      <c r="AM308" s="331">
        <v>9.1555555555555557E-3</v>
      </c>
      <c r="AO308" s="331">
        <v>0.55917599842444521</v>
      </c>
      <c r="AP308" s="331">
        <f t="shared" si="99"/>
        <v>0.99390537045760341</v>
      </c>
      <c r="AQ308" s="331">
        <f t="shared" si="100"/>
        <v>0.96312284721348651</v>
      </c>
      <c r="AR308" s="331">
        <f t="shared" si="101"/>
        <v>1.1152631367949821</v>
      </c>
      <c r="AS308" s="331">
        <f t="shared" si="95"/>
        <v>3.5199119170684643</v>
      </c>
      <c r="AT308" s="331">
        <f t="shared" si="96"/>
        <v>1.831989078997238</v>
      </c>
    </row>
    <row r="309" spans="3:46" ht="13.9" x14ac:dyDescent="0.4">
      <c r="C309" s="1579"/>
      <c r="D309" s="1293" t="s">
        <v>441</v>
      </c>
      <c r="E309" s="1418" t="s">
        <v>96</v>
      </c>
      <c r="F309" s="1468" t="s">
        <v>37</v>
      </c>
      <c r="G309" s="1489" t="s">
        <v>472</v>
      </c>
      <c r="H309" s="1438">
        <v>300</v>
      </c>
      <c r="I309" s="1469" t="s">
        <v>411</v>
      </c>
      <c r="J309" s="1450">
        <v>100.15</v>
      </c>
      <c r="K309" s="1450">
        <v>100.15</v>
      </c>
      <c r="L309" s="444">
        <v>4</v>
      </c>
      <c r="M309" s="1453">
        <v>3</v>
      </c>
      <c r="P309" s="331">
        <v>206000</v>
      </c>
      <c r="Q309" s="1458">
        <v>508</v>
      </c>
      <c r="R309" s="1491">
        <v>7</v>
      </c>
      <c r="S309" s="1491">
        <v>0.3</v>
      </c>
      <c r="T309" s="1218">
        <v>-0.5</v>
      </c>
      <c r="U309" s="1465">
        <v>829</v>
      </c>
      <c r="V309" s="1218" t="s">
        <v>457</v>
      </c>
      <c r="W309" s="331">
        <f t="shared" si="98"/>
        <v>206000</v>
      </c>
      <c r="X309" s="331">
        <v>819.62910620000002</v>
      </c>
      <c r="Y309" s="1491">
        <v>7</v>
      </c>
      <c r="Z309" s="1491">
        <v>0.3</v>
      </c>
      <c r="AA309" s="1218">
        <v>-0.5</v>
      </c>
      <c r="AB309" s="331">
        <f t="shared" si="97"/>
        <v>860.61056151000003</v>
      </c>
      <c r="AC309" s="1498">
        <v>468.73</v>
      </c>
      <c r="AD309" s="331">
        <v>494.33317640249999</v>
      </c>
      <c r="AE309" s="331">
        <v>432.12362306154603</v>
      </c>
      <c r="AF309" s="331">
        <v>65380.498931321003</v>
      </c>
      <c r="AG309" s="331">
        <v>2.09768749059003E-3</v>
      </c>
      <c r="AH309" s="331" t="s">
        <v>471</v>
      </c>
      <c r="AI309" s="331" t="s">
        <v>507</v>
      </c>
      <c r="AJ309" s="331">
        <v>446.85705194826863</v>
      </c>
      <c r="AK309" s="331" t="e">
        <v>#VALUE!</v>
      </c>
      <c r="AM309" s="331">
        <v>4.4666666666666665E-3</v>
      </c>
      <c r="AO309" s="331">
        <v>0.76979014337891116</v>
      </c>
      <c r="AP309" s="331">
        <f t="shared" si="99"/>
        <v>0.9482066395202795</v>
      </c>
      <c r="AQ309" s="331" t="e">
        <f t="shared" si="100"/>
        <v>#VALUE!</v>
      </c>
      <c r="AR309" s="331">
        <f t="shared" si="101"/>
        <v>1.0489484231173407</v>
      </c>
      <c r="AS309" s="331">
        <f t="shared" si="95"/>
        <v>2.1293289332675092</v>
      </c>
      <c r="AT309" s="331" t="e">
        <f t="shared" si="96"/>
        <v>#VALUE!</v>
      </c>
    </row>
    <row r="310" spans="3:46" ht="13.9" x14ac:dyDescent="0.4">
      <c r="C310" s="1579"/>
      <c r="D310" s="1293" t="s">
        <v>441</v>
      </c>
      <c r="E310" s="1418" t="s">
        <v>97</v>
      </c>
      <c r="F310" s="1468" t="s">
        <v>37</v>
      </c>
      <c r="G310" s="1489" t="s">
        <v>472</v>
      </c>
      <c r="H310" s="1438">
        <v>375</v>
      </c>
      <c r="I310" s="1469" t="s">
        <v>411</v>
      </c>
      <c r="J310" s="1450">
        <v>125.53</v>
      </c>
      <c r="K310" s="1450">
        <v>125.53</v>
      </c>
      <c r="L310" s="444">
        <v>2.99</v>
      </c>
      <c r="M310" s="1453">
        <v>3.01</v>
      </c>
      <c r="P310" s="331">
        <v>206000</v>
      </c>
      <c r="Q310" s="1458">
        <v>508</v>
      </c>
      <c r="R310" s="1491">
        <v>7</v>
      </c>
      <c r="S310" s="1491">
        <v>0.3</v>
      </c>
      <c r="T310" s="1218">
        <v>-0.5</v>
      </c>
      <c r="U310" s="1465">
        <v>829</v>
      </c>
      <c r="V310" s="1218" t="s">
        <v>457</v>
      </c>
      <c r="W310" s="331">
        <f t="shared" si="98"/>
        <v>206000</v>
      </c>
      <c r="X310" s="331">
        <v>850.59820509999997</v>
      </c>
      <c r="Y310" s="1491">
        <v>7</v>
      </c>
      <c r="Z310" s="1491">
        <v>0.3</v>
      </c>
      <c r="AA310" s="1218">
        <v>-0.5</v>
      </c>
      <c r="AB310" s="331">
        <f t="shared" si="97"/>
        <v>893.12811535499998</v>
      </c>
      <c r="AC310" s="1498">
        <v>480.49</v>
      </c>
      <c r="AD310" s="331">
        <v>525.39782878951303</v>
      </c>
      <c r="AE310" s="331">
        <v>360.06538316731798</v>
      </c>
      <c r="AF310" s="331">
        <v>119778.40916616299</v>
      </c>
      <c r="AG310" s="331">
        <v>1.7478902095500899E-3</v>
      </c>
      <c r="AH310" s="331" t="s">
        <v>471</v>
      </c>
      <c r="AI310" s="331" t="s">
        <v>507</v>
      </c>
      <c r="AJ310" s="331">
        <v>478.54587226601842</v>
      </c>
      <c r="AK310" s="331" t="e">
        <v>#VALUE!</v>
      </c>
      <c r="AM310" s="331">
        <v>2.8533333333333336E-3</v>
      </c>
      <c r="AO310" s="331">
        <v>1.0040834417646318</v>
      </c>
      <c r="AP310" s="331">
        <f t="shared" si="99"/>
        <v>0.91452604801778847</v>
      </c>
      <c r="AQ310" s="331" t="e">
        <f t="shared" si="100"/>
        <v>#VALUE!</v>
      </c>
      <c r="AR310" s="331">
        <f t="shared" si="101"/>
        <v>1.004062573405504</v>
      </c>
      <c r="AS310" s="331">
        <f t="shared" si="95"/>
        <v>1.6324442563630965</v>
      </c>
      <c r="AT310" s="331" t="e">
        <f t="shared" si="96"/>
        <v>#VALUE!</v>
      </c>
    </row>
    <row r="311" spans="3:46" ht="13.9" x14ac:dyDescent="0.4">
      <c r="C311" s="1579"/>
      <c r="D311" s="1293" t="s">
        <v>441</v>
      </c>
      <c r="E311" s="1418" t="s">
        <v>98</v>
      </c>
      <c r="F311" s="1468" t="s">
        <v>37</v>
      </c>
      <c r="G311" s="1489" t="s">
        <v>472</v>
      </c>
      <c r="H311" s="1438">
        <v>451</v>
      </c>
      <c r="I311" s="1469" t="s">
        <v>411</v>
      </c>
      <c r="J311" s="1450">
        <v>151.13</v>
      </c>
      <c r="K311" s="1450">
        <v>151.13</v>
      </c>
      <c r="L311" s="444">
        <v>3.78</v>
      </c>
      <c r="M311" s="1453">
        <v>3.02</v>
      </c>
      <c r="P311" s="331">
        <v>206000</v>
      </c>
      <c r="Q311" s="1458">
        <v>508</v>
      </c>
      <c r="R311" s="1491">
        <v>7</v>
      </c>
      <c r="S311" s="1491">
        <v>0.3</v>
      </c>
      <c r="T311" s="1218">
        <v>-0.5</v>
      </c>
      <c r="U311" s="1465">
        <v>829</v>
      </c>
      <c r="V311" s="1218" t="s">
        <v>457</v>
      </c>
      <c r="W311" s="331">
        <f t="shared" si="98"/>
        <v>206000</v>
      </c>
      <c r="X311" s="331">
        <v>826.18358369999999</v>
      </c>
      <c r="Y311" s="1491">
        <v>7</v>
      </c>
      <c r="Z311" s="1491">
        <v>0.3</v>
      </c>
      <c r="AA311" s="1218">
        <v>-0.5</v>
      </c>
      <c r="AB311" s="331">
        <f t="shared" si="97"/>
        <v>867.49276288500005</v>
      </c>
      <c r="AC311" s="1498">
        <v>482.95</v>
      </c>
      <c r="AD311" s="331">
        <v>508.06746287669603</v>
      </c>
      <c r="AE311" s="331">
        <v>287.198232803932</v>
      </c>
      <c r="AF311" s="331">
        <v>173785.375325856</v>
      </c>
      <c r="AG311" s="331">
        <v>1.39416617865986E-3</v>
      </c>
      <c r="AH311" s="331" t="s">
        <v>471</v>
      </c>
      <c r="AI311" s="331" t="s">
        <v>507</v>
      </c>
      <c r="AJ311" s="331">
        <v>502.24142487164909</v>
      </c>
      <c r="AK311" s="331" t="e">
        <v>#VALUE!</v>
      </c>
      <c r="AM311" s="331">
        <v>2.7937915742793792E-3</v>
      </c>
      <c r="AO311" s="331">
        <v>1.2101290956885908</v>
      </c>
      <c r="AP311" s="331">
        <f t="shared" si="99"/>
        <v>0.95056274075399338</v>
      </c>
      <c r="AQ311" s="331" t="e">
        <f t="shared" si="100"/>
        <v>#VALUE!</v>
      </c>
      <c r="AR311" s="331">
        <f t="shared" si="101"/>
        <v>0.96158933947637004</v>
      </c>
      <c r="AS311" s="331">
        <f t="shared" si="95"/>
        <v>2.0039157577075257</v>
      </c>
      <c r="AT311" s="331" t="e">
        <f t="shared" si="96"/>
        <v>#VALUE!</v>
      </c>
    </row>
    <row r="312" spans="3:46" ht="13.9" x14ac:dyDescent="0.4">
      <c r="C312" s="1575"/>
      <c r="D312" s="1293" t="s">
        <v>441</v>
      </c>
      <c r="E312" s="798" t="s">
        <v>99</v>
      </c>
      <c r="F312" s="1466" t="s">
        <v>37</v>
      </c>
      <c r="G312" s="1489" t="s">
        <v>472</v>
      </c>
      <c r="H312" s="210">
        <v>600</v>
      </c>
      <c r="I312" s="1469" t="s">
        <v>411</v>
      </c>
      <c r="J312" s="53">
        <v>200.05</v>
      </c>
      <c r="K312" s="53">
        <v>200.05</v>
      </c>
      <c r="L312" s="177">
        <v>3.99</v>
      </c>
      <c r="M312" s="58">
        <v>3.01</v>
      </c>
      <c r="P312" s="331">
        <v>206000</v>
      </c>
      <c r="Q312" s="1459">
        <v>508</v>
      </c>
      <c r="R312" s="1491">
        <v>7</v>
      </c>
      <c r="S312" s="1491">
        <v>0.3</v>
      </c>
      <c r="T312" s="1218">
        <v>-0.5</v>
      </c>
      <c r="U312" s="1460">
        <v>829</v>
      </c>
      <c r="V312" s="1218" t="s">
        <v>412</v>
      </c>
      <c r="W312" s="331">
        <f t="shared" si="98"/>
        <v>206000</v>
      </c>
      <c r="X312" s="331">
        <v>820.23150569999996</v>
      </c>
      <c r="Y312" s="1491">
        <v>7</v>
      </c>
      <c r="Z312" s="1491">
        <v>0.3</v>
      </c>
      <c r="AA312" s="1218">
        <v>-0.5</v>
      </c>
      <c r="AB312" s="331">
        <f t="shared" si="97"/>
        <v>861.24308098500001</v>
      </c>
      <c r="AC312" s="1499">
        <v>511.87</v>
      </c>
      <c r="AD312" s="331">
        <v>404.98223591860199</v>
      </c>
      <c r="AE312" s="331">
        <v>172.24059755363101</v>
      </c>
      <c r="AF312" s="331">
        <v>204238.43012486599</v>
      </c>
      <c r="AG312" s="331">
        <v>8.3611940560015098E-4</v>
      </c>
      <c r="AH312" s="331" t="s">
        <v>471</v>
      </c>
      <c r="AI312" s="331" t="s">
        <v>507</v>
      </c>
      <c r="AJ312" s="331">
        <v>525.19738013527513</v>
      </c>
      <c r="AK312" s="331" t="e">
        <v>#VALUE!</v>
      </c>
      <c r="AM312" s="331">
        <v>2.3499999999999997E-3</v>
      </c>
      <c r="AO312" s="331">
        <v>1.6366015180693605</v>
      </c>
      <c r="AP312" s="331">
        <f t="shared" si="99"/>
        <v>1.2639319817051964</v>
      </c>
      <c r="AQ312" s="331" t="e">
        <f t="shared" si="100"/>
        <v>#VALUE!</v>
      </c>
      <c r="AR312" s="331">
        <f t="shared" si="101"/>
        <v>0.97462405442342004</v>
      </c>
      <c r="AS312" s="331">
        <f t="shared" si="95"/>
        <v>2.8106033471537635</v>
      </c>
      <c r="AT312" s="331" t="e">
        <f t="shared" si="96"/>
        <v>#VALUE!</v>
      </c>
    </row>
    <row r="313" spans="3:46" ht="13.9" x14ac:dyDescent="0.4">
      <c r="C313" s="1574" t="s">
        <v>100</v>
      </c>
      <c r="D313" s="1293" t="s">
        <v>441</v>
      </c>
      <c r="E313" s="1418" t="s">
        <v>102</v>
      </c>
      <c r="F313" s="1467" t="s">
        <v>127</v>
      </c>
      <c r="G313" s="1489" t="s">
        <v>472</v>
      </c>
      <c r="H313" s="14">
        <v>300</v>
      </c>
      <c r="I313" s="1469" t="s">
        <v>411</v>
      </c>
      <c r="J313" s="54">
        <v>39.9</v>
      </c>
      <c r="K313" s="54">
        <v>39.9</v>
      </c>
      <c r="L313" s="54">
        <v>1.8</v>
      </c>
      <c r="M313" s="59">
        <v>1.95</v>
      </c>
      <c r="P313" s="331">
        <v>216000</v>
      </c>
      <c r="Q313" s="1480">
        <v>707</v>
      </c>
      <c r="R313" s="1491">
        <v>7</v>
      </c>
      <c r="S313" s="1491">
        <v>0.3</v>
      </c>
      <c r="T313" s="1218">
        <v>-0.5</v>
      </c>
      <c r="U313" s="159">
        <v>827</v>
      </c>
      <c r="V313" s="1218" t="s">
        <v>412</v>
      </c>
      <c r="W313" s="331">
        <f t="shared" si="98"/>
        <v>216000</v>
      </c>
      <c r="X313" s="331">
        <v>707</v>
      </c>
      <c r="Y313" s="1491">
        <v>7</v>
      </c>
      <c r="Z313" s="1491">
        <v>0.3</v>
      </c>
      <c r="AA313" s="1218">
        <v>-0.5</v>
      </c>
      <c r="AB313" s="331">
        <f t="shared" si="97"/>
        <v>827</v>
      </c>
      <c r="AC313" s="1498">
        <v>245.3</v>
      </c>
      <c r="AD313" s="331">
        <v>218.81488753872401</v>
      </c>
      <c r="AE313" s="331">
        <v>766.71119912228596</v>
      </c>
      <c r="AF313" s="331">
        <v>27145.104362334601</v>
      </c>
      <c r="AG313" s="331">
        <v>3.5495888848253898E-3</v>
      </c>
      <c r="AH313" s="331" t="s">
        <v>482</v>
      </c>
      <c r="AI313" s="331">
        <v>215.14491496550775</v>
      </c>
      <c r="AJ313" s="331">
        <v>203.61600000000001</v>
      </c>
      <c r="AK313" s="331">
        <v>9.9260582560118278E-3</v>
      </c>
      <c r="AO313" s="331">
        <v>0.49994782229607365</v>
      </c>
      <c r="AP313" s="331">
        <f t="shared" si="99"/>
        <v>1.1210388962066802</v>
      </c>
      <c r="AQ313" s="331">
        <f t="shared" si="100"/>
        <v>1.1401617372147828</v>
      </c>
      <c r="AR313" s="331">
        <f t="shared" si="101"/>
        <v>1.2047186861543298</v>
      </c>
      <c r="AS313" s="331">
        <f t="shared" si="95"/>
        <v>0</v>
      </c>
      <c r="AT313" s="331">
        <f t="shared" si="96"/>
        <v>0</v>
      </c>
    </row>
    <row r="314" spans="3:46" ht="13.9" x14ac:dyDescent="0.4">
      <c r="C314" s="1579"/>
      <c r="D314" s="1293" t="s">
        <v>441</v>
      </c>
      <c r="E314" s="1418" t="s">
        <v>102</v>
      </c>
      <c r="F314" s="1468" t="s">
        <v>127</v>
      </c>
      <c r="G314" s="1489" t="s">
        <v>472</v>
      </c>
      <c r="H314" s="1438">
        <v>300</v>
      </c>
      <c r="I314" s="1469" t="s">
        <v>411</v>
      </c>
      <c r="J314" s="1450">
        <v>40</v>
      </c>
      <c r="K314" s="1450">
        <v>40</v>
      </c>
      <c r="L314" s="1450">
        <v>1.8</v>
      </c>
      <c r="M314" s="1453">
        <v>1.95</v>
      </c>
      <c r="P314" s="331">
        <v>216000</v>
      </c>
      <c r="Q314" s="1481">
        <v>707</v>
      </c>
      <c r="R314" s="1491">
        <v>7</v>
      </c>
      <c r="S314" s="1491">
        <v>0.3</v>
      </c>
      <c r="T314" s="1218">
        <v>-0.5</v>
      </c>
      <c r="U314" s="654">
        <v>827</v>
      </c>
      <c r="V314" s="1218" t="s">
        <v>412</v>
      </c>
      <c r="W314" s="331">
        <f t="shared" si="98"/>
        <v>216000</v>
      </c>
      <c r="X314" s="331">
        <v>707</v>
      </c>
      <c r="Y314" s="1491">
        <v>7</v>
      </c>
      <c r="Z314" s="1491">
        <v>0.3</v>
      </c>
      <c r="AA314" s="1218">
        <v>-0.5</v>
      </c>
      <c r="AB314" s="331">
        <f t="shared" si="97"/>
        <v>827</v>
      </c>
      <c r="AC314" s="1498">
        <v>238</v>
      </c>
      <c r="AD314" s="331">
        <v>219.58007561765601</v>
      </c>
      <c r="AE314" s="331">
        <v>767.31556007566303</v>
      </c>
      <c r="AF314" s="331">
        <v>27033.098166360502</v>
      </c>
      <c r="AG314" s="331">
        <v>3.5523868522021398E-3</v>
      </c>
      <c r="AH314" s="331" t="s">
        <v>482</v>
      </c>
      <c r="AI314" s="331">
        <v>215.70151375987075</v>
      </c>
      <c r="AJ314" s="331">
        <v>204.32300000000001</v>
      </c>
      <c r="AK314" s="331">
        <v>9.8165471515968671E-3</v>
      </c>
      <c r="AO314" s="331">
        <v>0.50149087113032076</v>
      </c>
      <c r="AP314" s="331">
        <f t="shared" si="99"/>
        <v>1.0838870481783498</v>
      </c>
      <c r="AQ314" s="331">
        <f t="shared" si="100"/>
        <v>1.1033765867074674</v>
      </c>
      <c r="AR314" s="331">
        <f t="shared" si="101"/>
        <v>1.1648223645894</v>
      </c>
      <c r="AS314" s="331">
        <f t="shared" si="95"/>
        <v>0</v>
      </c>
      <c r="AT314" s="331">
        <f t="shared" si="96"/>
        <v>0</v>
      </c>
    </row>
    <row r="315" spans="3:46" ht="13.9" x14ac:dyDescent="0.4">
      <c r="C315" s="1579"/>
      <c r="D315" s="1293" t="s">
        <v>441</v>
      </c>
      <c r="E315" s="1418" t="s">
        <v>104</v>
      </c>
      <c r="F315" s="1468" t="s">
        <v>127</v>
      </c>
      <c r="G315" s="1489" t="s">
        <v>472</v>
      </c>
      <c r="H315" s="1438">
        <v>300</v>
      </c>
      <c r="I315" s="1469" t="s">
        <v>411</v>
      </c>
      <c r="J315" s="1450">
        <v>50.1</v>
      </c>
      <c r="K315" s="1450">
        <v>50.1</v>
      </c>
      <c r="L315" s="1450">
        <v>1.5</v>
      </c>
      <c r="M315" s="1453">
        <v>1.58</v>
      </c>
      <c r="P315" s="331">
        <v>200000</v>
      </c>
      <c r="Q315" s="1481">
        <v>622</v>
      </c>
      <c r="R315" s="1491">
        <v>7</v>
      </c>
      <c r="S315" s="1491">
        <v>0.3</v>
      </c>
      <c r="T315" s="1218">
        <v>-0.5</v>
      </c>
      <c r="U315" s="654">
        <v>770</v>
      </c>
      <c r="V315" s="1218" t="s">
        <v>412</v>
      </c>
      <c r="W315" s="331">
        <f t="shared" si="98"/>
        <v>200000</v>
      </c>
      <c r="X315" s="331">
        <v>639.1</v>
      </c>
      <c r="Y315" s="1491">
        <v>7</v>
      </c>
      <c r="Z315" s="1491">
        <v>0.3</v>
      </c>
      <c r="AA315" s="1218">
        <v>-0.5</v>
      </c>
      <c r="AB315" s="331">
        <f t="shared" si="97"/>
        <v>770</v>
      </c>
      <c r="AC315" s="1498">
        <v>175.7</v>
      </c>
      <c r="AD315" s="331">
        <v>154.35425003599599</v>
      </c>
      <c r="AE315" s="331">
        <v>512.48719262363602</v>
      </c>
      <c r="AF315" s="331">
        <v>83042.9722597652</v>
      </c>
      <c r="AG315" s="331">
        <v>2.5624359631181799E-3</v>
      </c>
      <c r="AH315" s="331" t="s">
        <v>471</v>
      </c>
      <c r="AI315" s="331" t="s">
        <v>507</v>
      </c>
      <c r="AJ315" s="331">
        <v>135.29142144387924</v>
      </c>
      <c r="AK315" s="331" t="e">
        <v>#VALUE!</v>
      </c>
      <c r="AO315" s="331">
        <v>0.81784293973252287</v>
      </c>
      <c r="AP315" s="331">
        <f t="shared" si="99"/>
        <v>1.1382906525672347</v>
      </c>
      <c r="AQ315" s="331" t="e">
        <f t="shared" si="100"/>
        <v>#VALUE!</v>
      </c>
      <c r="AR315" s="331">
        <f t="shared" si="101"/>
        <v>1.2986780545644778</v>
      </c>
      <c r="AS315" s="331">
        <f t="shared" si="95"/>
        <v>0</v>
      </c>
      <c r="AT315" s="331" t="e">
        <f t="shared" si="96"/>
        <v>#VALUE!</v>
      </c>
    </row>
    <row r="316" spans="3:46" ht="13.9" x14ac:dyDescent="0.4">
      <c r="C316" s="1579"/>
      <c r="D316" s="1293" t="s">
        <v>441</v>
      </c>
      <c r="E316" s="798" t="s">
        <v>104</v>
      </c>
      <c r="F316" s="1466" t="s">
        <v>127</v>
      </c>
      <c r="G316" s="1489" t="s">
        <v>472</v>
      </c>
      <c r="H316" s="210">
        <v>300</v>
      </c>
      <c r="I316" s="1469" t="s">
        <v>411</v>
      </c>
      <c r="J316" s="53">
        <v>50</v>
      </c>
      <c r="K316" s="53">
        <v>50</v>
      </c>
      <c r="L316" s="53">
        <v>1.5</v>
      </c>
      <c r="M316" s="58">
        <v>1.55</v>
      </c>
      <c r="P316" s="331">
        <v>200000</v>
      </c>
      <c r="Q316" s="1482">
        <v>622</v>
      </c>
      <c r="R316" s="1491">
        <v>7</v>
      </c>
      <c r="S316" s="1491">
        <v>0.3</v>
      </c>
      <c r="T316" s="1218">
        <v>-0.5</v>
      </c>
      <c r="U316" s="1462">
        <v>770</v>
      </c>
      <c r="V316" s="1218" t="s">
        <v>412</v>
      </c>
      <c r="W316" s="331">
        <f t="shared" si="98"/>
        <v>200000</v>
      </c>
      <c r="X316" s="331">
        <v>639.1</v>
      </c>
      <c r="Y316" s="1491">
        <v>7</v>
      </c>
      <c r="Z316" s="1491">
        <v>0.3</v>
      </c>
      <c r="AA316" s="1218">
        <v>-0.5</v>
      </c>
      <c r="AB316" s="331">
        <f t="shared" si="97"/>
        <v>770</v>
      </c>
      <c r="AC316" s="1499">
        <v>177.6</v>
      </c>
      <c r="AD316" s="331">
        <v>149.16226344145301</v>
      </c>
      <c r="AE316" s="331">
        <v>505.47079262301997</v>
      </c>
      <c r="AF316" s="331">
        <v>87085.741298674999</v>
      </c>
      <c r="AG316" s="331">
        <v>2.5273539631150998E-3</v>
      </c>
      <c r="AH316" s="331" t="s">
        <v>471</v>
      </c>
      <c r="AI316" s="331" t="s">
        <v>507</v>
      </c>
      <c r="AJ316" s="331">
        <v>130.798267355132</v>
      </c>
      <c r="AK316" s="331" t="e">
        <v>#VALUE!</v>
      </c>
      <c r="AO316" s="331">
        <v>0.83288102923175655</v>
      </c>
      <c r="AP316" s="331">
        <f t="shared" si="99"/>
        <v>1.1906496717228279</v>
      </c>
      <c r="AQ316" s="331" t="e">
        <f t="shared" si="100"/>
        <v>#VALUE!</v>
      </c>
      <c r="AR316" s="331">
        <f t="shared" si="101"/>
        <v>1.3578161514769613</v>
      </c>
      <c r="AS316" s="331">
        <f t="shared" si="95"/>
        <v>0</v>
      </c>
      <c r="AT316" s="331" t="e">
        <f t="shared" si="96"/>
        <v>#VALUE!</v>
      </c>
    </row>
    <row r="317" spans="3:46" ht="13.9" x14ac:dyDescent="0.4">
      <c r="C317" s="1579"/>
      <c r="D317" s="1293" t="s">
        <v>441</v>
      </c>
      <c r="E317" s="1418" t="s">
        <v>98</v>
      </c>
      <c r="F317" s="1468" t="s">
        <v>127</v>
      </c>
      <c r="G317" s="1489" t="s">
        <v>472</v>
      </c>
      <c r="H317" s="14">
        <v>600</v>
      </c>
      <c r="I317" s="1469" t="s">
        <v>411</v>
      </c>
      <c r="J317" s="54">
        <v>150.5</v>
      </c>
      <c r="K317" s="54">
        <v>150.5</v>
      </c>
      <c r="L317" s="54">
        <v>4.5999999999999996</v>
      </c>
      <c r="M317" s="59">
        <v>2.8</v>
      </c>
      <c r="P317" s="331">
        <v>189000</v>
      </c>
      <c r="Q317" s="1480">
        <v>448</v>
      </c>
      <c r="R317" s="1491">
        <v>7</v>
      </c>
      <c r="S317" s="1491">
        <v>0.3</v>
      </c>
      <c r="T317" s="1218">
        <v>-0.5</v>
      </c>
      <c r="U317" s="159">
        <v>699</v>
      </c>
      <c r="V317" s="1218" t="s">
        <v>412</v>
      </c>
      <c r="W317" s="331">
        <f t="shared" si="98"/>
        <v>189000</v>
      </c>
      <c r="X317" s="331">
        <v>580.16999999999996</v>
      </c>
      <c r="Y317" s="1491">
        <v>7</v>
      </c>
      <c r="Z317" s="1491">
        <v>0.3</v>
      </c>
      <c r="AA317" s="1218">
        <v>-0.5</v>
      </c>
      <c r="AB317" s="331">
        <f t="shared" si="97"/>
        <v>699</v>
      </c>
      <c r="AC317" s="1498">
        <v>408.6</v>
      </c>
      <c r="AD317" s="331">
        <v>380.42299271908001</v>
      </c>
      <c r="AE317" s="331">
        <v>233.18924042581301</v>
      </c>
      <c r="AF317" s="331">
        <v>169133.374607954</v>
      </c>
      <c r="AG317" s="331">
        <v>1.2338055048984799E-3</v>
      </c>
      <c r="AH317" s="331" t="s">
        <v>471</v>
      </c>
      <c r="AI317" s="331" t="s">
        <v>507</v>
      </c>
      <c r="AJ317" s="331">
        <v>387.05473901877315</v>
      </c>
      <c r="AK317" s="331" t="e">
        <v>#VALUE!</v>
      </c>
      <c r="AO317" s="331">
        <v>1.2649561920266106</v>
      </c>
      <c r="AP317" s="331">
        <f t="shared" si="99"/>
        <v>1.0740675716773174</v>
      </c>
      <c r="AQ317" s="331" t="e">
        <f t="shared" si="100"/>
        <v>#VALUE!</v>
      </c>
      <c r="AR317" s="331">
        <f t="shared" si="101"/>
        <v>1.0556646355392689</v>
      </c>
      <c r="AS317" s="331">
        <f t="shared" si="95"/>
        <v>0</v>
      </c>
      <c r="AT317" s="331" t="e">
        <f t="shared" si="96"/>
        <v>#VALUE!</v>
      </c>
    </row>
    <row r="318" spans="3:46" ht="13.9" x14ac:dyDescent="0.4">
      <c r="C318" s="1575"/>
      <c r="D318" s="1293" t="s">
        <v>441</v>
      </c>
      <c r="E318" s="1418" t="s">
        <v>105</v>
      </c>
      <c r="F318" s="1468" t="s">
        <v>127</v>
      </c>
      <c r="G318" s="1489" t="s">
        <v>472</v>
      </c>
      <c r="H318" s="210">
        <v>601</v>
      </c>
      <c r="I318" s="1469" t="s">
        <v>411</v>
      </c>
      <c r="J318" s="53">
        <v>150.19999999999999</v>
      </c>
      <c r="K318" s="53">
        <v>150.19999999999999</v>
      </c>
      <c r="L318" s="53">
        <v>5.3</v>
      </c>
      <c r="M318" s="58">
        <v>5.86</v>
      </c>
      <c r="P318" s="331">
        <v>194000</v>
      </c>
      <c r="Q318" s="1482">
        <v>497</v>
      </c>
      <c r="R318" s="1491">
        <v>7</v>
      </c>
      <c r="S318" s="1491">
        <v>0.3</v>
      </c>
      <c r="T318" s="1218">
        <v>-0.5</v>
      </c>
      <c r="U318" s="1462">
        <v>761</v>
      </c>
      <c r="V318" s="1218" t="s">
        <v>412</v>
      </c>
      <c r="W318" s="331">
        <f t="shared" si="98"/>
        <v>194000</v>
      </c>
      <c r="X318" s="331">
        <v>631.63</v>
      </c>
      <c r="Y318" s="1491">
        <v>7</v>
      </c>
      <c r="Z318" s="1491">
        <v>0.3</v>
      </c>
      <c r="AA318" s="1218">
        <v>-0.5</v>
      </c>
      <c r="AB318" s="331">
        <f t="shared" si="97"/>
        <v>761</v>
      </c>
      <c r="AC318" s="1498">
        <v>1927.4</v>
      </c>
      <c r="AD318" s="331">
        <v>1666.04051752387</v>
      </c>
      <c r="AE318" s="331">
        <v>502.972596358109</v>
      </c>
      <c r="AF318" s="331">
        <v>28235.225437905599</v>
      </c>
      <c r="AG318" s="331">
        <v>2.5926422492686002E-3</v>
      </c>
      <c r="AH318" s="331" t="s">
        <v>471</v>
      </c>
      <c r="AI318" s="331">
        <v>1832.5097934324317</v>
      </c>
      <c r="AJ318" s="331">
        <v>1548.1624948426813</v>
      </c>
      <c r="AK318" s="331">
        <v>3.9745902535727939E-3</v>
      </c>
      <c r="AO318" s="331">
        <v>0.60225223149701346</v>
      </c>
      <c r="AP318" s="331">
        <f t="shared" si="99"/>
        <v>1.1568746256330982</v>
      </c>
      <c r="AQ318" s="331">
        <f t="shared" si="100"/>
        <v>1.0517815549513827</v>
      </c>
      <c r="AR318" s="331">
        <f t="shared" si="101"/>
        <v>1.244959754819442</v>
      </c>
      <c r="AS318" s="331">
        <f t="shared" si="95"/>
        <v>0</v>
      </c>
      <c r="AT318" s="331">
        <f t="shared" si="96"/>
        <v>0</v>
      </c>
    </row>
    <row r="319" spans="3:46" ht="13.9" x14ac:dyDescent="0.4">
      <c r="C319" s="1574" t="s">
        <v>106</v>
      </c>
      <c r="D319" s="1293" t="s">
        <v>441</v>
      </c>
      <c r="E319" s="797" t="s">
        <v>107</v>
      </c>
      <c r="F319" s="1467" t="s">
        <v>127</v>
      </c>
      <c r="G319" s="1489" t="s">
        <v>472</v>
      </c>
      <c r="H319" s="14">
        <v>360</v>
      </c>
      <c r="I319" s="1469" t="s">
        <v>411</v>
      </c>
      <c r="J319" s="54">
        <v>69.900000000000006</v>
      </c>
      <c r="K319" s="54">
        <v>69.900000000000006</v>
      </c>
      <c r="L319" s="54">
        <v>1.9</v>
      </c>
      <c r="M319" s="59">
        <v>1.91</v>
      </c>
      <c r="P319" s="331">
        <v>195000</v>
      </c>
      <c r="Q319" s="159">
        <v>337</v>
      </c>
      <c r="R319" s="1491">
        <v>7</v>
      </c>
      <c r="S319" s="1491">
        <v>0.3</v>
      </c>
      <c r="T319" s="1218">
        <v>-0.5</v>
      </c>
      <c r="U319" s="159">
        <v>636</v>
      </c>
      <c r="V319" s="1218" t="s">
        <v>412</v>
      </c>
      <c r="W319" s="331">
        <f t="shared" si="98"/>
        <v>195000</v>
      </c>
      <c r="X319" s="331">
        <v>527.88</v>
      </c>
      <c r="Y319" s="1491">
        <v>7</v>
      </c>
      <c r="Z319" s="1491">
        <v>0.3</v>
      </c>
      <c r="AA319" s="1218">
        <v>-0.5</v>
      </c>
      <c r="AB319" s="331">
        <f t="shared" si="97"/>
        <v>636</v>
      </c>
      <c r="AC319" s="1503">
        <v>194</v>
      </c>
      <c r="AD319" s="331">
        <v>149.24905981882699</v>
      </c>
      <c r="AE319" s="331">
        <v>291.13071345608699</v>
      </c>
      <c r="AF319" s="331">
        <v>44650.038064845903</v>
      </c>
      <c r="AG319" s="331">
        <v>1.49297801772352E-3</v>
      </c>
      <c r="AH319" s="331" t="s">
        <v>471</v>
      </c>
      <c r="AI319" s="331" t="s">
        <v>507</v>
      </c>
      <c r="AJ319" s="331">
        <v>140.75112314557015</v>
      </c>
      <c r="AK319" s="331" t="e">
        <v>#VALUE!</v>
      </c>
      <c r="AO319" s="331">
        <v>0.7492840446141128</v>
      </c>
      <c r="AP319" s="331">
        <f t="shared" si="99"/>
        <v>1.2998406839915511</v>
      </c>
      <c r="AQ319" s="331" t="e">
        <f t="shared" si="100"/>
        <v>#VALUE!</v>
      </c>
      <c r="AR319" s="331">
        <f t="shared" si="101"/>
        <v>1.3783193743992923</v>
      </c>
      <c r="AS319" s="331">
        <f t="shared" si="95"/>
        <v>0</v>
      </c>
      <c r="AT319" s="331" t="e">
        <f t="shared" si="96"/>
        <v>#VALUE!</v>
      </c>
    </row>
    <row r="320" spans="3:46" ht="13.9" x14ac:dyDescent="0.4">
      <c r="C320" s="1579"/>
      <c r="D320" s="1293" t="s">
        <v>441</v>
      </c>
      <c r="E320" s="1418" t="s">
        <v>107</v>
      </c>
      <c r="F320" s="1468" t="s">
        <v>127</v>
      </c>
      <c r="G320" s="1489" t="s">
        <v>472</v>
      </c>
      <c r="H320" s="1438">
        <v>360</v>
      </c>
      <c r="I320" s="1469" t="s">
        <v>411</v>
      </c>
      <c r="J320" s="1450">
        <v>69.900000000000006</v>
      </c>
      <c r="K320" s="1450">
        <v>69.900000000000006</v>
      </c>
      <c r="L320" s="1450">
        <v>1.9</v>
      </c>
      <c r="M320" s="1453">
        <v>1.93</v>
      </c>
      <c r="P320" s="331">
        <v>195000</v>
      </c>
      <c r="Q320" s="1481">
        <v>337</v>
      </c>
      <c r="R320" s="1491">
        <v>7</v>
      </c>
      <c r="S320" s="1491">
        <v>0.3</v>
      </c>
      <c r="T320" s="1218">
        <v>-0.5</v>
      </c>
      <c r="U320" s="654">
        <v>636</v>
      </c>
      <c r="V320" s="1218" t="s">
        <v>412</v>
      </c>
      <c r="W320" s="331">
        <f t="shared" si="98"/>
        <v>195000</v>
      </c>
      <c r="X320" s="331">
        <v>527.88</v>
      </c>
      <c r="Y320" s="1491">
        <v>7</v>
      </c>
      <c r="Z320" s="1491">
        <v>0.3</v>
      </c>
      <c r="AA320" s="1218">
        <v>-0.5</v>
      </c>
      <c r="AB320" s="331">
        <f t="shared" si="97"/>
        <v>636</v>
      </c>
      <c r="AC320" s="1504">
        <v>193.1</v>
      </c>
      <c r="AD320" s="331">
        <v>151.840255306758</v>
      </c>
      <c r="AE320" s="331">
        <v>293.21241790043501</v>
      </c>
      <c r="AF320" s="331">
        <v>43195.394989927001</v>
      </c>
      <c r="AG320" s="331">
        <v>1.5036534251304399E-3</v>
      </c>
      <c r="AH320" s="331" t="s">
        <v>471</v>
      </c>
      <c r="AI320" s="331" t="s">
        <v>507</v>
      </c>
      <c r="AJ320" s="331">
        <v>142.8298089161415</v>
      </c>
      <c r="AK320" s="331" t="e">
        <v>#VALUE!</v>
      </c>
      <c r="AO320" s="331">
        <v>0.74097563472729278</v>
      </c>
      <c r="AP320" s="331">
        <f t="shared" si="99"/>
        <v>1.2717312652687935</v>
      </c>
      <c r="AQ320" s="331" t="e">
        <f t="shared" si="100"/>
        <v>#VALUE!</v>
      </c>
      <c r="AR320" s="331">
        <f t="shared" si="101"/>
        <v>1.3519586805116657</v>
      </c>
      <c r="AS320" s="331">
        <f t="shared" si="95"/>
        <v>0</v>
      </c>
      <c r="AT320" s="331" t="e">
        <f t="shared" si="96"/>
        <v>#VALUE!</v>
      </c>
    </row>
    <row r="321" spans="3:46" ht="13.9" x14ac:dyDescent="0.4">
      <c r="C321" s="1579"/>
      <c r="D321" s="1293" t="s">
        <v>441</v>
      </c>
      <c r="E321" s="1418" t="s">
        <v>108</v>
      </c>
      <c r="F321" s="1468" t="s">
        <v>127</v>
      </c>
      <c r="G321" s="1489" t="s">
        <v>472</v>
      </c>
      <c r="H321" s="1438">
        <v>358.5</v>
      </c>
      <c r="I321" s="1469" t="s">
        <v>411</v>
      </c>
      <c r="J321" s="1450">
        <v>70</v>
      </c>
      <c r="K321" s="1450">
        <v>70</v>
      </c>
      <c r="L321" s="1450">
        <v>4.0999999999999996</v>
      </c>
      <c r="M321" s="1453">
        <v>4.8600000000000003</v>
      </c>
      <c r="P321" s="331">
        <v>194000</v>
      </c>
      <c r="Q321" s="1481">
        <v>444</v>
      </c>
      <c r="R321" s="1491">
        <v>7</v>
      </c>
      <c r="S321" s="1491">
        <v>0.3</v>
      </c>
      <c r="T321" s="1218">
        <v>-0.5</v>
      </c>
      <c r="U321" s="654">
        <v>688</v>
      </c>
      <c r="V321" s="1218" t="s">
        <v>412</v>
      </c>
      <c r="W321" s="331">
        <f t="shared" si="98"/>
        <v>194000</v>
      </c>
      <c r="X321" s="331">
        <v>571.04</v>
      </c>
      <c r="Y321" s="1491">
        <v>7</v>
      </c>
      <c r="Z321" s="1491">
        <v>0.3</v>
      </c>
      <c r="AA321" s="1218">
        <v>-0.5</v>
      </c>
      <c r="AB321" s="331">
        <f t="shared" si="97"/>
        <v>688</v>
      </c>
      <c r="AC321" s="1504">
        <v>825.3</v>
      </c>
      <c r="AD321" s="331">
        <v>708.20284715481796</v>
      </c>
      <c r="AE321" s="331">
        <v>586.23131527153396</v>
      </c>
      <c r="AF321" s="331">
        <v>5806.8518946089198</v>
      </c>
      <c r="AG321" s="331">
        <v>3.0218109034615098E-3</v>
      </c>
      <c r="AH321" s="331" t="s">
        <v>482</v>
      </c>
      <c r="AI321" s="331">
        <v>745.69548334934825</v>
      </c>
      <c r="AJ321" s="331">
        <v>538.572</v>
      </c>
      <c r="AK321" s="331">
        <v>2.3458177695903276E-2</v>
      </c>
      <c r="AO321" s="331">
        <v>0.28743031003907171</v>
      </c>
      <c r="AP321" s="331">
        <f t="shared" si="99"/>
        <v>1.1653440865362459</v>
      </c>
      <c r="AQ321" s="331">
        <f t="shared" si="100"/>
        <v>1.1067520434656544</v>
      </c>
      <c r="AR321" s="331">
        <f t="shared" si="101"/>
        <v>1.532385642031149</v>
      </c>
      <c r="AS321" s="331">
        <f t="shared" si="95"/>
        <v>0</v>
      </c>
      <c r="AT321" s="331">
        <f t="shared" si="96"/>
        <v>0</v>
      </c>
    </row>
    <row r="322" spans="3:46" ht="13.9" x14ac:dyDescent="0.4">
      <c r="C322" s="1575"/>
      <c r="D322" s="1293" t="s">
        <v>441</v>
      </c>
      <c r="E322" s="798" t="s">
        <v>108</v>
      </c>
      <c r="F322" s="1466" t="s">
        <v>127</v>
      </c>
      <c r="G322" s="1489" t="s">
        <v>472</v>
      </c>
      <c r="H322" s="210">
        <v>358.5</v>
      </c>
      <c r="I322" s="1469" t="s">
        <v>411</v>
      </c>
      <c r="J322" s="53">
        <v>69.900000000000006</v>
      </c>
      <c r="K322" s="53">
        <v>69.900000000000006</v>
      </c>
      <c r="L322" s="53">
        <v>4.0999999999999996</v>
      </c>
      <c r="M322" s="58">
        <v>4.91</v>
      </c>
      <c r="P322" s="331">
        <v>194000</v>
      </c>
      <c r="Q322" s="1462">
        <v>444</v>
      </c>
      <c r="R322" s="1491">
        <v>7</v>
      </c>
      <c r="S322" s="1491">
        <v>0.3</v>
      </c>
      <c r="T322" s="1218">
        <v>-0.5</v>
      </c>
      <c r="U322" s="1462">
        <v>688</v>
      </c>
      <c r="V322" s="1218" t="s">
        <v>412</v>
      </c>
      <c r="W322" s="331">
        <f t="shared" si="98"/>
        <v>194000</v>
      </c>
      <c r="X322" s="331">
        <v>571.04</v>
      </c>
      <c r="Y322" s="1491">
        <v>7</v>
      </c>
      <c r="Z322" s="1491">
        <v>0.3</v>
      </c>
      <c r="AA322" s="1218">
        <v>-0.5</v>
      </c>
      <c r="AB322" s="331">
        <f t="shared" si="97"/>
        <v>688</v>
      </c>
      <c r="AC322" s="1505">
        <v>843.9</v>
      </c>
      <c r="AD322" s="331">
        <v>713.46075371792904</v>
      </c>
      <c r="AE322" s="331">
        <v>585.97254299212295</v>
      </c>
      <c r="AF322" s="331">
        <v>5821.7928913919804</v>
      </c>
      <c r="AG322" s="331">
        <v>3.0204770257325898E-3</v>
      </c>
      <c r="AH322" s="331" t="s">
        <v>482</v>
      </c>
      <c r="AI322" s="331">
        <v>752.14630343593797</v>
      </c>
      <c r="AJ322" s="331">
        <v>543.01200000000006</v>
      </c>
      <c r="AK322" s="331">
        <v>2.333952428194868E-2</v>
      </c>
      <c r="AO322" s="331">
        <v>0.28360203320745092</v>
      </c>
      <c r="AP322" s="331">
        <f t="shared" si="99"/>
        <v>1.1828260988461334</v>
      </c>
      <c r="AQ322" s="331">
        <f t="shared" si="100"/>
        <v>1.1219891610779908</v>
      </c>
      <c r="AR322" s="331">
        <f t="shared" si="101"/>
        <v>1.5541093014519014</v>
      </c>
      <c r="AS322" s="331">
        <f t="shared" si="95"/>
        <v>0</v>
      </c>
      <c r="AT322" s="331">
        <f t="shared" si="96"/>
        <v>0</v>
      </c>
    </row>
    <row r="323" spans="3:46" ht="13.9" x14ac:dyDescent="0.4">
      <c r="C323" s="1579" t="s">
        <v>109</v>
      </c>
      <c r="D323" s="1293" t="s">
        <v>441</v>
      </c>
      <c r="E323" s="1418" t="s">
        <v>110</v>
      </c>
      <c r="F323" s="1467" t="s">
        <v>88</v>
      </c>
      <c r="G323" s="1489" t="s">
        <v>472</v>
      </c>
      <c r="H323" s="14">
        <v>400</v>
      </c>
      <c r="I323" s="1469" t="s">
        <v>411</v>
      </c>
      <c r="J323" s="54">
        <v>80.2</v>
      </c>
      <c r="K323" s="54">
        <v>80.2</v>
      </c>
      <c r="L323" s="54">
        <v>4</v>
      </c>
      <c r="M323" s="59">
        <v>3.07</v>
      </c>
      <c r="P323" s="331">
        <v>187500</v>
      </c>
      <c r="Q323" s="159">
        <v>520</v>
      </c>
      <c r="R323" s="1491">
        <v>7</v>
      </c>
      <c r="S323" s="1491">
        <v>0.3</v>
      </c>
      <c r="T323" s="1218">
        <v>-0.5</v>
      </c>
      <c r="U323" s="159">
        <v>835</v>
      </c>
      <c r="V323" s="1218" t="s">
        <v>412</v>
      </c>
      <c r="W323" s="331">
        <f t="shared" si="98"/>
        <v>187500</v>
      </c>
      <c r="X323" s="331">
        <v>612</v>
      </c>
      <c r="Y323" s="1491">
        <v>7</v>
      </c>
      <c r="Z323" s="1491">
        <v>0.3</v>
      </c>
      <c r="AA323" s="1218">
        <v>-0.5</v>
      </c>
      <c r="AB323" s="331">
        <f t="shared" si="97"/>
        <v>835</v>
      </c>
      <c r="AC323" s="1498">
        <v>598</v>
      </c>
      <c r="AD323" s="331">
        <v>469.52019338794503</v>
      </c>
      <c r="AE323" s="331">
        <v>511.5061226501</v>
      </c>
      <c r="AF323" s="331">
        <v>33643.738839619902</v>
      </c>
      <c r="AG323" s="331">
        <v>2.7280326541338699E-3</v>
      </c>
      <c r="AH323" s="331" t="s">
        <v>471</v>
      </c>
      <c r="AI323" s="331">
        <v>502.45088983177823</v>
      </c>
      <c r="AJ323" s="331">
        <v>430.87747991850011</v>
      </c>
      <c r="AK323" s="331">
        <v>4.2917663984130081E-3</v>
      </c>
      <c r="AM323" s="331">
        <v>1.0625000000000001E-2</v>
      </c>
      <c r="AO323" s="331">
        <v>0.60267753235604071</v>
      </c>
      <c r="AP323" s="331">
        <f t="shared" si="99"/>
        <v>1.2736406408529004</v>
      </c>
      <c r="AQ323" s="331">
        <f t="shared" si="100"/>
        <v>1.1901660681707855</v>
      </c>
      <c r="AR323" s="331">
        <f t="shared" si="101"/>
        <v>1.387865525283686</v>
      </c>
      <c r="AS323" s="331">
        <f t="shared" si="95"/>
        <v>3.8947481013101579</v>
      </c>
      <c r="AT323" s="331">
        <f t="shared" si="96"/>
        <v>2.4756706245542324</v>
      </c>
    </row>
    <row r="324" spans="3:46" ht="13.9" x14ac:dyDescent="0.4">
      <c r="C324" s="1579"/>
      <c r="D324" s="1293" t="s">
        <v>441</v>
      </c>
      <c r="E324" s="1418" t="s">
        <v>110</v>
      </c>
      <c r="F324" s="1468" t="s">
        <v>88</v>
      </c>
      <c r="G324" s="1489" t="s">
        <v>472</v>
      </c>
      <c r="H324" s="1438">
        <v>400</v>
      </c>
      <c r="I324" s="1469" t="s">
        <v>411</v>
      </c>
      <c r="J324" s="1450">
        <v>80.3</v>
      </c>
      <c r="K324" s="1450">
        <v>80.3</v>
      </c>
      <c r="L324" s="1450">
        <v>3</v>
      </c>
      <c r="M324" s="1453">
        <v>3.06</v>
      </c>
      <c r="P324" s="331">
        <v>173000</v>
      </c>
      <c r="Q324" s="654">
        <v>652</v>
      </c>
      <c r="R324" s="1491">
        <v>7</v>
      </c>
      <c r="S324" s="1491">
        <v>0.3</v>
      </c>
      <c r="T324" s="1218">
        <v>-0.5</v>
      </c>
      <c r="U324" s="654">
        <v>1025</v>
      </c>
      <c r="V324" s="1218" t="s">
        <v>412</v>
      </c>
      <c r="W324" s="331">
        <f t="shared" si="98"/>
        <v>173000</v>
      </c>
      <c r="X324" s="331">
        <v>820</v>
      </c>
      <c r="Y324" s="1491">
        <v>7</v>
      </c>
      <c r="Z324" s="1491">
        <v>0.3</v>
      </c>
      <c r="AA324" s="1218">
        <v>-0.5</v>
      </c>
      <c r="AB324" s="331">
        <f t="shared" si="97"/>
        <v>1025</v>
      </c>
      <c r="AC324" s="1498">
        <v>755</v>
      </c>
      <c r="AD324" s="331">
        <v>549.74495027504599</v>
      </c>
      <c r="AE324" s="331">
        <v>593.19016873020598</v>
      </c>
      <c r="AF324" s="331">
        <v>55685.929011367902</v>
      </c>
      <c r="AG324" s="331">
        <v>3.4288449059549499E-3</v>
      </c>
      <c r="AH324" s="331" t="s">
        <v>471</v>
      </c>
      <c r="AI324" s="331" t="s">
        <v>507</v>
      </c>
      <c r="AJ324" s="331">
        <v>491.59662174201532</v>
      </c>
      <c r="AK324" s="331" t="e">
        <v>#VALUE!</v>
      </c>
      <c r="AM324" s="331">
        <v>1.0749999999999999E-2</v>
      </c>
      <c r="AO324" s="331">
        <v>0.72937462086971572</v>
      </c>
      <c r="AP324" s="331">
        <f t="shared" si="99"/>
        <v>1.3733641384468591</v>
      </c>
      <c r="AQ324" s="331" t="e">
        <f t="shared" si="100"/>
        <v>#VALUE!</v>
      </c>
      <c r="AR324" s="331">
        <f t="shared" si="101"/>
        <v>1.5358120186517799</v>
      </c>
      <c r="AS324" s="331">
        <f t="shared" si="95"/>
        <v>3.1351665924959859</v>
      </c>
      <c r="AT324" s="331" t="e">
        <f t="shared" si="96"/>
        <v>#VALUE!</v>
      </c>
    </row>
    <row r="325" spans="3:46" ht="13.9" x14ac:dyDescent="0.4">
      <c r="C325" s="1579"/>
      <c r="D325" s="1293" t="s">
        <v>441</v>
      </c>
      <c r="E325" s="1418" t="s">
        <v>111</v>
      </c>
      <c r="F325" s="1468" t="s">
        <v>88</v>
      </c>
      <c r="G325" s="1489" t="s">
        <v>472</v>
      </c>
      <c r="H325" s="1438">
        <v>400</v>
      </c>
      <c r="I325" s="1469" t="s">
        <v>411</v>
      </c>
      <c r="J325" s="1450">
        <v>100.05</v>
      </c>
      <c r="K325" s="1450">
        <v>100.05</v>
      </c>
      <c r="L325" s="1450">
        <v>2.75</v>
      </c>
      <c r="M325" s="1453">
        <v>3.05</v>
      </c>
      <c r="P325" s="331">
        <v>195000</v>
      </c>
      <c r="Q325" s="654">
        <v>481</v>
      </c>
      <c r="R325" s="1491">
        <v>7</v>
      </c>
      <c r="S325" s="1491">
        <v>0.3</v>
      </c>
      <c r="T325" s="1218">
        <v>-0.5</v>
      </c>
      <c r="U325" s="654">
        <v>806</v>
      </c>
      <c r="V325" s="1218" t="s">
        <v>412</v>
      </c>
      <c r="W325" s="331">
        <f t="shared" si="98"/>
        <v>195000</v>
      </c>
      <c r="X325" s="331">
        <v>668.98</v>
      </c>
      <c r="Y325" s="1491">
        <v>7</v>
      </c>
      <c r="Z325" s="1491">
        <v>0.3</v>
      </c>
      <c r="AA325" s="1218">
        <v>-0.5</v>
      </c>
      <c r="AB325" s="331">
        <f t="shared" si="97"/>
        <v>806</v>
      </c>
      <c r="AC325" s="1498">
        <v>609</v>
      </c>
      <c r="AD325" s="331">
        <v>482.37039606500502</v>
      </c>
      <c r="AE325" s="331">
        <v>413.25029165695202</v>
      </c>
      <c r="AF325" s="331">
        <v>59404.481651673203</v>
      </c>
      <c r="AG325" s="331">
        <v>2.1192322649074501E-3</v>
      </c>
      <c r="AH325" s="331" t="s">
        <v>471</v>
      </c>
      <c r="AI325" s="331" t="s">
        <v>507</v>
      </c>
      <c r="AJ325" s="331">
        <v>440.35313028994551</v>
      </c>
      <c r="AK325" s="331" t="e">
        <v>#VALUE!</v>
      </c>
      <c r="AM325" s="331">
        <v>6.2500000000000003E-3</v>
      </c>
      <c r="AO325" s="331">
        <v>0.7870570473649543</v>
      </c>
      <c r="AP325" s="331">
        <f t="shared" si="99"/>
        <v>1.2625152890143991</v>
      </c>
      <c r="AQ325" s="331" t="e">
        <f t="shared" si="100"/>
        <v>#VALUE!</v>
      </c>
      <c r="AR325" s="331">
        <f t="shared" si="101"/>
        <v>1.3829809716556594</v>
      </c>
      <c r="AS325" s="331">
        <f t="shared" si="95"/>
        <v>2.9491812216595084</v>
      </c>
      <c r="AT325" s="331" t="e">
        <f t="shared" si="96"/>
        <v>#VALUE!</v>
      </c>
    </row>
    <row r="326" spans="3:46" ht="13.9" x14ac:dyDescent="0.4">
      <c r="C326" s="1579"/>
      <c r="D326" s="1293" t="s">
        <v>441</v>
      </c>
      <c r="E326" s="1418" t="s">
        <v>111</v>
      </c>
      <c r="F326" s="1466" t="s">
        <v>88</v>
      </c>
      <c r="G326" s="1489" t="s">
        <v>472</v>
      </c>
      <c r="H326" s="1438">
        <v>400</v>
      </c>
      <c r="I326" s="1469" t="s">
        <v>411</v>
      </c>
      <c r="J326" s="1450">
        <v>100.15</v>
      </c>
      <c r="K326" s="1450">
        <v>100.15</v>
      </c>
      <c r="L326" s="1450">
        <v>3</v>
      </c>
      <c r="M326" s="1453">
        <v>3.05</v>
      </c>
      <c r="P326" s="331">
        <v>183500</v>
      </c>
      <c r="Q326" s="654">
        <v>608</v>
      </c>
      <c r="R326" s="1491">
        <v>7</v>
      </c>
      <c r="S326" s="1491">
        <v>0.3</v>
      </c>
      <c r="T326" s="1218">
        <v>-0.5</v>
      </c>
      <c r="U326" s="654">
        <v>943</v>
      </c>
      <c r="V326" s="1218" t="s">
        <v>412</v>
      </c>
      <c r="W326" s="331">
        <f t="shared" si="98"/>
        <v>183500</v>
      </c>
      <c r="X326" s="331">
        <v>782.69</v>
      </c>
      <c r="Y326" s="1491">
        <v>7</v>
      </c>
      <c r="Z326" s="1491">
        <v>0.3</v>
      </c>
      <c r="AA326" s="1218">
        <v>-0.5</v>
      </c>
      <c r="AB326" s="331">
        <f t="shared" si="97"/>
        <v>943</v>
      </c>
      <c r="AC326" s="1498">
        <v>656</v>
      </c>
      <c r="AD326" s="331">
        <v>559.20108853136901</v>
      </c>
      <c r="AE326" s="331">
        <v>479.04255546316199</v>
      </c>
      <c r="AF326" s="331">
        <v>91255.268703833601</v>
      </c>
      <c r="AG326" s="331">
        <v>2.6105861333142301E-3</v>
      </c>
      <c r="AH326" s="331" t="s">
        <v>471</v>
      </c>
      <c r="AI326" s="331" t="s">
        <v>507</v>
      </c>
      <c r="AJ326" s="331">
        <v>502.00094376320095</v>
      </c>
      <c r="AK326" s="331" t="e">
        <v>#VALUE!</v>
      </c>
      <c r="AM326" s="331">
        <v>6.0000000000000001E-3</v>
      </c>
      <c r="AO326" s="331">
        <v>0.89950404669892503</v>
      </c>
      <c r="AP326" s="331">
        <f t="shared" si="99"/>
        <v>1.1731021513617832</v>
      </c>
      <c r="AQ326" s="331" t="e">
        <f t="shared" si="100"/>
        <v>#VALUE!</v>
      </c>
      <c r="AR326" s="331">
        <f t="shared" si="101"/>
        <v>1.3067704516297522</v>
      </c>
      <c r="AS326" s="331">
        <f t="shared" si="95"/>
        <v>2.2983344328052455</v>
      </c>
      <c r="AT326" s="331" t="e">
        <f t="shared" si="96"/>
        <v>#VALUE!</v>
      </c>
    </row>
    <row r="327" spans="3:46" ht="13.9" x14ac:dyDescent="0.4">
      <c r="C327" s="1583" t="s">
        <v>308</v>
      </c>
      <c r="D327" s="1293" t="s">
        <v>441</v>
      </c>
      <c r="E327" s="547" t="s">
        <v>152</v>
      </c>
      <c r="F327" s="1467" t="s">
        <v>127</v>
      </c>
      <c r="G327" s="1489" t="s">
        <v>472</v>
      </c>
      <c r="H327" s="258">
        <v>400</v>
      </c>
      <c r="I327" s="1469" t="s">
        <v>411</v>
      </c>
      <c r="J327" s="258">
        <v>101.5</v>
      </c>
      <c r="K327" s="258">
        <v>101.5</v>
      </c>
      <c r="L327" s="159">
        <v>3.8</v>
      </c>
      <c r="M327" s="159">
        <v>3.93</v>
      </c>
      <c r="P327" s="331">
        <v>198800</v>
      </c>
      <c r="Q327" s="1463">
        <v>586</v>
      </c>
      <c r="R327" s="1491">
        <v>7</v>
      </c>
      <c r="S327" s="1491">
        <v>0.3</v>
      </c>
      <c r="T327" s="1218">
        <v>-0.5</v>
      </c>
      <c r="U327" s="159">
        <v>761</v>
      </c>
      <c r="V327" s="1218" t="s">
        <v>412</v>
      </c>
      <c r="W327" s="331">
        <f t="shared" si="98"/>
        <v>198800</v>
      </c>
      <c r="X327" s="331">
        <v>811</v>
      </c>
      <c r="Y327" s="1491">
        <v>7</v>
      </c>
      <c r="Z327" s="1491">
        <v>0.3</v>
      </c>
      <c r="AA327" s="1218">
        <v>-0.5</v>
      </c>
      <c r="AB327" s="331">
        <f t="shared" si="97"/>
        <v>851.55000000000007</v>
      </c>
      <c r="AC327" s="1503">
        <v>1022</v>
      </c>
      <c r="AD327" s="331">
        <v>861.39961932670803</v>
      </c>
      <c r="AE327" s="331">
        <v>572.95882172285701</v>
      </c>
      <c r="AF327" s="331">
        <v>38605.274561116203</v>
      </c>
      <c r="AG327" s="331">
        <v>2.8820866283845899E-3</v>
      </c>
      <c r="AH327" s="331" t="s">
        <v>471</v>
      </c>
      <c r="AI327" s="331">
        <v>914.79842882583546</v>
      </c>
      <c r="AJ327" s="331">
        <v>768.58673917583928</v>
      </c>
      <c r="AK327" s="331">
        <v>3.7477378597809774E-3</v>
      </c>
      <c r="AM327" s="331">
        <v>9.0749999999999997E-3</v>
      </c>
      <c r="AO327" s="331">
        <v>0.63649094995545774</v>
      </c>
      <c r="AP327" s="331">
        <f t="shared" si="99"/>
        <v>1.1864412022828863</v>
      </c>
      <c r="AQ327" s="331">
        <f t="shared" si="100"/>
        <v>1.1171860027260434</v>
      </c>
      <c r="AR327" s="331">
        <f t="shared" si="101"/>
        <v>1.329713287918417</v>
      </c>
      <c r="AS327" s="331">
        <f t="shared" si="95"/>
        <v>3.1487603150522019</v>
      </c>
      <c r="AT327" s="331">
        <f t="shared" si="96"/>
        <v>2.4214607156463055</v>
      </c>
    </row>
    <row r="328" spans="3:46" ht="13.9" x14ac:dyDescent="0.4">
      <c r="C328" s="1584"/>
      <c r="D328" s="1293" t="s">
        <v>441</v>
      </c>
      <c r="E328" s="1416" t="s">
        <v>153</v>
      </c>
      <c r="F328" s="1468" t="s">
        <v>127</v>
      </c>
      <c r="G328" s="1489" t="s">
        <v>472</v>
      </c>
      <c r="H328" s="1440">
        <v>400</v>
      </c>
      <c r="I328" s="1469" t="s">
        <v>411</v>
      </c>
      <c r="J328" s="1440">
        <v>102.5</v>
      </c>
      <c r="K328" s="1440">
        <v>102.5</v>
      </c>
      <c r="L328" s="654">
        <v>3.9</v>
      </c>
      <c r="M328" s="654">
        <v>3.97</v>
      </c>
      <c r="P328" s="331">
        <v>198800</v>
      </c>
      <c r="Q328" s="1464">
        <v>586</v>
      </c>
      <c r="R328" s="1491">
        <v>7</v>
      </c>
      <c r="S328" s="1491">
        <v>0.3</v>
      </c>
      <c r="T328" s="1218">
        <v>-0.5</v>
      </c>
      <c r="U328" s="654">
        <v>761</v>
      </c>
      <c r="V328" s="1218" t="s">
        <v>412</v>
      </c>
      <c r="W328" s="331">
        <f t="shared" si="98"/>
        <v>198800</v>
      </c>
      <c r="X328" s="331">
        <v>811</v>
      </c>
      <c r="Y328" s="1491">
        <v>7</v>
      </c>
      <c r="Z328" s="1491">
        <v>0.3</v>
      </c>
      <c r="AA328" s="1218">
        <v>-0.5</v>
      </c>
      <c r="AB328" s="331">
        <f t="shared" si="97"/>
        <v>851.55000000000007</v>
      </c>
      <c r="AC328" s="1504">
        <v>1037</v>
      </c>
      <c r="AD328" s="331">
        <v>878.63490485024897</v>
      </c>
      <c r="AE328" s="331">
        <v>573.08823733616703</v>
      </c>
      <c r="AF328" s="331">
        <v>38563.1375282671</v>
      </c>
      <c r="AG328" s="331">
        <v>2.8827376123549599E-3</v>
      </c>
      <c r="AH328" s="331" t="s">
        <v>471</v>
      </c>
      <c r="AI328" s="331">
        <v>933.36642102024484</v>
      </c>
      <c r="AJ328" s="331">
        <v>784.03688013401472</v>
      </c>
      <c r="AK328" s="331">
        <v>3.7695619477093279E-3</v>
      </c>
      <c r="AM328" s="331">
        <v>1.0024999999999999E-2</v>
      </c>
      <c r="AO328" s="331">
        <v>0.63546519176506056</v>
      </c>
      <c r="AP328" s="331">
        <f t="shared" si="99"/>
        <v>1.1802399315979168</v>
      </c>
      <c r="AQ328" s="331">
        <f t="shared" si="100"/>
        <v>1.1110320412710748</v>
      </c>
      <c r="AR328" s="331">
        <f t="shared" si="101"/>
        <v>1.3226418632536094</v>
      </c>
      <c r="AS328" s="331">
        <f t="shared" si="95"/>
        <v>3.4775971136028567</v>
      </c>
      <c r="AT328" s="331">
        <f t="shared" si="96"/>
        <v>2.6594602075957261</v>
      </c>
    </row>
    <row r="329" spans="3:46" ht="13.9" x14ac:dyDescent="0.4">
      <c r="C329" s="1584"/>
      <c r="D329" s="1293" t="s">
        <v>441</v>
      </c>
      <c r="E329" s="1416" t="s">
        <v>154</v>
      </c>
      <c r="F329" s="1468" t="s">
        <v>127</v>
      </c>
      <c r="G329" s="1489" t="s">
        <v>472</v>
      </c>
      <c r="H329" s="1440">
        <v>319.7</v>
      </c>
      <c r="I329" s="1469" t="s">
        <v>411</v>
      </c>
      <c r="J329" s="1440">
        <v>80.25</v>
      </c>
      <c r="K329" s="1440">
        <v>80.25</v>
      </c>
      <c r="L329" s="654">
        <v>3.8</v>
      </c>
      <c r="M329" s="654">
        <v>3.88</v>
      </c>
      <c r="P329" s="331">
        <v>199900</v>
      </c>
      <c r="Q329" s="1464">
        <v>679</v>
      </c>
      <c r="R329" s="1491">
        <v>7</v>
      </c>
      <c r="S329" s="1491">
        <v>0.3</v>
      </c>
      <c r="T329" s="1218">
        <v>-0.5</v>
      </c>
      <c r="U329" s="654">
        <v>773</v>
      </c>
      <c r="V329" s="1218" t="s">
        <v>412</v>
      </c>
      <c r="W329" s="331">
        <f t="shared" si="98"/>
        <v>199900</v>
      </c>
      <c r="X329" s="331">
        <v>731</v>
      </c>
      <c r="Y329" s="1491">
        <v>7</v>
      </c>
      <c r="Z329" s="1491">
        <v>0.3</v>
      </c>
      <c r="AA329" s="1218">
        <v>-0.5</v>
      </c>
      <c r="AB329" s="331">
        <f t="shared" si="97"/>
        <v>773</v>
      </c>
      <c r="AC329" s="1504">
        <v>923</v>
      </c>
      <c r="AD329" s="331">
        <v>855.05018469312995</v>
      </c>
      <c r="AE329" s="331">
        <v>747.608120509331</v>
      </c>
      <c r="AF329" s="331">
        <v>23959.092182495198</v>
      </c>
      <c r="AG329" s="331">
        <v>3.73991055782557E-3</v>
      </c>
      <c r="AH329" s="331" t="s">
        <v>471</v>
      </c>
      <c r="AI329" s="331">
        <v>826.80306432474754</v>
      </c>
      <c r="AJ329" s="331">
        <v>779.08460000000014</v>
      </c>
      <c r="AK329" s="331">
        <v>9.2556888027259272E-3</v>
      </c>
      <c r="AM329" s="331">
        <v>1.2918360963403191E-2</v>
      </c>
      <c r="AO329" s="331">
        <v>0.51502708380291273</v>
      </c>
      <c r="AP329" s="331">
        <f t="shared" si="99"/>
        <v>1.0794688037302238</v>
      </c>
      <c r="AQ329" s="331">
        <f t="shared" si="100"/>
        <v>1.1163480637965666</v>
      </c>
      <c r="AR329" s="331">
        <f t="shared" si="101"/>
        <v>1.1847237129318176</v>
      </c>
      <c r="AS329" s="331">
        <f t="shared" si="95"/>
        <v>3.454189816484297</v>
      </c>
      <c r="AT329" s="331">
        <f t="shared" si="96"/>
        <v>1.395721187125323</v>
      </c>
    </row>
    <row r="330" spans="3:46" ht="13.9" x14ac:dyDescent="0.4">
      <c r="C330" s="1584"/>
      <c r="D330" s="1293" t="s">
        <v>441</v>
      </c>
      <c r="E330" s="1416" t="s">
        <v>155</v>
      </c>
      <c r="F330" s="1468" t="s">
        <v>127</v>
      </c>
      <c r="G330" s="1489" t="s">
        <v>472</v>
      </c>
      <c r="H330" s="1440">
        <v>332.2</v>
      </c>
      <c r="I330" s="1469" t="s">
        <v>411</v>
      </c>
      <c r="J330" s="1440">
        <v>80</v>
      </c>
      <c r="K330" s="1440">
        <v>80</v>
      </c>
      <c r="L330" s="654">
        <v>3.6</v>
      </c>
      <c r="M330" s="654">
        <v>3.81</v>
      </c>
      <c r="P330" s="331">
        <v>199900</v>
      </c>
      <c r="Q330" s="1464">
        <v>679</v>
      </c>
      <c r="R330" s="1491">
        <v>7</v>
      </c>
      <c r="S330" s="1491">
        <v>0.3</v>
      </c>
      <c r="T330" s="1218">
        <v>-0.5</v>
      </c>
      <c r="U330" s="654">
        <v>773</v>
      </c>
      <c r="V330" s="1218" t="s">
        <v>412</v>
      </c>
      <c r="W330" s="331">
        <f t="shared" si="98"/>
        <v>199900</v>
      </c>
      <c r="X330" s="331">
        <v>731</v>
      </c>
      <c r="Y330" s="1491">
        <v>7</v>
      </c>
      <c r="Z330" s="1491">
        <v>0.3</v>
      </c>
      <c r="AA330" s="1218">
        <v>-0.5</v>
      </c>
      <c r="AB330" s="331">
        <f t="shared" si="97"/>
        <v>773</v>
      </c>
      <c r="AC330" s="1504">
        <v>915</v>
      </c>
      <c r="AD330" s="331">
        <v>830.28297984204198</v>
      </c>
      <c r="AE330" s="331">
        <v>739.42412904389801</v>
      </c>
      <c r="AF330" s="331">
        <v>25387.116394621298</v>
      </c>
      <c r="AG330" s="331">
        <v>3.6989701302846301E-3</v>
      </c>
      <c r="AH330" s="331" t="s">
        <v>471</v>
      </c>
      <c r="AI330" s="331">
        <v>805.44790649206493</v>
      </c>
      <c r="AJ330" s="331">
        <v>763.875</v>
      </c>
      <c r="AK330" s="331">
        <v>8.5365907946901454E-3</v>
      </c>
      <c r="AM330" s="331">
        <v>1.1679711017459363E-2</v>
      </c>
      <c r="AO330" s="331">
        <v>0.526728493803719</v>
      </c>
      <c r="AP330" s="331">
        <f t="shared" si="99"/>
        <v>1.1020339115876796</v>
      </c>
      <c r="AQ330" s="331">
        <f t="shared" si="100"/>
        <v>1.1360138782718585</v>
      </c>
      <c r="AR330" s="331">
        <f t="shared" si="101"/>
        <v>1.1978399607265586</v>
      </c>
      <c r="AS330" s="331">
        <f t="shared" si="95"/>
        <v>3.1575575379303285</v>
      </c>
      <c r="AT330" s="331">
        <f t="shared" si="96"/>
        <v>1.3681938490860162</v>
      </c>
    </row>
    <row r="331" spans="3:46" ht="13.9" x14ac:dyDescent="0.4">
      <c r="C331" s="1584"/>
      <c r="D331" s="1293" t="s">
        <v>441</v>
      </c>
      <c r="E331" s="1416" t="s">
        <v>156</v>
      </c>
      <c r="F331" s="1468" t="s">
        <v>127</v>
      </c>
      <c r="G331" s="1489" t="s">
        <v>472</v>
      </c>
      <c r="H331" s="1440">
        <v>239.8</v>
      </c>
      <c r="I331" s="1469" t="s">
        <v>411</v>
      </c>
      <c r="J331" s="1440">
        <v>60</v>
      </c>
      <c r="K331" s="1440">
        <v>60</v>
      </c>
      <c r="L331" s="654">
        <v>2.2999999999999998</v>
      </c>
      <c r="M331" s="654">
        <v>3.09</v>
      </c>
      <c r="P331" s="331">
        <v>209800</v>
      </c>
      <c r="Q331" s="1464">
        <v>755</v>
      </c>
      <c r="R331" s="1491">
        <v>7</v>
      </c>
      <c r="S331" s="1491">
        <v>0.3</v>
      </c>
      <c r="T331" s="1218">
        <v>-0.5</v>
      </c>
      <c r="U331" s="654">
        <v>839</v>
      </c>
      <c r="V331" s="1218" t="s">
        <v>412</v>
      </c>
      <c r="W331" s="331">
        <f t="shared" si="98"/>
        <v>209800</v>
      </c>
      <c r="X331" s="331">
        <v>885</v>
      </c>
      <c r="Y331" s="1491">
        <v>7</v>
      </c>
      <c r="Z331" s="1491">
        <v>0.3</v>
      </c>
      <c r="AA331" s="1218">
        <v>-0.5</v>
      </c>
      <c r="AB331" s="331">
        <f t="shared" si="97"/>
        <v>929.25</v>
      </c>
      <c r="AC331" s="1504">
        <v>613</v>
      </c>
      <c r="AD331" s="331">
        <v>587.26411827560798</v>
      </c>
      <c r="AE331" s="331">
        <v>857.59566524848594</v>
      </c>
      <c r="AF331" s="331">
        <v>22424.025712344501</v>
      </c>
      <c r="AG331" s="331">
        <v>4.0876819125285303E-3</v>
      </c>
      <c r="AH331" s="331" t="s">
        <v>471</v>
      </c>
      <c r="AI331" s="331">
        <v>548.36493944473477</v>
      </c>
      <c r="AJ331" s="331">
        <v>515.66499999999996</v>
      </c>
      <c r="AK331" s="331">
        <v>8.1649662655359587E-3</v>
      </c>
      <c r="AM331" s="331">
        <v>1.7055879899916596E-2</v>
      </c>
      <c r="AO331" s="331">
        <v>0.50726327457294607</v>
      </c>
      <c r="AP331" s="331">
        <f t="shared" si="99"/>
        <v>1.0438233512375328</v>
      </c>
      <c r="AQ331" s="331">
        <f t="shared" si="100"/>
        <v>1.1178686963844071</v>
      </c>
      <c r="AR331" s="331">
        <f t="shared" si="101"/>
        <v>1.1887562661805631</v>
      </c>
      <c r="AS331" s="331">
        <f t="shared" si="95"/>
        <v>4.1725066345405253</v>
      </c>
      <c r="AT331" s="331">
        <f t="shared" si="96"/>
        <v>2.0889100267209768</v>
      </c>
    </row>
    <row r="332" spans="3:46" ht="13.9" x14ac:dyDescent="0.4">
      <c r="C332" s="1584"/>
      <c r="D332" s="1293" t="s">
        <v>441</v>
      </c>
      <c r="E332" s="1416" t="s">
        <v>157</v>
      </c>
      <c r="F332" s="1468" t="s">
        <v>127</v>
      </c>
      <c r="G332" s="1489" t="s">
        <v>472</v>
      </c>
      <c r="H332" s="1440">
        <v>240</v>
      </c>
      <c r="I332" s="1469" t="s">
        <v>411</v>
      </c>
      <c r="J332" s="1440">
        <v>60</v>
      </c>
      <c r="K332" s="1440">
        <v>60</v>
      </c>
      <c r="L332" s="654">
        <v>2.1</v>
      </c>
      <c r="M332" s="654">
        <v>3.17</v>
      </c>
      <c r="P332" s="331">
        <v>209800</v>
      </c>
      <c r="Q332" s="1464">
        <v>755</v>
      </c>
      <c r="R332" s="1491">
        <v>7</v>
      </c>
      <c r="S332" s="1491">
        <v>0.3</v>
      </c>
      <c r="T332" s="1218">
        <v>-0.5</v>
      </c>
      <c r="U332" s="654">
        <v>839</v>
      </c>
      <c r="V332" s="1218" t="s">
        <v>412</v>
      </c>
      <c r="W332" s="331">
        <f t="shared" si="98"/>
        <v>209800</v>
      </c>
      <c r="X332" s="331">
        <v>885</v>
      </c>
      <c r="Y332" s="1491">
        <v>7</v>
      </c>
      <c r="Z332" s="1491">
        <v>0.3</v>
      </c>
      <c r="AA332" s="1218">
        <v>-0.5</v>
      </c>
      <c r="AB332" s="331">
        <f t="shared" si="97"/>
        <v>929.25</v>
      </c>
      <c r="AC332" s="1504">
        <v>616</v>
      </c>
      <c r="AD332" s="331">
        <v>613.39441066577501</v>
      </c>
      <c r="AE332" s="331">
        <v>872.69996877599397</v>
      </c>
      <c r="AF332" s="331">
        <v>20410.823828208999</v>
      </c>
      <c r="AG332" s="331">
        <v>4.1596757329647E-3</v>
      </c>
      <c r="AH332" s="331" t="s">
        <v>471</v>
      </c>
      <c r="AI332" s="331">
        <v>562.20489838977733</v>
      </c>
      <c r="AJ332" s="331">
        <v>528.80200000000002</v>
      </c>
      <c r="AK332" s="331">
        <v>8.2430708978471819E-3</v>
      </c>
      <c r="AM332" s="331">
        <v>1.5375E-2</v>
      </c>
      <c r="AO332" s="331">
        <v>0.49667513216556641</v>
      </c>
      <c r="AP332" s="331">
        <f t="shared" si="99"/>
        <v>1.0042478204706771</v>
      </c>
      <c r="AQ332" s="331">
        <f t="shared" si="100"/>
        <v>1.0956859354379487</v>
      </c>
      <c r="AR332" s="331">
        <f t="shared" si="101"/>
        <v>1.1648972583310955</v>
      </c>
      <c r="AS332" s="331">
        <f t="shared" si="95"/>
        <v>3.6962015760401283</v>
      </c>
      <c r="AT332" s="331">
        <f t="shared" si="96"/>
        <v>1.8652029311085316</v>
      </c>
    </row>
    <row r="333" spans="3:46" ht="15.4" x14ac:dyDescent="0.4">
      <c r="C333" s="1649" t="s">
        <v>208</v>
      </c>
      <c r="D333" s="1293" t="s">
        <v>441</v>
      </c>
      <c r="E333" s="550" t="s">
        <v>211</v>
      </c>
      <c r="F333" s="386" t="s">
        <v>127</v>
      </c>
      <c r="G333" s="1489" t="s">
        <v>472</v>
      </c>
      <c r="H333" s="767">
        <v>242</v>
      </c>
      <c r="I333" s="1469" t="s">
        <v>411</v>
      </c>
      <c r="J333" s="557">
        <v>80.099999999999994</v>
      </c>
      <c r="K333" s="557">
        <v>80.099999999999994</v>
      </c>
      <c r="L333" s="557">
        <v>3.67</v>
      </c>
      <c r="M333" s="557">
        <v>2.83</v>
      </c>
      <c r="P333" s="331">
        <v>210000</v>
      </c>
      <c r="Q333" s="1470">
        <v>431</v>
      </c>
      <c r="R333" s="1491">
        <v>7</v>
      </c>
      <c r="S333" s="1491">
        <v>0.3</v>
      </c>
      <c r="T333" s="1218">
        <v>-0.5</v>
      </c>
      <c r="U333" s="388">
        <v>447</v>
      </c>
      <c r="V333" s="1218" t="s">
        <v>412</v>
      </c>
      <c r="W333" s="331">
        <f t="shared" si="98"/>
        <v>210000</v>
      </c>
      <c r="X333" s="331">
        <v>512</v>
      </c>
      <c r="Y333" s="1491">
        <v>7</v>
      </c>
      <c r="Z333" s="1491">
        <v>0.3</v>
      </c>
      <c r="AA333" s="1218">
        <v>-0.5</v>
      </c>
      <c r="AB333" s="331">
        <f t="shared" si="97"/>
        <v>537.6</v>
      </c>
      <c r="AC333" s="387">
        <v>392</v>
      </c>
      <c r="AD333" s="331">
        <v>364.09138204010497</v>
      </c>
      <c r="AE333" s="331">
        <v>428.94669408542597</v>
      </c>
      <c r="AF333" s="331">
        <v>27527.734698589</v>
      </c>
      <c r="AG333" s="331">
        <v>2.0426033051686898E-3</v>
      </c>
      <c r="AH333" s="331" t="s">
        <v>471</v>
      </c>
      <c r="AI333" s="331">
        <v>368.65765484493926</v>
      </c>
      <c r="AJ333" s="331">
        <v>338.26193832593344</v>
      </c>
      <c r="AK333" s="331">
        <v>1.6040698382835162E-3</v>
      </c>
      <c r="AM333" s="331">
        <v>5.8677685950413224E-3</v>
      </c>
      <c r="AO333" s="331">
        <v>0.57059619298313691</v>
      </c>
      <c r="AP333" s="331">
        <f t="shared" ref="AP333:AP364" si="102">AC333/AD333</f>
        <v>1.0766527837146689</v>
      </c>
      <c r="AQ333" s="331">
        <f t="shared" si="100"/>
        <v>1.0633171313501648</v>
      </c>
      <c r="AR333" s="331">
        <f t="shared" si="101"/>
        <v>1.1588652330794813</v>
      </c>
      <c r="AS333" s="331">
        <f t="shared" si="95"/>
        <v>2.8726912270205736</v>
      </c>
      <c r="AT333" s="331">
        <f t="shared" si="96"/>
        <v>3.658050575478875</v>
      </c>
    </row>
    <row r="334" spans="3:46" ht="15.4" x14ac:dyDescent="0.4">
      <c r="C334" s="1650"/>
      <c r="D334" s="1293" t="s">
        <v>441</v>
      </c>
      <c r="E334" s="560" t="s">
        <v>212</v>
      </c>
      <c r="F334" s="399" t="s">
        <v>127</v>
      </c>
      <c r="G334" s="1489" t="s">
        <v>472</v>
      </c>
      <c r="H334" s="768">
        <v>242</v>
      </c>
      <c r="I334" s="1469" t="s">
        <v>411</v>
      </c>
      <c r="J334" s="568">
        <v>80.099999999999994</v>
      </c>
      <c r="K334" s="568">
        <v>80.099999999999994</v>
      </c>
      <c r="L334" s="568">
        <v>3.43</v>
      </c>
      <c r="M334" s="568">
        <v>2.82</v>
      </c>
      <c r="P334" s="331">
        <v>210000</v>
      </c>
      <c r="Q334" s="1473">
        <v>431</v>
      </c>
      <c r="R334" s="1491">
        <v>7</v>
      </c>
      <c r="S334" s="1491">
        <v>0.3</v>
      </c>
      <c r="T334" s="1218">
        <v>-0.5</v>
      </c>
      <c r="U334" s="401">
        <v>447</v>
      </c>
      <c r="V334" s="1218" t="s">
        <v>412</v>
      </c>
      <c r="W334" s="331">
        <f t="shared" si="98"/>
        <v>210000</v>
      </c>
      <c r="X334" s="331">
        <v>512</v>
      </c>
      <c r="Y334" s="1491">
        <v>7</v>
      </c>
      <c r="Z334" s="1491">
        <v>0.3</v>
      </c>
      <c r="AA334" s="1218">
        <v>-0.5</v>
      </c>
      <c r="AB334" s="331">
        <f t="shared" si="97"/>
        <v>537.6</v>
      </c>
      <c r="AC334" s="400">
        <v>389</v>
      </c>
      <c r="AD334" s="331">
        <v>362.19258906416798</v>
      </c>
      <c r="AE334" s="331">
        <v>427.26993986801</v>
      </c>
      <c r="AF334" s="331">
        <v>28094.726743866999</v>
      </c>
      <c r="AG334" s="331">
        <v>2.0346187612762302E-3</v>
      </c>
      <c r="AH334" s="331" t="s">
        <v>471</v>
      </c>
      <c r="AI334" s="331">
        <v>369.49235317455117</v>
      </c>
      <c r="AJ334" s="331">
        <v>336.67332977761032</v>
      </c>
      <c r="AK334" s="331">
        <v>1.6993076992938734E-3</v>
      </c>
      <c r="AM334" s="331">
        <v>6.1570247933884301E-3</v>
      </c>
      <c r="AO334" s="331">
        <v>0.57660645677591515</v>
      </c>
      <c r="AP334" s="331">
        <f t="shared" si="102"/>
        <v>1.0740142447560757</v>
      </c>
      <c r="AQ334" s="331">
        <f t="shared" si="100"/>
        <v>1.0527958066191245</v>
      </c>
      <c r="AR334" s="331">
        <f t="shared" si="101"/>
        <v>1.1554226771005416</v>
      </c>
      <c r="AS334" s="331">
        <f t="shared" si="95"/>
        <v>3.0261319273033682</v>
      </c>
      <c r="AT334" s="331">
        <f t="shared" si="96"/>
        <v>3.6232548089712693</v>
      </c>
    </row>
    <row r="335" spans="3:46" ht="15.4" x14ac:dyDescent="0.4">
      <c r="C335" s="1650"/>
      <c r="D335" s="1293" t="s">
        <v>441</v>
      </c>
      <c r="E335" s="1420" t="s">
        <v>156</v>
      </c>
      <c r="F335" s="410" t="s">
        <v>127</v>
      </c>
      <c r="G335" s="1489" t="s">
        <v>472</v>
      </c>
      <c r="H335" s="1441">
        <v>182.2</v>
      </c>
      <c r="I335" s="1469" t="s">
        <v>411</v>
      </c>
      <c r="J335" s="1452">
        <v>60.5</v>
      </c>
      <c r="K335" s="1452">
        <v>60.5</v>
      </c>
      <c r="L335" s="1452">
        <v>2.9</v>
      </c>
      <c r="M335" s="1452">
        <v>2.98</v>
      </c>
      <c r="P335" s="331">
        <v>218300</v>
      </c>
      <c r="Q335" s="1471">
        <v>519</v>
      </c>
      <c r="R335" s="1491">
        <v>7</v>
      </c>
      <c r="S335" s="1491">
        <v>0.3</v>
      </c>
      <c r="T335" s="1218">
        <v>-0.5</v>
      </c>
      <c r="U335" s="1484">
        <v>539</v>
      </c>
      <c r="V335" s="1218" t="s">
        <v>457</v>
      </c>
      <c r="W335" s="331">
        <f t="shared" si="98"/>
        <v>218300</v>
      </c>
      <c r="X335" s="331">
        <v>580</v>
      </c>
      <c r="Y335" s="1491">
        <v>7</v>
      </c>
      <c r="Z335" s="1491">
        <v>0.3</v>
      </c>
      <c r="AA335" s="1218">
        <v>-0.5</v>
      </c>
      <c r="AB335" s="331">
        <f t="shared" si="97"/>
        <v>609</v>
      </c>
      <c r="AC335" s="1506">
        <v>376</v>
      </c>
      <c r="AD335" s="331">
        <v>416.991156127534</v>
      </c>
      <c r="AE335" s="331">
        <v>633.23092538989795</v>
      </c>
      <c r="AF335" s="331">
        <v>10687.369046394801</v>
      </c>
      <c r="AG335" s="331">
        <v>2.9007371754003601E-3</v>
      </c>
      <c r="AH335" s="331" t="s">
        <v>471</v>
      </c>
      <c r="AI335" s="331">
        <v>348.02159901971459</v>
      </c>
      <c r="AJ335" s="331">
        <v>343.62990000000002</v>
      </c>
      <c r="AK335" s="331">
        <v>2.2910165985284615E-3</v>
      </c>
      <c r="AM335" s="331">
        <v>1.0537870472008782E-2</v>
      </c>
      <c r="AO335" s="331">
        <v>0.42243718829729715</v>
      </c>
      <c r="AP335" s="331">
        <f t="shared" si="102"/>
        <v>0.90169778057595751</v>
      </c>
      <c r="AQ335" s="331">
        <f t="shared" si="100"/>
        <v>1.0803927143001848</v>
      </c>
      <c r="AR335" s="331">
        <f t="shared" si="101"/>
        <v>1.0942004755697918</v>
      </c>
      <c r="AS335" s="331">
        <f t="shared" si="95"/>
        <v>3.6328249802756929</v>
      </c>
      <c r="AT335" s="331">
        <f t="shared" si="96"/>
        <v>4.5996482429578824</v>
      </c>
    </row>
    <row r="336" spans="3:46" ht="15.4" x14ac:dyDescent="0.4">
      <c r="C336" s="1650"/>
      <c r="D336" s="1293" t="s">
        <v>441</v>
      </c>
      <c r="E336" s="1420" t="s">
        <v>157</v>
      </c>
      <c r="F336" s="410" t="s">
        <v>127</v>
      </c>
      <c r="G336" s="1489" t="s">
        <v>472</v>
      </c>
      <c r="H336" s="1441">
        <v>182.2</v>
      </c>
      <c r="I336" s="1469" t="s">
        <v>411</v>
      </c>
      <c r="J336" s="1452">
        <v>60.5</v>
      </c>
      <c r="K336" s="1452">
        <v>60.5</v>
      </c>
      <c r="L336" s="1452">
        <v>3.1</v>
      </c>
      <c r="M336" s="1455">
        <v>2.9</v>
      </c>
      <c r="P336" s="331">
        <v>218300</v>
      </c>
      <c r="Q336" s="1471">
        <v>519</v>
      </c>
      <c r="R336" s="1491">
        <v>7</v>
      </c>
      <c r="S336" s="1491">
        <v>0.3</v>
      </c>
      <c r="T336" s="1218">
        <v>-0.5</v>
      </c>
      <c r="U336" s="1484">
        <v>539</v>
      </c>
      <c r="V336" s="1218" t="s">
        <v>457</v>
      </c>
      <c r="W336" s="331">
        <f t="shared" si="98"/>
        <v>218300</v>
      </c>
      <c r="X336" s="331">
        <v>580</v>
      </c>
      <c r="Y336" s="1491">
        <v>7</v>
      </c>
      <c r="Z336" s="1491">
        <v>0.3</v>
      </c>
      <c r="AA336" s="1218">
        <v>-0.5</v>
      </c>
      <c r="AB336" s="331">
        <f t="shared" si="97"/>
        <v>609</v>
      </c>
      <c r="AC336" s="1506">
        <v>370</v>
      </c>
      <c r="AD336" s="331">
        <v>397.99703968377798</v>
      </c>
      <c r="AE336" s="331">
        <v>621.47347077807899</v>
      </c>
      <c r="AF336" s="331">
        <v>11890.078864171201</v>
      </c>
      <c r="AG336" s="331">
        <v>2.8468780154744799E-3</v>
      </c>
      <c r="AH336" s="331" t="s">
        <v>471</v>
      </c>
      <c r="AI336" s="331">
        <v>343.157335301611</v>
      </c>
      <c r="AJ336" s="331">
        <v>339.84119999999996</v>
      </c>
      <c r="AK336" s="331">
        <v>2.0825683980952299E-3</v>
      </c>
      <c r="AM336" s="331">
        <v>1.0647639956092208E-2</v>
      </c>
      <c r="AO336" s="331">
        <v>0.43241053560980192</v>
      </c>
      <c r="AP336" s="331">
        <f t="shared" si="102"/>
        <v>0.92965515596291226</v>
      </c>
      <c r="AQ336" s="331">
        <f t="shared" si="100"/>
        <v>1.0782226166746405</v>
      </c>
      <c r="AR336" s="331">
        <f t="shared" si="101"/>
        <v>1.0887438015167086</v>
      </c>
      <c r="AS336" s="331">
        <f t="shared" si="95"/>
        <v>3.7401110613858175</v>
      </c>
      <c r="AT336" s="331">
        <f t="shared" si="96"/>
        <v>5.1127444197418965</v>
      </c>
    </row>
    <row r="337" spans="3:46" ht="13.9" x14ac:dyDescent="0.4">
      <c r="C337" s="1564" t="s">
        <v>214</v>
      </c>
      <c r="D337" s="1293" t="s">
        <v>441</v>
      </c>
      <c r="E337" s="804" t="s">
        <v>112</v>
      </c>
      <c r="F337" s="1410" t="s">
        <v>88</v>
      </c>
      <c r="G337" s="1489" t="s">
        <v>472</v>
      </c>
      <c r="H337" s="279">
        <v>180.3</v>
      </c>
      <c r="I337" s="1469" t="s">
        <v>411</v>
      </c>
      <c r="J337" s="34">
        <v>40</v>
      </c>
      <c r="K337" s="71">
        <v>60</v>
      </c>
      <c r="L337" s="71">
        <v>2.9</v>
      </c>
      <c r="M337" s="42">
        <v>3.83</v>
      </c>
      <c r="P337" s="42">
        <v>193100</v>
      </c>
      <c r="Q337" s="1463">
        <v>489</v>
      </c>
      <c r="R337" s="1491">
        <v>7</v>
      </c>
      <c r="S337" s="1491">
        <v>0.3</v>
      </c>
      <c r="T337" s="1218">
        <v>-0.5</v>
      </c>
      <c r="U337" s="159">
        <v>705</v>
      </c>
      <c r="V337" s="1218" t="s">
        <v>412</v>
      </c>
      <c r="W337" s="125">
        <v>193100</v>
      </c>
      <c r="X337" s="331">
        <v>585.15</v>
      </c>
      <c r="Y337" s="1491">
        <v>7</v>
      </c>
      <c r="Z337" s="1491">
        <v>0.3</v>
      </c>
      <c r="AA337" s="1218">
        <v>-0.5</v>
      </c>
      <c r="AB337" s="331">
        <f t="shared" ref="AB337:AB375" si="103">MAX(U337,X337*1.05)</f>
        <v>705</v>
      </c>
      <c r="AC337" s="1507">
        <v>492</v>
      </c>
      <c r="AD337" s="331">
        <v>433.58916495939002</v>
      </c>
      <c r="AE337" s="331">
        <v>644.38656431444099</v>
      </c>
      <c r="AF337" s="331">
        <v>6447.7196321200399</v>
      </c>
      <c r="AG337" s="331">
        <v>3.33706144129695E-3</v>
      </c>
      <c r="AH337" s="331" t="s">
        <v>490</v>
      </c>
      <c r="AI337" s="331">
        <v>418.22171664777682</v>
      </c>
      <c r="AJ337" s="331">
        <v>330.07500000000005</v>
      </c>
      <c r="AK337" s="331">
        <v>2.3568414386130835E-2</v>
      </c>
      <c r="AM337" s="331">
        <v>3.7160288408208543E-2</v>
      </c>
      <c r="AO337" s="331">
        <v>0.30526324766384177</v>
      </c>
      <c r="AP337" s="331">
        <f t="shared" si="102"/>
        <v>1.1347147017524775</v>
      </c>
      <c r="AQ337" s="331">
        <f t="shared" si="100"/>
        <v>1.1764094986352867</v>
      </c>
      <c r="AR337" s="331">
        <f t="shared" si="101"/>
        <v>1.490570324926153</v>
      </c>
      <c r="AS337" s="331">
        <f t="shared" ref="AS337:AS375" si="104">AM337/AG337</f>
        <v>11.135632070881556</v>
      </c>
      <c r="AT337" s="331">
        <f t="shared" ref="AT337:AT375" si="105">AM337/AK337</f>
        <v>1.5766987035867817</v>
      </c>
    </row>
    <row r="338" spans="3:46" ht="13.9" x14ac:dyDescent="0.4">
      <c r="C338" s="1565"/>
      <c r="D338" s="1293" t="s">
        <v>441</v>
      </c>
      <c r="E338" s="804" t="s">
        <v>113</v>
      </c>
      <c r="F338" s="1410" t="s">
        <v>88</v>
      </c>
      <c r="G338" s="1489" t="s">
        <v>472</v>
      </c>
      <c r="H338" s="46">
        <v>179.6</v>
      </c>
      <c r="I338" s="1469" t="s">
        <v>411</v>
      </c>
      <c r="J338" s="1437">
        <v>40</v>
      </c>
      <c r="K338" s="1444">
        <v>60</v>
      </c>
      <c r="L338" s="1444">
        <v>2.9</v>
      </c>
      <c r="M338" s="1426">
        <v>3.82</v>
      </c>
      <c r="P338" s="1426">
        <v>193100</v>
      </c>
      <c r="Q338" s="1464">
        <v>489</v>
      </c>
      <c r="R338" s="1491">
        <v>7</v>
      </c>
      <c r="S338" s="1491">
        <v>0.3</v>
      </c>
      <c r="T338" s="1218">
        <v>-0.5</v>
      </c>
      <c r="U338" s="654">
        <v>705</v>
      </c>
      <c r="V338" s="1218" t="s">
        <v>412</v>
      </c>
      <c r="W338" s="125">
        <v>193100</v>
      </c>
      <c r="X338" s="331">
        <v>585.15</v>
      </c>
      <c r="Y338" s="1491">
        <v>7</v>
      </c>
      <c r="Z338" s="1491">
        <v>0.3</v>
      </c>
      <c r="AA338" s="1218">
        <v>-0.5</v>
      </c>
      <c r="AB338" s="331">
        <f t="shared" si="103"/>
        <v>705</v>
      </c>
      <c r="AC338" s="1508">
        <v>497</v>
      </c>
      <c r="AD338" s="331">
        <v>432.97556268683701</v>
      </c>
      <c r="AE338" s="331">
        <v>645.04217705741496</v>
      </c>
      <c r="AF338" s="331">
        <v>6409.8010160187496</v>
      </c>
      <c r="AG338" s="331">
        <v>3.3404566393444501E-3</v>
      </c>
      <c r="AH338" s="331" t="s">
        <v>490</v>
      </c>
      <c r="AI338" s="331">
        <v>418.22171664777682</v>
      </c>
      <c r="AJ338" s="331">
        <v>330.07500000000005</v>
      </c>
      <c r="AK338" s="331">
        <v>2.3569788318360929E-2</v>
      </c>
      <c r="AM338" s="331">
        <v>3.7305122494432075E-2</v>
      </c>
      <c r="AO338" s="331">
        <v>0.30618344995757374</v>
      </c>
      <c r="AP338" s="331">
        <f t="shared" si="102"/>
        <v>1.147870787246879</v>
      </c>
      <c r="AQ338" s="331">
        <f t="shared" si="100"/>
        <v>1.1883648797189785</v>
      </c>
      <c r="AR338" s="331">
        <f t="shared" si="101"/>
        <v>1.505718397333939</v>
      </c>
      <c r="AS338" s="331">
        <f t="shared" si="104"/>
        <v>11.167671525816614</v>
      </c>
      <c r="AT338" s="331">
        <f t="shared" si="105"/>
        <v>1.5827516985110675</v>
      </c>
    </row>
    <row r="339" spans="3:46" ht="13.9" x14ac:dyDescent="0.4">
      <c r="C339" s="1565"/>
      <c r="D339" s="1293" t="s">
        <v>441</v>
      </c>
      <c r="E339" s="804" t="s">
        <v>114</v>
      </c>
      <c r="F339" s="1410" t="s">
        <v>88</v>
      </c>
      <c r="G339" s="1489" t="s">
        <v>472</v>
      </c>
      <c r="H339" s="46">
        <v>359.9</v>
      </c>
      <c r="I339" s="1469" t="s">
        <v>411</v>
      </c>
      <c r="J339" s="1437">
        <v>80.2</v>
      </c>
      <c r="K339" s="1444">
        <v>120.1</v>
      </c>
      <c r="L339" s="1444">
        <v>4.5999999999999996</v>
      </c>
      <c r="M339" s="1426">
        <v>2.93</v>
      </c>
      <c r="P339" s="1426">
        <v>197300</v>
      </c>
      <c r="Q339" s="1464">
        <v>419</v>
      </c>
      <c r="R339" s="1491">
        <v>7</v>
      </c>
      <c r="S339" s="1491">
        <v>0.3</v>
      </c>
      <c r="T339" s="1218">
        <v>-0.5</v>
      </c>
      <c r="U339" s="654">
        <v>739</v>
      </c>
      <c r="V339" s="1218" t="s">
        <v>412</v>
      </c>
      <c r="W339" s="125">
        <v>197300</v>
      </c>
      <c r="X339" s="331">
        <v>613.37</v>
      </c>
      <c r="Y339" s="1491">
        <v>7</v>
      </c>
      <c r="Z339" s="1491">
        <v>0.3</v>
      </c>
      <c r="AA339" s="1218">
        <v>-0.5</v>
      </c>
      <c r="AB339" s="331">
        <f t="shared" si="103"/>
        <v>739</v>
      </c>
      <c r="AC339" s="1508">
        <v>452</v>
      </c>
      <c r="AD339" s="331">
        <v>382.82139026194898</v>
      </c>
      <c r="AE339" s="331">
        <v>343.56372178990102</v>
      </c>
      <c r="AF339" s="331">
        <v>65688.877481301795</v>
      </c>
      <c r="AG339" s="331">
        <v>1.74132651692803E-3</v>
      </c>
      <c r="AH339" s="331" t="s">
        <v>422</v>
      </c>
      <c r="AI339" s="331" t="s">
        <v>507</v>
      </c>
      <c r="AJ339" s="331">
        <v>369.17966105253083</v>
      </c>
      <c r="AK339" s="331" t="e">
        <v>#VALUE!</v>
      </c>
      <c r="AM339" s="331">
        <v>4.445679355376494E-3</v>
      </c>
      <c r="AO339" s="331">
        <v>0.82259681461013157</v>
      </c>
      <c r="AP339" s="331">
        <f t="shared" si="102"/>
        <v>1.1807072736732787</v>
      </c>
      <c r="AQ339" s="331" t="e">
        <f t="shared" si="100"/>
        <v>#VALUE!</v>
      </c>
      <c r="AR339" s="331">
        <f t="shared" si="101"/>
        <v>1.2243361368049055</v>
      </c>
      <c r="AS339" s="331">
        <f t="shared" si="104"/>
        <v>2.5530417828928269</v>
      </c>
      <c r="AT339" s="331" t="e">
        <f t="shared" si="105"/>
        <v>#VALUE!</v>
      </c>
    </row>
    <row r="340" spans="3:46" ht="13.9" x14ac:dyDescent="0.4">
      <c r="C340" s="1565"/>
      <c r="D340" s="1293" t="s">
        <v>441</v>
      </c>
      <c r="E340" s="804" t="s">
        <v>115</v>
      </c>
      <c r="F340" s="1410" t="s">
        <v>88</v>
      </c>
      <c r="G340" s="1489" t="s">
        <v>472</v>
      </c>
      <c r="H340" s="46">
        <v>360</v>
      </c>
      <c r="I340" s="1469" t="s">
        <v>411</v>
      </c>
      <c r="J340" s="1437">
        <v>80.2</v>
      </c>
      <c r="K340" s="1444">
        <v>120</v>
      </c>
      <c r="L340" s="1444">
        <v>4.5999999999999996</v>
      </c>
      <c r="M340" s="1426">
        <v>2.91</v>
      </c>
      <c r="P340" s="1426">
        <v>197300</v>
      </c>
      <c r="Q340" s="1464">
        <v>419</v>
      </c>
      <c r="R340" s="1491">
        <v>7</v>
      </c>
      <c r="S340" s="1491">
        <v>0.3</v>
      </c>
      <c r="T340" s="1218">
        <v>-0.5</v>
      </c>
      <c r="U340" s="654">
        <v>739</v>
      </c>
      <c r="V340" s="1218" t="s">
        <v>412</v>
      </c>
      <c r="W340" s="125">
        <v>197300</v>
      </c>
      <c r="X340" s="331">
        <v>613.37</v>
      </c>
      <c r="Y340" s="1491">
        <v>7</v>
      </c>
      <c r="Z340" s="1491">
        <v>0.3</v>
      </c>
      <c r="AA340" s="1218">
        <v>-0.5</v>
      </c>
      <c r="AB340" s="331">
        <f t="shared" si="103"/>
        <v>739</v>
      </c>
      <c r="AC340" s="1508">
        <v>447</v>
      </c>
      <c r="AD340" s="331">
        <v>378.43803656129398</v>
      </c>
      <c r="AE340" s="331">
        <v>342.061687821443</v>
      </c>
      <c r="AF340" s="331">
        <v>66845.838121241002</v>
      </c>
      <c r="AG340" s="331">
        <v>1.7337135723337199E-3</v>
      </c>
      <c r="AH340" s="331" t="s">
        <v>422</v>
      </c>
      <c r="AI340" s="331" t="s">
        <v>507</v>
      </c>
      <c r="AJ340" s="331">
        <v>364.53453807411501</v>
      </c>
      <c r="AK340" s="331" t="e">
        <v>#VALUE!</v>
      </c>
      <c r="AM340" s="331">
        <v>4.4444444444444444E-3</v>
      </c>
      <c r="AO340" s="331">
        <v>0.82755708201522993</v>
      </c>
      <c r="AP340" s="331">
        <f t="shared" si="102"/>
        <v>1.1811709099373295</v>
      </c>
      <c r="AQ340" s="331" t="e">
        <f t="shared" si="100"/>
        <v>#VALUE!</v>
      </c>
      <c r="AR340" s="331">
        <f t="shared" si="101"/>
        <v>1.2262212583794148</v>
      </c>
      <c r="AS340" s="331">
        <f t="shared" si="104"/>
        <v>2.5635402037384178</v>
      </c>
      <c r="AT340" s="331" t="e">
        <f t="shared" si="105"/>
        <v>#VALUE!</v>
      </c>
    </row>
    <row r="341" spans="3:46" ht="13.9" x14ac:dyDescent="0.4">
      <c r="C341" s="1565"/>
      <c r="D341" s="1293" t="s">
        <v>441</v>
      </c>
      <c r="E341" s="804" t="s">
        <v>116</v>
      </c>
      <c r="F341" s="1410" t="s">
        <v>88</v>
      </c>
      <c r="G341" s="1489" t="s">
        <v>472</v>
      </c>
      <c r="H341" s="46">
        <v>360.1</v>
      </c>
      <c r="I341" s="1469" t="s">
        <v>411</v>
      </c>
      <c r="J341" s="1437">
        <v>80.400000000000006</v>
      </c>
      <c r="K341" s="1444">
        <v>119.9</v>
      </c>
      <c r="L341" s="1444">
        <v>7</v>
      </c>
      <c r="M341" s="1426">
        <v>5.85</v>
      </c>
      <c r="P341" s="1426">
        <v>192300</v>
      </c>
      <c r="Q341" s="1464">
        <v>509</v>
      </c>
      <c r="R341" s="1491">
        <v>7</v>
      </c>
      <c r="S341" s="1491">
        <v>0.3</v>
      </c>
      <c r="T341" s="1218">
        <v>-0.5</v>
      </c>
      <c r="U341" s="654">
        <v>714</v>
      </c>
      <c r="V341" s="1218" t="s">
        <v>412</v>
      </c>
      <c r="W341" s="125">
        <v>192300</v>
      </c>
      <c r="X341" s="331">
        <v>592.62</v>
      </c>
      <c r="Y341" s="1491">
        <v>7</v>
      </c>
      <c r="Z341" s="1491">
        <v>0.3</v>
      </c>
      <c r="AA341" s="1218">
        <v>-0.5</v>
      </c>
      <c r="AB341" s="331">
        <f t="shared" si="103"/>
        <v>714</v>
      </c>
      <c r="AC341" s="1508">
        <v>1459</v>
      </c>
      <c r="AD341" s="331">
        <v>1352.45708075831</v>
      </c>
      <c r="AE341" s="331">
        <v>650.11146208984098</v>
      </c>
      <c r="AF341" s="331">
        <v>8025.2053416666104</v>
      </c>
      <c r="AG341" s="331">
        <v>3.38071483146043E-3</v>
      </c>
      <c r="AH341" s="331" t="s">
        <v>422</v>
      </c>
      <c r="AI341" s="331">
        <v>1235.7180333888932</v>
      </c>
      <c r="AJ341" s="331">
        <v>1072.4630000000002</v>
      </c>
      <c r="AK341" s="331">
        <v>1.7992502301870449E-2</v>
      </c>
      <c r="AM341" s="331">
        <v>2.1660649819494584E-2</v>
      </c>
      <c r="AO341" s="331">
        <v>0.40723284569222606</v>
      </c>
      <c r="AP341" s="331">
        <f t="shared" si="102"/>
        <v>1.0787773015184721</v>
      </c>
      <c r="AQ341" s="331">
        <f t="shared" si="100"/>
        <v>1.1806900608213733</v>
      </c>
      <c r="AR341" s="331">
        <f t="shared" si="101"/>
        <v>1.360419893273707</v>
      </c>
      <c r="AS341" s="331">
        <f t="shared" si="104"/>
        <v>6.4071212448692192</v>
      </c>
      <c r="AT341" s="331">
        <f t="shared" si="105"/>
        <v>1.2038708933355426</v>
      </c>
    </row>
    <row r="342" spans="3:46" ht="13.9" x14ac:dyDescent="0.4">
      <c r="C342" s="1565"/>
      <c r="D342" s="1293" t="s">
        <v>441</v>
      </c>
      <c r="E342" s="804" t="s">
        <v>117</v>
      </c>
      <c r="F342" s="1410" t="s">
        <v>88</v>
      </c>
      <c r="G342" s="1489" t="s">
        <v>472</v>
      </c>
      <c r="H342" s="46">
        <v>360.1</v>
      </c>
      <c r="I342" s="1469" t="s">
        <v>411</v>
      </c>
      <c r="J342" s="1437">
        <v>80.3</v>
      </c>
      <c r="K342" s="1444">
        <v>120</v>
      </c>
      <c r="L342" s="1444">
        <v>7</v>
      </c>
      <c r="M342" s="1426">
        <v>5.85</v>
      </c>
      <c r="P342" s="1426">
        <v>192300</v>
      </c>
      <c r="Q342" s="1464">
        <v>509</v>
      </c>
      <c r="R342" s="1491">
        <v>7</v>
      </c>
      <c r="S342" s="1491">
        <v>0.3</v>
      </c>
      <c r="T342" s="1218">
        <v>-0.5</v>
      </c>
      <c r="U342" s="654">
        <v>714</v>
      </c>
      <c r="V342" s="1218" t="s">
        <v>412</v>
      </c>
      <c r="W342" s="125">
        <v>192300</v>
      </c>
      <c r="X342" s="331">
        <v>592.62</v>
      </c>
      <c r="Y342" s="1491">
        <v>7</v>
      </c>
      <c r="Z342" s="1491">
        <v>0.3</v>
      </c>
      <c r="AA342" s="1218">
        <v>-0.5</v>
      </c>
      <c r="AB342" s="331">
        <f t="shared" si="103"/>
        <v>714</v>
      </c>
      <c r="AC342" s="1508">
        <v>1465</v>
      </c>
      <c r="AD342" s="331">
        <v>1351.75879739727</v>
      </c>
      <c r="AE342" s="331">
        <v>649.75656501575997</v>
      </c>
      <c r="AF342" s="331">
        <v>8050.4389513084498</v>
      </c>
      <c r="AG342" s="331">
        <v>3.3788692928536602E-3</v>
      </c>
      <c r="AH342" s="331" t="s">
        <v>422</v>
      </c>
      <c r="AI342" s="331">
        <v>1235.7419051249763</v>
      </c>
      <c r="AJ342" s="331">
        <v>1072.972</v>
      </c>
      <c r="AK342" s="331">
        <v>1.7938563584373769E-2</v>
      </c>
      <c r="AM342" s="331">
        <v>2.1938350458206052E-2</v>
      </c>
      <c r="AO342" s="331">
        <v>0.40757728352298495</v>
      </c>
      <c r="AP342" s="331">
        <f t="shared" si="102"/>
        <v>1.0837732314528075</v>
      </c>
      <c r="AQ342" s="331">
        <f t="shared" si="100"/>
        <v>1.1855226353692665</v>
      </c>
      <c r="AR342" s="331">
        <f t="shared" si="101"/>
        <v>1.3653664774104077</v>
      </c>
      <c r="AS342" s="331">
        <f t="shared" si="104"/>
        <v>6.4928082612150364</v>
      </c>
      <c r="AT342" s="331">
        <f t="shared" si="105"/>
        <v>1.2229714132360345</v>
      </c>
    </row>
    <row r="343" spans="3:46" ht="13.9" x14ac:dyDescent="0.4">
      <c r="C343" s="1565"/>
      <c r="D343" s="1293" t="s">
        <v>441</v>
      </c>
      <c r="E343" s="804" t="s">
        <v>118</v>
      </c>
      <c r="F343" s="1410" t="s">
        <v>88</v>
      </c>
      <c r="G343" s="1489" t="s">
        <v>472</v>
      </c>
      <c r="H343" s="46">
        <v>450.4</v>
      </c>
      <c r="I343" s="1469" t="s">
        <v>411</v>
      </c>
      <c r="J343" s="1437">
        <v>99.9</v>
      </c>
      <c r="K343" s="1444">
        <v>149.9</v>
      </c>
      <c r="L343" s="1444">
        <v>5.6</v>
      </c>
      <c r="M343" s="1426">
        <v>3.82</v>
      </c>
      <c r="P343" s="1426">
        <v>200300</v>
      </c>
      <c r="Q343" s="1464">
        <v>297</v>
      </c>
      <c r="R343" s="1491">
        <v>7</v>
      </c>
      <c r="S343" s="1491">
        <v>0.3</v>
      </c>
      <c r="T343" s="1218">
        <v>-0.5</v>
      </c>
      <c r="U343" s="654">
        <v>663</v>
      </c>
      <c r="V343" s="1218" t="s">
        <v>412</v>
      </c>
      <c r="W343" s="125">
        <v>200300</v>
      </c>
      <c r="X343" s="331">
        <v>572</v>
      </c>
      <c r="Y343" s="1491">
        <v>7</v>
      </c>
      <c r="Z343" s="1491">
        <v>0.3</v>
      </c>
      <c r="AA343" s="1218">
        <v>-0.5</v>
      </c>
      <c r="AB343" s="331">
        <f t="shared" si="103"/>
        <v>663</v>
      </c>
      <c r="AC343" s="1508">
        <v>660</v>
      </c>
      <c r="AD343" s="331">
        <v>495.454117221123</v>
      </c>
      <c r="AE343" s="331">
        <v>273.511252731497</v>
      </c>
      <c r="AF343" s="331">
        <v>29633.517529594999</v>
      </c>
      <c r="AG343" s="331">
        <v>1.365508001655E-3</v>
      </c>
      <c r="AH343" s="331" t="s">
        <v>422</v>
      </c>
      <c r="AI343" s="331">
        <v>539.90363394448855</v>
      </c>
      <c r="AJ343" s="331">
        <v>475.85074606172293</v>
      </c>
      <c r="AK343" s="331">
        <v>2.0707005944089248E-3</v>
      </c>
      <c r="AM343" s="331">
        <v>5.5506216696269983E-3</v>
      </c>
      <c r="AO343" s="331">
        <v>0.63543258064198749</v>
      </c>
      <c r="AP343" s="331">
        <f t="shared" si="102"/>
        <v>1.3321112431192887</v>
      </c>
      <c r="AQ343" s="331">
        <f t="shared" si="100"/>
        <v>1.2224403736238965</v>
      </c>
      <c r="AR343" s="331">
        <f t="shared" si="101"/>
        <v>1.3869895244724297</v>
      </c>
      <c r="AS343" s="331">
        <f t="shared" si="104"/>
        <v>4.0648767073496659</v>
      </c>
      <c r="AT343" s="331">
        <f t="shared" si="105"/>
        <v>2.6805525070182377</v>
      </c>
    </row>
    <row r="344" spans="3:46" ht="13.9" x14ac:dyDescent="0.4">
      <c r="C344" s="1565"/>
      <c r="D344" s="1293" t="s">
        <v>441</v>
      </c>
      <c r="E344" s="804" t="s">
        <v>119</v>
      </c>
      <c r="F344" s="1410" t="s">
        <v>88</v>
      </c>
      <c r="G344" s="1489" t="s">
        <v>472</v>
      </c>
      <c r="H344" s="47">
        <v>450</v>
      </c>
      <c r="I344" s="1469" t="s">
        <v>411</v>
      </c>
      <c r="J344" s="36">
        <v>99.9</v>
      </c>
      <c r="K344" s="65">
        <v>149.9</v>
      </c>
      <c r="L344" s="65">
        <v>5.6</v>
      </c>
      <c r="M344" s="44">
        <v>3.83</v>
      </c>
      <c r="P344" s="44">
        <v>200300</v>
      </c>
      <c r="Q344" s="1461">
        <v>297</v>
      </c>
      <c r="R344" s="1491">
        <v>7</v>
      </c>
      <c r="S344" s="1491">
        <v>0.3</v>
      </c>
      <c r="T344" s="1218">
        <v>-0.5</v>
      </c>
      <c r="U344" s="1462">
        <v>663</v>
      </c>
      <c r="V344" s="1218" t="s">
        <v>412</v>
      </c>
      <c r="W344" s="117">
        <v>200300</v>
      </c>
      <c r="X344" s="331">
        <v>572</v>
      </c>
      <c r="Y344" s="1491">
        <v>7</v>
      </c>
      <c r="Z344" s="1491">
        <v>0.3</v>
      </c>
      <c r="AA344" s="1218">
        <v>-0.5</v>
      </c>
      <c r="AB344" s="331">
        <f t="shared" si="103"/>
        <v>663</v>
      </c>
      <c r="AC344" s="1508">
        <v>659</v>
      </c>
      <c r="AD344" s="331">
        <v>497.57864992803201</v>
      </c>
      <c r="AE344" s="331">
        <v>273.991601621955</v>
      </c>
      <c r="AF344" s="331">
        <v>29368.672679935298</v>
      </c>
      <c r="AG344" s="331">
        <v>1.3679061488864499E-3</v>
      </c>
      <c r="AH344" s="331" t="s">
        <v>422</v>
      </c>
      <c r="AI344" s="331">
        <v>541.87216936992513</v>
      </c>
      <c r="AJ344" s="331">
        <v>477.96847628972296</v>
      </c>
      <c r="AK344" s="331">
        <v>2.0901146455084025E-3</v>
      </c>
      <c r="AM344" s="331">
        <v>5.1111111111111105E-3</v>
      </c>
      <c r="AO344" s="331">
        <v>0.63390902436299923</v>
      </c>
      <c r="AP344" s="331">
        <f t="shared" si="102"/>
        <v>1.3244137386025614</v>
      </c>
      <c r="AQ344" s="331">
        <f t="shared" si="100"/>
        <v>1.2161539884328587</v>
      </c>
      <c r="AR344" s="331">
        <f t="shared" si="101"/>
        <v>1.3787520154374029</v>
      </c>
      <c r="AS344" s="331">
        <f t="shared" si="104"/>
        <v>3.7364486703066824</v>
      </c>
      <c r="AT344" s="331">
        <f t="shared" si="105"/>
        <v>2.4453735693851741</v>
      </c>
    </row>
    <row r="345" spans="3:46" ht="13.9" x14ac:dyDescent="0.4">
      <c r="C345" s="1565"/>
      <c r="D345" s="1293" t="s">
        <v>441</v>
      </c>
      <c r="E345" s="805" t="s">
        <v>120</v>
      </c>
      <c r="F345" s="1410" t="s">
        <v>88</v>
      </c>
      <c r="G345" s="1489" t="s">
        <v>472</v>
      </c>
      <c r="H345" s="279">
        <v>300.60000000000002</v>
      </c>
      <c r="I345" s="1469" t="s">
        <v>411</v>
      </c>
      <c r="J345" s="34">
        <v>49.8</v>
      </c>
      <c r="K345" s="71">
        <v>99.8</v>
      </c>
      <c r="L345" s="71">
        <v>2.2999999999999998</v>
      </c>
      <c r="M345" s="42">
        <v>1.85</v>
      </c>
      <c r="P345" s="42">
        <v>205900</v>
      </c>
      <c r="Q345" s="1464">
        <v>403</v>
      </c>
      <c r="R345" s="1491">
        <v>7</v>
      </c>
      <c r="S345" s="1491">
        <v>0.3</v>
      </c>
      <c r="T345" s="1218">
        <v>-0.5</v>
      </c>
      <c r="U345" s="654">
        <v>707</v>
      </c>
      <c r="V345" s="1218" t="s">
        <v>412</v>
      </c>
      <c r="W345" s="125">
        <v>205900</v>
      </c>
      <c r="X345" s="331">
        <v>586.80999999999995</v>
      </c>
      <c r="Y345" s="1491">
        <v>7</v>
      </c>
      <c r="Z345" s="1491">
        <v>0.3</v>
      </c>
      <c r="AA345" s="1218">
        <v>-0.5</v>
      </c>
      <c r="AB345" s="331">
        <f t="shared" si="103"/>
        <v>707</v>
      </c>
      <c r="AC345" s="1507">
        <v>182</v>
      </c>
      <c r="AD345" s="331">
        <v>145.50178896994899</v>
      </c>
      <c r="AE345" s="331">
        <v>273.41127667726101</v>
      </c>
      <c r="AF345" s="331">
        <v>121295.63518782399</v>
      </c>
      <c r="AG345" s="331">
        <v>1.3278838109628899E-3</v>
      </c>
      <c r="AH345" s="331" t="s">
        <v>422</v>
      </c>
      <c r="AI345" s="331" t="s">
        <v>507</v>
      </c>
      <c r="AJ345" s="331">
        <v>149.65596024791782</v>
      </c>
      <c r="AK345" s="331" t="e">
        <v>#VALUE!</v>
      </c>
      <c r="AM345" s="331">
        <v>3.9920159680638719E-3</v>
      </c>
      <c r="AO345" s="331">
        <v>1.0518134997254558</v>
      </c>
      <c r="AP345" s="331">
        <f t="shared" si="102"/>
        <v>1.2508437269976738</v>
      </c>
      <c r="AQ345" s="331" t="e">
        <f t="shared" si="100"/>
        <v>#VALUE!</v>
      </c>
      <c r="AR345" s="331">
        <f t="shared" si="101"/>
        <v>1.2161226301879426</v>
      </c>
      <c r="AS345" s="331">
        <f t="shared" si="104"/>
        <v>3.0062991468878115</v>
      </c>
      <c r="AT345" s="331" t="e">
        <f t="shared" si="105"/>
        <v>#VALUE!</v>
      </c>
    </row>
    <row r="346" spans="3:46" ht="13.9" x14ac:dyDescent="0.4">
      <c r="C346" s="1565"/>
      <c r="D346" s="1293" t="s">
        <v>441</v>
      </c>
      <c r="E346" s="804" t="s">
        <v>121</v>
      </c>
      <c r="F346" s="1410" t="s">
        <v>88</v>
      </c>
      <c r="G346" s="1489" t="s">
        <v>472</v>
      </c>
      <c r="H346" s="46">
        <v>299.8</v>
      </c>
      <c r="I346" s="1469" t="s">
        <v>411</v>
      </c>
      <c r="J346" s="1437">
        <v>50</v>
      </c>
      <c r="K346" s="1444">
        <v>99.8</v>
      </c>
      <c r="L346" s="1444">
        <v>2.2999999999999998</v>
      </c>
      <c r="M346" s="1426">
        <v>1.84</v>
      </c>
      <c r="P346" s="1426">
        <v>205900</v>
      </c>
      <c r="Q346" s="1464">
        <v>403</v>
      </c>
      <c r="R346" s="1491">
        <v>7</v>
      </c>
      <c r="S346" s="1491">
        <v>0.3</v>
      </c>
      <c r="T346" s="1218">
        <v>-0.5</v>
      </c>
      <c r="U346" s="654">
        <v>707</v>
      </c>
      <c r="V346" s="1218" t="s">
        <v>412</v>
      </c>
      <c r="W346" s="125">
        <v>205900</v>
      </c>
      <c r="X346" s="331">
        <v>586.80999999999995</v>
      </c>
      <c r="Y346" s="1491">
        <v>7</v>
      </c>
      <c r="Z346" s="1491">
        <v>0.3</v>
      </c>
      <c r="AA346" s="1218">
        <v>-0.5</v>
      </c>
      <c r="AB346" s="331">
        <f t="shared" si="103"/>
        <v>707</v>
      </c>
      <c r="AC346" s="1508">
        <v>181</v>
      </c>
      <c r="AD346" s="331">
        <v>144.10938652675199</v>
      </c>
      <c r="AE346" s="331">
        <v>271.84772750867597</v>
      </c>
      <c r="AF346" s="331">
        <v>123005.25882551599</v>
      </c>
      <c r="AG346" s="331">
        <v>1.32029008017812E-3</v>
      </c>
      <c r="AH346" s="331" t="s">
        <v>422</v>
      </c>
      <c r="AI346" s="331" t="s">
        <v>507</v>
      </c>
      <c r="AJ346" s="331">
        <v>149.24558747675047</v>
      </c>
      <c r="AK346" s="331" t="e">
        <v>#VALUE!</v>
      </c>
      <c r="AM346" s="331">
        <v>4.3362241494329552E-3</v>
      </c>
      <c r="AO346" s="331">
        <v>1.0585160702676355</v>
      </c>
      <c r="AP346" s="331">
        <f t="shared" si="102"/>
        <v>1.2559903581742038</v>
      </c>
      <c r="AQ346" s="331" t="e">
        <f t="shared" si="100"/>
        <v>#VALUE!</v>
      </c>
      <c r="AR346" s="331">
        <f t="shared" si="101"/>
        <v>1.212766173259201</v>
      </c>
      <c r="AS346" s="331">
        <f t="shared" si="104"/>
        <v>3.2842965455348692</v>
      </c>
      <c r="AT346" s="331" t="e">
        <f t="shared" si="105"/>
        <v>#VALUE!</v>
      </c>
    </row>
    <row r="347" spans="3:46" ht="13.9" x14ac:dyDescent="0.4">
      <c r="C347" s="1565"/>
      <c r="D347" s="1293" t="s">
        <v>441</v>
      </c>
      <c r="E347" s="804" t="s">
        <v>122</v>
      </c>
      <c r="F347" s="1410" t="s">
        <v>88</v>
      </c>
      <c r="G347" s="1489" t="s">
        <v>472</v>
      </c>
      <c r="H347" s="46">
        <v>299.89999999999998</v>
      </c>
      <c r="I347" s="1469" t="s">
        <v>411</v>
      </c>
      <c r="J347" s="1437">
        <v>50.1</v>
      </c>
      <c r="K347" s="1444">
        <v>100.1</v>
      </c>
      <c r="L347" s="1444">
        <v>3.1</v>
      </c>
      <c r="M347" s="1426">
        <v>2.89</v>
      </c>
      <c r="P347" s="1426">
        <v>200900</v>
      </c>
      <c r="Q347" s="1464">
        <v>479</v>
      </c>
      <c r="R347" s="1491">
        <v>7</v>
      </c>
      <c r="S347" s="1491">
        <v>0.3</v>
      </c>
      <c r="T347" s="1218">
        <v>-0.5</v>
      </c>
      <c r="U347" s="654">
        <v>716</v>
      </c>
      <c r="V347" s="1218" t="s">
        <v>412</v>
      </c>
      <c r="W347" s="125">
        <v>200900</v>
      </c>
      <c r="X347" s="331">
        <v>594.28</v>
      </c>
      <c r="Y347" s="1491">
        <v>7</v>
      </c>
      <c r="Z347" s="1491">
        <v>0.3</v>
      </c>
      <c r="AA347" s="1218">
        <v>-0.5</v>
      </c>
      <c r="AB347" s="331">
        <f t="shared" si="103"/>
        <v>716</v>
      </c>
      <c r="AC347" s="1508">
        <v>407</v>
      </c>
      <c r="AD347" s="331">
        <v>356.09893157596099</v>
      </c>
      <c r="AE347" s="331">
        <v>436.76388627128898</v>
      </c>
      <c r="AF347" s="331">
        <v>45922.778944113903</v>
      </c>
      <c r="AG347" s="331">
        <v>2.17403626814977E-3</v>
      </c>
      <c r="AH347" s="331" t="s">
        <v>422</v>
      </c>
      <c r="AI347" s="331" t="s">
        <v>507</v>
      </c>
      <c r="AJ347" s="331">
        <v>325.71057049717251</v>
      </c>
      <c r="AK347" s="331" t="e">
        <v>#VALUE!</v>
      </c>
      <c r="AM347" s="331">
        <v>6.0020006668889637E-3</v>
      </c>
      <c r="AO347" s="331">
        <v>0.71085233558540339</v>
      </c>
      <c r="AP347" s="331">
        <f t="shared" si="102"/>
        <v>1.1429408063617879</v>
      </c>
      <c r="AQ347" s="331" t="e">
        <f t="shared" si="100"/>
        <v>#VALUE!</v>
      </c>
      <c r="AR347" s="331">
        <f t="shared" si="101"/>
        <v>1.2495756566289677</v>
      </c>
      <c r="AS347" s="331">
        <f t="shared" si="104"/>
        <v>2.7607638174302456</v>
      </c>
      <c r="AT347" s="331" t="e">
        <f t="shared" si="105"/>
        <v>#VALUE!</v>
      </c>
    </row>
    <row r="348" spans="3:46" ht="13.9" x14ac:dyDescent="0.4">
      <c r="C348" s="1565"/>
      <c r="D348" s="1293" t="s">
        <v>441</v>
      </c>
      <c r="E348" s="804" t="s">
        <v>123</v>
      </c>
      <c r="F348" s="1410" t="s">
        <v>88</v>
      </c>
      <c r="G348" s="1489" t="s">
        <v>472</v>
      </c>
      <c r="H348" s="46">
        <v>300</v>
      </c>
      <c r="I348" s="1469" t="s">
        <v>411</v>
      </c>
      <c r="J348" s="1437">
        <v>50</v>
      </c>
      <c r="K348" s="1444">
        <v>100.1</v>
      </c>
      <c r="L348" s="1444">
        <v>3.1</v>
      </c>
      <c r="M348" s="1426">
        <v>2.89</v>
      </c>
      <c r="P348" s="1426">
        <v>200900</v>
      </c>
      <c r="Q348" s="1464">
        <v>479</v>
      </c>
      <c r="R348" s="1491">
        <v>7</v>
      </c>
      <c r="S348" s="1491">
        <v>0.3</v>
      </c>
      <c r="T348" s="1218">
        <v>-0.5</v>
      </c>
      <c r="U348" s="654">
        <v>716</v>
      </c>
      <c r="V348" s="1218" t="s">
        <v>412</v>
      </c>
      <c r="W348" s="125">
        <v>200900</v>
      </c>
      <c r="X348" s="331">
        <v>594.28</v>
      </c>
      <c r="Y348" s="1491">
        <v>7</v>
      </c>
      <c r="Z348" s="1491">
        <v>0.3</v>
      </c>
      <c r="AA348" s="1218">
        <v>-0.5</v>
      </c>
      <c r="AB348" s="331">
        <f t="shared" si="103"/>
        <v>716</v>
      </c>
      <c r="AC348" s="1508">
        <v>415</v>
      </c>
      <c r="AD348" s="331">
        <v>355.866301392011</v>
      </c>
      <c r="AE348" s="331">
        <v>436.78866299478301</v>
      </c>
      <c r="AF348" s="331">
        <v>45910.722699348</v>
      </c>
      <c r="AG348" s="331">
        <v>2.1741595967883602E-3</v>
      </c>
      <c r="AH348" s="331" t="s">
        <v>422</v>
      </c>
      <c r="AI348" s="331" t="s">
        <v>507</v>
      </c>
      <c r="AJ348" s="331">
        <v>325.71057049717251</v>
      </c>
      <c r="AK348" s="331" t="e">
        <v>#VALUE!</v>
      </c>
      <c r="AM348" s="331">
        <v>6.0000000000000001E-3</v>
      </c>
      <c r="AO348" s="331">
        <v>0.71081957571324561</v>
      </c>
      <c r="AP348" s="331">
        <f t="shared" si="102"/>
        <v>1.1661683007822907</v>
      </c>
      <c r="AQ348" s="331" t="e">
        <f t="shared" si="100"/>
        <v>#VALUE!</v>
      </c>
      <c r="AR348" s="331">
        <f t="shared" si="101"/>
        <v>1.2741373402973504</v>
      </c>
      <c r="AS348" s="331">
        <f t="shared" si="104"/>
        <v>2.759687011414949</v>
      </c>
      <c r="AT348" s="331" t="e">
        <f t="shared" si="105"/>
        <v>#VALUE!</v>
      </c>
    </row>
    <row r="349" spans="3:46" ht="13.9" x14ac:dyDescent="0.4">
      <c r="C349" s="1565"/>
      <c r="D349" s="1293" t="s">
        <v>441</v>
      </c>
      <c r="E349" s="804" t="s">
        <v>124</v>
      </c>
      <c r="F349" s="1410" t="s">
        <v>88</v>
      </c>
      <c r="G349" s="1489" t="s">
        <v>472</v>
      </c>
      <c r="H349" s="46">
        <v>300.39999999999998</v>
      </c>
      <c r="I349" s="1469" t="s">
        <v>411</v>
      </c>
      <c r="J349" s="1437">
        <v>49.9</v>
      </c>
      <c r="K349" s="1444">
        <v>99.7</v>
      </c>
      <c r="L349" s="1444">
        <v>3.6</v>
      </c>
      <c r="M349" s="1426">
        <v>3.73</v>
      </c>
      <c r="P349" s="1426">
        <v>203900</v>
      </c>
      <c r="Q349" s="1464">
        <v>471</v>
      </c>
      <c r="R349" s="1491">
        <v>7</v>
      </c>
      <c r="S349" s="1491">
        <v>0.3</v>
      </c>
      <c r="T349" s="1218">
        <v>-0.5</v>
      </c>
      <c r="U349" s="654">
        <v>702</v>
      </c>
      <c r="V349" s="1218" t="s">
        <v>412</v>
      </c>
      <c r="W349" s="125">
        <v>203900</v>
      </c>
      <c r="X349" s="331">
        <v>582.66</v>
      </c>
      <c r="Y349" s="1491">
        <v>7</v>
      </c>
      <c r="Z349" s="1491">
        <v>0.3</v>
      </c>
      <c r="AA349" s="1218">
        <v>-0.5</v>
      </c>
      <c r="AB349" s="331">
        <f t="shared" si="103"/>
        <v>702</v>
      </c>
      <c r="AC349" s="1508">
        <v>626</v>
      </c>
      <c r="AD349" s="331">
        <v>527.60063549887502</v>
      </c>
      <c r="AE349" s="331">
        <v>514.18423048777902</v>
      </c>
      <c r="AF349" s="331">
        <v>18109.7132848246</v>
      </c>
      <c r="AG349" s="331">
        <v>2.5217470842951398E-3</v>
      </c>
      <c r="AH349" s="331" t="s">
        <v>422</v>
      </c>
      <c r="AI349" s="331">
        <v>503.64706818579469</v>
      </c>
      <c r="AJ349" s="331">
        <v>457.76032986197117</v>
      </c>
      <c r="AK349" s="331">
        <v>6.2409944284746461E-3</v>
      </c>
      <c r="AM349" s="331">
        <v>1.1651131824234355E-2</v>
      </c>
      <c r="AO349" s="331">
        <v>0.52756260449458237</v>
      </c>
      <c r="AP349" s="331">
        <f t="shared" si="102"/>
        <v>1.1865034988217613</v>
      </c>
      <c r="AQ349" s="331">
        <f t="shared" si="100"/>
        <v>1.2429338708451878</v>
      </c>
      <c r="AR349" s="331">
        <f t="shared" si="101"/>
        <v>1.3675278506303905</v>
      </c>
      <c r="AS349" s="331">
        <f t="shared" si="104"/>
        <v>4.6202618402118594</v>
      </c>
      <c r="AT349" s="331">
        <f t="shared" si="105"/>
        <v>1.8668710504011767</v>
      </c>
    </row>
    <row r="350" spans="3:46" ht="13.9" x14ac:dyDescent="0.4">
      <c r="C350" s="1565"/>
      <c r="D350" s="1293" t="s">
        <v>441</v>
      </c>
      <c r="E350" s="804" t="s">
        <v>125</v>
      </c>
      <c r="F350" s="1410" t="s">
        <v>88</v>
      </c>
      <c r="G350" s="1489" t="s">
        <v>472</v>
      </c>
      <c r="H350" s="46">
        <v>300.60000000000002</v>
      </c>
      <c r="I350" s="1469" t="s">
        <v>411</v>
      </c>
      <c r="J350" s="1437">
        <v>49.8</v>
      </c>
      <c r="K350" s="1444">
        <v>99.8</v>
      </c>
      <c r="L350" s="1444">
        <v>3.6</v>
      </c>
      <c r="M350" s="1426">
        <v>3.68</v>
      </c>
      <c r="P350" s="1426">
        <v>203900</v>
      </c>
      <c r="Q350" s="1464">
        <v>471</v>
      </c>
      <c r="R350" s="1491">
        <v>7</v>
      </c>
      <c r="S350" s="1491">
        <v>0.3</v>
      </c>
      <c r="T350" s="1218">
        <v>-0.5</v>
      </c>
      <c r="U350" s="654">
        <v>702</v>
      </c>
      <c r="V350" s="1218" t="s">
        <v>412</v>
      </c>
      <c r="W350" s="125">
        <v>203900</v>
      </c>
      <c r="X350" s="331">
        <v>582.66</v>
      </c>
      <c r="Y350" s="1491">
        <v>7</v>
      </c>
      <c r="Z350" s="1491">
        <v>0.3</v>
      </c>
      <c r="AA350" s="1218">
        <v>-0.5</v>
      </c>
      <c r="AB350" s="331">
        <f t="shared" si="103"/>
        <v>702</v>
      </c>
      <c r="AC350" s="1508">
        <v>627</v>
      </c>
      <c r="AD350" s="331">
        <v>515.98671797281702</v>
      </c>
      <c r="AE350" s="331">
        <v>509.17488194715997</v>
      </c>
      <c r="AF350" s="331">
        <v>19102.7050430173</v>
      </c>
      <c r="AG350" s="331">
        <v>2.4971794112170699E-3</v>
      </c>
      <c r="AH350" s="331" t="s">
        <v>422</v>
      </c>
      <c r="AI350" s="331">
        <v>496.06406939078556</v>
      </c>
      <c r="AJ350" s="331">
        <v>449.63486669162739</v>
      </c>
      <c r="AK350" s="331">
        <v>5.9026280403074328E-3</v>
      </c>
      <c r="AM350" s="331">
        <v>1.2308715901530272E-2</v>
      </c>
      <c r="AO350" s="331">
        <v>0.53568982905684304</v>
      </c>
      <c r="AP350" s="331">
        <f t="shared" si="102"/>
        <v>1.2151475574086994</v>
      </c>
      <c r="AQ350" s="331">
        <f t="shared" si="100"/>
        <v>1.2639496361226412</v>
      </c>
      <c r="AR350" s="331">
        <f t="shared" si="101"/>
        <v>1.3944648123340817</v>
      </c>
      <c r="AS350" s="331">
        <f t="shared" si="104"/>
        <v>4.9290474870330909</v>
      </c>
      <c r="AT350" s="331">
        <f t="shared" si="105"/>
        <v>2.0852941804019189</v>
      </c>
    </row>
    <row r="351" spans="3:46" ht="13.9" x14ac:dyDescent="0.4">
      <c r="C351" s="1565"/>
      <c r="D351" s="1293" t="s">
        <v>441</v>
      </c>
      <c r="E351" s="804" t="s">
        <v>126</v>
      </c>
      <c r="F351" s="1410" t="s">
        <v>88</v>
      </c>
      <c r="G351" s="1489" t="s">
        <v>472</v>
      </c>
      <c r="H351" s="46">
        <v>300</v>
      </c>
      <c r="I351" s="1469" t="s">
        <v>411</v>
      </c>
      <c r="J351" s="1437">
        <v>50.1</v>
      </c>
      <c r="K351" s="1444">
        <v>100.1</v>
      </c>
      <c r="L351" s="1444">
        <v>5.6</v>
      </c>
      <c r="M351" s="1426">
        <v>5.95</v>
      </c>
      <c r="P351" s="1426">
        <v>206300</v>
      </c>
      <c r="Q351" s="1464">
        <v>605</v>
      </c>
      <c r="R351" s="1491">
        <v>7</v>
      </c>
      <c r="S351" s="1491">
        <v>0.3</v>
      </c>
      <c r="T351" s="1218">
        <v>-0.5</v>
      </c>
      <c r="U351" s="654">
        <v>754</v>
      </c>
      <c r="V351" s="1218" t="s">
        <v>412</v>
      </c>
      <c r="W351" s="125">
        <v>206300</v>
      </c>
      <c r="X351" s="331">
        <v>631</v>
      </c>
      <c r="Y351" s="1491">
        <v>7</v>
      </c>
      <c r="Z351" s="1491">
        <v>0.3</v>
      </c>
      <c r="AA351" s="1218">
        <v>-0.5</v>
      </c>
      <c r="AB351" s="331">
        <f t="shared" si="103"/>
        <v>754</v>
      </c>
      <c r="AC351" s="1508">
        <v>1217</v>
      </c>
      <c r="AD351" s="331">
        <v>1105.3896988752899</v>
      </c>
      <c r="AE351" s="331">
        <v>718.00439953924604</v>
      </c>
      <c r="AF351" s="331">
        <v>14387.9824018748</v>
      </c>
      <c r="AG351" s="331">
        <v>3.4803897214699302E-3</v>
      </c>
      <c r="AH351" s="331" t="s">
        <v>490</v>
      </c>
      <c r="AI351" s="331">
        <v>1078.7789550073937</v>
      </c>
      <c r="AJ351" s="331">
        <v>942.59</v>
      </c>
      <c r="AK351" s="331">
        <v>1.9052141254345668E-2</v>
      </c>
      <c r="AM351" s="331">
        <v>3.1000000000000003E-2</v>
      </c>
      <c r="AO351" s="331">
        <v>0.32636707783444746</v>
      </c>
      <c r="AP351" s="331">
        <f t="shared" si="102"/>
        <v>1.1009691887288899</v>
      </c>
      <c r="AQ351" s="331">
        <f t="shared" si="100"/>
        <v>1.1281273094465019</v>
      </c>
      <c r="AR351" s="331">
        <f t="shared" si="101"/>
        <v>1.2911233940525573</v>
      </c>
      <c r="AS351" s="331">
        <f t="shared" si="104"/>
        <v>8.9070484861986277</v>
      </c>
      <c r="AT351" s="331">
        <f t="shared" si="105"/>
        <v>1.6271136974133606</v>
      </c>
    </row>
    <row r="352" spans="3:46" ht="13.9" x14ac:dyDescent="0.4">
      <c r="C352" s="1566"/>
      <c r="D352" s="1293" t="s">
        <v>441</v>
      </c>
      <c r="E352" s="804" t="s">
        <v>128</v>
      </c>
      <c r="F352" s="1410" t="s">
        <v>127</v>
      </c>
      <c r="G352" s="1489" t="s">
        <v>472</v>
      </c>
      <c r="H352" s="46">
        <v>300.10000000000002</v>
      </c>
      <c r="I352" s="1469" t="s">
        <v>411</v>
      </c>
      <c r="J352" s="1437">
        <v>50.1</v>
      </c>
      <c r="K352" s="1444">
        <v>100</v>
      </c>
      <c r="L352" s="1444">
        <v>5.5</v>
      </c>
      <c r="M352" s="1426">
        <v>5.96</v>
      </c>
      <c r="P352" s="1426">
        <v>206300</v>
      </c>
      <c r="Q352" s="1461">
        <v>605</v>
      </c>
      <c r="R352" s="1491">
        <v>7</v>
      </c>
      <c r="S352" s="1491">
        <v>0.3</v>
      </c>
      <c r="T352" s="1218">
        <v>-0.5</v>
      </c>
      <c r="U352" s="1462">
        <v>754</v>
      </c>
      <c r="V352" s="1218" t="s">
        <v>412</v>
      </c>
      <c r="W352" s="117">
        <v>206300</v>
      </c>
      <c r="X352" s="331">
        <v>631</v>
      </c>
      <c r="Y352" s="1491">
        <v>7</v>
      </c>
      <c r="Z352" s="1491">
        <v>0.3</v>
      </c>
      <c r="AA352" s="1218">
        <v>-0.5</v>
      </c>
      <c r="AB352" s="331">
        <f t="shared" si="103"/>
        <v>754</v>
      </c>
      <c r="AC352" s="1509">
        <v>1217</v>
      </c>
      <c r="AD352" s="331">
        <v>1106.35605363374</v>
      </c>
      <c r="AE352" s="331">
        <v>717.15769247955905</v>
      </c>
      <c r="AF352" s="331">
        <v>14483.0296307976</v>
      </c>
      <c r="AG352" s="331">
        <v>3.47628547008996E-3</v>
      </c>
      <c r="AH352" s="331" t="s">
        <v>490</v>
      </c>
      <c r="AI352" s="331">
        <v>1079.4713676871158</v>
      </c>
      <c r="AJ352" s="331">
        <v>943.19499999999994</v>
      </c>
      <c r="AK352" s="331">
        <v>1.9061839885800427E-2</v>
      </c>
      <c r="AM352" s="331">
        <v>3.2655781406197931E-2</v>
      </c>
      <c r="AO352" s="331">
        <v>0.32615392450669406</v>
      </c>
      <c r="AP352" s="331">
        <f t="shared" si="102"/>
        <v>1.100007539166852</v>
      </c>
      <c r="AQ352" s="331">
        <f t="shared" si="100"/>
        <v>1.1274036870542978</v>
      </c>
      <c r="AR352" s="331">
        <f t="shared" si="101"/>
        <v>1.2902952199704198</v>
      </c>
      <c r="AS352" s="331">
        <f t="shared" si="104"/>
        <v>9.393872191213589</v>
      </c>
      <c r="AT352" s="331">
        <f t="shared" si="105"/>
        <v>1.7131494966823178</v>
      </c>
    </row>
    <row r="353" spans="3:46" ht="13.9" x14ac:dyDescent="0.4">
      <c r="C353" s="1564" t="s">
        <v>215</v>
      </c>
      <c r="D353" s="1293" t="s">
        <v>441</v>
      </c>
      <c r="E353" s="805" t="s">
        <v>129</v>
      </c>
      <c r="F353" s="797" t="s">
        <v>37</v>
      </c>
      <c r="G353" s="1489" t="s">
        <v>472</v>
      </c>
      <c r="H353" s="67">
        <v>1048</v>
      </c>
      <c r="I353" s="1469" t="s">
        <v>411</v>
      </c>
      <c r="J353" s="14">
        <v>100.5</v>
      </c>
      <c r="K353" s="54">
        <v>150.69999999999999</v>
      </c>
      <c r="L353" s="71">
        <v>3</v>
      </c>
      <c r="M353" s="59">
        <v>2.89</v>
      </c>
      <c r="P353" s="59">
        <v>196750</v>
      </c>
      <c r="Q353" s="159">
        <v>296</v>
      </c>
      <c r="R353" s="1491">
        <v>7</v>
      </c>
      <c r="S353" s="1491">
        <v>0.3</v>
      </c>
      <c r="T353" s="1218">
        <v>-0.5</v>
      </c>
      <c r="U353" s="159">
        <v>627</v>
      </c>
      <c r="V353" s="1218" t="s">
        <v>412</v>
      </c>
      <c r="W353" s="128">
        <v>196750</v>
      </c>
      <c r="X353" s="331">
        <v>477.89600000000002</v>
      </c>
      <c r="Y353" s="1491">
        <v>7</v>
      </c>
      <c r="Z353" s="1491">
        <v>0.3</v>
      </c>
      <c r="AA353" s="1218">
        <v>-0.5</v>
      </c>
      <c r="AB353" s="331">
        <f t="shared" si="103"/>
        <v>627</v>
      </c>
      <c r="AC353" s="1508">
        <v>372</v>
      </c>
      <c r="AD353" s="331">
        <v>308.859157836485</v>
      </c>
      <c r="AE353" s="331">
        <v>220.15928122940699</v>
      </c>
      <c r="AF353" s="331">
        <v>76392.461690376993</v>
      </c>
      <c r="AG353" s="331">
        <v>1.11897982835785E-3</v>
      </c>
      <c r="AH353" s="331" t="s">
        <v>422</v>
      </c>
      <c r="AI353" s="331" t="s">
        <v>507</v>
      </c>
      <c r="AJ353" s="331">
        <v>307.70097315226894</v>
      </c>
      <c r="AK353" s="331" t="e">
        <v>#VALUE!</v>
      </c>
      <c r="AM353" s="331">
        <v>3.5305343511450385E-3</v>
      </c>
      <c r="AO353" s="331">
        <v>0.87064121444827203</v>
      </c>
      <c r="AP353" s="331">
        <f t="shared" si="102"/>
        <v>1.2044324753256719</v>
      </c>
      <c r="AQ353" s="331" t="e">
        <f t="shared" si="100"/>
        <v>#VALUE!</v>
      </c>
      <c r="AR353" s="331">
        <f t="shared" si="101"/>
        <v>1.2089659522003267</v>
      </c>
      <c r="AS353" s="331">
        <f t="shared" si="104"/>
        <v>3.1551367251420843</v>
      </c>
      <c r="AT353" s="331" t="e">
        <f t="shared" si="105"/>
        <v>#VALUE!</v>
      </c>
    </row>
    <row r="354" spans="3:46" ht="13.9" x14ac:dyDescent="0.4">
      <c r="C354" s="1566"/>
      <c r="D354" s="1293" t="s">
        <v>441</v>
      </c>
      <c r="E354" s="806" t="s">
        <v>130</v>
      </c>
      <c r="F354" s="798" t="s">
        <v>37</v>
      </c>
      <c r="G354" s="1489" t="s">
        <v>472</v>
      </c>
      <c r="H354" s="313">
        <v>1049</v>
      </c>
      <c r="I354" s="1469" t="s">
        <v>411</v>
      </c>
      <c r="J354" s="1438">
        <v>100.7</v>
      </c>
      <c r="K354" s="1450">
        <v>150.5</v>
      </c>
      <c r="L354" s="1450">
        <v>5.5</v>
      </c>
      <c r="M354" s="1453">
        <v>5.7729999999999997</v>
      </c>
      <c r="P354" s="58">
        <v>193000</v>
      </c>
      <c r="Q354" s="502">
        <v>349.5</v>
      </c>
      <c r="R354" s="1491">
        <v>7</v>
      </c>
      <c r="S354" s="1491">
        <v>0.3</v>
      </c>
      <c r="T354" s="1218">
        <v>-0.5</v>
      </c>
      <c r="U354" s="502">
        <v>653.5</v>
      </c>
      <c r="V354" s="1218" t="s">
        <v>412</v>
      </c>
      <c r="W354" s="20">
        <v>193000</v>
      </c>
      <c r="X354" s="331">
        <v>504.97300000000001</v>
      </c>
      <c r="Y354" s="1491">
        <v>7</v>
      </c>
      <c r="Z354" s="1491">
        <v>0.3</v>
      </c>
      <c r="AA354" s="1218">
        <v>-0.5</v>
      </c>
      <c r="AB354" s="331">
        <f t="shared" si="103"/>
        <v>653.5</v>
      </c>
      <c r="AC354" s="1508">
        <v>1292</v>
      </c>
      <c r="AD354" s="331">
        <v>988.62003404513302</v>
      </c>
      <c r="AE354" s="331">
        <v>366.46085473281801</v>
      </c>
      <c r="AF354" s="331">
        <v>17119.715172108601</v>
      </c>
      <c r="AG354" s="331">
        <v>1.89876090535139E-3</v>
      </c>
      <c r="AH354" s="331" t="s">
        <v>490</v>
      </c>
      <c r="AI354" s="331">
        <v>1018.5460786377184</v>
      </c>
      <c r="AJ354" s="331">
        <v>937.70850000000007</v>
      </c>
      <c r="AK354" s="331">
        <v>8.6614802155228487E-3</v>
      </c>
      <c r="AM354" s="331">
        <v>1.1439466158245948E-2</v>
      </c>
      <c r="AO354" s="331">
        <v>0.44655343093944894</v>
      </c>
      <c r="AP354" s="331">
        <f t="shared" si="102"/>
        <v>1.3068721606960849</v>
      </c>
      <c r="AQ354" s="331">
        <f t="shared" si="100"/>
        <v>1.2684747672172276</v>
      </c>
      <c r="AR354" s="331">
        <f t="shared" si="101"/>
        <v>1.3778269046297436</v>
      </c>
      <c r="AS354" s="331">
        <f t="shared" si="104"/>
        <v>6.0247007013918523</v>
      </c>
      <c r="AT354" s="331">
        <f t="shared" si="105"/>
        <v>1.3207287754054411</v>
      </c>
    </row>
    <row r="355" spans="3:46" ht="13.9" x14ac:dyDescent="0.4">
      <c r="C355" s="1564" t="s">
        <v>100</v>
      </c>
      <c r="D355" s="1293" t="s">
        <v>441</v>
      </c>
      <c r="E355" s="804" t="s">
        <v>131</v>
      </c>
      <c r="F355" s="1410" t="s">
        <v>88</v>
      </c>
      <c r="G355" s="1489" t="s">
        <v>472</v>
      </c>
      <c r="H355" s="67">
        <v>600</v>
      </c>
      <c r="I355" s="1469" t="s">
        <v>411</v>
      </c>
      <c r="J355" s="14">
        <v>78.8</v>
      </c>
      <c r="K355" s="54">
        <v>140</v>
      </c>
      <c r="L355" s="169">
        <v>7</v>
      </c>
      <c r="M355" s="59">
        <v>3.08</v>
      </c>
      <c r="P355" s="1495">
        <v>212000</v>
      </c>
      <c r="Q355" s="654">
        <v>486</v>
      </c>
      <c r="R355" s="1491">
        <v>7</v>
      </c>
      <c r="S355" s="1491">
        <v>0.3</v>
      </c>
      <c r="T355" s="1218">
        <v>-0.5</v>
      </c>
      <c r="U355" s="654">
        <v>736</v>
      </c>
      <c r="V355" s="1218" t="s">
        <v>412</v>
      </c>
      <c r="W355" s="1495">
        <v>212000</v>
      </c>
      <c r="X355" s="331">
        <v>610.88</v>
      </c>
      <c r="Y355" s="1491">
        <v>7</v>
      </c>
      <c r="Z355" s="1491">
        <v>0.3</v>
      </c>
      <c r="AA355" s="1218">
        <v>-0.5</v>
      </c>
      <c r="AB355" s="331">
        <f t="shared" si="103"/>
        <v>736</v>
      </c>
      <c r="AC355" s="1507">
        <v>558.20000000000005</v>
      </c>
      <c r="AD355" s="331">
        <v>463.16225335879102</v>
      </c>
      <c r="AE355" s="331">
        <v>365.14238479441298</v>
      </c>
      <c r="AF355" s="331">
        <v>101026.55824407301</v>
      </c>
      <c r="AG355" s="331">
        <v>1.7223697395962901E-3</v>
      </c>
      <c r="AH355" s="331" t="s">
        <v>422</v>
      </c>
      <c r="AI355" s="331" t="s">
        <v>507</v>
      </c>
      <c r="AJ355" s="331">
        <v>458.51794227463057</v>
      </c>
      <c r="AK355" s="331" t="e">
        <v>#VALUE!</v>
      </c>
      <c r="AO355" s="331">
        <v>0.88678200006339269</v>
      </c>
      <c r="AP355" s="331">
        <f t="shared" si="102"/>
        <v>1.2051932037898339</v>
      </c>
      <c r="AQ355" s="331" t="e">
        <f t="shared" si="100"/>
        <v>#VALUE!</v>
      </c>
      <c r="AR355" s="331">
        <f t="shared" si="101"/>
        <v>1.2174005606647877</v>
      </c>
      <c r="AS355" s="331">
        <f t="shared" si="104"/>
        <v>0</v>
      </c>
      <c r="AT355" s="331" t="e">
        <f t="shared" si="105"/>
        <v>#VALUE!</v>
      </c>
    </row>
    <row r="356" spans="3:46" ht="13.9" x14ac:dyDescent="0.4">
      <c r="C356" s="1565"/>
      <c r="D356" s="1293" t="s">
        <v>441</v>
      </c>
      <c r="E356" s="806" t="s">
        <v>132</v>
      </c>
      <c r="F356" s="1428" t="s">
        <v>88</v>
      </c>
      <c r="G356" s="1489" t="s">
        <v>472</v>
      </c>
      <c r="H356" s="1442">
        <v>600</v>
      </c>
      <c r="I356" s="1469" t="s">
        <v>411</v>
      </c>
      <c r="J356" s="210">
        <v>80.8</v>
      </c>
      <c r="K356" s="53">
        <v>160.1</v>
      </c>
      <c r="L356" s="177">
        <v>6.3</v>
      </c>
      <c r="M356" s="58">
        <v>2.87</v>
      </c>
      <c r="P356" s="1460">
        <v>208000</v>
      </c>
      <c r="Q356" s="1462">
        <v>536</v>
      </c>
      <c r="R356" s="1491">
        <v>7</v>
      </c>
      <c r="S356" s="1491">
        <v>0.3</v>
      </c>
      <c r="T356" s="1218">
        <v>-0.5</v>
      </c>
      <c r="U356" s="1462">
        <v>766</v>
      </c>
      <c r="V356" s="1218" t="s">
        <v>412</v>
      </c>
      <c r="W356" s="1460">
        <v>208000</v>
      </c>
      <c r="X356" s="331">
        <v>710</v>
      </c>
      <c r="Y356" s="1491">
        <v>7</v>
      </c>
      <c r="Z356" s="1491">
        <v>0.3</v>
      </c>
      <c r="AA356" s="1218">
        <v>-0.5</v>
      </c>
      <c r="AB356" s="331">
        <f t="shared" si="103"/>
        <v>766</v>
      </c>
      <c r="AC356" s="1509">
        <v>537.29999999999995</v>
      </c>
      <c r="AD356" s="331">
        <v>402.46649611515102</v>
      </c>
      <c r="AE356" s="331">
        <v>305.445091530394</v>
      </c>
      <c r="AF356" s="331">
        <v>175371.58530264601</v>
      </c>
      <c r="AG356" s="331">
        <v>1.4684860169730501E-3</v>
      </c>
      <c r="AH356" s="331" t="s">
        <v>422</v>
      </c>
      <c r="AI356" s="331" t="s">
        <v>507</v>
      </c>
      <c r="AJ356" s="331">
        <v>442.20656381070705</v>
      </c>
      <c r="AK356" s="331" t="e">
        <v>#VALUE!</v>
      </c>
      <c r="AO356" s="331">
        <v>1.1360237566631215</v>
      </c>
      <c r="AP356" s="331">
        <f t="shared" si="102"/>
        <v>1.3350179584793842</v>
      </c>
      <c r="AQ356" s="331" t="e">
        <f t="shared" si="100"/>
        <v>#VALUE!</v>
      </c>
      <c r="AR356" s="331">
        <f t="shared" si="101"/>
        <v>1.2150430228122959</v>
      </c>
      <c r="AS356" s="331">
        <f t="shared" si="104"/>
        <v>0</v>
      </c>
      <c r="AT356" s="331" t="e">
        <f t="shared" si="105"/>
        <v>#VALUE!</v>
      </c>
    </row>
    <row r="357" spans="3:46" ht="13.9" x14ac:dyDescent="0.4">
      <c r="C357" s="1566"/>
      <c r="D357" s="1293" t="s">
        <v>441</v>
      </c>
      <c r="E357" s="806" t="s">
        <v>133</v>
      </c>
      <c r="F357" s="1428" t="s">
        <v>88</v>
      </c>
      <c r="G357" s="1489" t="s">
        <v>472</v>
      </c>
      <c r="H357" s="1442">
        <v>600</v>
      </c>
      <c r="I357" s="1469" t="s">
        <v>411</v>
      </c>
      <c r="J357" s="210">
        <v>108.5</v>
      </c>
      <c r="K357" s="53">
        <v>196.2</v>
      </c>
      <c r="L357" s="177">
        <v>9.1</v>
      </c>
      <c r="M357" s="58">
        <v>4.01</v>
      </c>
      <c r="P357" s="1460">
        <v>200000</v>
      </c>
      <c r="Q357" s="1462">
        <v>503</v>
      </c>
      <c r="R357" s="1491">
        <v>7</v>
      </c>
      <c r="S357" s="1491">
        <v>0.3</v>
      </c>
      <c r="T357" s="1218">
        <v>-0.5</v>
      </c>
      <c r="U357" s="1462">
        <v>961</v>
      </c>
      <c r="V357" s="1218" t="s">
        <v>412</v>
      </c>
      <c r="W357" s="1460">
        <v>200000</v>
      </c>
      <c r="X357" s="331">
        <v>777</v>
      </c>
      <c r="Y357" s="1491">
        <v>7</v>
      </c>
      <c r="Z357" s="1491">
        <v>0.3</v>
      </c>
      <c r="AA357" s="1218">
        <v>-0.5</v>
      </c>
      <c r="AB357" s="331">
        <f t="shared" si="103"/>
        <v>961</v>
      </c>
      <c r="AC357" s="1508">
        <v>957</v>
      </c>
      <c r="AD357" s="331">
        <v>788.26022168737802</v>
      </c>
      <c r="AE357" s="331">
        <v>340.58300641083298</v>
      </c>
      <c r="AF357" s="331">
        <v>130171.167103859</v>
      </c>
      <c r="AG357" s="331">
        <v>1.70291503205416E-3</v>
      </c>
      <c r="AH357" s="331" t="s">
        <v>422</v>
      </c>
      <c r="AI357" s="331" t="s">
        <v>507</v>
      </c>
      <c r="AJ357" s="331">
        <v>798.86177658898623</v>
      </c>
      <c r="AK357" s="331" t="e">
        <v>#VALUE!</v>
      </c>
      <c r="AO357" s="331">
        <v>0.99608299750214546</v>
      </c>
      <c r="AP357" s="331">
        <f t="shared" si="102"/>
        <v>1.2140660833441672</v>
      </c>
      <c r="AQ357" s="331" t="e">
        <f t="shared" si="100"/>
        <v>#VALUE!</v>
      </c>
      <c r="AR357" s="331">
        <f t="shared" si="101"/>
        <v>1.1979544247144218</v>
      </c>
      <c r="AS357" s="331">
        <f t="shared" si="104"/>
        <v>0</v>
      </c>
      <c r="AT357" s="331" t="e">
        <f t="shared" si="105"/>
        <v>#VALUE!</v>
      </c>
    </row>
    <row r="358" spans="3:46" ht="13.9" x14ac:dyDescent="0.4">
      <c r="C358" s="1564" t="s">
        <v>134</v>
      </c>
      <c r="D358" s="1293" t="s">
        <v>441</v>
      </c>
      <c r="E358" s="804" t="s">
        <v>136</v>
      </c>
      <c r="F358" s="1410" t="s">
        <v>88</v>
      </c>
      <c r="G358" s="1489" t="s">
        <v>472</v>
      </c>
      <c r="H358" s="313">
        <v>358.5</v>
      </c>
      <c r="I358" s="1469" t="s">
        <v>411</v>
      </c>
      <c r="J358" s="1438">
        <v>40</v>
      </c>
      <c r="K358" s="1450">
        <v>120</v>
      </c>
      <c r="L358" s="1444">
        <v>3.1</v>
      </c>
      <c r="M358" s="1453">
        <v>1.96</v>
      </c>
      <c r="P358" s="159">
        <v>198000</v>
      </c>
      <c r="Q358" s="159">
        <v>350</v>
      </c>
      <c r="R358" s="1491">
        <v>7</v>
      </c>
      <c r="S358" s="1491">
        <v>0.3</v>
      </c>
      <c r="T358" s="1218">
        <v>-0.5</v>
      </c>
      <c r="U358" s="159">
        <v>649</v>
      </c>
      <c r="V358" s="1218" t="s">
        <v>412</v>
      </c>
      <c r="W358" s="159">
        <v>198000</v>
      </c>
      <c r="X358" s="331">
        <v>538.66999999999996</v>
      </c>
      <c r="Y358" s="1491">
        <v>7</v>
      </c>
      <c r="Z358" s="1491">
        <v>0.3</v>
      </c>
      <c r="AA358" s="1218">
        <v>-0.5</v>
      </c>
      <c r="AB358" s="331">
        <f t="shared" si="103"/>
        <v>649</v>
      </c>
      <c r="AC358" s="1507">
        <v>187.8</v>
      </c>
      <c r="AD358" s="331">
        <v>134.40804444367399</v>
      </c>
      <c r="AE358" s="331">
        <v>223.63387148533701</v>
      </c>
      <c r="AF358" s="331">
        <v>128659.780191164</v>
      </c>
      <c r="AG358" s="331">
        <v>1.1294639974006901E-3</v>
      </c>
      <c r="AH358" s="331" t="s">
        <v>422</v>
      </c>
      <c r="AI358" s="331" t="s">
        <v>507</v>
      </c>
      <c r="AJ358" s="331">
        <v>136.38131527097855</v>
      </c>
      <c r="AK358" s="331" t="e">
        <v>#VALUE!</v>
      </c>
      <c r="AO358" s="331">
        <v>1.1186107861291816</v>
      </c>
      <c r="AP358" s="331">
        <f t="shared" si="102"/>
        <v>1.3972377976133776</v>
      </c>
      <c r="AQ358" s="331" t="e">
        <f t="shared" si="100"/>
        <v>#VALUE!</v>
      </c>
      <c r="AR358" s="331">
        <f t="shared" si="101"/>
        <v>1.3770214756094465</v>
      </c>
      <c r="AS358" s="331">
        <f t="shared" si="104"/>
        <v>0</v>
      </c>
      <c r="AT358" s="331" t="e">
        <f t="shared" si="105"/>
        <v>#VALUE!</v>
      </c>
    </row>
    <row r="359" spans="3:46" ht="13.9" x14ac:dyDescent="0.4">
      <c r="C359" s="1565"/>
      <c r="D359" s="1293" t="s">
        <v>441</v>
      </c>
      <c r="E359" s="804" t="s">
        <v>136</v>
      </c>
      <c r="F359" s="1410" t="s">
        <v>88</v>
      </c>
      <c r="G359" s="1489" t="s">
        <v>472</v>
      </c>
      <c r="H359" s="313">
        <v>358.5</v>
      </c>
      <c r="I359" s="1469" t="s">
        <v>411</v>
      </c>
      <c r="J359" s="1438">
        <v>40</v>
      </c>
      <c r="K359" s="1450">
        <v>120</v>
      </c>
      <c r="L359" s="1444">
        <v>3.1</v>
      </c>
      <c r="M359" s="1453">
        <v>1.93</v>
      </c>
      <c r="P359" s="654">
        <v>198000</v>
      </c>
      <c r="Q359" s="654">
        <v>350</v>
      </c>
      <c r="R359" s="1491">
        <v>7</v>
      </c>
      <c r="S359" s="1491">
        <v>0.3</v>
      </c>
      <c r="T359" s="1218">
        <v>-0.5</v>
      </c>
      <c r="U359" s="654">
        <v>649</v>
      </c>
      <c r="V359" s="1218" t="s">
        <v>412</v>
      </c>
      <c r="W359" s="654">
        <v>198000</v>
      </c>
      <c r="X359" s="331">
        <v>538.66999999999996</v>
      </c>
      <c r="Y359" s="1491">
        <v>7</v>
      </c>
      <c r="Z359" s="1491">
        <v>0.3</v>
      </c>
      <c r="AA359" s="1218">
        <v>-0.5</v>
      </c>
      <c r="AB359" s="331">
        <f t="shared" si="103"/>
        <v>649</v>
      </c>
      <c r="AC359" s="1508">
        <v>184.7</v>
      </c>
      <c r="AD359" s="331">
        <v>130.165686885225</v>
      </c>
      <c r="AE359" s="331">
        <v>219.850836948036</v>
      </c>
      <c r="AF359" s="331">
        <v>133198.506991684</v>
      </c>
      <c r="AG359" s="331">
        <v>1.11035776236382E-3</v>
      </c>
      <c r="AH359" s="331" t="s">
        <v>422</v>
      </c>
      <c r="AI359" s="331" t="s">
        <v>507</v>
      </c>
      <c r="AJ359" s="331">
        <v>133.61368358786876</v>
      </c>
      <c r="AK359" s="331" t="e">
        <v>#VALUE!</v>
      </c>
      <c r="AO359" s="331">
        <v>1.1364165666710433</v>
      </c>
      <c r="AP359" s="331">
        <f t="shared" si="102"/>
        <v>1.4189607447226948</v>
      </c>
      <c r="AQ359" s="331" t="e">
        <f t="shared" ref="AQ359:AQ375" si="106">AC359/AI359</f>
        <v>#VALUE!</v>
      </c>
      <c r="AR359" s="331">
        <f t="shared" ref="AR359:AR375" si="107">AC359/AJ359</f>
        <v>1.3823434474698482</v>
      </c>
      <c r="AS359" s="331">
        <f t="shared" si="104"/>
        <v>0</v>
      </c>
      <c r="AT359" s="331" t="e">
        <f t="shared" si="105"/>
        <v>#VALUE!</v>
      </c>
    </row>
    <row r="360" spans="3:46" ht="13.9" x14ac:dyDescent="0.4">
      <c r="C360" s="1565"/>
      <c r="D360" s="1293" t="s">
        <v>441</v>
      </c>
      <c r="E360" s="804" t="s">
        <v>137</v>
      </c>
      <c r="F360" s="1410" t="s">
        <v>88</v>
      </c>
      <c r="G360" s="1489" t="s">
        <v>472</v>
      </c>
      <c r="H360" s="313">
        <v>359</v>
      </c>
      <c r="I360" s="1469" t="s">
        <v>411</v>
      </c>
      <c r="J360" s="1438">
        <v>40</v>
      </c>
      <c r="K360" s="1450">
        <v>119.8</v>
      </c>
      <c r="L360" s="1444">
        <v>3.7</v>
      </c>
      <c r="M360" s="1453">
        <v>5.3</v>
      </c>
      <c r="P360" s="654">
        <v>194000</v>
      </c>
      <c r="Q360" s="654">
        <v>424</v>
      </c>
      <c r="R360" s="1491">
        <v>7</v>
      </c>
      <c r="S360" s="1491">
        <v>0.3</v>
      </c>
      <c r="T360" s="1218">
        <v>-0.5</v>
      </c>
      <c r="U360" s="654">
        <v>676</v>
      </c>
      <c r="V360" s="1218" t="s">
        <v>412</v>
      </c>
      <c r="W360" s="654">
        <v>194000</v>
      </c>
      <c r="X360" s="331">
        <v>561.08000000000004</v>
      </c>
      <c r="Y360" s="1491">
        <v>7</v>
      </c>
      <c r="Z360" s="1491">
        <v>0.3</v>
      </c>
      <c r="AA360" s="1218">
        <v>-0.5</v>
      </c>
      <c r="AB360" s="331">
        <f t="shared" si="103"/>
        <v>676</v>
      </c>
      <c r="AC360" s="1508">
        <v>969.8</v>
      </c>
      <c r="AD360" s="331">
        <v>686.45344504675199</v>
      </c>
      <c r="AE360" s="331">
        <v>446.92176453478999</v>
      </c>
      <c r="AF360" s="331">
        <v>19825.607598014001</v>
      </c>
      <c r="AG360" s="331">
        <v>2.30372043574634E-3</v>
      </c>
      <c r="AH360" s="331" t="s">
        <v>490</v>
      </c>
      <c r="AI360" s="331">
        <v>724.79483970894501</v>
      </c>
      <c r="AJ360" s="331">
        <v>645.75200000000007</v>
      </c>
      <c r="AK360" s="331">
        <v>1.2622966967014464E-2</v>
      </c>
      <c r="AO360" s="331">
        <v>0.43353869296235908</v>
      </c>
      <c r="AP360" s="331">
        <f t="shared" si="102"/>
        <v>1.4127687857025033</v>
      </c>
      <c r="AQ360" s="331">
        <f t="shared" si="106"/>
        <v>1.338033808835396</v>
      </c>
      <c r="AR360" s="331">
        <f t="shared" si="107"/>
        <v>1.501814938242545</v>
      </c>
      <c r="AS360" s="331">
        <f t="shared" si="104"/>
        <v>0</v>
      </c>
      <c r="AT360" s="331">
        <f t="shared" si="105"/>
        <v>0</v>
      </c>
    </row>
    <row r="361" spans="3:46" ht="13.9" x14ac:dyDescent="0.4">
      <c r="C361" s="1565"/>
      <c r="D361" s="1293" t="s">
        <v>441</v>
      </c>
      <c r="E361" s="804" t="s">
        <v>137</v>
      </c>
      <c r="F361" s="1410" t="s">
        <v>88</v>
      </c>
      <c r="G361" s="1489" t="s">
        <v>472</v>
      </c>
      <c r="H361" s="313">
        <v>359</v>
      </c>
      <c r="I361" s="1469" t="s">
        <v>411</v>
      </c>
      <c r="J361" s="1438">
        <v>40.1</v>
      </c>
      <c r="K361" s="1450">
        <v>119.8</v>
      </c>
      <c r="L361" s="1444">
        <v>3.7</v>
      </c>
      <c r="M361" s="1453">
        <v>5.27</v>
      </c>
      <c r="P361" s="654">
        <v>194000</v>
      </c>
      <c r="Q361" s="654">
        <v>424</v>
      </c>
      <c r="R361" s="1491">
        <v>7</v>
      </c>
      <c r="S361" s="1491">
        <v>0.3</v>
      </c>
      <c r="T361" s="1218">
        <v>-0.5</v>
      </c>
      <c r="U361" s="654">
        <v>676</v>
      </c>
      <c r="V361" s="1218" t="s">
        <v>412</v>
      </c>
      <c r="W361" s="654">
        <v>194000</v>
      </c>
      <c r="X361" s="331">
        <v>561.08000000000004</v>
      </c>
      <c r="Y361" s="1491">
        <v>7</v>
      </c>
      <c r="Z361" s="1491">
        <v>0.3</v>
      </c>
      <c r="AA361" s="1218">
        <v>-0.5</v>
      </c>
      <c r="AB361" s="331">
        <f t="shared" si="103"/>
        <v>676</v>
      </c>
      <c r="AC361" s="1508">
        <v>994.7</v>
      </c>
      <c r="AD361" s="331">
        <v>684.08625803293501</v>
      </c>
      <c r="AE361" s="331">
        <v>447.43500407668603</v>
      </c>
      <c r="AF361" s="331">
        <v>19703.368573603901</v>
      </c>
      <c r="AG361" s="331">
        <v>2.3063660003952899E-3</v>
      </c>
      <c r="AH361" s="331" t="s">
        <v>490</v>
      </c>
      <c r="AI361" s="331">
        <v>718.85976511626404</v>
      </c>
      <c r="AJ361" s="331">
        <v>642.36</v>
      </c>
      <c r="AK361" s="331">
        <v>1.2342922575386403E-2</v>
      </c>
      <c r="AO361" s="331">
        <v>0.4361469077048345</v>
      </c>
      <c r="AP361" s="331">
        <f t="shared" si="102"/>
        <v>1.4540563975955656</v>
      </c>
      <c r="AQ361" s="331">
        <f t="shared" si="106"/>
        <v>1.3837191177880477</v>
      </c>
      <c r="AR361" s="331">
        <f t="shared" si="107"/>
        <v>1.5485086244473505</v>
      </c>
      <c r="AS361" s="331">
        <f t="shared" si="104"/>
        <v>0</v>
      </c>
      <c r="AT361" s="331">
        <f t="shared" si="105"/>
        <v>0</v>
      </c>
    </row>
    <row r="362" spans="3:46" ht="13.9" x14ac:dyDescent="0.4">
      <c r="C362" s="1565"/>
      <c r="D362" s="1293" t="s">
        <v>441</v>
      </c>
      <c r="E362" s="804" t="s">
        <v>176</v>
      </c>
      <c r="F362" s="1410" t="s">
        <v>88</v>
      </c>
      <c r="G362" s="1489" t="s">
        <v>472</v>
      </c>
      <c r="H362" s="313">
        <v>360</v>
      </c>
      <c r="I362" s="1469" t="s">
        <v>411</v>
      </c>
      <c r="J362" s="1438">
        <v>79.8</v>
      </c>
      <c r="K362" s="1450">
        <v>119.8</v>
      </c>
      <c r="L362" s="1444">
        <v>3.9</v>
      </c>
      <c r="M362" s="1453">
        <v>2.78</v>
      </c>
      <c r="P362" s="654">
        <v>193000</v>
      </c>
      <c r="Q362" s="654">
        <v>366</v>
      </c>
      <c r="R362" s="1491">
        <v>7</v>
      </c>
      <c r="S362" s="1491">
        <v>0.3</v>
      </c>
      <c r="T362" s="1218">
        <v>-0.5</v>
      </c>
      <c r="U362" s="654">
        <v>648</v>
      </c>
      <c r="V362" s="1218" t="s">
        <v>412</v>
      </c>
      <c r="W362" s="654">
        <v>193000</v>
      </c>
      <c r="X362" s="331">
        <v>537.84</v>
      </c>
      <c r="Y362" s="1491">
        <v>7</v>
      </c>
      <c r="Z362" s="1491">
        <v>0.3</v>
      </c>
      <c r="AA362" s="1218">
        <v>-0.5</v>
      </c>
      <c r="AB362" s="331">
        <f t="shared" si="103"/>
        <v>648</v>
      </c>
      <c r="AC362" s="1508">
        <v>404.6</v>
      </c>
      <c r="AD362" s="331">
        <v>314.37110779973699</v>
      </c>
      <c r="AE362" s="331">
        <v>296.96739657390202</v>
      </c>
      <c r="AF362" s="331">
        <v>62126.931919116301</v>
      </c>
      <c r="AG362" s="331">
        <v>1.53869117395804E-3</v>
      </c>
      <c r="AH362" s="331" t="s">
        <v>422</v>
      </c>
      <c r="AI362" s="331" t="s">
        <v>507</v>
      </c>
      <c r="AJ362" s="331">
        <v>307.13734881234888</v>
      </c>
      <c r="AK362" s="331" t="e">
        <v>#VALUE!</v>
      </c>
      <c r="AO362" s="331">
        <v>0.82729097017273245</v>
      </c>
      <c r="AP362" s="331">
        <f t="shared" si="102"/>
        <v>1.2870139461344563</v>
      </c>
      <c r="AQ362" s="331" t="e">
        <f t="shared" si="106"/>
        <v>#VALUE!</v>
      </c>
      <c r="AR362" s="331">
        <f t="shared" si="107"/>
        <v>1.317325950635843</v>
      </c>
      <c r="AS362" s="331">
        <f t="shared" si="104"/>
        <v>0</v>
      </c>
      <c r="AT362" s="331" t="e">
        <f t="shared" si="105"/>
        <v>#VALUE!</v>
      </c>
    </row>
    <row r="363" spans="3:46" ht="13.9" x14ac:dyDescent="0.4">
      <c r="C363" s="1565"/>
      <c r="D363" s="1293" t="s">
        <v>441</v>
      </c>
      <c r="E363" s="804" t="s">
        <v>177</v>
      </c>
      <c r="F363" s="1410" t="s">
        <v>88</v>
      </c>
      <c r="G363" s="1489" t="s">
        <v>472</v>
      </c>
      <c r="H363" s="313">
        <v>359.5</v>
      </c>
      <c r="I363" s="1469" t="s">
        <v>411</v>
      </c>
      <c r="J363" s="1438">
        <v>79.900000000000006</v>
      </c>
      <c r="K363" s="1450">
        <v>120.1</v>
      </c>
      <c r="L363" s="1444">
        <v>3.9</v>
      </c>
      <c r="M363" s="1453">
        <v>2.81</v>
      </c>
      <c r="P363" s="654">
        <v>193000</v>
      </c>
      <c r="Q363" s="654">
        <v>366</v>
      </c>
      <c r="R363" s="1491">
        <v>7</v>
      </c>
      <c r="S363" s="1491">
        <v>0.3</v>
      </c>
      <c r="T363" s="1218">
        <v>-0.5</v>
      </c>
      <c r="U363" s="654">
        <v>648</v>
      </c>
      <c r="V363" s="1218" t="s">
        <v>412</v>
      </c>
      <c r="W363" s="654">
        <v>193000</v>
      </c>
      <c r="X363" s="331">
        <v>537.84</v>
      </c>
      <c r="Y363" s="1491">
        <v>7</v>
      </c>
      <c r="Z363" s="1491">
        <v>0.3</v>
      </c>
      <c r="AA363" s="1218">
        <v>-0.5</v>
      </c>
      <c r="AB363" s="331">
        <f t="shared" si="103"/>
        <v>648</v>
      </c>
      <c r="AC363" s="1508">
        <v>413.1</v>
      </c>
      <c r="AD363" s="331">
        <v>320.21570520761497</v>
      </c>
      <c r="AE363" s="331">
        <v>298.738162570626</v>
      </c>
      <c r="AF363" s="331">
        <v>60633.832029953803</v>
      </c>
      <c r="AG363" s="331">
        <v>1.54786612730894E-3</v>
      </c>
      <c r="AH363" s="331" t="s">
        <v>422</v>
      </c>
      <c r="AI363" s="331" t="s">
        <v>507</v>
      </c>
      <c r="AJ363" s="331">
        <v>311.6251156651544</v>
      </c>
      <c r="AK363" s="331" t="e">
        <v>#VALUE!</v>
      </c>
      <c r="AO363" s="331">
        <v>0.81994558261052297</v>
      </c>
      <c r="AP363" s="331">
        <f t="shared" si="102"/>
        <v>1.2900678926168303</v>
      </c>
      <c r="AQ363" s="331" t="e">
        <f t="shared" si="106"/>
        <v>#VALUE!</v>
      </c>
      <c r="AR363" s="331">
        <f t="shared" si="107"/>
        <v>1.325631276921472</v>
      </c>
      <c r="AS363" s="331">
        <f t="shared" si="104"/>
        <v>0</v>
      </c>
      <c r="AT363" s="331" t="e">
        <f t="shared" si="105"/>
        <v>#VALUE!</v>
      </c>
    </row>
    <row r="364" spans="3:46" ht="13.9" x14ac:dyDescent="0.4">
      <c r="C364" s="1565"/>
      <c r="D364" s="1293" t="s">
        <v>441</v>
      </c>
      <c r="E364" s="804" t="s">
        <v>138</v>
      </c>
      <c r="F364" s="1410" t="s">
        <v>88</v>
      </c>
      <c r="G364" s="1489" t="s">
        <v>472</v>
      </c>
      <c r="H364" s="313">
        <v>360</v>
      </c>
      <c r="I364" s="1469" t="s">
        <v>411</v>
      </c>
      <c r="J364" s="1438">
        <v>80.3</v>
      </c>
      <c r="K364" s="1450">
        <v>120.2</v>
      </c>
      <c r="L364" s="1444">
        <v>6.5</v>
      </c>
      <c r="M364" s="1453">
        <v>5.98</v>
      </c>
      <c r="P364" s="654">
        <v>194000</v>
      </c>
      <c r="Q364" s="654">
        <v>443</v>
      </c>
      <c r="R364" s="1491">
        <v>7</v>
      </c>
      <c r="S364" s="1491">
        <v>0.3</v>
      </c>
      <c r="T364" s="1218">
        <v>-0.5</v>
      </c>
      <c r="U364" s="654">
        <v>678</v>
      </c>
      <c r="V364" s="1218" t="s">
        <v>412</v>
      </c>
      <c r="W364" s="654">
        <v>194000</v>
      </c>
      <c r="X364" s="331">
        <v>562.74</v>
      </c>
      <c r="Y364" s="1491">
        <v>7</v>
      </c>
      <c r="Z364" s="1491">
        <v>0.3</v>
      </c>
      <c r="AA364" s="1218">
        <v>-0.5</v>
      </c>
      <c r="AB364" s="331">
        <f t="shared" si="103"/>
        <v>678</v>
      </c>
      <c r="AC364" s="1508">
        <v>1414.1</v>
      </c>
      <c r="AD364" s="331">
        <v>1280.70245859853</v>
      </c>
      <c r="AE364" s="331">
        <v>599.25036914257601</v>
      </c>
      <c r="AF364" s="331">
        <v>5030.8048382644001</v>
      </c>
      <c r="AG364" s="331">
        <v>3.0889194285699802E-3</v>
      </c>
      <c r="AH364" s="331" t="s">
        <v>422</v>
      </c>
      <c r="AI364" s="331">
        <v>1147.2478020431226</v>
      </c>
      <c r="AJ364" s="331">
        <v>956.43700000000013</v>
      </c>
      <c r="AK364" s="331">
        <v>2.0401588077173242E-2</v>
      </c>
      <c r="AO364" s="331">
        <v>0.38182722485106269</v>
      </c>
      <c r="AP364" s="331">
        <f t="shared" si="102"/>
        <v>1.1041596668342828</v>
      </c>
      <c r="AQ364" s="331">
        <f t="shared" si="106"/>
        <v>1.2326020564011042</v>
      </c>
      <c r="AR364" s="331">
        <f t="shared" si="107"/>
        <v>1.4785082551176918</v>
      </c>
      <c r="AS364" s="331">
        <f t="shared" si="104"/>
        <v>0</v>
      </c>
      <c r="AT364" s="331">
        <f t="shared" si="105"/>
        <v>0</v>
      </c>
    </row>
    <row r="365" spans="3:46" ht="13.9" customHeight="1" x14ac:dyDescent="0.4">
      <c r="C365" s="1566"/>
      <c r="D365" s="1293" t="s">
        <v>441</v>
      </c>
      <c r="E365" s="806" t="s">
        <v>138</v>
      </c>
      <c r="F365" s="1428" t="s">
        <v>88</v>
      </c>
      <c r="G365" s="1489" t="s">
        <v>472</v>
      </c>
      <c r="H365" s="1442">
        <v>359</v>
      </c>
      <c r="I365" s="1469" t="s">
        <v>411</v>
      </c>
      <c r="J365" s="210">
        <v>80.5</v>
      </c>
      <c r="K365" s="53">
        <v>119.9</v>
      </c>
      <c r="L365" s="65">
        <v>6.5</v>
      </c>
      <c r="M365" s="58">
        <v>6.03</v>
      </c>
      <c r="P365" s="1462">
        <v>194000</v>
      </c>
      <c r="Q365" s="1462">
        <v>443</v>
      </c>
      <c r="R365" s="1491">
        <v>7</v>
      </c>
      <c r="S365" s="1491">
        <v>0.3</v>
      </c>
      <c r="T365" s="1218">
        <v>-0.5</v>
      </c>
      <c r="U365" s="1462">
        <v>678</v>
      </c>
      <c r="V365" s="1218" t="s">
        <v>412</v>
      </c>
      <c r="W365" s="1462">
        <v>194000</v>
      </c>
      <c r="X365" s="331">
        <v>562.74</v>
      </c>
      <c r="Y365" s="1491">
        <v>7</v>
      </c>
      <c r="Z365" s="1491">
        <v>0.3</v>
      </c>
      <c r="AA365" s="1218">
        <v>-0.5</v>
      </c>
      <c r="AB365" s="331">
        <f t="shared" si="103"/>
        <v>678</v>
      </c>
      <c r="AC365" s="1509">
        <v>1387.8</v>
      </c>
      <c r="AD365" s="331">
        <v>1295.01142530111</v>
      </c>
      <c r="AE365" s="331">
        <v>601.71774657576304</v>
      </c>
      <c r="AF365" s="331">
        <v>4911.3937828937196</v>
      </c>
      <c r="AG365" s="331">
        <v>3.1016378689472301E-3</v>
      </c>
      <c r="AH365" s="331" t="s">
        <v>490</v>
      </c>
      <c r="AI365" s="331">
        <v>1163.5374819717445</v>
      </c>
      <c r="AJ365" s="331">
        <v>962.19600000000003</v>
      </c>
      <c r="AK365" s="331">
        <v>2.1285931717892132E-2</v>
      </c>
      <c r="AO365" s="331">
        <v>0.3774180289161258</v>
      </c>
      <c r="AP365" s="331">
        <f t="shared" ref="AP365:AP375" si="108">AC365/AD365</f>
        <v>1.0716507768858605</v>
      </c>
      <c r="AQ365" s="331">
        <f t="shared" si="106"/>
        <v>1.1927419799560024</v>
      </c>
      <c r="AR365" s="331">
        <f t="shared" si="107"/>
        <v>1.4423256800069839</v>
      </c>
      <c r="AS365" s="331">
        <f t="shared" si="104"/>
        <v>0</v>
      </c>
      <c r="AT365" s="331">
        <f t="shared" si="105"/>
        <v>0</v>
      </c>
    </row>
    <row r="366" spans="3:46" ht="13.9" customHeight="1" x14ac:dyDescent="0.4">
      <c r="C366" s="1564" t="s">
        <v>109</v>
      </c>
      <c r="D366" s="1293" t="s">
        <v>441</v>
      </c>
      <c r="E366" s="805" t="s">
        <v>139</v>
      </c>
      <c r="F366" s="1429" t="s">
        <v>88</v>
      </c>
      <c r="G366" s="1489" t="s">
        <v>472</v>
      </c>
      <c r="H366" s="67">
        <v>400</v>
      </c>
      <c r="I366" s="1469" t="s">
        <v>411</v>
      </c>
      <c r="J366" s="14">
        <v>79.8</v>
      </c>
      <c r="K366" s="54">
        <v>120</v>
      </c>
      <c r="L366" s="71">
        <v>4</v>
      </c>
      <c r="M366" s="59">
        <v>3.07</v>
      </c>
      <c r="P366" s="1463">
        <v>195000</v>
      </c>
      <c r="Q366" s="159">
        <v>520</v>
      </c>
      <c r="R366" s="1491">
        <v>7</v>
      </c>
      <c r="S366" s="1491">
        <v>0.3</v>
      </c>
      <c r="T366" s="1218">
        <v>-0.5</v>
      </c>
      <c r="U366" s="159">
        <v>830</v>
      </c>
      <c r="V366" s="1218" t="s">
        <v>412</v>
      </c>
      <c r="W366" s="159">
        <v>195000</v>
      </c>
      <c r="X366" s="331">
        <v>688.9</v>
      </c>
      <c r="Y366" s="1491">
        <v>7</v>
      </c>
      <c r="Z366" s="1491">
        <v>0.3</v>
      </c>
      <c r="AA366" s="1218">
        <v>-0.5</v>
      </c>
      <c r="AB366" s="331">
        <f t="shared" si="103"/>
        <v>830</v>
      </c>
      <c r="AC366" s="1508">
        <v>595</v>
      </c>
      <c r="AD366" s="331">
        <v>482.98346583788799</v>
      </c>
      <c r="AE366" s="331">
        <v>414.31222017383197</v>
      </c>
      <c r="AF366" s="331">
        <v>83223.371541184795</v>
      </c>
      <c r="AG366" s="331">
        <v>2.1246780521735E-3</v>
      </c>
      <c r="AH366" s="331" t="s">
        <v>422</v>
      </c>
      <c r="AI366" s="331" t="s">
        <v>507</v>
      </c>
      <c r="AJ366" s="331">
        <v>469.47016274284044</v>
      </c>
      <c r="AK366" s="331" t="e">
        <v>#VALUE!</v>
      </c>
      <c r="AM366" s="331">
        <v>5.6249999999999998E-3</v>
      </c>
      <c r="AO366" s="331">
        <v>0.87436780386816748</v>
      </c>
      <c r="AP366" s="331">
        <f t="shared" si="108"/>
        <v>1.2319262295403504</v>
      </c>
      <c r="AQ366" s="331" t="e">
        <f t="shared" si="106"/>
        <v>#VALUE!</v>
      </c>
      <c r="AR366" s="331">
        <f t="shared" si="107"/>
        <v>1.2673861881312369</v>
      </c>
      <c r="AS366" s="331">
        <f t="shared" si="104"/>
        <v>2.6474599265736969</v>
      </c>
      <c r="AT366" s="331" t="e">
        <f t="shared" si="105"/>
        <v>#VALUE!</v>
      </c>
    </row>
    <row r="367" spans="3:46" ht="13.9" customHeight="1" x14ac:dyDescent="0.4">
      <c r="C367" s="1565"/>
      <c r="D367" s="1293" t="s">
        <v>441</v>
      </c>
      <c r="E367" s="804" t="s">
        <v>139</v>
      </c>
      <c r="F367" s="1410" t="s">
        <v>88</v>
      </c>
      <c r="G367" s="1489" t="s">
        <v>472</v>
      </c>
      <c r="H367" s="313">
        <v>400</v>
      </c>
      <c r="I367" s="1469" t="s">
        <v>411</v>
      </c>
      <c r="J367" s="1438">
        <v>80.5</v>
      </c>
      <c r="K367" s="1450">
        <v>120.3</v>
      </c>
      <c r="L367" s="1444">
        <v>4</v>
      </c>
      <c r="M367" s="1453">
        <v>3.06</v>
      </c>
      <c r="P367" s="1464">
        <v>190000</v>
      </c>
      <c r="Q367" s="654">
        <v>634</v>
      </c>
      <c r="R367" s="1491">
        <v>7</v>
      </c>
      <c r="S367" s="1491">
        <v>0.3</v>
      </c>
      <c r="T367" s="1218">
        <v>-0.5</v>
      </c>
      <c r="U367" s="654">
        <v>958</v>
      </c>
      <c r="V367" s="1218" t="s">
        <v>412</v>
      </c>
      <c r="W367" s="654">
        <v>190000</v>
      </c>
      <c r="X367" s="331">
        <v>795.14</v>
      </c>
      <c r="Y367" s="1491">
        <v>7</v>
      </c>
      <c r="Z367" s="1491">
        <v>0.3</v>
      </c>
      <c r="AA367" s="1218">
        <v>-0.5</v>
      </c>
      <c r="AB367" s="331">
        <f t="shared" si="103"/>
        <v>958</v>
      </c>
      <c r="AC367" s="1508">
        <v>645</v>
      </c>
      <c r="AD367" s="331">
        <v>546.20489114050497</v>
      </c>
      <c r="AE367" s="331">
        <v>467.39762686172702</v>
      </c>
      <c r="AF367" s="331">
        <v>113530.48427591599</v>
      </c>
      <c r="AG367" s="331">
        <v>2.45998750979856E-3</v>
      </c>
      <c r="AH367" s="331" t="s">
        <v>422</v>
      </c>
      <c r="AI367" s="331" t="s">
        <v>507</v>
      </c>
      <c r="AJ367" s="331">
        <v>518.72589392276052</v>
      </c>
      <c r="AK367" s="331" t="e">
        <v>#VALUE!</v>
      </c>
      <c r="AM367" s="331">
        <v>5.2500000000000003E-3</v>
      </c>
      <c r="AO367" s="331">
        <v>0.97630871795125596</v>
      </c>
      <c r="AP367" s="331">
        <f t="shared" si="108"/>
        <v>1.1808755477330231</v>
      </c>
      <c r="AQ367" s="331" t="e">
        <f t="shared" si="106"/>
        <v>#VALUE!</v>
      </c>
      <c r="AR367" s="331">
        <f t="shared" si="107"/>
        <v>1.2434312756633699</v>
      </c>
      <c r="AS367" s="331">
        <f t="shared" si="104"/>
        <v>2.1341571772573369</v>
      </c>
      <c r="AT367" s="331" t="e">
        <f t="shared" si="105"/>
        <v>#VALUE!</v>
      </c>
    </row>
    <row r="368" spans="3:46" ht="13.9" x14ac:dyDescent="0.4">
      <c r="C368" s="1565"/>
      <c r="D368" s="1293" t="s">
        <v>441</v>
      </c>
      <c r="E368" s="804" t="s">
        <v>140</v>
      </c>
      <c r="F368" s="1410" t="s">
        <v>88</v>
      </c>
      <c r="G368" s="1489" t="s">
        <v>472</v>
      </c>
      <c r="H368" s="313">
        <v>400</v>
      </c>
      <c r="I368" s="1469" t="s">
        <v>411</v>
      </c>
      <c r="J368" s="1438">
        <v>60.4</v>
      </c>
      <c r="K368" s="1450">
        <v>139.80000000000001</v>
      </c>
      <c r="L368" s="1444">
        <v>4.5</v>
      </c>
      <c r="M368" s="1453">
        <v>3.09</v>
      </c>
      <c r="P368" s="1464">
        <v>199000</v>
      </c>
      <c r="Q368" s="654">
        <v>526</v>
      </c>
      <c r="R368" s="1491">
        <v>7</v>
      </c>
      <c r="S368" s="1491">
        <v>0.3</v>
      </c>
      <c r="T368" s="1218">
        <v>-0.5</v>
      </c>
      <c r="U368" s="654">
        <v>828</v>
      </c>
      <c r="V368" s="1218" t="s">
        <v>412</v>
      </c>
      <c r="W368" s="654">
        <v>199000</v>
      </c>
      <c r="X368" s="331">
        <v>687.24</v>
      </c>
      <c r="Y368" s="1491">
        <v>7</v>
      </c>
      <c r="Z368" s="1491">
        <v>0.3</v>
      </c>
      <c r="AA368" s="1218">
        <v>-0.5</v>
      </c>
      <c r="AB368" s="331">
        <f t="shared" si="103"/>
        <v>828</v>
      </c>
      <c r="AC368" s="1508">
        <v>560</v>
      </c>
      <c r="AD368" s="331">
        <v>447.197162661314</v>
      </c>
      <c r="AE368" s="331">
        <v>381.14450114215703</v>
      </c>
      <c r="AF368" s="331">
        <v>112640.128080899</v>
      </c>
      <c r="AG368" s="331">
        <v>1.9152990007143601E-3</v>
      </c>
      <c r="AH368" s="331" t="s">
        <v>422</v>
      </c>
      <c r="AI368" s="331" t="s">
        <v>507</v>
      </c>
      <c r="AJ368" s="331">
        <v>439.80684598114124</v>
      </c>
      <c r="AK368" s="331" t="e">
        <v>#VALUE!</v>
      </c>
      <c r="AM368" s="331">
        <v>6.2500000000000003E-3</v>
      </c>
      <c r="AO368" s="331">
        <v>0.97873510182649748</v>
      </c>
      <c r="AP368" s="331">
        <f t="shared" si="108"/>
        <v>1.2522440810388538</v>
      </c>
      <c r="AQ368" s="331" t="e">
        <f t="shared" si="106"/>
        <v>#VALUE!</v>
      </c>
      <c r="AR368" s="331">
        <f t="shared" si="107"/>
        <v>1.2732862280729769</v>
      </c>
      <c r="AS368" s="331">
        <f t="shared" si="104"/>
        <v>3.2631980686404063</v>
      </c>
      <c r="AT368" s="331" t="e">
        <f t="shared" si="105"/>
        <v>#VALUE!</v>
      </c>
    </row>
    <row r="369" spans="3:46" ht="13.9" x14ac:dyDescent="0.4">
      <c r="C369" s="1566"/>
      <c r="D369" s="1293" t="s">
        <v>441</v>
      </c>
      <c r="E369" s="806" t="s">
        <v>140</v>
      </c>
      <c r="F369" s="1428" t="s">
        <v>88</v>
      </c>
      <c r="G369" s="1489" t="s">
        <v>472</v>
      </c>
      <c r="H369" s="1442">
        <v>400</v>
      </c>
      <c r="I369" s="1469" t="s">
        <v>411</v>
      </c>
      <c r="J369" s="210">
        <v>60.2</v>
      </c>
      <c r="K369" s="53">
        <v>139.80000000000001</v>
      </c>
      <c r="L369" s="65">
        <v>4</v>
      </c>
      <c r="M369" s="58">
        <v>3.04</v>
      </c>
      <c r="P369" s="1461">
        <v>186000</v>
      </c>
      <c r="Q369" s="1462">
        <v>610</v>
      </c>
      <c r="R369" s="1491">
        <v>7</v>
      </c>
      <c r="S369" s="1491">
        <v>0.3</v>
      </c>
      <c r="T369" s="1218">
        <v>-0.5</v>
      </c>
      <c r="U369" s="1462">
        <v>978</v>
      </c>
      <c r="V369" s="1218" t="s">
        <v>412</v>
      </c>
      <c r="W369" s="1462">
        <v>186000</v>
      </c>
      <c r="X369" s="331">
        <v>811.74</v>
      </c>
      <c r="Y369" s="1491">
        <v>7</v>
      </c>
      <c r="Z369" s="1491">
        <v>0.3</v>
      </c>
      <c r="AA369" s="1218">
        <v>-0.5</v>
      </c>
      <c r="AB369" s="331">
        <f t="shared" si="103"/>
        <v>978</v>
      </c>
      <c r="AC369" s="1508">
        <v>642</v>
      </c>
      <c r="AD369" s="331">
        <v>454.13034461417402</v>
      </c>
      <c r="AE369" s="331">
        <v>392.42522752788898</v>
      </c>
      <c r="AF369" s="331">
        <v>142790.97960809499</v>
      </c>
      <c r="AG369" s="331">
        <v>2.1098130512252102E-3</v>
      </c>
      <c r="AH369" s="331" t="s">
        <v>422</v>
      </c>
      <c r="AI369" s="331" t="s">
        <v>507</v>
      </c>
      <c r="AJ369" s="331">
        <v>478.18905000820047</v>
      </c>
      <c r="AK369" s="331" t="e">
        <v>#VALUE!</v>
      </c>
      <c r="AM369" s="331">
        <v>7.4999999999999997E-3</v>
      </c>
      <c r="AO369" s="331">
        <v>1.1194766659081388</v>
      </c>
      <c r="AP369" s="331">
        <f t="shared" si="108"/>
        <v>1.4136910418206885</v>
      </c>
      <c r="AQ369" s="331" t="e">
        <f t="shared" si="106"/>
        <v>#VALUE!</v>
      </c>
      <c r="AR369" s="331">
        <f t="shared" si="107"/>
        <v>1.3425652469227187</v>
      </c>
      <c r="AS369" s="331">
        <f t="shared" si="104"/>
        <v>3.5548173311586075</v>
      </c>
      <c r="AT369" s="331" t="e">
        <f t="shared" si="105"/>
        <v>#VALUE!</v>
      </c>
    </row>
    <row r="370" spans="3:46" ht="13.9" x14ac:dyDescent="0.4">
      <c r="C370" s="1559" t="s">
        <v>216</v>
      </c>
      <c r="D370" s="1293" t="s">
        <v>441</v>
      </c>
      <c r="E370" s="810" t="s">
        <v>159</v>
      </c>
      <c r="F370" s="1410" t="s">
        <v>127</v>
      </c>
      <c r="G370" s="1489" t="s">
        <v>472</v>
      </c>
      <c r="H370" s="294">
        <v>239.9</v>
      </c>
      <c r="I370" s="1469" t="s">
        <v>411</v>
      </c>
      <c r="J370" s="1440">
        <v>39</v>
      </c>
      <c r="K370" s="654">
        <v>79.5</v>
      </c>
      <c r="L370" s="654">
        <v>3.5</v>
      </c>
      <c r="M370" s="654">
        <v>3.76</v>
      </c>
      <c r="P370" s="1465">
        <v>199500</v>
      </c>
      <c r="Q370" s="654">
        <v>734</v>
      </c>
      <c r="R370" s="1491">
        <v>7</v>
      </c>
      <c r="S370" s="1491">
        <v>0.3</v>
      </c>
      <c r="T370" s="1218">
        <v>-0.5</v>
      </c>
      <c r="U370" s="654">
        <v>817</v>
      </c>
      <c r="V370" s="1218" t="s">
        <v>412</v>
      </c>
      <c r="W370" s="654">
        <v>213800</v>
      </c>
      <c r="X370" s="331">
        <v>831</v>
      </c>
      <c r="Y370" s="1491">
        <v>7</v>
      </c>
      <c r="Z370" s="1491">
        <v>0.3</v>
      </c>
      <c r="AA370" s="1218">
        <v>-0.5</v>
      </c>
      <c r="AB370" s="331">
        <f t="shared" si="103"/>
        <v>872.55000000000007</v>
      </c>
      <c r="AC370" s="1507">
        <v>709</v>
      </c>
      <c r="AD370" s="331">
        <v>679.42849606675702</v>
      </c>
      <c r="AE370" s="331">
        <v>849.08530080697096</v>
      </c>
      <c r="AF370" s="331">
        <v>19717.0546287203</v>
      </c>
      <c r="AG370" s="331">
        <v>4.2560666707116297E-3</v>
      </c>
      <c r="AH370" s="331" t="s">
        <v>490</v>
      </c>
      <c r="AI370" s="331">
        <v>621.25962243274807</v>
      </c>
      <c r="AJ370" s="331">
        <v>561.42679732141528</v>
      </c>
      <c r="AK370" s="331">
        <v>8.2729529383569929E-3</v>
      </c>
      <c r="AM370" s="331">
        <v>1.8049187161317214E-2</v>
      </c>
      <c r="AO370" s="331">
        <v>0.4870428525406324</v>
      </c>
      <c r="AP370" s="331">
        <f t="shared" si="108"/>
        <v>1.0435240854695289</v>
      </c>
      <c r="AQ370" s="331">
        <f t="shared" si="106"/>
        <v>1.1412298086002683</v>
      </c>
      <c r="AR370" s="331">
        <f t="shared" si="107"/>
        <v>1.2628538633757083</v>
      </c>
      <c r="AS370" s="331">
        <f t="shared" si="104"/>
        <v>4.2408140092174182</v>
      </c>
      <c r="AT370" s="331">
        <f t="shared" si="105"/>
        <v>2.1817103633738042</v>
      </c>
    </row>
    <row r="371" spans="3:46" ht="13.9" x14ac:dyDescent="0.4">
      <c r="C371" s="1559"/>
      <c r="D371" s="1293" t="s">
        <v>441</v>
      </c>
      <c r="E371" s="810" t="s">
        <v>160</v>
      </c>
      <c r="F371" s="1410" t="s">
        <v>222</v>
      </c>
      <c r="G371" s="1489" t="s">
        <v>472</v>
      </c>
      <c r="H371" s="294">
        <v>237.8</v>
      </c>
      <c r="I371" s="1469" t="s">
        <v>411</v>
      </c>
      <c r="J371" s="1440">
        <v>39</v>
      </c>
      <c r="K371" s="654">
        <v>79.5</v>
      </c>
      <c r="L371" s="654">
        <v>4.3</v>
      </c>
      <c r="M371" s="654">
        <v>3.81</v>
      </c>
      <c r="P371" s="1465">
        <v>199500</v>
      </c>
      <c r="Q371" s="654">
        <v>734</v>
      </c>
      <c r="R371" s="1491">
        <v>7</v>
      </c>
      <c r="S371" s="1491">
        <v>0.3</v>
      </c>
      <c r="T371" s="1218">
        <v>-0.5</v>
      </c>
      <c r="U371" s="654">
        <v>817</v>
      </c>
      <c r="V371" s="1218" t="s">
        <v>412</v>
      </c>
      <c r="W371" s="654">
        <v>213800</v>
      </c>
      <c r="X371" s="331">
        <v>831</v>
      </c>
      <c r="Y371" s="1491">
        <v>7</v>
      </c>
      <c r="Z371" s="1491">
        <v>0.3</v>
      </c>
      <c r="AA371" s="1218">
        <v>-0.5</v>
      </c>
      <c r="AB371" s="331">
        <f t="shared" si="103"/>
        <v>872.55000000000007</v>
      </c>
      <c r="AC371" s="1509">
        <v>710</v>
      </c>
      <c r="AD371" s="331">
        <v>689.01676147696696</v>
      </c>
      <c r="AE371" s="331">
        <v>859.64284753684296</v>
      </c>
      <c r="AF371" s="331">
        <v>18438.256691275601</v>
      </c>
      <c r="AG371" s="331">
        <v>4.3089867044453197E-3</v>
      </c>
      <c r="AH371" s="331" t="s">
        <v>490</v>
      </c>
      <c r="AI371" s="331">
        <v>628.25054091473703</v>
      </c>
      <c r="AJ371" s="331">
        <v>593.65919999999994</v>
      </c>
      <c r="AK371" s="331">
        <v>7.9128346450973112E-3</v>
      </c>
      <c r="AM371" s="331">
        <v>1.7325483599663582E-2</v>
      </c>
      <c r="AO371" s="331">
        <v>0.46852938327570259</v>
      </c>
      <c r="AP371" s="331">
        <f t="shared" si="108"/>
        <v>1.030453886895369</v>
      </c>
      <c r="AQ371" s="331">
        <f t="shared" si="106"/>
        <v>1.1301223855155544</v>
      </c>
      <c r="AR371" s="331">
        <f t="shared" si="107"/>
        <v>1.1959723693324387</v>
      </c>
      <c r="AS371" s="331">
        <f t="shared" si="104"/>
        <v>4.0207790805643313</v>
      </c>
      <c r="AT371" s="331">
        <f t="shared" si="105"/>
        <v>2.1895419753777143</v>
      </c>
    </row>
    <row r="372" spans="3:46" ht="13.9" x14ac:dyDescent="0.4">
      <c r="C372" s="1552" t="s">
        <v>208</v>
      </c>
      <c r="D372" s="1293" t="s">
        <v>441</v>
      </c>
      <c r="E372" s="659" t="s">
        <v>217</v>
      </c>
      <c r="F372" s="801" t="s">
        <v>127</v>
      </c>
      <c r="G372" s="1489" t="s">
        <v>472</v>
      </c>
      <c r="H372" s="582">
        <v>362</v>
      </c>
      <c r="I372" s="1469" t="s">
        <v>411</v>
      </c>
      <c r="J372" s="584">
        <v>80</v>
      </c>
      <c r="K372" s="583">
        <v>119.9</v>
      </c>
      <c r="L372" s="583">
        <v>3.7</v>
      </c>
      <c r="M372" s="583">
        <v>2.84</v>
      </c>
      <c r="P372" s="555">
        <v>216000</v>
      </c>
      <c r="Q372" s="394">
        <v>423</v>
      </c>
      <c r="R372" s="1491">
        <v>7</v>
      </c>
      <c r="S372" s="1491">
        <v>0.3</v>
      </c>
      <c r="T372" s="1218">
        <v>-0.5</v>
      </c>
      <c r="U372" s="394">
        <v>472</v>
      </c>
      <c r="V372" s="1218" t="s">
        <v>412</v>
      </c>
      <c r="W372" s="555">
        <v>216000</v>
      </c>
      <c r="X372" s="331">
        <v>535</v>
      </c>
      <c r="Y372" s="1491">
        <v>7</v>
      </c>
      <c r="Z372" s="1491">
        <v>0.3</v>
      </c>
      <c r="AA372" s="1218">
        <v>-0.5</v>
      </c>
      <c r="AB372" s="331">
        <f t="shared" si="103"/>
        <v>561.75</v>
      </c>
      <c r="AC372" s="580">
        <v>449</v>
      </c>
      <c r="AD372" s="331">
        <v>373.094753028181</v>
      </c>
      <c r="AE372" s="331">
        <v>344.84941207936401</v>
      </c>
      <c r="AF372" s="331">
        <v>69703.847396078898</v>
      </c>
      <c r="AG372" s="331">
        <v>1.5965250559229799E-3</v>
      </c>
      <c r="AH372" s="331" t="s">
        <v>422</v>
      </c>
      <c r="AI372" s="331" t="s">
        <v>507</v>
      </c>
      <c r="AJ372" s="331">
        <v>363.03244567849993</v>
      </c>
      <c r="AK372" s="331" t="e">
        <v>#VALUE!</v>
      </c>
      <c r="AM372" s="331">
        <v>3.2044198895027623E-3</v>
      </c>
      <c r="AO372" s="331">
        <v>0.79739127807294163</v>
      </c>
      <c r="AP372" s="331">
        <f t="shared" si="108"/>
        <v>1.2034476399245573</v>
      </c>
      <c r="AQ372" s="331" t="e">
        <f t="shared" si="106"/>
        <v>#VALUE!</v>
      </c>
      <c r="AR372" s="331">
        <f t="shared" si="107"/>
        <v>1.2368040524885553</v>
      </c>
      <c r="AS372" s="331">
        <f t="shared" si="104"/>
        <v>2.007121577963729</v>
      </c>
      <c r="AT372" s="331" t="e">
        <f t="shared" si="105"/>
        <v>#VALUE!</v>
      </c>
    </row>
    <row r="373" spans="3:46" ht="13.9" x14ac:dyDescent="0.4">
      <c r="C373" s="1553"/>
      <c r="D373" s="1293" t="s">
        <v>441</v>
      </c>
      <c r="E373" s="660" t="s">
        <v>218</v>
      </c>
      <c r="F373" s="802" t="s">
        <v>127</v>
      </c>
      <c r="G373" s="1489" t="s">
        <v>472</v>
      </c>
      <c r="H373" s="585">
        <v>362.2</v>
      </c>
      <c r="I373" s="1469" t="s">
        <v>411</v>
      </c>
      <c r="J373" s="1457">
        <v>80</v>
      </c>
      <c r="K373" s="1456">
        <v>120</v>
      </c>
      <c r="L373" s="1456">
        <v>3.9</v>
      </c>
      <c r="M373" s="1456">
        <v>2.83</v>
      </c>
      <c r="P373" s="575">
        <v>216000</v>
      </c>
      <c r="Q373" s="1483">
        <v>423</v>
      </c>
      <c r="R373" s="1491">
        <v>7</v>
      </c>
      <c r="S373" s="1491">
        <v>0.3</v>
      </c>
      <c r="T373" s="1218">
        <v>-0.5</v>
      </c>
      <c r="U373" s="1483">
        <v>472</v>
      </c>
      <c r="V373" s="1218" t="s">
        <v>412</v>
      </c>
      <c r="W373" s="575">
        <v>216000</v>
      </c>
      <c r="X373" s="331">
        <v>535</v>
      </c>
      <c r="Y373" s="1491">
        <v>7</v>
      </c>
      <c r="Z373" s="1491">
        <v>0.3</v>
      </c>
      <c r="AA373" s="1218">
        <v>-0.5</v>
      </c>
      <c r="AB373" s="331">
        <f t="shared" si="103"/>
        <v>561.75</v>
      </c>
      <c r="AC373" s="580">
        <v>441</v>
      </c>
      <c r="AD373" s="331">
        <v>370.70690946471899</v>
      </c>
      <c r="AE373" s="331">
        <v>343.99117312385499</v>
      </c>
      <c r="AF373" s="331">
        <v>70411.551157387803</v>
      </c>
      <c r="AG373" s="331">
        <v>1.59255172742525E-3</v>
      </c>
      <c r="AH373" s="331" t="s">
        <v>422</v>
      </c>
      <c r="AI373" s="331" t="s">
        <v>507</v>
      </c>
      <c r="AJ373" s="331">
        <v>361.12568914393273</v>
      </c>
      <c r="AK373" s="331" t="e">
        <v>#VALUE!</v>
      </c>
      <c r="AM373" s="331">
        <v>3.2854776366648261E-3</v>
      </c>
      <c r="AO373" s="331">
        <v>0.79840462518453481</v>
      </c>
      <c r="AP373" s="331">
        <f t="shared" si="108"/>
        <v>1.1896190460457845</v>
      </c>
      <c r="AQ373" s="331" t="e">
        <f t="shared" si="106"/>
        <v>#VALUE!</v>
      </c>
      <c r="AR373" s="331">
        <f t="shared" si="107"/>
        <v>1.221181470211697</v>
      </c>
      <c r="AS373" s="331">
        <f t="shared" si="104"/>
        <v>2.0630272662958369</v>
      </c>
      <c r="AT373" s="331" t="e">
        <f t="shared" si="105"/>
        <v>#VALUE!</v>
      </c>
    </row>
    <row r="374" spans="3:46" ht="13.9" x14ac:dyDescent="0.4">
      <c r="C374" s="1553"/>
      <c r="D374" s="1293" t="s">
        <v>441</v>
      </c>
      <c r="E374" s="660" t="s">
        <v>219</v>
      </c>
      <c r="F374" s="802" t="s">
        <v>127</v>
      </c>
      <c r="G374" s="1489" t="s">
        <v>472</v>
      </c>
      <c r="H374" s="585">
        <v>122.1</v>
      </c>
      <c r="I374" s="1469" t="s">
        <v>411</v>
      </c>
      <c r="J374" s="1457">
        <v>40</v>
      </c>
      <c r="K374" s="1456">
        <v>59.9</v>
      </c>
      <c r="L374" s="1456">
        <v>3.19</v>
      </c>
      <c r="M374" s="1456">
        <v>2.81</v>
      </c>
      <c r="P374" s="575">
        <v>219300</v>
      </c>
      <c r="Q374" s="1483">
        <v>454</v>
      </c>
      <c r="R374" s="1491">
        <v>7</v>
      </c>
      <c r="S374" s="1491">
        <v>0.3</v>
      </c>
      <c r="T374" s="1218">
        <v>-0.5</v>
      </c>
      <c r="U374" s="1483">
        <v>475</v>
      </c>
      <c r="V374" s="1218" t="s">
        <v>457</v>
      </c>
      <c r="W374" s="575">
        <v>219300</v>
      </c>
      <c r="X374" s="331">
        <v>545</v>
      </c>
      <c r="Y374" s="1491">
        <v>7</v>
      </c>
      <c r="Z374" s="1491">
        <v>0.3</v>
      </c>
      <c r="AA374" s="1218">
        <v>-0.5</v>
      </c>
      <c r="AB374" s="331">
        <f t="shared" si="103"/>
        <v>572.25</v>
      </c>
      <c r="AC374" s="580">
        <v>278</v>
      </c>
      <c r="AD374" s="331">
        <v>300.942976364846</v>
      </c>
      <c r="AE374" s="331">
        <v>600.42646267473106</v>
      </c>
      <c r="AF374" s="331">
        <v>5897.4591372232098</v>
      </c>
      <c r="AG374" s="331">
        <v>2.7379227664146399E-3</v>
      </c>
      <c r="AH374" s="331" t="s">
        <v>422</v>
      </c>
      <c r="AI374" s="331">
        <v>235.69064657423857</v>
      </c>
      <c r="AJ374" s="331">
        <v>230.67740000000001</v>
      </c>
      <c r="AK374" s="331">
        <v>1.3465140513160502E-3</v>
      </c>
      <c r="AM374" s="331">
        <v>1.7854217854217855E-2</v>
      </c>
      <c r="AO374" s="331">
        <v>0.37399413195337261</v>
      </c>
      <c r="AP374" s="331">
        <f t="shared" si="108"/>
        <v>0.92376304427510125</v>
      </c>
      <c r="AQ374" s="331">
        <f t="shared" si="106"/>
        <v>1.1795122294445177</v>
      </c>
      <c r="AR374" s="331">
        <f t="shared" si="107"/>
        <v>1.2051462345249253</v>
      </c>
      <c r="AS374" s="331">
        <f t="shared" si="104"/>
        <v>6.5210816291937554</v>
      </c>
      <c r="AT374" s="331">
        <f t="shared" si="105"/>
        <v>13.259585250348911</v>
      </c>
    </row>
    <row r="375" spans="3:46" ht="13.9" x14ac:dyDescent="0.4">
      <c r="C375" s="1553"/>
      <c r="D375" s="1293" t="s">
        <v>441</v>
      </c>
      <c r="E375" s="660" t="s">
        <v>220</v>
      </c>
      <c r="F375" s="802" t="s">
        <v>127</v>
      </c>
      <c r="G375" s="1489" t="s">
        <v>472</v>
      </c>
      <c r="H375" s="585">
        <v>122.1</v>
      </c>
      <c r="I375" s="1469" t="s">
        <v>411</v>
      </c>
      <c r="J375" s="1457">
        <v>40</v>
      </c>
      <c r="K375" s="1456">
        <v>59.9</v>
      </c>
      <c r="L375" s="1456">
        <v>3.19</v>
      </c>
      <c r="M375" s="1456">
        <v>2.81</v>
      </c>
      <c r="P375" s="575">
        <v>219300</v>
      </c>
      <c r="Q375" s="1483">
        <v>454</v>
      </c>
      <c r="R375" s="1491">
        <v>7</v>
      </c>
      <c r="S375" s="1491">
        <v>0.3</v>
      </c>
      <c r="T375" s="1218">
        <v>-0.5</v>
      </c>
      <c r="U375" s="1483">
        <v>475</v>
      </c>
      <c r="V375" s="1218" t="s">
        <v>457</v>
      </c>
      <c r="W375" s="575">
        <v>219300</v>
      </c>
      <c r="X375" s="331">
        <v>545</v>
      </c>
      <c r="Y375" s="1491">
        <v>7</v>
      </c>
      <c r="Z375" s="1491">
        <v>0.3</v>
      </c>
      <c r="AA375" s="1218">
        <v>-0.5</v>
      </c>
      <c r="AB375" s="331">
        <f t="shared" si="103"/>
        <v>572.25</v>
      </c>
      <c r="AC375" s="580">
        <v>271</v>
      </c>
      <c r="AD375" s="331">
        <v>300.942976364846</v>
      </c>
      <c r="AE375" s="331">
        <v>600.42646267473106</v>
      </c>
      <c r="AF375" s="331">
        <v>5897.4591372232098</v>
      </c>
      <c r="AG375" s="331">
        <v>2.7379227664146399E-3</v>
      </c>
      <c r="AH375" s="331" t="s">
        <v>422</v>
      </c>
      <c r="AI375" s="331">
        <v>235.6442599089022</v>
      </c>
      <c r="AJ375" s="331">
        <v>230.63200000000001</v>
      </c>
      <c r="AK375" s="331">
        <v>1.3496800663075014E-3</v>
      </c>
      <c r="AM375" s="331">
        <v>1.7362817362817366E-2</v>
      </c>
      <c r="AO375" s="331">
        <v>0.37186590834468802</v>
      </c>
      <c r="AP375" s="331">
        <f t="shared" si="108"/>
        <v>0.90050282373580015</v>
      </c>
      <c r="AQ375" s="331">
        <f t="shared" si="106"/>
        <v>1.1500386222213348</v>
      </c>
      <c r="AR375" s="331">
        <f t="shared" si="107"/>
        <v>1.1750320857469909</v>
      </c>
      <c r="AS375" s="331">
        <f t="shared" si="104"/>
        <v>6.3416023182985155</v>
      </c>
      <c r="AT375" s="331">
        <f t="shared" si="105"/>
        <v>12.864394900873899</v>
      </c>
    </row>
    <row r="376" spans="3:46" ht="14.25" thickBot="1" x14ac:dyDescent="0.45">
      <c r="D376" s="1293" t="s">
        <v>441</v>
      </c>
      <c r="E376" s="1421" t="s">
        <v>476</v>
      </c>
      <c r="F376" s="1430" t="s">
        <v>338</v>
      </c>
      <c r="G376" s="331" t="s">
        <v>472</v>
      </c>
      <c r="H376" s="331">
        <v>1000</v>
      </c>
      <c r="I376" s="331" t="s">
        <v>429</v>
      </c>
      <c r="J376" s="331">
        <v>45</v>
      </c>
      <c r="K376" s="331">
        <v>125</v>
      </c>
      <c r="L376" s="331">
        <v>0.1</v>
      </c>
      <c r="M376" s="331">
        <v>1.524</v>
      </c>
      <c r="O376" s="331">
        <v>15</v>
      </c>
      <c r="P376" s="331">
        <v>203000</v>
      </c>
      <c r="Q376" s="331">
        <v>454</v>
      </c>
      <c r="R376" s="331">
        <v>7.5</v>
      </c>
      <c r="S376" s="331">
        <v>0.3</v>
      </c>
      <c r="T376" s="331">
        <v>-0.46</v>
      </c>
      <c r="U376" s="331">
        <v>500</v>
      </c>
      <c r="V376" s="1218" t="s">
        <v>457</v>
      </c>
    </row>
    <row r="379" spans="3:46" x14ac:dyDescent="0.35">
      <c r="G379" s="331" t="s">
        <v>477</v>
      </c>
    </row>
    <row r="382" spans="3:46" x14ac:dyDescent="0.35">
      <c r="AJ382" s="331" t="s">
        <v>492</v>
      </c>
      <c r="AK382" s="331" t="s">
        <v>503</v>
      </c>
      <c r="AL382" s="331" t="s">
        <v>504</v>
      </c>
      <c r="AM382" s="331" t="s">
        <v>505</v>
      </c>
      <c r="AO382" s="331" t="s">
        <v>492</v>
      </c>
      <c r="AP382" s="331" t="s">
        <v>503</v>
      </c>
      <c r="AQ382" s="331" t="s">
        <v>504</v>
      </c>
      <c r="AR382" s="331" t="s">
        <v>505</v>
      </c>
    </row>
    <row r="383" spans="3:46" x14ac:dyDescent="0.35">
      <c r="AB383" s="331" t="s">
        <v>473</v>
      </c>
      <c r="AC383" s="331">
        <v>0.70549582528815902</v>
      </c>
      <c r="AD383" s="331" t="s">
        <v>474</v>
      </c>
      <c r="AE383" s="331">
        <v>0.92705230598766275</v>
      </c>
      <c r="AF383" s="331" t="s">
        <v>475</v>
      </c>
      <c r="AJ383" s="331">
        <v>0.33142263162217356</v>
      </c>
      <c r="AK383" s="331">
        <v>1.0128381595256661</v>
      </c>
      <c r="AL383" s="331">
        <v>1.0268700173689533</v>
      </c>
      <c r="AM383" s="331">
        <v>1.2804351669054279</v>
      </c>
      <c r="AO383" s="331">
        <v>0.70549582528815902</v>
      </c>
      <c r="AP383" s="331">
        <v>0.92705230598766275</v>
      </c>
      <c r="AQ383" s="331" t="e">
        <v>#VALUE!</v>
      </c>
      <c r="AR383" s="331">
        <v>1.0372685698079023</v>
      </c>
    </row>
    <row r="384" spans="3:46" x14ac:dyDescent="0.35">
      <c r="AB384" s="331" t="s">
        <v>473</v>
      </c>
      <c r="AC384" s="331">
        <v>0.72544976719427601</v>
      </c>
      <c r="AD384" s="331" t="s">
        <v>474</v>
      </c>
      <c r="AE384" s="331">
        <v>0.99634450482040071</v>
      </c>
      <c r="AF384" s="331" t="s">
        <v>475</v>
      </c>
      <c r="AJ384" s="331">
        <v>0.35090911267109387</v>
      </c>
      <c r="AK384" s="331">
        <v>1.1376601275216931</v>
      </c>
      <c r="AL384" s="331">
        <v>1.0326797141622555</v>
      </c>
      <c r="AM384" s="331">
        <v>1.2321378644486292</v>
      </c>
      <c r="AO384" s="331">
        <v>0.72544976719427601</v>
      </c>
      <c r="AP384" s="331">
        <v>0.99634450482040071</v>
      </c>
      <c r="AQ384" s="331" t="e">
        <v>#VALUE!</v>
      </c>
      <c r="AR384" s="331">
        <v>0.99998346941323235</v>
      </c>
    </row>
    <row r="385" spans="28:44" x14ac:dyDescent="0.35">
      <c r="AB385" s="331" t="s">
        <v>473</v>
      </c>
      <c r="AC385" s="331">
        <v>0.74724602263405582</v>
      </c>
      <c r="AD385" s="331" t="s">
        <v>474</v>
      </c>
      <c r="AE385" s="331">
        <v>1.0618695150300494</v>
      </c>
      <c r="AF385" s="331" t="s">
        <v>475</v>
      </c>
      <c r="AJ385" s="331">
        <v>0.3688835668968804</v>
      </c>
      <c r="AK385" s="331">
        <v>1.0216588202701946</v>
      </c>
      <c r="AL385" s="331">
        <v>1.0331841795823766</v>
      </c>
      <c r="AM385" s="331">
        <v>1.1506214201714087</v>
      </c>
      <c r="AO385" s="331">
        <v>0.74724602263405582</v>
      </c>
      <c r="AP385" s="331">
        <v>1.0618695150300494</v>
      </c>
      <c r="AQ385" s="331" t="e">
        <v>#VALUE!</v>
      </c>
      <c r="AR385" s="331">
        <v>1.0887704125349855</v>
      </c>
    </row>
    <row r="386" spans="28:44" x14ac:dyDescent="0.35">
      <c r="AB386" s="331" t="s">
        <v>473</v>
      </c>
      <c r="AC386" s="331">
        <v>0.77803232835042102</v>
      </c>
      <c r="AD386" s="331" t="s">
        <v>474</v>
      </c>
      <c r="AE386" s="331">
        <v>1.0867833418591932</v>
      </c>
      <c r="AF386" s="331" t="s">
        <v>475</v>
      </c>
      <c r="AJ386" s="331">
        <v>0.39780109362539567</v>
      </c>
      <c r="AK386" s="331">
        <v>0.95465518639137315</v>
      </c>
      <c r="AL386" s="331">
        <v>0.99456745155045545</v>
      </c>
      <c r="AM386" s="331">
        <v>1.1265984174374377</v>
      </c>
      <c r="AO386" s="331">
        <v>0.77803232835042102</v>
      </c>
      <c r="AP386" s="331">
        <v>1.0867833418591932</v>
      </c>
      <c r="AQ386" s="331" t="e">
        <v>#VALUE!</v>
      </c>
      <c r="AR386" s="331">
        <v>1.2181147187889054</v>
      </c>
    </row>
    <row r="387" spans="28:44" x14ac:dyDescent="0.35">
      <c r="AB387" s="331" t="s">
        <v>473</v>
      </c>
      <c r="AC387" s="331">
        <v>0.77958161304296325</v>
      </c>
      <c r="AD387" s="331" t="s">
        <v>474</v>
      </c>
      <c r="AE387" s="331">
        <v>1.1200786383241808</v>
      </c>
      <c r="AF387" s="331" t="s">
        <v>475</v>
      </c>
      <c r="AJ387" s="331">
        <v>0.40124666562972583</v>
      </c>
      <c r="AK387" s="331">
        <v>1.1663858272545697</v>
      </c>
      <c r="AL387" s="331">
        <v>1.1342592712754465</v>
      </c>
      <c r="AM387" s="331">
        <v>1.2800369781568051</v>
      </c>
      <c r="AO387" s="331">
        <v>0.77958161304296325</v>
      </c>
      <c r="AP387" s="331">
        <v>1.1200786383241808</v>
      </c>
      <c r="AQ387" s="331" t="e">
        <v>#VALUE!</v>
      </c>
      <c r="AR387" s="331">
        <v>1.1003899671741406</v>
      </c>
    </row>
    <row r="388" spans="28:44" x14ac:dyDescent="0.35">
      <c r="AB388" s="331" t="s">
        <v>473</v>
      </c>
      <c r="AC388" s="331">
        <v>0.78645016137618384</v>
      </c>
      <c r="AD388" s="331" t="s">
        <v>474</v>
      </c>
      <c r="AE388" s="331">
        <v>0.91649224179244582</v>
      </c>
      <c r="AF388" s="331" t="s">
        <v>475</v>
      </c>
      <c r="AJ388" s="331">
        <v>0.40894896164511363</v>
      </c>
      <c r="AK388" s="331">
        <v>0.96976042192537804</v>
      </c>
      <c r="AL388" s="331">
        <v>1.0809150535416931</v>
      </c>
      <c r="AM388" s="331">
        <v>1.16095251144378</v>
      </c>
      <c r="AO388" s="331">
        <v>0.78645016137618384</v>
      </c>
      <c r="AP388" s="331">
        <v>0.91649224179244582</v>
      </c>
      <c r="AQ388" s="331" t="e">
        <v>#VALUE!</v>
      </c>
      <c r="AR388" s="331">
        <v>1.0186830587022802</v>
      </c>
    </row>
    <row r="389" spans="28:44" x14ac:dyDescent="0.35">
      <c r="AB389" s="331" t="s">
        <v>473</v>
      </c>
      <c r="AC389" s="331">
        <v>0.81408176236909191</v>
      </c>
      <c r="AD389" s="331" t="s">
        <v>474</v>
      </c>
      <c r="AE389" s="331">
        <v>0.9996979978643753</v>
      </c>
      <c r="AF389" s="331" t="s">
        <v>475</v>
      </c>
      <c r="AJ389" s="331">
        <v>0.41969578029887661</v>
      </c>
      <c r="AK389" s="331">
        <v>1.1176998477681359</v>
      </c>
      <c r="AL389" s="331">
        <v>1.0903535590869498</v>
      </c>
      <c r="AM389" s="331">
        <v>1.1907626586753262</v>
      </c>
      <c r="AO389" s="331">
        <v>0.81408176236909191</v>
      </c>
      <c r="AP389" s="331">
        <v>0.9996979978643753</v>
      </c>
      <c r="AQ389" s="331" t="e">
        <v>#VALUE!</v>
      </c>
      <c r="AR389" s="331">
        <v>1.1394613841219965</v>
      </c>
    </row>
    <row r="390" spans="28:44" x14ac:dyDescent="0.35">
      <c r="AB390" s="331" t="s">
        <v>473</v>
      </c>
      <c r="AC390" s="331">
        <v>0.81937251694213142</v>
      </c>
      <c r="AD390" s="331" t="s">
        <v>474</v>
      </c>
      <c r="AE390" s="331">
        <v>1.1231587463399317</v>
      </c>
      <c r="AF390" s="331" t="s">
        <v>475</v>
      </c>
      <c r="AJ390" s="331">
        <v>0.42635900347573891</v>
      </c>
      <c r="AK390" s="331">
        <v>0.9317383310428109</v>
      </c>
      <c r="AL390" s="331">
        <v>1.026514844052389</v>
      </c>
      <c r="AM390" s="331">
        <v>1.1442768451620398</v>
      </c>
      <c r="AO390" s="331">
        <v>0.81937251694213142</v>
      </c>
      <c r="AP390" s="331">
        <v>1.1231587463399317</v>
      </c>
      <c r="AQ390" s="331" t="e">
        <v>#VALUE!</v>
      </c>
      <c r="AR390" s="331">
        <v>1.085600466658408</v>
      </c>
    </row>
    <row r="391" spans="28:44" x14ac:dyDescent="0.35">
      <c r="AB391" s="331" t="s">
        <v>473</v>
      </c>
      <c r="AC391" s="331">
        <v>0.87685589295219613</v>
      </c>
      <c r="AD391" s="331" t="s">
        <v>474</v>
      </c>
      <c r="AE391" s="331">
        <v>0.93811289005191689</v>
      </c>
      <c r="AF391" s="331" t="s">
        <v>475</v>
      </c>
      <c r="AJ391" s="331">
        <v>0.44468216355703677</v>
      </c>
      <c r="AK391" s="331">
        <v>1.0009827834251039</v>
      </c>
      <c r="AL391" s="331">
        <v>1.0840212491545966</v>
      </c>
      <c r="AM391" s="331">
        <v>1.1741396192626703</v>
      </c>
      <c r="AO391" s="331">
        <v>0.87685589295219613</v>
      </c>
      <c r="AP391" s="331">
        <v>0.93811289005191689</v>
      </c>
      <c r="AQ391" s="331" t="e">
        <v>#VALUE!</v>
      </c>
      <c r="AR391" s="331">
        <v>1.0730466514073806</v>
      </c>
    </row>
    <row r="392" spans="28:44" x14ac:dyDescent="0.35">
      <c r="AB392" s="331" t="s">
        <v>473</v>
      </c>
      <c r="AC392" s="331">
        <v>0.88814529461645664</v>
      </c>
      <c r="AD392" s="331" t="s">
        <v>474</v>
      </c>
      <c r="AE392" s="331">
        <v>0.94508192577254346</v>
      </c>
      <c r="AF392" s="331" t="s">
        <v>475</v>
      </c>
      <c r="AJ392" s="331">
        <v>0.4522911790856089</v>
      </c>
      <c r="AK392" s="331">
        <v>0.9929243279847948</v>
      </c>
      <c r="AL392" s="331">
        <v>1.0501088744003535</v>
      </c>
      <c r="AM392" s="331">
        <v>1.0997098104150465</v>
      </c>
      <c r="AO392" s="331">
        <v>0.88814529461645664</v>
      </c>
      <c r="AP392" s="331">
        <v>0.94508192577254346</v>
      </c>
      <c r="AQ392" s="331" t="e">
        <v>#VALUE!</v>
      </c>
      <c r="AR392" s="331">
        <v>0.97628341854566325</v>
      </c>
    </row>
    <row r="393" spans="28:44" x14ac:dyDescent="0.35">
      <c r="AB393" s="331" t="s">
        <v>473</v>
      </c>
      <c r="AC393" s="331">
        <v>0.8985420526775596</v>
      </c>
      <c r="AD393" s="331" t="s">
        <v>474</v>
      </c>
      <c r="AE393" s="331">
        <v>0.95493400467924872</v>
      </c>
      <c r="AF393" s="331" t="s">
        <v>475</v>
      </c>
      <c r="AJ393" s="331">
        <v>0.45694006481673377</v>
      </c>
      <c r="AK393" s="331">
        <v>1.0332809051125293</v>
      </c>
      <c r="AL393" s="331">
        <v>1.0998277441958435</v>
      </c>
      <c r="AM393" s="331">
        <v>1.1493388332693346</v>
      </c>
      <c r="AO393" s="331">
        <v>0.8985420526775596</v>
      </c>
      <c r="AP393" s="331">
        <v>0.95493400467924872</v>
      </c>
      <c r="AQ393" s="331" t="e">
        <v>#VALUE!</v>
      </c>
      <c r="AR393" s="331">
        <v>1.0013195539047191</v>
      </c>
    </row>
    <row r="394" spans="28:44" x14ac:dyDescent="0.35">
      <c r="AB394" s="331" t="s">
        <v>473</v>
      </c>
      <c r="AC394" s="331">
        <v>0.9339230295828137</v>
      </c>
      <c r="AD394" s="331" t="s">
        <v>474</v>
      </c>
      <c r="AE394" s="331">
        <v>0.91136536073720331</v>
      </c>
      <c r="AF394" s="331" t="s">
        <v>475</v>
      </c>
      <c r="AJ394" s="331">
        <v>0.50041234112948407</v>
      </c>
      <c r="AK394" s="331">
        <v>0.97683729968542665</v>
      </c>
      <c r="AL394" s="331">
        <v>1.0390705479340629</v>
      </c>
      <c r="AM394" s="331">
        <v>1.068705509038534</v>
      </c>
      <c r="AO394" s="331">
        <v>0.9339230295828137</v>
      </c>
      <c r="AP394" s="331">
        <v>0.91136536073720331</v>
      </c>
      <c r="AQ394" s="331" t="e">
        <v>#VALUE!</v>
      </c>
      <c r="AR394" s="331">
        <v>1.009241150647219</v>
      </c>
    </row>
    <row r="395" spans="28:44" x14ac:dyDescent="0.35">
      <c r="AB395" s="331" t="s">
        <v>473</v>
      </c>
      <c r="AC395" s="331">
        <v>1.0110674880328285</v>
      </c>
      <c r="AD395" s="331" t="s">
        <v>474</v>
      </c>
      <c r="AE395" s="331">
        <v>0.98633906737858279</v>
      </c>
      <c r="AF395" s="331" t="s">
        <v>475</v>
      </c>
      <c r="AJ395" s="331">
        <v>0.51776410829546937</v>
      </c>
      <c r="AK395" s="331">
        <v>1.0315735819874081</v>
      </c>
      <c r="AL395" s="331">
        <v>1.0485292521559562</v>
      </c>
      <c r="AM395" s="331">
        <v>1.097249613521508</v>
      </c>
      <c r="AO395" s="331">
        <v>1.0110674880328285</v>
      </c>
      <c r="AP395" s="331">
        <v>0.98633906737858279</v>
      </c>
      <c r="AQ395" s="331" t="e">
        <v>#VALUE!</v>
      </c>
      <c r="AR395" s="331">
        <v>1.0366919602199773</v>
      </c>
    </row>
    <row r="396" spans="28:44" x14ac:dyDescent="0.35">
      <c r="AB396" s="331" t="s">
        <v>473</v>
      </c>
      <c r="AC396" s="331">
        <v>1.1422987337622745</v>
      </c>
      <c r="AD396" s="331" t="s">
        <v>474</v>
      </c>
      <c r="AE396" s="331">
        <v>0.97854318805068208</v>
      </c>
      <c r="AF396" s="331" t="s">
        <v>475</v>
      </c>
      <c r="AJ396" s="331">
        <v>0.53197410638094611</v>
      </c>
      <c r="AK396" s="331">
        <v>1.1299448390780105</v>
      </c>
      <c r="AL396" s="331">
        <v>1.1458956893265209</v>
      </c>
      <c r="AM396" s="331">
        <v>1.1892470051160924</v>
      </c>
      <c r="AO396" s="331">
        <v>1.1422987337622745</v>
      </c>
      <c r="AP396" s="331">
        <v>0.97854318805068208</v>
      </c>
      <c r="AQ396" s="331" t="e">
        <v>#VALUE!</v>
      </c>
      <c r="AR396" s="331">
        <v>0.95583927516158507</v>
      </c>
    </row>
    <row r="397" spans="28:44" x14ac:dyDescent="0.35">
      <c r="AB397" s="331" t="s">
        <v>473</v>
      </c>
      <c r="AC397" s="331">
        <v>1.1550312197899799</v>
      </c>
      <c r="AD397" s="331" t="s">
        <v>474</v>
      </c>
      <c r="AE397" s="331">
        <v>0.87368349051778471</v>
      </c>
      <c r="AF397" s="331" t="s">
        <v>475</v>
      </c>
      <c r="AJ397" s="331">
        <v>0.53329671776336818</v>
      </c>
      <c r="AK397" s="331">
        <v>1.0776007155473371</v>
      </c>
      <c r="AL397" s="331">
        <v>1.100062871271221</v>
      </c>
      <c r="AM397" s="331">
        <v>1.1518355740767239</v>
      </c>
      <c r="AO397" s="331">
        <v>1.1550312197899799</v>
      </c>
      <c r="AP397" s="331">
        <v>0.87368349051778471</v>
      </c>
      <c r="AQ397" s="331" t="e">
        <v>#VALUE!</v>
      </c>
      <c r="AR397" s="331">
        <v>0.94343611387171522</v>
      </c>
    </row>
    <row r="398" spans="28:44" x14ac:dyDescent="0.35">
      <c r="AB398" s="331" t="s">
        <v>473</v>
      </c>
      <c r="AC398" s="331">
        <v>1.2093175174869124</v>
      </c>
      <c r="AD398" s="331" t="s">
        <v>474</v>
      </c>
      <c r="AE398" s="331">
        <v>1.0033298170834217</v>
      </c>
      <c r="AF398" s="331" t="s">
        <v>475</v>
      </c>
      <c r="AJ398" s="331">
        <v>0.5427223250379738</v>
      </c>
      <c r="AK398" s="331">
        <v>1.0491210216435933</v>
      </c>
      <c r="AL398" s="331">
        <v>1.0462806728930598</v>
      </c>
      <c r="AM398" s="331">
        <v>1.1031767164360879</v>
      </c>
      <c r="AO398" s="331">
        <v>1.2093175174869124</v>
      </c>
      <c r="AP398" s="331">
        <v>1.0033298170834217</v>
      </c>
      <c r="AQ398" s="331" t="e">
        <v>#VALUE!</v>
      </c>
      <c r="AR398" s="331">
        <v>1.0216046527094875</v>
      </c>
    </row>
    <row r="399" spans="28:44" x14ac:dyDescent="0.35">
      <c r="AB399" s="331" t="s">
        <v>473</v>
      </c>
      <c r="AC399" s="331">
        <v>1.2694278229809057</v>
      </c>
      <c r="AD399" s="331" t="s">
        <v>474</v>
      </c>
      <c r="AE399" s="331">
        <v>1.000740711284879</v>
      </c>
      <c r="AF399" s="331" t="s">
        <v>475</v>
      </c>
      <c r="AJ399" s="331">
        <v>0.55893401026325162</v>
      </c>
      <c r="AK399" s="331">
        <v>0.96996664088469009</v>
      </c>
      <c r="AL399" s="331">
        <v>1.0207318664848086</v>
      </c>
      <c r="AM399" s="331">
        <v>1.0732639354989311</v>
      </c>
      <c r="AO399" s="331">
        <v>1.2694278229809057</v>
      </c>
      <c r="AP399" s="331">
        <v>1.000740711284879</v>
      </c>
      <c r="AQ399" s="331" t="e">
        <v>#VALUE!</v>
      </c>
      <c r="AR399" s="331">
        <v>1.0089024671664129</v>
      </c>
    </row>
    <row r="400" spans="28:44" x14ac:dyDescent="0.35">
      <c r="AB400" s="331" t="s">
        <v>473</v>
      </c>
      <c r="AC400" s="331">
        <v>1.2740843143389859</v>
      </c>
      <c r="AD400" s="331" t="s">
        <v>474</v>
      </c>
      <c r="AE400" s="331">
        <v>1.1289913438904706</v>
      </c>
      <c r="AF400" s="331" t="s">
        <v>475</v>
      </c>
      <c r="AJ400" s="331">
        <v>0.59341404797578789</v>
      </c>
      <c r="AK400" s="331">
        <v>1.0516024895256619</v>
      </c>
      <c r="AL400" s="331">
        <v>1.0390259114712521</v>
      </c>
      <c r="AM400" s="331">
        <v>1.0924994884520918</v>
      </c>
      <c r="AO400" s="331">
        <v>1.2740843143389859</v>
      </c>
      <c r="AP400" s="331">
        <v>1.1289913438904706</v>
      </c>
      <c r="AQ400" s="331" t="e">
        <v>#VALUE!</v>
      </c>
      <c r="AR400" s="331">
        <v>1.1227115703412278</v>
      </c>
    </row>
    <row r="401" spans="28:44" x14ac:dyDescent="0.35">
      <c r="AB401" s="331" t="s">
        <v>473</v>
      </c>
      <c r="AC401" s="331">
        <v>1.3916399735761991</v>
      </c>
      <c r="AD401" s="331" t="s">
        <v>474</v>
      </c>
      <c r="AE401" s="331">
        <v>1.2236630356090907</v>
      </c>
      <c r="AF401" s="331" t="s">
        <v>475</v>
      </c>
      <c r="AJ401" s="331">
        <v>0.60200478222749776</v>
      </c>
      <c r="AK401" s="331">
        <v>1.0364413666204266</v>
      </c>
      <c r="AL401" s="331">
        <v>0.98200082812994005</v>
      </c>
      <c r="AM401" s="331">
        <v>1.0466889896226472</v>
      </c>
      <c r="AO401" s="331">
        <v>1.3916399735761991</v>
      </c>
      <c r="AP401" s="331">
        <v>1.2236630356090907</v>
      </c>
      <c r="AQ401" s="331" t="e">
        <v>#VALUE!</v>
      </c>
      <c r="AR401" s="331">
        <v>1.1812263002948762</v>
      </c>
    </row>
    <row r="402" spans="28:44" x14ac:dyDescent="0.35">
      <c r="AB402" s="331" t="s">
        <v>473</v>
      </c>
      <c r="AC402" s="331">
        <v>1.4048179814281665</v>
      </c>
      <c r="AD402" s="331" t="s">
        <v>474</v>
      </c>
      <c r="AE402" s="331">
        <v>1.148786202538123</v>
      </c>
      <c r="AF402" s="331" t="s">
        <v>475</v>
      </c>
      <c r="AJ402" s="331">
        <v>0.61416351600407815</v>
      </c>
      <c r="AK402" s="331">
        <v>1.0274344936111972</v>
      </c>
      <c r="AL402" s="331">
        <v>1.071544010536285</v>
      </c>
      <c r="AM402" s="331">
        <v>1.1705474250486081</v>
      </c>
      <c r="AO402" s="331">
        <v>1.4048179814281665</v>
      </c>
      <c r="AP402" s="331">
        <v>1.148786202538123</v>
      </c>
      <c r="AQ402" s="331" t="e">
        <v>#VALUE!</v>
      </c>
      <c r="AR402" s="331">
        <v>0.96229189106525903</v>
      </c>
    </row>
    <row r="403" spans="28:44" x14ac:dyDescent="0.35">
      <c r="AB403" s="331" t="s">
        <v>473</v>
      </c>
      <c r="AC403" s="331">
        <v>1.4927610694160272</v>
      </c>
      <c r="AD403" s="331" t="s">
        <v>474</v>
      </c>
      <c r="AE403" s="331">
        <v>1.0969816205955998</v>
      </c>
      <c r="AF403" s="331" t="s">
        <v>475</v>
      </c>
      <c r="AJ403" s="331">
        <v>0.62735085236810395</v>
      </c>
      <c r="AK403" s="331">
        <v>1.0917713929634127</v>
      </c>
      <c r="AL403" s="331">
        <v>1.0808151211274308</v>
      </c>
      <c r="AM403" s="331">
        <v>1.1653249633722047</v>
      </c>
      <c r="AO403" s="331">
        <v>1.4927610694160272</v>
      </c>
      <c r="AP403" s="331">
        <v>1.0969816205955998</v>
      </c>
      <c r="AQ403" s="331" t="e">
        <v>#VALUE!</v>
      </c>
      <c r="AR403" s="331">
        <v>0.94326147392960702</v>
      </c>
    </row>
    <row r="404" spans="28:44" x14ac:dyDescent="0.35">
      <c r="AB404" s="331" t="s">
        <v>473</v>
      </c>
      <c r="AC404" s="331">
        <v>1.655594505948268</v>
      </c>
      <c r="AD404" s="331" t="s">
        <v>474</v>
      </c>
      <c r="AE404" s="331">
        <v>1.2543189871102185</v>
      </c>
      <c r="AF404" s="331" t="s">
        <v>475</v>
      </c>
      <c r="AJ404" s="331">
        <v>0.65046198679402423</v>
      </c>
      <c r="AK404" s="331">
        <v>1.0960477986981498</v>
      </c>
      <c r="AL404" s="331">
        <v>1.0517497519052537</v>
      </c>
      <c r="AM404" s="331">
        <v>1.1431177766471929</v>
      </c>
      <c r="AO404" s="331">
        <v>1.655594505948268</v>
      </c>
      <c r="AP404" s="331">
        <v>1.2543189871102185</v>
      </c>
      <c r="AQ404" s="331" t="e">
        <v>#VALUE!</v>
      </c>
      <c r="AR404" s="331">
        <v>1.0529077270909819</v>
      </c>
    </row>
    <row r="405" spans="28:44" x14ac:dyDescent="0.35">
      <c r="AB405" s="331" t="s">
        <v>473</v>
      </c>
      <c r="AC405" s="1289">
        <v>1.6640126090897667</v>
      </c>
      <c r="AD405" s="331" t="s">
        <v>474</v>
      </c>
      <c r="AE405" s="1289">
        <v>1.4554348763264393</v>
      </c>
      <c r="AF405" s="331" t="s">
        <v>475</v>
      </c>
      <c r="AJ405" s="1289">
        <v>0.66699960110467615</v>
      </c>
      <c r="AK405" s="1289">
        <v>1.0813190545156934</v>
      </c>
      <c r="AL405" s="1289">
        <v>0.97282417338182292</v>
      </c>
      <c r="AM405" s="1289">
        <v>1.1601933617488582</v>
      </c>
      <c r="AN405" s="1289"/>
      <c r="AO405" s="1289">
        <v>1.6640126090897667</v>
      </c>
      <c r="AP405" s="1289">
        <v>1.4554348763264393</v>
      </c>
      <c r="AQ405" s="1289" t="e">
        <v>#VALUE!</v>
      </c>
      <c r="AR405" s="1289">
        <v>1.1868850725215234</v>
      </c>
    </row>
    <row r="406" spans="28:44" x14ac:dyDescent="0.35">
      <c r="AB406" s="331" t="s">
        <v>473</v>
      </c>
      <c r="AC406" s="331">
        <v>0.71081957571324561</v>
      </c>
      <c r="AD406" s="331" t="s">
        <v>474</v>
      </c>
      <c r="AE406" s="331">
        <v>1.1661683007822907</v>
      </c>
      <c r="AF406" s="331" t="s">
        <v>475</v>
      </c>
      <c r="AJ406" s="331">
        <v>0.21209549890395765</v>
      </c>
      <c r="AK406" s="331">
        <v>1.0770630155447996</v>
      </c>
      <c r="AL406" s="331">
        <v>1.1342279369093711</v>
      </c>
      <c r="AM406" s="331">
        <v>1.6769870957582593</v>
      </c>
      <c r="AO406" s="331">
        <v>0.71081957571324561</v>
      </c>
      <c r="AP406" s="331">
        <v>1.1661683007822907</v>
      </c>
      <c r="AQ406" s="331" t="e">
        <v>#VALUE!</v>
      </c>
      <c r="AR406" s="331">
        <v>1.2741373402973504</v>
      </c>
    </row>
    <row r="407" spans="28:44" x14ac:dyDescent="0.35">
      <c r="AB407" s="331" t="s">
        <v>473</v>
      </c>
      <c r="AC407" s="331">
        <v>0.71085233558540339</v>
      </c>
      <c r="AD407" s="331" t="s">
        <v>474</v>
      </c>
      <c r="AE407" s="331">
        <v>1.1429408063617879</v>
      </c>
      <c r="AF407" s="331" t="s">
        <v>475</v>
      </c>
      <c r="AJ407" s="331">
        <v>0.21278594382872582</v>
      </c>
      <c r="AK407" s="331">
        <v>1.3030973327054671</v>
      </c>
      <c r="AL407" s="331">
        <v>1.1249330772648198</v>
      </c>
      <c r="AM407" s="331">
        <v>1.9700318362406926</v>
      </c>
      <c r="AO407" s="331">
        <v>0.71085233558540339</v>
      </c>
      <c r="AP407" s="331">
        <v>1.1429408063617879</v>
      </c>
      <c r="AQ407" s="331" t="e">
        <v>#VALUE!</v>
      </c>
      <c r="AR407" s="331">
        <v>1.2495756566289677</v>
      </c>
    </row>
    <row r="408" spans="28:44" x14ac:dyDescent="0.35">
      <c r="AB408" s="331" t="s">
        <v>473</v>
      </c>
      <c r="AC408" s="331">
        <v>0.72937462086971572</v>
      </c>
      <c r="AD408" s="331" t="s">
        <v>474</v>
      </c>
      <c r="AE408" s="331">
        <v>1.3733641384468591</v>
      </c>
      <c r="AF408" s="331" t="s">
        <v>475</v>
      </c>
      <c r="AJ408" s="331">
        <v>0.2133250070506473</v>
      </c>
      <c r="AK408" s="331">
        <v>1.178898123179172</v>
      </c>
      <c r="AL408" s="331">
        <v>1.0191595287063522</v>
      </c>
      <c r="AM408" s="331">
        <v>1.7843849892717958</v>
      </c>
      <c r="AO408" s="331">
        <v>0.72937462086971572</v>
      </c>
      <c r="AP408" s="331">
        <v>1.3733641384468591</v>
      </c>
      <c r="AQ408" s="331" t="e">
        <v>#VALUE!</v>
      </c>
      <c r="AR408" s="331">
        <v>1.5358120186517799</v>
      </c>
    </row>
    <row r="409" spans="28:44" x14ac:dyDescent="0.35">
      <c r="AB409" s="331" t="s">
        <v>473</v>
      </c>
      <c r="AC409" s="331">
        <v>0.73367596594498974</v>
      </c>
      <c r="AD409" s="331" t="s">
        <v>474</v>
      </c>
      <c r="AE409" s="331">
        <v>1.2495398198562722</v>
      </c>
      <c r="AF409" s="331" t="s">
        <v>475</v>
      </c>
      <c r="AJ409" s="331">
        <v>0.27052564340449536</v>
      </c>
      <c r="AK409" s="331">
        <v>1.233165222662332</v>
      </c>
      <c r="AL409" s="331">
        <v>1.164564540073294</v>
      </c>
      <c r="AM409" s="331">
        <v>1.4166109572469998</v>
      </c>
      <c r="AO409" s="331">
        <v>0.73367596594498974</v>
      </c>
      <c r="AP409" s="331">
        <v>1.2495398198562722</v>
      </c>
      <c r="AQ409" s="331" t="e">
        <v>#VALUE!</v>
      </c>
      <c r="AR409" s="331">
        <v>1.3239707959802784</v>
      </c>
    </row>
    <row r="410" spans="28:44" x14ac:dyDescent="0.35">
      <c r="AB410" s="331" t="s">
        <v>473</v>
      </c>
      <c r="AC410" s="331">
        <v>0.74097563472729278</v>
      </c>
      <c r="AD410" s="331" t="s">
        <v>474</v>
      </c>
      <c r="AE410" s="331">
        <v>1.2717312652687935</v>
      </c>
      <c r="AF410" s="331" t="s">
        <v>475</v>
      </c>
      <c r="AJ410" s="331">
        <v>0.28360203320745092</v>
      </c>
      <c r="AK410" s="331">
        <v>1.1828260988461334</v>
      </c>
      <c r="AL410" s="331">
        <v>1.1219891610779908</v>
      </c>
      <c r="AM410" s="331">
        <v>1.5541093014519014</v>
      </c>
      <c r="AO410" s="331">
        <v>0.74097563472729278</v>
      </c>
      <c r="AP410" s="331">
        <v>1.2717312652687935</v>
      </c>
      <c r="AQ410" s="331" t="e">
        <v>#VALUE!</v>
      </c>
      <c r="AR410" s="331">
        <v>1.3519586805116657</v>
      </c>
    </row>
    <row r="411" spans="28:44" x14ac:dyDescent="0.35">
      <c r="AB411" s="331" t="s">
        <v>473</v>
      </c>
      <c r="AC411" s="331">
        <v>0.74168464162542669</v>
      </c>
      <c r="AD411" s="331" t="s">
        <v>474</v>
      </c>
      <c r="AE411" s="331">
        <v>1.2559944168678772</v>
      </c>
      <c r="AF411" s="331" t="s">
        <v>475</v>
      </c>
      <c r="AJ411" s="331">
        <v>0.28743031003907171</v>
      </c>
      <c r="AK411" s="331">
        <v>1.1653440865362459</v>
      </c>
      <c r="AL411" s="331">
        <v>1.1067520434656544</v>
      </c>
      <c r="AM411" s="331">
        <v>1.532385642031149</v>
      </c>
      <c r="AO411" s="331">
        <v>0.74168464162542669</v>
      </c>
      <c r="AP411" s="331">
        <v>1.2559944168678772</v>
      </c>
      <c r="AQ411" s="331" t="e">
        <v>#VALUE!</v>
      </c>
      <c r="AR411" s="331">
        <v>1.3269434453507414</v>
      </c>
    </row>
    <row r="412" spans="28:44" x14ac:dyDescent="0.35">
      <c r="AB412" s="331" t="s">
        <v>473</v>
      </c>
      <c r="AC412" s="331">
        <v>0.74713652686809184</v>
      </c>
      <c r="AD412" s="331" t="s">
        <v>474</v>
      </c>
      <c r="AE412" s="331">
        <v>1.1005444936952886</v>
      </c>
      <c r="AF412" s="331" t="s">
        <v>475</v>
      </c>
      <c r="AJ412" s="331">
        <v>0.30526324766384177</v>
      </c>
      <c r="AK412" s="331">
        <v>1.1347147017524775</v>
      </c>
      <c r="AL412" s="331">
        <v>1.1764094986352867</v>
      </c>
      <c r="AM412" s="331">
        <v>1.490570324926153</v>
      </c>
      <c r="AO412" s="331">
        <v>0.74713652686809184</v>
      </c>
      <c r="AP412" s="331">
        <v>1.1005444936952886</v>
      </c>
      <c r="AQ412" s="331" t="e">
        <v>#VALUE!</v>
      </c>
      <c r="AR412" s="331">
        <v>1.148962136780675</v>
      </c>
    </row>
    <row r="413" spans="28:44" x14ac:dyDescent="0.35">
      <c r="AB413" s="331" t="s">
        <v>473</v>
      </c>
      <c r="AC413" s="331">
        <v>0.7492840446141128</v>
      </c>
      <c r="AD413" s="331" t="s">
        <v>474</v>
      </c>
      <c r="AE413" s="331">
        <v>1.2998406839915511</v>
      </c>
      <c r="AF413" s="331" t="s">
        <v>475</v>
      </c>
      <c r="AJ413" s="331">
        <v>0.30618344995757374</v>
      </c>
      <c r="AK413" s="331">
        <v>1.147870787246879</v>
      </c>
      <c r="AL413" s="331">
        <v>1.1883648797189785</v>
      </c>
      <c r="AM413" s="331">
        <v>1.505718397333939</v>
      </c>
      <c r="AO413" s="331">
        <v>0.7492840446141128</v>
      </c>
      <c r="AP413" s="331">
        <v>1.2998406839915511</v>
      </c>
      <c r="AQ413" s="331" t="e">
        <v>#VALUE!</v>
      </c>
      <c r="AR413" s="331">
        <v>1.3783193743992923</v>
      </c>
    </row>
    <row r="414" spans="28:44" x14ac:dyDescent="0.35">
      <c r="AB414" s="331" t="s">
        <v>473</v>
      </c>
      <c r="AC414" s="331">
        <v>0.76681969863582589</v>
      </c>
      <c r="AD414" s="331" t="s">
        <v>474</v>
      </c>
      <c r="AE414" s="331">
        <v>0.98671424658903595</v>
      </c>
      <c r="AF414" s="331" t="s">
        <v>475</v>
      </c>
      <c r="AJ414" s="331">
        <v>0.32615392450669406</v>
      </c>
      <c r="AK414" s="331">
        <v>1.100007539166852</v>
      </c>
      <c r="AL414" s="331">
        <v>1.1274036870542978</v>
      </c>
      <c r="AM414" s="331">
        <v>1.2902952199704198</v>
      </c>
      <c r="AO414" s="331">
        <v>0.76681969863582589</v>
      </c>
      <c r="AP414" s="331">
        <v>0.98671424658903595</v>
      </c>
      <c r="AQ414" s="331" t="e">
        <v>#VALUE!</v>
      </c>
      <c r="AR414" s="331">
        <v>1.0781883841107793</v>
      </c>
    </row>
    <row r="415" spans="28:44" x14ac:dyDescent="0.35">
      <c r="AB415" s="331" t="s">
        <v>473</v>
      </c>
      <c r="AC415" s="331">
        <v>0.76979014337891116</v>
      </c>
      <c r="AD415" s="331" t="s">
        <v>474</v>
      </c>
      <c r="AE415" s="331">
        <v>0.9482066395202795</v>
      </c>
      <c r="AF415" s="331" t="s">
        <v>475</v>
      </c>
      <c r="AJ415" s="331">
        <v>0.32636707783444746</v>
      </c>
      <c r="AK415" s="331">
        <v>1.1009691887288899</v>
      </c>
      <c r="AL415" s="331">
        <v>1.1281273094465019</v>
      </c>
      <c r="AM415" s="331">
        <v>1.2911233940525573</v>
      </c>
      <c r="AO415" s="331">
        <v>0.76979014337891116</v>
      </c>
      <c r="AP415" s="331">
        <v>0.9482066395202795</v>
      </c>
      <c r="AQ415" s="331" t="e">
        <v>#VALUE!</v>
      </c>
      <c r="AR415" s="331">
        <v>1.0489484231173407</v>
      </c>
    </row>
    <row r="416" spans="28:44" x14ac:dyDescent="0.35">
      <c r="AB416" s="331" t="s">
        <v>473</v>
      </c>
      <c r="AC416" s="331">
        <v>0.77447503964792885</v>
      </c>
      <c r="AD416" s="331" t="s">
        <v>474</v>
      </c>
      <c r="AE416" s="331">
        <v>1.3194073053261848</v>
      </c>
      <c r="AF416" s="331" t="s">
        <v>475</v>
      </c>
      <c r="AJ416" s="331">
        <v>0.33388709983357923</v>
      </c>
      <c r="AK416" s="331">
        <v>0.89606368413108417</v>
      </c>
      <c r="AL416" s="331">
        <v>0.96057553388589145</v>
      </c>
      <c r="AM416" s="331">
        <v>1.3703142839135811</v>
      </c>
      <c r="AO416" s="331">
        <v>0.77447503964792885</v>
      </c>
      <c r="AP416" s="331">
        <v>1.3194073053261848</v>
      </c>
      <c r="AQ416" s="331" t="e">
        <v>#VALUE!</v>
      </c>
      <c r="AR416" s="331">
        <v>1.4282882444255183</v>
      </c>
    </row>
    <row r="417" spans="28:44" x14ac:dyDescent="0.35">
      <c r="AB417" s="331" t="s">
        <v>473</v>
      </c>
      <c r="AC417" s="331">
        <v>0.78277929640206223</v>
      </c>
      <c r="AD417" s="331" t="s">
        <v>474</v>
      </c>
      <c r="AE417" s="331">
        <v>1.3615765862631835</v>
      </c>
      <c r="AF417" s="331" t="s">
        <v>475</v>
      </c>
      <c r="AJ417" s="331">
        <v>0.35371959771334588</v>
      </c>
      <c r="AK417" s="331">
        <v>1.0284174854661521</v>
      </c>
      <c r="AL417" s="331">
        <v>1.0938469911444835</v>
      </c>
      <c r="AM417" s="331">
        <v>1.4065952863718303</v>
      </c>
      <c r="AO417" s="331">
        <v>0.78277929640206223</v>
      </c>
      <c r="AP417" s="331">
        <v>1.3615765862631835</v>
      </c>
      <c r="AQ417" s="331" t="e">
        <v>#VALUE!</v>
      </c>
      <c r="AR417" s="331">
        <v>1.4764582885254751</v>
      </c>
    </row>
    <row r="418" spans="28:44" x14ac:dyDescent="0.35">
      <c r="AB418" s="331" t="s">
        <v>473</v>
      </c>
      <c r="AC418" s="331">
        <v>0.7870570473649543</v>
      </c>
      <c r="AD418" s="331" t="s">
        <v>474</v>
      </c>
      <c r="AE418" s="331">
        <v>1.2625152890143991</v>
      </c>
      <c r="AF418" s="331" t="s">
        <v>475</v>
      </c>
      <c r="AJ418" s="331">
        <v>0.35559888961075081</v>
      </c>
      <c r="AK418" s="331">
        <v>1.0261247600963403</v>
      </c>
      <c r="AL418" s="331">
        <v>1.0864064330712051</v>
      </c>
      <c r="AM418" s="331">
        <v>1.3971128806020101</v>
      </c>
      <c r="AO418" s="331">
        <v>0.7870570473649543</v>
      </c>
      <c r="AP418" s="331">
        <v>1.2625152890143991</v>
      </c>
      <c r="AQ418" s="331" t="e">
        <v>#VALUE!</v>
      </c>
      <c r="AR418" s="331">
        <v>1.3829809716556594</v>
      </c>
    </row>
    <row r="419" spans="28:44" x14ac:dyDescent="0.35">
      <c r="AB419" s="331" t="s">
        <v>473</v>
      </c>
      <c r="AC419" s="331">
        <v>0.79739127807294163</v>
      </c>
      <c r="AD419" s="331" t="s">
        <v>474</v>
      </c>
      <c r="AE419" s="331">
        <v>1.2034476399245573</v>
      </c>
      <c r="AF419" s="331" t="s">
        <v>475</v>
      </c>
      <c r="AJ419" s="331">
        <v>0.37186590834468802</v>
      </c>
      <c r="AK419" s="331">
        <v>0.90050282373580015</v>
      </c>
      <c r="AL419" s="331">
        <v>1.1500386222213348</v>
      </c>
      <c r="AM419" s="331">
        <v>1.1750320857469909</v>
      </c>
      <c r="AO419" s="331">
        <v>0.79739127807294163</v>
      </c>
      <c r="AP419" s="331">
        <v>1.2034476399245573</v>
      </c>
      <c r="AQ419" s="331" t="e">
        <v>#VALUE!</v>
      </c>
      <c r="AR419" s="331">
        <v>1.2368040524885553</v>
      </c>
    </row>
    <row r="420" spans="28:44" x14ac:dyDescent="0.35">
      <c r="AB420" s="331" t="s">
        <v>473</v>
      </c>
      <c r="AC420" s="331">
        <v>0.79840462518453481</v>
      </c>
      <c r="AD420" s="331" t="s">
        <v>474</v>
      </c>
      <c r="AE420" s="331">
        <v>1.1896190460457845</v>
      </c>
      <c r="AF420" s="331" t="s">
        <v>475</v>
      </c>
      <c r="AJ420" s="331">
        <v>0.37399413195337261</v>
      </c>
      <c r="AK420" s="331">
        <v>0.92376304427510125</v>
      </c>
      <c r="AL420" s="331">
        <v>1.1795122294445177</v>
      </c>
      <c r="AM420" s="331">
        <v>1.2051462345249253</v>
      </c>
      <c r="AO420" s="331">
        <v>0.79840462518453481</v>
      </c>
      <c r="AP420" s="331">
        <v>1.1896190460457845</v>
      </c>
      <c r="AQ420" s="331" t="e">
        <v>#VALUE!</v>
      </c>
      <c r="AR420" s="331">
        <v>1.221181470211697</v>
      </c>
    </row>
    <row r="421" spans="28:44" x14ac:dyDescent="0.35">
      <c r="AB421" s="331" t="s">
        <v>473</v>
      </c>
      <c r="AC421" s="331">
        <v>0.81784293973252287</v>
      </c>
      <c r="AD421" s="331" t="s">
        <v>474</v>
      </c>
      <c r="AE421" s="331">
        <v>1.1382906525672347</v>
      </c>
      <c r="AF421" s="331" t="s">
        <v>475</v>
      </c>
      <c r="AJ421" s="331">
        <v>0.3774180289161258</v>
      </c>
      <c r="AK421" s="331">
        <v>1.0716507768858605</v>
      </c>
      <c r="AL421" s="331">
        <v>1.1927419799560024</v>
      </c>
      <c r="AM421" s="331">
        <v>1.4423256800069839</v>
      </c>
      <c r="AO421" s="331">
        <v>0.81784293973252287</v>
      </c>
      <c r="AP421" s="331">
        <v>1.1382906525672347</v>
      </c>
      <c r="AQ421" s="331" t="e">
        <v>#VALUE!</v>
      </c>
      <c r="AR421" s="331">
        <v>1.2986780545644778</v>
      </c>
    </row>
    <row r="422" spans="28:44" x14ac:dyDescent="0.35">
      <c r="AB422" s="331" t="s">
        <v>473</v>
      </c>
      <c r="AC422" s="331">
        <v>0.81994558261052297</v>
      </c>
      <c r="AD422" s="331" t="s">
        <v>474</v>
      </c>
      <c r="AE422" s="331">
        <v>1.2900678926168303</v>
      </c>
      <c r="AF422" s="331" t="s">
        <v>475</v>
      </c>
      <c r="AJ422" s="331">
        <v>0.38182722485106269</v>
      </c>
      <c r="AK422" s="331">
        <v>1.1041596668342828</v>
      </c>
      <c r="AL422" s="331">
        <v>1.2326020564011042</v>
      </c>
      <c r="AM422" s="331">
        <v>1.4785082551176918</v>
      </c>
      <c r="AO422" s="331">
        <v>0.81994558261052297</v>
      </c>
      <c r="AP422" s="331">
        <v>1.2900678926168303</v>
      </c>
      <c r="AQ422" s="331" t="e">
        <v>#VALUE!</v>
      </c>
      <c r="AR422" s="331">
        <v>1.325631276921472</v>
      </c>
    </row>
    <row r="423" spans="28:44" x14ac:dyDescent="0.35">
      <c r="AB423" s="331" t="s">
        <v>473</v>
      </c>
      <c r="AC423" s="331">
        <v>0.82259681461013157</v>
      </c>
      <c r="AD423" s="331" t="s">
        <v>474</v>
      </c>
      <c r="AE423" s="331">
        <v>1.1807072736732787</v>
      </c>
      <c r="AF423" s="331" t="s">
        <v>475</v>
      </c>
      <c r="AJ423" s="331">
        <v>0.40539858473924006</v>
      </c>
      <c r="AK423" s="331">
        <v>0.99744596929795348</v>
      </c>
      <c r="AL423" s="331">
        <v>1.0347945235234328</v>
      </c>
      <c r="AM423" s="331">
        <v>1.2437814232316242</v>
      </c>
      <c r="AO423" s="331">
        <v>0.82259681461013157</v>
      </c>
      <c r="AP423" s="331">
        <v>1.1807072736732787</v>
      </c>
      <c r="AQ423" s="331" t="e">
        <v>#VALUE!</v>
      </c>
      <c r="AR423" s="331">
        <v>1.2243361368049055</v>
      </c>
    </row>
    <row r="424" spans="28:44" x14ac:dyDescent="0.35">
      <c r="AB424" s="331" t="s">
        <v>473</v>
      </c>
      <c r="AC424" s="331">
        <v>0.82729097017273245</v>
      </c>
      <c r="AD424" s="331" t="s">
        <v>474</v>
      </c>
      <c r="AE424" s="331">
        <v>1.2870139461344563</v>
      </c>
      <c r="AF424" s="331" t="s">
        <v>475</v>
      </c>
      <c r="AJ424" s="331">
        <v>0.40723284569222606</v>
      </c>
      <c r="AK424" s="331">
        <v>1.0787773015184721</v>
      </c>
      <c r="AL424" s="331">
        <v>1.1806900608213733</v>
      </c>
      <c r="AM424" s="331">
        <v>1.360419893273707</v>
      </c>
      <c r="AO424" s="331">
        <v>0.82729097017273245</v>
      </c>
      <c r="AP424" s="331">
        <v>1.2870139461344563</v>
      </c>
      <c r="AQ424" s="331" t="e">
        <v>#VALUE!</v>
      </c>
      <c r="AR424" s="331">
        <v>1.317325950635843</v>
      </c>
    </row>
    <row r="425" spans="28:44" x14ac:dyDescent="0.35">
      <c r="AB425" s="331" t="s">
        <v>473</v>
      </c>
      <c r="AC425" s="331">
        <v>0.82755708201522993</v>
      </c>
      <c r="AD425" s="331" t="s">
        <v>474</v>
      </c>
      <c r="AE425" s="331">
        <v>1.1811709099373295</v>
      </c>
      <c r="AF425" s="331" t="s">
        <v>475</v>
      </c>
      <c r="AJ425" s="331">
        <v>0.40757728352298495</v>
      </c>
      <c r="AK425" s="331">
        <v>1.0837732314528075</v>
      </c>
      <c r="AL425" s="331">
        <v>1.1855226353692665</v>
      </c>
      <c r="AM425" s="331">
        <v>1.3653664774104077</v>
      </c>
      <c r="AO425" s="331">
        <v>0.82755708201522993</v>
      </c>
      <c r="AP425" s="331">
        <v>1.1811709099373295</v>
      </c>
      <c r="AQ425" s="331" t="e">
        <v>#VALUE!</v>
      </c>
      <c r="AR425" s="331">
        <v>1.2262212583794148</v>
      </c>
    </row>
    <row r="426" spans="28:44" x14ac:dyDescent="0.35">
      <c r="AB426" s="331" t="s">
        <v>473</v>
      </c>
      <c r="AC426" s="331">
        <v>0.83288102923175655</v>
      </c>
      <c r="AD426" s="331" t="s">
        <v>474</v>
      </c>
      <c r="AE426" s="331">
        <v>1.1906496717228279</v>
      </c>
      <c r="AF426" s="331" t="s">
        <v>475</v>
      </c>
      <c r="AJ426" s="331">
        <v>0.42110059046845089</v>
      </c>
      <c r="AK426" s="331">
        <v>0.91918719009438554</v>
      </c>
      <c r="AL426" s="331">
        <v>1.0340004738396598</v>
      </c>
      <c r="AM426" s="331">
        <v>1.1463768921722455</v>
      </c>
      <c r="AO426" s="331">
        <v>0.83288102923175655</v>
      </c>
      <c r="AP426" s="331">
        <v>1.1906496717228279</v>
      </c>
      <c r="AQ426" s="331" t="e">
        <v>#VALUE!</v>
      </c>
      <c r="AR426" s="331">
        <v>1.3578161514769613</v>
      </c>
    </row>
    <row r="427" spans="28:44" x14ac:dyDescent="0.35">
      <c r="AB427" s="331" t="s">
        <v>473</v>
      </c>
      <c r="AC427" s="331">
        <v>0.87064121444827203</v>
      </c>
      <c r="AD427" s="331" t="s">
        <v>474</v>
      </c>
      <c r="AE427" s="331">
        <v>1.2044324753256719</v>
      </c>
      <c r="AF427" s="331" t="s">
        <v>475</v>
      </c>
      <c r="AJ427" s="331">
        <v>0.42243718829729715</v>
      </c>
      <c r="AK427" s="331">
        <v>0.90169778057595751</v>
      </c>
      <c r="AL427" s="331">
        <v>1.0803927143001848</v>
      </c>
      <c r="AM427" s="331">
        <v>1.0942004755697918</v>
      </c>
      <c r="AO427" s="331">
        <v>0.87064121444827203</v>
      </c>
      <c r="AP427" s="331">
        <v>1.2044324753256719</v>
      </c>
      <c r="AQ427" s="331" t="e">
        <v>#VALUE!</v>
      </c>
      <c r="AR427" s="331">
        <v>1.2089659522003267</v>
      </c>
    </row>
    <row r="428" spans="28:44" x14ac:dyDescent="0.35">
      <c r="AB428" s="331" t="s">
        <v>473</v>
      </c>
      <c r="AC428" s="331">
        <v>0.87436780386816748</v>
      </c>
      <c r="AD428" s="331" t="s">
        <v>474</v>
      </c>
      <c r="AE428" s="331">
        <v>1.2319262295403504</v>
      </c>
      <c r="AF428" s="331" t="s">
        <v>475</v>
      </c>
      <c r="AJ428" s="331">
        <v>0.43241053560980192</v>
      </c>
      <c r="AK428" s="331">
        <v>0.92965515596291226</v>
      </c>
      <c r="AL428" s="331">
        <v>1.0782226166746405</v>
      </c>
      <c r="AM428" s="331">
        <v>1.0887438015167086</v>
      </c>
      <c r="AO428" s="331">
        <v>0.87436780386816748</v>
      </c>
      <c r="AP428" s="331">
        <v>1.2319262295403504</v>
      </c>
      <c r="AQ428" s="331" t="e">
        <v>#VALUE!</v>
      </c>
      <c r="AR428" s="331">
        <v>1.2673861881312369</v>
      </c>
    </row>
    <row r="429" spans="28:44" x14ac:dyDescent="0.35">
      <c r="AB429" s="331" t="s">
        <v>473</v>
      </c>
      <c r="AC429" s="331">
        <v>0.88678200006339269</v>
      </c>
      <c r="AD429" s="331" t="s">
        <v>474</v>
      </c>
      <c r="AE429" s="331">
        <v>1.2051932037898339</v>
      </c>
      <c r="AF429" s="331" t="s">
        <v>475</v>
      </c>
      <c r="AJ429" s="331">
        <v>0.43353869296235908</v>
      </c>
      <c r="AK429" s="331">
        <v>1.4127687857025033</v>
      </c>
      <c r="AL429" s="331">
        <v>1.338033808835396</v>
      </c>
      <c r="AM429" s="331">
        <v>1.501814938242545</v>
      </c>
      <c r="AO429" s="331">
        <v>0.88678200006339269</v>
      </c>
      <c r="AP429" s="331">
        <v>1.2051932037898339</v>
      </c>
      <c r="AQ429" s="331" t="e">
        <v>#VALUE!</v>
      </c>
      <c r="AR429" s="331">
        <v>1.2174005606647877</v>
      </c>
    </row>
    <row r="430" spans="28:44" x14ac:dyDescent="0.35">
      <c r="AB430" s="331" t="s">
        <v>473</v>
      </c>
      <c r="AC430" s="331">
        <v>0.89950404669892503</v>
      </c>
      <c r="AD430" s="331" t="s">
        <v>474</v>
      </c>
      <c r="AE430" s="331">
        <v>1.1731021513617832</v>
      </c>
      <c r="AF430" s="331" t="s">
        <v>475</v>
      </c>
      <c r="AJ430" s="331">
        <v>0.4361469077048345</v>
      </c>
      <c r="AK430" s="331">
        <v>1.4540563975955656</v>
      </c>
      <c r="AL430" s="331">
        <v>1.3837191177880477</v>
      </c>
      <c r="AM430" s="331">
        <v>1.5485086244473505</v>
      </c>
      <c r="AO430" s="331">
        <v>0.89950404669892503</v>
      </c>
      <c r="AP430" s="331">
        <v>1.1731021513617832</v>
      </c>
      <c r="AQ430" s="331" t="e">
        <v>#VALUE!</v>
      </c>
      <c r="AR430" s="331">
        <v>1.3067704516297522</v>
      </c>
    </row>
    <row r="431" spans="28:44" x14ac:dyDescent="0.35">
      <c r="AB431" s="331" t="s">
        <v>473</v>
      </c>
      <c r="AC431" s="331">
        <v>0.90216739352538311</v>
      </c>
      <c r="AD431" s="331" t="s">
        <v>474</v>
      </c>
      <c r="AE431" s="331">
        <v>0.96333960104621386</v>
      </c>
      <c r="AF431" s="331" t="s">
        <v>475</v>
      </c>
      <c r="AJ431" s="331">
        <v>0.44103968010139072</v>
      </c>
      <c r="AK431" s="331">
        <v>1.1549683343920982</v>
      </c>
      <c r="AL431" s="331">
        <v>1.2160401907577152</v>
      </c>
      <c r="AM431" s="331">
        <v>1.3829321663019694</v>
      </c>
      <c r="AO431" s="331">
        <v>0.90216739352538311</v>
      </c>
      <c r="AP431" s="331">
        <v>0.96333960104621386</v>
      </c>
      <c r="AQ431" s="331" t="e">
        <v>#VALUE!</v>
      </c>
      <c r="AR431" s="331">
        <v>0.98451414074496724</v>
      </c>
    </row>
    <row r="432" spans="28:44" x14ac:dyDescent="0.35">
      <c r="AB432" s="331" t="s">
        <v>473</v>
      </c>
      <c r="AC432" s="331">
        <v>0.90624058103715288</v>
      </c>
      <c r="AD432" s="331" t="s">
        <v>474</v>
      </c>
      <c r="AE432" s="331">
        <v>1.0770153179713706</v>
      </c>
      <c r="AF432" s="331" t="s">
        <v>475</v>
      </c>
      <c r="AJ432" s="331">
        <v>0.44241109134829792</v>
      </c>
      <c r="AK432" s="331">
        <v>1.1649376057265568</v>
      </c>
      <c r="AL432" s="331">
        <v>1.2232934736020473</v>
      </c>
      <c r="AM432" s="331">
        <v>1.3900028812384653</v>
      </c>
      <c r="AO432" s="331">
        <v>0.90624058103715288</v>
      </c>
      <c r="AP432" s="331">
        <v>1.0770153179713706</v>
      </c>
      <c r="AQ432" s="331" t="e">
        <v>#VALUE!</v>
      </c>
      <c r="AR432" s="331">
        <v>1.1219245466146848</v>
      </c>
    </row>
    <row r="433" spans="28:44" x14ac:dyDescent="0.35">
      <c r="AB433" s="331" t="s">
        <v>473</v>
      </c>
      <c r="AC433" s="331">
        <v>0.97630871795125596</v>
      </c>
      <c r="AD433" s="331" t="s">
        <v>474</v>
      </c>
      <c r="AE433" s="331">
        <v>1.1808755477330231</v>
      </c>
      <c r="AF433" s="331" t="s">
        <v>475</v>
      </c>
      <c r="AJ433" s="331">
        <v>0.44655343093944894</v>
      </c>
      <c r="AK433" s="331">
        <v>1.3068721606960849</v>
      </c>
      <c r="AL433" s="331">
        <v>1.2684747672172276</v>
      </c>
      <c r="AM433" s="331">
        <v>1.3778269046297436</v>
      </c>
      <c r="AO433" s="331">
        <v>0.97630871795125596</v>
      </c>
      <c r="AP433" s="331">
        <v>1.1808755477330231</v>
      </c>
      <c r="AQ433" s="331" t="e">
        <v>#VALUE!</v>
      </c>
      <c r="AR433" s="331">
        <v>1.2434312756633699</v>
      </c>
    </row>
    <row r="434" spans="28:44" x14ac:dyDescent="0.35">
      <c r="AB434" s="331" t="s">
        <v>473</v>
      </c>
      <c r="AC434" s="331">
        <v>0.97873510182649748</v>
      </c>
      <c r="AD434" s="331" t="s">
        <v>474</v>
      </c>
      <c r="AE434" s="331">
        <v>1.2522440810388538</v>
      </c>
      <c r="AF434" s="331" t="s">
        <v>475</v>
      </c>
      <c r="AJ434" s="331">
        <v>0.45707254604108921</v>
      </c>
      <c r="AK434" s="331">
        <v>1.2636854706571157</v>
      </c>
      <c r="AL434" s="331">
        <v>1.3110766284449378</v>
      </c>
      <c r="AM434" s="331">
        <v>1.4729718777858822</v>
      </c>
      <c r="AO434" s="331">
        <v>0.97873510182649748</v>
      </c>
      <c r="AP434" s="331">
        <v>1.2522440810388538</v>
      </c>
      <c r="AQ434" s="331" t="e">
        <v>#VALUE!</v>
      </c>
      <c r="AR434" s="331">
        <v>1.2732862280729769</v>
      </c>
    </row>
    <row r="435" spans="28:44" x14ac:dyDescent="0.35">
      <c r="AB435" s="331" t="s">
        <v>473</v>
      </c>
      <c r="AC435" s="331">
        <v>0.99608299750214546</v>
      </c>
      <c r="AD435" s="331" t="s">
        <v>474</v>
      </c>
      <c r="AE435" s="331">
        <v>1.2140660833441672</v>
      </c>
      <c r="AF435" s="331" t="s">
        <v>475</v>
      </c>
      <c r="AJ435" s="331">
        <v>0.46852938327570259</v>
      </c>
      <c r="AK435" s="331">
        <v>1.030453886895369</v>
      </c>
      <c r="AL435" s="331">
        <v>1.1301223855155544</v>
      </c>
      <c r="AM435" s="331">
        <v>1.1959723693324387</v>
      </c>
      <c r="AO435" s="331">
        <v>0.99608299750214546</v>
      </c>
      <c r="AP435" s="331">
        <v>1.2140660833441672</v>
      </c>
      <c r="AQ435" s="331" t="e">
        <v>#VALUE!</v>
      </c>
      <c r="AR435" s="331">
        <v>1.1979544247144218</v>
      </c>
    </row>
    <row r="436" spans="28:44" x14ac:dyDescent="0.35">
      <c r="AB436" s="331" t="s">
        <v>473</v>
      </c>
      <c r="AC436" s="331">
        <v>1.0040834417646318</v>
      </c>
      <c r="AD436" s="331" t="s">
        <v>474</v>
      </c>
      <c r="AE436" s="331">
        <v>0.91452604801778847</v>
      </c>
      <c r="AF436" s="331" t="s">
        <v>475</v>
      </c>
      <c r="AJ436" s="331">
        <v>0.4870428525406324</v>
      </c>
      <c r="AK436" s="331">
        <v>1.0435240854695289</v>
      </c>
      <c r="AL436" s="331">
        <v>1.1412298086002683</v>
      </c>
      <c r="AM436" s="331">
        <v>1.2628538633757083</v>
      </c>
      <c r="AO436" s="331">
        <v>1.0040834417646318</v>
      </c>
      <c r="AP436" s="331">
        <v>0.91452604801778847</v>
      </c>
      <c r="AQ436" s="331" t="e">
        <v>#VALUE!</v>
      </c>
      <c r="AR436" s="331">
        <v>1.004062573405504</v>
      </c>
    </row>
    <row r="437" spans="28:44" x14ac:dyDescent="0.35">
      <c r="AB437" s="331" t="s">
        <v>473</v>
      </c>
      <c r="AC437" s="331">
        <v>1.028573878709909</v>
      </c>
      <c r="AD437" s="331" t="s">
        <v>474</v>
      </c>
      <c r="AE437" s="331">
        <v>0.91750958776750036</v>
      </c>
      <c r="AF437" s="331" t="s">
        <v>475</v>
      </c>
      <c r="AJ437" s="331">
        <v>0.49667513216556641</v>
      </c>
      <c r="AK437" s="331">
        <v>1.0042478204706771</v>
      </c>
      <c r="AL437" s="331">
        <v>1.0956859354379487</v>
      </c>
      <c r="AM437" s="331">
        <v>1.1648972583310955</v>
      </c>
      <c r="AO437" s="331">
        <v>1.028573878709909</v>
      </c>
      <c r="AP437" s="331">
        <v>0.91750958776750036</v>
      </c>
      <c r="AQ437" s="331" t="e">
        <v>#VALUE!</v>
      </c>
      <c r="AR437" s="331">
        <v>0.99857545063485709</v>
      </c>
    </row>
    <row r="438" spans="28:44" x14ac:dyDescent="0.35">
      <c r="AB438" s="331" t="s">
        <v>473</v>
      </c>
      <c r="AC438" s="331">
        <v>1.0518134997254558</v>
      </c>
      <c r="AD438" s="331" t="s">
        <v>474</v>
      </c>
      <c r="AE438" s="331">
        <v>1.2508437269976738</v>
      </c>
      <c r="AF438" s="331" t="s">
        <v>475</v>
      </c>
      <c r="AJ438" s="331">
        <v>0.49994782229607365</v>
      </c>
      <c r="AK438" s="331">
        <v>1.1210388962066802</v>
      </c>
      <c r="AL438" s="331">
        <v>1.1401617372147828</v>
      </c>
      <c r="AM438" s="331">
        <v>1.2047186861543298</v>
      </c>
      <c r="AO438" s="331">
        <v>1.0518134997254558</v>
      </c>
      <c r="AP438" s="331">
        <v>1.2508437269976738</v>
      </c>
      <c r="AQ438" s="331" t="e">
        <v>#VALUE!</v>
      </c>
      <c r="AR438" s="331">
        <v>1.2161226301879426</v>
      </c>
    </row>
    <row r="439" spans="28:44" x14ac:dyDescent="0.35">
      <c r="AB439" s="331" t="s">
        <v>473</v>
      </c>
      <c r="AC439" s="331">
        <v>1.0585160702676355</v>
      </c>
      <c r="AD439" s="331" t="s">
        <v>474</v>
      </c>
      <c r="AE439" s="331">
        <v>1.2559903581742038</v>
      </c>
      <c r="AF439" s="331" t="s">
        <v>475</v>
      </c>
      <c r="AJ439" s="331">
        <v>0.50149087113032076</v>
      </c>
      <c r="AK439" s="331">
        <v>1.0838870481783498</v>
      </c>
      <c r="AL439" s="331">
        <v>1.1033765867074674</v>
      </c>
      <c r="AM439" s="331">
        <v>1.1648223645894</v>
      </c>
      <c r="AO439" s="331">
        <v>1.0585160702676355</v>
      </c>
      <c r="AP439" s="331">
        <v>1.2559903581742038</v>
      </c>
      <c r="AQ439" s="331" t="e">
        <v>#VALUE!</v>
      </c>
      <c r="AR439" s="331">
        <v>1.212766173259201</v>
      </c>
    </row>
    <row r="440" spans="28:44" x14ac:dyDescent="0.35">
      <c r="AB440" s="331" t="s">
        <v>473</v>
      </c>
      <c r="AC440" s="331">
        <v>1.1186107861291816</v>
      </c>
      <c r="AD440" s="331" t="s">
        <v>474</v>
      </c>
      <c r="AE440" s="331">
        <v>1.3972377976133776</v>
      </c>
      <c r="AF440" s="331" t="s">
        <v>475</v>
      </c>
      <c r="AJ440" s="331">
        <v>0.50726327457294607</v>
      </c>
      <c r="AK440" s="331">
        <v>1.0438233512375328</v>
      </c>
      <c r="AL440" s="331">
        <v>1.1178686963844071</v>
      </c>
      <c r="AM440" s="331">
        <v>1.1887562661805631</v>
      </c>
      <c r="AO440" s="331">
        <v>1.1186107861291816</v>
      </c>
      <c r="AP440" s="331">
        <v>1.3972377976133776</v>
      </c>
      <c r="AQ440" s="331" t="e">
        <v>#VALUE!</v>
      </c>
      <c r="AR440" s="331">
        <v>1.3770214756094465</v>
      </c>
    </row>
    <row r="441" spans="28:44" x14ac:dyDescent="0.35">
      <c r="AB441" s="331" t="s">
        <v>473</v>
      </c>
      <c r="AC441" s="331">
        <v>1.1194766659081388</v>
      </c>
      <c r="AD441" s="331" t="s">
        <v>474</v>
      </c>
      <c r="AE441" s="331">
        <v>1.4136910418206885</v>
      </c>
      <c r="AF441" s="331" t="s">
        <v>475</v>
      </c>
      <c r="AJ441" s="331">
        <v>0.51502708380291273</v>
      </c>
      <c r="AK441" s="331">
        <v>1.0794688037302238</v>
      </c>
      <c r="AL441" s="331">
        <v>1.1163480637965666</v>
      </c>
      <c r="AM441" s="331">
        <v>1.1847237129318176</v>
      </c>
      <c r="AO441" s="331">
        <v>1.1194766659081388</v>
      </c>
      <c r="AP441" s="331">
        <v>1.4136910418206885</v>
      </c>
      <c r="AQ441" s="331" t="e">
        <v>#VALUE!</v>
      </c>
      <c r="AR441" s="331">
        <v>1.3425652469227187</v>
      </c>
    </row>
    <row r="442" spans="28:44" x14ac:dyDescent="0.35">
      <c r="AB442" s="331" t="s">
        <v>473</v>
      </c>
      <c r="AC442" s="331">
        <v>1.1313694430751191</v>
      </c>
      <c r="AD442" s="331" t="s">
        <v>474</v>
      </c>
      <c r="AE442" s="331">
        <v>1.0573823530571527</v>
      </c>
      <c r="AF442" s="331" t="s">
        <v>475</v>
      </c>
      <c r="AJ442" s="331">
        <v>0.52097334314211852</v>
      </c>
      <c r="AK442" s="331">
        <v>1.2316553875591709</v>
      </c>
      <c r="AL442" s="331">
        <v>1.1574055864503503</v>
      </c>
      <c r="AM442" s="331">
        <v>1.2842535787321063</v>
      </c>
      <c r="AO442" s="331">
        <v>1.1313694430751191</v>
      </c>
      <c r="AP442" s="331">
        <v>1.0573823530571527</v>
      </c>
      <c r="AQ442" s="331" t="e">
        <v>#VALUE!</v>
      </c>
      <c r="AR442" s="331">
        <v>1.1233792097949551</v>
      </c>
    </row>
    <row r="443" spans="28:44" x14ac:dyDescent="0.35">
      <c r="AB443" s="331" t="s">
        <v>473</v>
      </c>
      <c r="AC443" s="331">
        <v>1.1356337307304702</v>
      </c>
      <c r="AD443" s="331" t="s">
        <v>474</v>
      </c>
      <c r="AE443" s="331">
        <v>1.1140199113623568</v>
      </c>
      <c r="AF443" s="331" t="s">
        <v>475</v>
      </c>
      <c r="AJ443" s="331">
        <v>0.52659301683427373</v>
      </c>
      <c r="AK443" s="331">
        <v>1.2646789566340828</v>
      </c>
      <c r="AL443" s="331">
        <v>1.184825175271939</v>
      </c>
      <c r="AM443" s="331">
        <v>1.310775384449069</v>
      </c>
      <c r="AO443" s="331">
        <v>1.1356337307304702</v>
      </c>
      <c r="AP443" s="331">
        <v>1.1140199113623568</v>
      </c>
      <c r="AQ443" s="331" t="e">
        <v>#VALUE!</v>
      </c>
      <c r="AR443" s="331">
        <v>1.1781739548305832</v>
      </c>
    </row>
    <row r="444" spans="28:44" x14ac:dyDescent="0.35">
      <c r="AB444" s="331" t="s">
        <v>473</v>
      </c>
      <c r="AC444" s="331">
        <v>1.1360237566631215</v>
      </c>
      <c r="AD444" s="331" t="s">
        <v>474</v>
      </c>
      <c r="AE444" s="331">
        <v>1.3350179584793842</v>
      </c>
      <c r="AF444" s="331" t="s">
        <v>475</v>
      </c>
      <c r="AJ444" s="331">
        <v>0.526728493803719</v>
      </c>
      <c r="AK444" s="331">
        <v>1.1020339115876796</v>
      </c>
      <c r="AL444" s="331">
        <v>1.1360138782718585</v>
      </c>
      <c r="AM444" s="331">
        <v>1.1978399607265586</v>
      </c>
      <c r="AO444" s="331">
        <v>1.1360237566631215</v>
      </c>
      <c r="AP444" s="331">
        <v>1.3350179584793842</v>
      </c>
      <c r="AQ444" s="331" t="e">
        <v>#VALUE!</v>
      </c>
      <c r="AR444" s="331">
        <v>1.2150430228122959</v>
      </c>
    </row>
    <row r="445" spans="28:44" x14ac:dyDescent="0.35">
      <c r="AB445" s="331" t="s">
        <v>473</v>
      </c>
      <c r="AC445" s="331">
        <v>1.1364165666710433</v>
      </c>
      <c r="AD445" s="331" t="s">
        <v>474</v>
      </c>
      <c r="AE445" s="331">
        <v>1.4189607447226948</v>
      </c>
      <c r="AF445" s="331" t="s">
        <v>475</v>
      </c>
      <c r="AJ445" s="331">
        <v>0.52756260449458237</v>
      </c>
      <c r="AK445" s="331">
        <v>1.1865034988217613</v>
      </c>
      <c r="AL445" s="331">
        <v>1.2429338708451878</v>
      </c>
      <c r="AM445" s="331">
        <v>1.3675278506303905</v>
      </c>
      <c r="AO445" s="331">
        <v>1.1364165666710433</v>
      </c>
      <c r="AP445" s="331">
        <v>1.4189607447226948</v>
      </c>
      <c r="AQ445" s="331" t="e">
        <v>#VALUE!</v>
      </c>
      <c r="AR445" s="331">
        <v>1.3823434474698482</v>
      </c>
    </row>
    <row r="446" spans="28:44" x14ac:dyDescent="0.35">
      <c r="AB446" s="331" t="s">
        <v>473</v>
      </c>
      <c r="AC446" s="331">
        <v>1.1952403887469445</v>
      </c>
      <c r="AD446" s="331" t="s">
        <v>474</v>
      </c>
      <c r="AE446" s="331">
        <v>1.0597215958918331</v>
      </c>
      <c r="AF446" s="331" t="s">
        <v>475</v>
      </c>
      <c r="AJ446" s="331">
        <v>0.53568982905684304</v>
      </c>
      <c r="AK446" s="331">
        <v>1.2151475574086994</v>
      </c>
      <c r="AL446" s="331">
        <v>1.2639496361226412</v>
      </c>
      <c r="AM446" s="331">
        <v>1.3944648123340817</v>
      </c>
      <c r="AO446" s="331">
        <v>1.1952403887469445</v>
      </c>
      <c r="AP446" s="331">
        <v>1.0597215958918331</v>
      </c>
      <c r="AQ446" s="331" t="e">
        <v>#VALUE!</v>
      </c>
      <c r="AR446" s="331">
        <v>0.98601538046188697</v>
      </c>
    </row>
    <row r="447" spans="28:44" x14ac:dyDescent="0.35">
      <c r="AB447" s="331" t="s">
        <v>473</v>
      </c>
      <c r="AC447" s="331">
        <v>1.2072739809786179</v>
      </c>
      <c r="AD447" s="331" t="s">
        <v>474</v>
      </c>
      <c r="AE447" s="331">
        <v>0.9407079848865959</v>
      </c>
      <c r="AF447" s="331" t="s">
        <v>475</v>
      </c>
      <c r="AJ447" s="331">
        <v>0.55515465766256089</v>
      </c>
      <c r="AK447" s="331">
        <v>0.99253229894200112</v>
      </c>
      <c r="AL447" s="331">
        <v>0.96375759090747892</v>
      </c>
      <c r="AM447" s="331">
        <v>1.0773531778329517</v>
      </c>
      <c r="AO447" s="331">
        <v>1.2072739809786179</v>
      </c>
      <c r="AP447" s="331">
        <v>0.9407079848865959</v>
      </c>
      <c r="AQ447" s="331" t="e">
        <v>#VALUE!</v>
      </c>
      <c r="AR447" s="331">
        <v>0.99614408627505524</v>
      </c>
    </row>
    <row r="448" spans="28:44" x14ac:dyDescent="0.35">
      <c r="AB448" s="331" t="s">
        <v>473</v>
      </c>
      <c r="AC448" s="331">
        <v>1.2101290956885908</v>
      </c>
      <c r="AD448" s="331" t="s">
        <v>474</v>
      </c>
      <c r="AE448" s="331">
        <v>0.95056274075399338</v>
      </c>
      <c r="AF448" s="331" t="s">
        <v>475</v>
      </c>
      <c r="AJ448" s="331">
        <v>0.55917599842444521</v>
      </c>
      <c r="AK448" s="331">
        <v>0.99390537045760341</v>
      </c>
      <c r="AL448" s="331">
        <v>0.96312284721348651</v>
      </c>
      <c r="AM448" s="331">
        <v>1.1152631367949821</v>
      </c>
      <c r="AO448" s="331">
        <v>1.2101290956885908</v>
      </c>
      <c r="AP448" s="331">
        <v>0.95056274075399338</v>
      </c>
      <c r="AQ448" s="331" t="e">
        <v>#VALUE!</v>
      </c>
      <c r="AR448" s="331">
        <v>0.96158933947637004</v>
      </c>
    </row>
    <row r="449" spans="10:44" x14ac:dyDescent="0.35">
      <c r="AB449" s="331" t="s">
        <v>473</v>
      </c>
      <c r="AC449" s="331">
        <v>1.2377077617383154</v>
      </c>
      <c r="AD449" s="331" t="s">
        <v>474</v>
      </c>
      <c r="AE449" s="331">
        <v>1.0882244571447606</v>
      </c>
      <c r="AF449" s="331" t="s">
        <v>475</v>
      </c>
      <c r="AJ449" s="331">
        <v>0.56957889298469877</v>
      </c>
      <c r="AK449" s="331">
        <v>1.0677708921378362</v>
      </c>
      <c r="AL449" s="331">
        <v>0.97103591666195244</v>
      </c>
      <c r="AM449" s="331">
        <v>1.1364105891088621</v>
      </c>
      <c r="AO449" s="331">
        <v>1.2377077617383154</v>
      </c>
      <c r="AP449" s="331">
        <v>1.0882244571447606</v>
      </c>
      <c r="AQ449" s="331" t="e">
        <v>#VALUE!</v>
      </c>
      <c r="AR449" s="331">
        <v>1.0545075385105096</v>
      </c>
    </row>
    <row r="450" spans="10:44" x14ac:dyDescent="0.35">
      <c r="AB450" s="331" t="s">
        <v>473</v>
      </c>
      <c r="AC450" s="331">
        <v>1.245302069024371</v>
      </c>
      <c r="AD450" s="331" t="s">
        <v>474</v>
      </c>
      <c r="AE450" s="331">
        <v>1.0694978090509728</v>
      </c>
      <c r="AF450" s="331" t="s">
        <v>475</v>
      </c>
      <c r="AJ450" s="331">
        <v>0.57059619298313691</v>
      </c>
      <c r="AK450" s="331">
        <v>1.0766527837146689</v>
      </c>
      <c r="AL450" s="331">
        <v>1.0633171313501648</v>
      </c>
      <c r="AM450" s="331">
        <v>1.1588652330794813</v>
      </c>
      <c r="AO450" s="331">
        <v>1.245302069024371</v>
      </c>
      <c r="AP450" s="331">
        <v>1.0694978090509728</v>
      </c>
      <c r="AQ450" s="331" t="e">
        <v>#VALUE!</v>
      </c>
      <c r="AR450" s="331">
        <v>1.062349478569385</v>
      </c>
    </row>
    <row r="451" spans="10:44" x14ac:dyDescent="0.35">
      <c r="AB451" s="331" t="s">
        <v>473</v>
      </c>
      <c r="AC451" s="331">
        <v>1.2649561920266106</v>
      </c>
      <c r="AD451" s="331" t="s">
        <v>474</v>
      </c>
      <c r="AE451" s="331">
        <v>1.0740675716773174</v>
      </c>
      <c r="AF451" s="331" t="s">
        <v>475</v>
      </c>
      <c r="AJ451" s="331">
        <v>0.57660645677591515</v>
      </c>
      <c r="AK451" s="331">
        <v>1.0740142447560757</v>
      </c>
      <c r="AL451" s="331">
        <v>1.0527958066191245</v>
      </c>
      <c r="AM451" s="331">
        <v>1.1554226771005416</v>
      </c>
      <c r="AO451" s="331">
        <v>1.2649561920266106</v>
      </c>
      <c r="AP451" s="331">
        <v>1.0740675716773174</v>
      </c>
      <c r="AQ451" s="331" t="e">
        <v>#VALUE!</v>
      </c>
      <c r="AR451" s="331">
        <v>1.0556646355392689</v>
      </c>
    </row>
    <row r="452" spans="10:44" x14ac:dyDescent="0.35">
      <c r="AB452" s="331" t="s">
        <v>473</v>
      </c>
      <c r="AC452" s="331">
        <v>1.4130220797880859</v>
      </c>
      <c r="AD452" s="331" t="s">
        <v>474</v>
      </c>
      <c r="AE452" s="331">
        <v>1.1046919800546031</v>
      </c>
      <c r="AF452" s="331" t="s">
        <v>475</v>
      </c>
      <c r="AJ452" s="331">
        <v>0.5810603950574259</v>
      </c>
      <c r="AK452" s="331">
        <v>0.98144628332908601</v>
      </c>
      <c r="AL452" s="331">
        <v>1.0273057889112487</v>
      </c>
      <c r="AM452" s="331">
        <v>1.0954906758964271</v>
      </c>
      <c r="AO452" s="331">
        <v>1.4130220797880859</v>
      </c>
      <c r="AP452" s="331">
        <v>1.1046919800546031</v>
      </c>
      <c r="AQ452" s="331" t="e">
        <v>#VALUE!</v>
      </c>
      <c r="AR452" s="331">
        <v>1.0756157940048379</v>
      </c>
    </row>
    <row r="453" spans="10:44" x14ac:dyDescent="0.35">
      <c r="AB453" s="331" t="s">
        <v>473</v>
      </c>
      <c r="AC453" s="331">
        <v>1.6366015180693605</v>
      </c>
      <c r="AD453" s="331" t="s">
        <v>474</v>
      </c>
      <c r="AE453" s="331">
        <v>1.2639319817051964</v>
      </c>
      <c r="AF453" s="331" t="s">
        <v>475</v>
      </c>
      <c r="AJ453" s="331">
        <v>0.58176534626843868</v>
      </c>
      <c r="AK453" s="331">
        <v>1.1472974307715291</v>
      </c>
      <c r="AL453" s="331">
        <v>1.0697198519390374</v>
      </c>
      <c r="AM453" s="331">
        <v>1.2635770013408039</v>
      </c>
      <c r="AO453" s="331">
        <v>1.6366015180693605</v>
      </c>
      <c r="AP453" s="331">
        <v>1.2639319817051964</v>
      </c>
      <c r="AQ453" s="331" t="e">
        <v>#VALUE!</v>
      </c>
      <c r="AR453" s="331">
        <v>0.97462405442342004</v>
      </c>
    </row>
    <row r="454" spans="10:44" x14ac:dyDescent="0.35">
      <c r="AB454" s="331" t="s">
        <v>473</v>
      </c>
      <c r="AC454" s="331">
        <v>1.647346065624643</v>
      </c>
      <c r="AD454" s="331" t="s">
        <v>474</v>
      </c>
      <c r="AE454" s="331">
        <v>1.5722235353737544</v>
      </c>
      <c r="AF454" s="331" t="s">
        <v>475</v>
      </c>
      <c r="AJ454" s="331">
        <v>0.58270667410265942</v>
      </c>
      <c r="AK454" s="331">
        <v>1.145215427966763</v>
      </c>
      <c r="AL454" s="331">
        <v>1.0669034355387375</v>
      </c>
      <c r="AM454" s="331">
        <v>1.2611181825531212</v>
      </c>
      <c r="AO454" s="331">
        <v>1.647346065624643</v>
      </c>
      <c r="AP454" s="331">
        <v>1.5722235353737544</v>
      </c>
      <c r="AQ454" s="331" t="e">
        <v>#VALUE!</v>
      </c>
      <c r="AR454" s="331">
        <v>1.1329908390736456</v>
      </c>
    </row>
    <row r="455" spans="10:44" x14ac:dyDescent="0.35">
      <c r="AB455" s="331" t="s">
        <v>473</v>
      </c>
      <c r="AC455" s="331">
        <v>1.6590157647733348</v>
      </c>
      <c r="AD455" s="331" t="s">
        <v>474</v>
      </c>
      <c r="AE455" s="331">
        <v>1.352859861640455</v>
      </c>
      <c r="AF455" s="331" t="s">
        <v>475</v>
      </c>
      <c r="AJ455" s="331">
        <v>0.60225223149701346</v>
      </c>
      <c r="AK455" s="331">
        <v>1.1568746256330982</v>
      </c>
      <c r="AL455" s="331">
        <v>1.0517815549513827</v>
      </c>
      <c r="AM455" s="331">
        <v>1.244959754819442</v>
      </c>
      <c r="AO455" s="331">
        <v>1.6590157647733348</v>
      </c>
      <c r="AP455" s="331">
        <v>1.352859861640455</v>
      </c>
      <c r="AQ455" s="331" t="e">
        <v>#VALUE!</v>
      </c>
      <c r="AR455" s="331">
        <v>1.1262483665222893</v>
      </c>
    </row>
    <row r="456" spans="10:44" x14ac:dyDescent="0.35">
      <c r="AJ456" s="331">
        <v>0.60267753235604071</v>
      </c>
      <c r="AK456" s="331">
        <v>1.2736406408529004</v>
      </c>
      <c r="AL456" s="331">
        <v>1.1901660681707855</v>
      </c>
      <c r="AM456" s="331">
        <v>1.387865525283686</v>
      </c>
    </row>
    <row r="457" spans="10:44" x14ac:dyDescent="0.35">
      <c r="AJ457" s="331">
        <v>0.63390902436299923</v>
      </c>
      <c r="AK457" s="331">
        <v>1.3244137386025614</v>
      </c>
      <c r="AL457" s="331">
        <v>1.2161539884328587</v>
      </c>
      <c r="AM457" s="331">
        <v>1.3787520154374029</v>
      </c>
    </row>
    <row r="458" spans="10:44" x14ac:dyDescent="0.35">
      <c r="AJ458" s="331">
        <v>0.63543258064198749</v>
      </c>
      <c r="AK458" s="331">
        <v>1.3321112431192887</v>
      </c>
      <c r="AL458" s="331">
        <v>1.2224403736238965</v>
      </c>
      <c r="AM458" s="331">
        <v>1.3869895244724297</v>
      </c>
    </row>
    <row r="459" spans="10:44" x14ac:dyDescent="0.35">
      <c r="J459" s="331">
        <v>2800.1008694339698</v>
      </c>
      <c r="M459" s="331" t="s">
        <v>473</v>
      </c>
      <c r="N459" s="331">
        <v>-507.897722647622</v>
      </c>
      <c r="O459" s="331" t="s">
        <v>474</v>
      </c>
      <c r="P459" s="331">
        <v>-60</v>
      </c>
      <c r="Q459" s="331" t="s">
        <v>475</v>
      </c>
      <c r="S459" s="331" t="s">
        <v>473</v>
      </c>
      <c r="T459" s="331">
        <f t="shared" ref="T459:T522" si="109">J459/1000</f>
        <v>2.8001008694339697</v>
      </c>
      <c r="U459" s="331" t="s">
        <v>474</v>
      </c>
      <c r="V459" s="331">
        <v>-60</v>
      </c>
      <c r="W459" s="331" t="s">
        <v>475</v>
      </c>
      <c r="AJ459" s="331">
        <v>0.63546519176506056</v>
      </c>
      <c r="AK459" s="331">
        <v>1.1802399315979168</v>
      </c>
      <c r="AL459" s="331">
        <v>1.1110320412710748</v>
      </c>
      <c r="AM459" s="331">
        <v>1.3226418632536094</v>
      </c>
    </row>
    <row r="460" spans="10:44" x14ac:dyDescent="0.35">
      <c r="J460" s="331">
        <v>2827.6842599080001</v>
      </c>
      <c r="K460" s="331" t="s">
        <v>473</v>
      </c>
      <c r="M460" s="331" t="s">
        <v>473</v>
      </c>
      <c r="N460" s="331">
        <v>-507.45446262898901</v>
      </c>
      <c r="O460" s="331" t="s">
        <v>474</v>
      </c>
      <c r="P460" s="331">
        <v>-59.4</v>
      </c>
      <c r="Q460" s="331" t="s">
        <v>475</v>
      </c>
      <c r="S460" s="331" t="s">
        <v>473</v>
      </c>
      <c r="T460" s="331">
        <f t="shared" si="109"/>
        <v>2.8276842599080001</v>
      </c>
      <c r="U460" s="331" t="s">
        <v>474</v>
      </c>
      <c r="V460" s="331">
        <v>-59.4</v>
      </c>
      <c r="W460" s="331" t="s">
        <v>475</v>
      </c>
      <c r="AJ460" s="331">
        <v>0.63649094995545774</v>
      </c>
      <c r="AK460" s="331">
        <v>1.1864412022828863</v>
      </c>
      <c r="AL460" s="331">
        <v>1.1171860027260434</v>
      </c>
      <c r="AM460" s="331">
        <v>1.329713287918417</v>
      </c>
    </row>
    <row r="461" spans="10:44" x14ac:dyDescent="0.35">
      <c r="J461" s="331">
        <v>2855.6603401287498</v>
      </c>
      <c r="M461" s="331" t="s">
        <v>473</v>
      </c>
      <c r="N461" s="331">
        <v>-507.01118210324</v>
      </c>
      <c r="O461" s="331" t="s">
        <v>474</v>
      </c>
      <c r="P461" s="331">
        <v>-58.8</v>
      </c>
      <c r="Q461" s="331" t="s">
        <v>475</v>
      </c>
      <c r="S461" s="331" t="s">
        <v>473</v>
      </c>
      <c r="T461" s="331">
        <f t="shared" si="109"/>
        <v>2.8556603401287499</v>
      </c>
      <c r="U461" s="331" t="s">
        <v>474</v>
      </c>
      <c r="V461" s="331">
        <v>-58.8</v>
      </c>
      <c r="W461" s="331" t="s">
        <v>475</v>
      </c>
      <c r="AJ461" s="331">
        <v>0.67224426889402056</v>
      </c>
      <c r="AK461" s="331">
        <v>1.0130114524962204</v>
      </c>
      <c r="AL461" s="331">
        <v>0.92766237524176309</v>
      </c>
      <c r="AM461" s="331">
        <v>1.0656939292303493</v>
      </c>
    </row>
    <row r="462" spans="10:44" x14ac:dyDescent="0.35">
      <c r="J462" s="331">
        <v>2884.6500126636902</v>
      </c>
      <c r="M462" s="331" t="s">
        <v>473</v>
      </c>
      <c r="N462" s="331">
        <v>-506.55836210234702</v>
      </c>
      <c r="O462" s="331" t="s">
        <v>474</v>
      </c>
      <c r="P462" s="331">
        <v>-58.2</v>
      </c>
      <c r="Q462" s="331" t="s">
        <v>475</v>
      </c>
      <c r="S462" s="331" t="s">
        <v>473</v>
      </c>
      <c r="T462" s="331">
        <f t="shared" si="109"/>
        <v>2.8846500126636903</v>
      </c>
      <c r="U462" s="331" t="s">
        <v>474</v>
      </c>
      <c r="V462" s="331">
        <v>-58.2</v>
      </c>
      <c r="W462" s="331" t="s">
        <v>475</v>
      </c>
    </row>
    <row r="463" spans="10:44" x14ac:dyDescent="0.35">
      <c r="J463" s="331">
        <v>2914.3599730608398</v>
      </c>
      <c r="M463" s="331" t="s">
        <v>473</v>
      </c>
      <c r="N463" s="331">
        <v>-506.10100816294403</v>
      </c>
      <c r="O463" s="331" t="s">
        <v>474</v>
      </c>
      <c r="P463" s="331">
        <v>-57.6</v>
      </c>
      <c r="Q463" s="331" t="s">
        <v>475</v>
      </c>
      <c r="S463" s="331" t="s">
        <v>473</v>
      </c>
      <c r="T463" s="331">
        <f t="shared" si="109"/>
        <v>2.9143599730608396</v>
      </c>
      <c r="U463" s="331" t="s">
        <v>474</v>
      </c>
      <c r="V463" s="331">
        <v>-57.6</v>
      </c>
      <c r="W463" s="331" t="s">
        <v>475</v>
      </c>
    </row>
    <row r="464" spans="10:44" x14ac:dyDescent="0.35">
      <c r="J464" s="331">
        <v>2944.81964016849</v>
      </c>
      <c r="M464" s="331" t="s">
        <v>473</v>
      </c>
      <c r="N464" s="331">
        <v>-505.63899552268998</v>
      </c>
      <c r="O464" s="331" t="s">
        <v>474</v>
      </c>
      <c r="P464" s="331">
        <v>-57</v>
      </c>
      <c r="Q464" s="331" t="s">
        <v>475</v>
      </c>
      <c r="S464" s="331" t="s">
        <v>473</v>
      </c>
      <c r="T464" s="331">
        <f t="shared" si="109"/>
        <v>2.9448196401684901</v>
      </c>
      <c r="U464" s="331" t="s">
        <v>474</v>
      </c>
      <c r="V464" s="331">
        <v>-57</v>
      </c>
      <c r="W464" s="331" t="s">
        <v>475</v>
      </c>
    </row>
    <row r="465" spans="10:23" x14ac:dyDescent="0.35">
      <c r="J465" s="331">
        <v>2976.0600295782101</v>
      </c>
      <c r="M465" s="331" t="s">
        <v>473</v>
      </c>
      <c r="N465" s="331">
        <v>-505.17219526813801</v>
      </c>
      <c r="O465" s="331" t="s">
        <v>474</v>
      </c>
      <c r="P465" s="331">
        <v>-56.4</v>
      </c>
      <c r="Q465" s="331" t="s">
        <v>475</v>
      </c>
      <c r="S465" s="331" t="s">
        <v>473</v>
      </c>
      <c r="T465" s="331">
        <f t="shared" si="109"/>
        <v>2.97606002957821</v>
      </c>
      <c r="U465" s="331" t="s">
        <v>474</v>
      </c>
      <c r="V465" s="331">
        <v>-56.4</v>
      </c>
      <c r="W465" s="331" t="s">
        <v>475</v>
      </c>
    </row>
    <row r="466" spans="10:23" x14ac:dyDescent="0.35">
      <c r="J466" s="331">
        <v>3008.1138676626701</v>
      </c>
      <c r="M466" s="331" t="s">
        <v>473</v>
      </c>
      <c r="N466" s="331">
        <v>-504.70047406431797</v>
      </c>
      <c r="O466" s="331" t="s">
        <v>474</v>
      </c>
      <c r="P466" s="331">
        <v>-55.8</v>
      </c>
      <c r="Q466" s="331" t="s">
        <v>475</v>
      </c>
      <c r="S466" s="331" t="s">
        <v>473</v>
      </c>
      <c r="T466" s="331">
        <f t="shared" si="109"/>
        <v>3.00811386766267</v>
      </c>
      <c r="U466" s="331" t="s">
        <v>474</v>
      </c>
      <c r="V466" s="331">
        <v>-55.8</v>
      </c>
      <c r="W466" s="331" t="s">
        <v>475</v>
      </c>
    </row>
    <row r="467" spans="10:23" x14ac:dyDescent="0.35">
      <c r="J467" s="331">
        <v>3041.01571572373</v>
      </c>
      <c r="M467" s="331" t="s">
        <v>473</v>
      </c>
      <c r="N467" s="331">
        <v>-504.22369386311999</v>
      </c>
      <c r="O467" s="331" t="s">
        <v>474</v>
      </c>
      <c r="P467" s="331">
        <v>-55.2</v>
      </c>
      <c r="Q467" s="331" t="s">
        <v>475</v>
      </c>
      <c r="S467" s="331" t="s">
        <v>473</v>
      </c>
      <c r="T467" s="331">
        <f t="shared" si="109"/>
        <v>3.0410157157237299</v>
      </c>
      <c r="U467" s="331" t="s">
        <v>474</v>
      </c>
      <c r="V467" s="331">
        <v>-55.2</v>
      </c>
      <c r="W467" s="331" t="s">
        <v>475</v>
      </c>
    </row>
    <row r="468" spans="10:23" x14ac:dyDescent="0.35">
      <c r="J468" s="331">
        <v>3074.8021052951299</v>
      </c>
      <c r="M468" s="331" t="s">
        <v>473</v>
      </c>
      <c r="N468" s="331">
        <v>-503.74171158888697</v>
      </c>
      <c r="O468" s="331" t="s">
        <v>474</v>
      </c>
      <c r="P468" s="331">
        <v>-54.6</v>
      </c>
      <c r="Q468" s="331" t="s">
        <v>475</v>
      </c>
      <c r="S468" s="331" t="s">
        <v>473</v>
      </c>
      <c r="T468" s="331">
        <f t="shared" si="109"/>
        <v>3.07480210529513</v>
      </c>
      <c r="U468" s="331" t="s">
        <v>474</v>
      </c>
      <c r="V468" s="331">
        <v>-54.6</v>
      </c>
      <c r="W468" s="331" t="s">
        <v>475</v>
      </c>
    </row>
    <row r="469" spans="10:23" x14ac:dyDescent="0.35">
      <c r="J469" s="331">
        <v>3109.5116857686498</v>
      </c>
      <c r="M469" s="331" t="s">
        <v>473</v>
      </c>
      <c r="N469" s="331">
        <v>-503.25437879948697</v>
      </c>
      <c r="O469" s="331" t="s">
        <v>474</v>
      </c>
      <c r="P469" s="331">
        <v>-54</v>
      </c>
      <c r="Q469" s="331" t="s">
        <v>475</v>
      </c>
      <c r="S469" s="331" t="s">
        <v>473</v>
      </c>
      <c r="T469" s="331">
        <f t="shared" si="109"/>
        <v>3.1095116857686498</v>
      </c>
      <c r="U469" s="331" t="s">
        <v>474</v>
      </c>
      <c r="V469" s="331">
        <v>-54</v>
      </c>
      <c r="W469" s="331" t="s">
        <v>475</v>
      </c>
    </row>
    <row r="470" spans="10:23" x14ac:dyDescent="0.35">
      <c r="J470" s="331">
        <v>3145.1853856534499</v>
      </c>
      <c r="M470" s="331" t="s">
        <v>473</v>
      </c>
      <c r="N470" s="331">
        <v>-502.76154132094399</v>
      </c>
      <c r="O470" s="331" t="s">
        <v>474</v>
      </c>
      <c r="P470" s="331">
        <v>-53.4</v>
      </c>
      <c r="Q470" s="331" t="s">
        <v>475</v>
      </c>
      <c r="S470" s="331" t="s">
        <v>473</v>
      </c>
      <c r="T470" s="331">
        <f t="shared" si="109"/>
        <v>3.1451853856534497</v>
      </c>
      <c r="U470" s="331" t="s">
        <v>474</v>
      </c>
      <c r="V470" s="331">
        <v>-53.4</v>
      </c>
      <c r="W470" s="331" t="s">
        <v>475</v>
      </c>
    </row>
    <row r="471" spans="10:23" x14ac:dyDescent="0.35">
      <c r="J471" s="331">
        <v>3181.8665889396898</v>
      </c>
      <c r="M471" s="331" t="s">
        <v>473</v>
      </c>
      <c r="N471" s="331">
        <v>-502.26303885354099</v>
      </c>
      <c r="O471" s="331" t="s">
        <v>474</v>
      </c>
      <c r="P471" s="331">
        <v>-52.8</v>
      </c>
      <c r="Q471" s="331" t="s">
        <v>475</v>
      </c>
      <c r="S471" s="331" t="s">
        <v>473</v>
      </c>
      <c r="T471" s="331">
        <f t="shared" si="109"/>
        <v>3.1818665889396898</v>
      </c>
      <c r="U471" s="331" t="s">
        <v>474</v>
      </c>
      <c r="V471" s="331">
        <v>-52.8</v>
      </c>
      <c r="W471" s="331" t="s">
        <v>475</v>
      </c>
    </row>
    <row r="472" spans="10:23" x14ac:dyDescent="0.35">
      <c r="J472" s="331">
        <v>3219.6013282210502</v>
      </c>
      <c r="M472" s="331" t="s">
        <v>473</v>
      </c>
      <c r="N472" s="331">
        <v>-501.75870454706001</v>
      </c>
      <c r="O472" s="331" t="s">
        <v>474</v>
      </c>
      <c r="P472" s="331">
        <v>-52.2</v>
      </c>
      <c r="Q472" s="331" t="s">
        <v>475</v>
      </c>
      <c r="S472" s="331" t="s">
        <v>473</v>
      </c>
      <c r="T472" s="331">
        <f t="shared" si="109"/>
        <v>3.2196013282210503</v>
      </c>
      <c r="U472" s="331" t="s">
        <v>474</v>
      </c>
      <c r="V472" s="331">
        <v>-52.2</v>
      </c>
      <c r="W472" s="331" t="s">
        <v>475</v>
      </c>
    </row>
    <row r="473" spans="10:23" x14ac:dyDescent="0.35">
      <c r="J473" s="331">
        <v>3258.43849644173</v>
      </c>
      <c r="M473" s="331" t="s">
        <v>473</v>
      </c>
      <c r="N473" s="331">
        <v>-501.24836454260401</v>
      </c>
      <c r="O473" s="331" t="s">
        <v>474</v>
      </c>
      <c r="P473" s="331">
        <v>-51.6</v>
      </c>
      <c r="Q473" s="331" t="s">
        <v>475</v>
      </c>
      <c r="S473" s="331" t="s">
        <v>473</v>
      </c>
      <c r="T473" s="331">
        <f t="shared" si="109"/>
        <v>3.2584384964417299</v>
      </c>
      <c r="U473" s="331" t="s">
        <v>474</v>
      </c>
      <c r="V473" s="331">
        <v>-51.6</v>
      </c>
      <c r="W473" s="331" t="s">
        <v>475</v>
      </c>
    </row>
    <row r="474" spans="10:23" x14ac:dyDescent="0.35">
      <c r="J474" s="331">
        <v>3298.4300793749098</v>
      </c>
      <c r="M474" s="331" t="s">
        <v>473</v>
      </c>
      <c r="N474" s="331">
        <v>-500.73183747812402</v>
      </c>
      <c r="O474" s="331" t="s">
        <v>474</v>
      </c>
      <c r="P474" s="331">
        <v>-51</v>
      </c>
      <c r="Q474" s="331" t="s">
        <v>475</v>
      </c>
      <c r="S474" s="331" t="s">
        <v>473</v>
      </c>
      <c r="T474" s="331">
        <f t="shared" si="109"/>
        <v>3.29843007937491</v>
      </c>
      <c r="U474" s="331" t="s">
        <v>474</v>
      </c>
      <c r="V474" s="331">
        <v>-51</v>
      </c>
      <c r="W474" s="331" t="s">
        <v>475</v>
      </c>
    </row>
    <row r="475" spans="10:23" x14ac:dyDescent="0.35">
      <c r="J475" s="331">
        <v>3339.6314112176401</v>
      </c>
      <c r="M475" s="331" t="s">
        <v>473</v>
      </c>
      <c r="N475" s="331">
        <v>-500.20893395445802</v>
      </c>
      <c r="O475" s="331" t="s">
        <v>474</v>
      </c>
      <c r="P475" s="331">
        <v>-50.4</v>
      </c>
      <c r="Q475" s="331" t="s">
        <v>475</v>
      </c>
      <c r="S475" s="331" t="s">
        <v>473</v>
      </c>
      <c r="T475" s="331">
        <f t="shared" si="109"/>
        <v>3.3396314112176402</v>
      </c>
      <c r="U475" s="331" t="s">
        <v>474</v>
      </c>
      <c r="V475" s="331">
        <v>-50.4</v>
      </c>
      <c r="W475" s="331" t="s">
        <v>475</v>
      </c>
    </row>
    <row r="476" spans="10:23" x14ac:dyDescent="0.35">
      <c r="J476" s="331">
        <v>3382.1014560076301</v>
      </c>
      <c r="M476" s="331" t="s">
        <v>473</v>
      </c>
      <c r="N476" s="331">
        <v>-499.67945595830503</v>
      </c>
      <c r="O476" s="331" t="s">
        <v>474</v>
      </c>
      <c r="P476" s="331">
        <v>-49.8</v>
      </c>
      <c r="Q476" s="331" t="s">
        <v>475</v>
      </c>
      <c r="S476" s="331" t="s">
        <v>473</v>
      </c>
      <c r="T476" s="331">
        <f t="shared" si="109"/>
        <v>3.3821014560076299</v>
      </c>
      <c r="U476" s="331" t="s">
        <v>474</v>
      </c>
      <c r="V476" s="331">
        <v>-49.8</v>
      </c>
      <c r="W476" s="331" t="s">
        <v>475</v>
      </c>
    </row>
    <row r="477" spans="10:23" x14ac:dyDescent="0.35">
      <c r="J477" s="331">
        <v>3425.9031179369899</v>
      </c>
      <c r="M477" s="331" t="s">
        <v>473</v>
      </c>
      <c r="N477" s="331">
        <v>-499.143196238109</v>
      </c>
      <c r="O477" s="331" t="s">
        <v>474</v>
      </c>
      <c r="P477" s="331">
        <v>-49.2</v>
      </c>
      <c r="Q477" s="331" t="s">
        <v>475</v>
      </c>
      <c r="S477" s="331" t="s">
        <v>473</v>
      </c>
      <c r="T477" s="331">
        <f t="shared" si="109"/>
        <v>3.4259031179369899</v>
      </c>
      <c r="U477" s="331" t="s">
        <v>474</v>
      </c>
      <c r="V477" s="331">
        <v>-49.2</v>
      </c>
      <c r="W477" s="331" t="s">
        <v>475</v>
      </c>
    </row>
    <row r="478" spans="10:23" x14ac:dyDescent="0.35">
      <c r="J478" s="331">
        <v>3471.1035840672198</v>
      </c>
      <c r="M478" s="331" t="s">
        <v>473</v>
      </c>
      <c r="N478" s="331">
        <v>-498.59993762830999</v>
      </c>
      <c r="O478" s="331" t="s">
        <v>474</v>
      </c>
      <c r="P478" s="331">
        <v>-48.6</v>
      </c>
      <c r="Q478" s="331" t="s">
        <v>475</v>
      </c>
      <c r="S478" s="331" t="s">
        <v>473</v>
      </c>
      <c r="T478" s="331">
        <f t="shared" si="109"/>
        <v>3.4711035840672197</v>
      </c>
      <c r="U478" s="331" t="s">
        <v>474</v>
      </c>
      <c r="V478" s="331">
        <v>-48.6</v>
      </c>
      <c r="W478" s="331" t="s">
        <v>475</v>
      </c>
    </row>
    <row r="479" spans="10:23" x14ac:dyDescent="0.35">
      <c r="J479" s="331">
        <v>3517.7747034466502</v>
      </c>
      <c r="M479" s="331" t="s">
        <v>473</v>
      </c>
      <c r="N479" s="331">
        <v>-498.04945231685502</v>
      </c>
      <c r="O479" s="331" t="s">
        <v>474</v>
      </c>
      <c r="P479" s="331">
        <v>-48</v>
      </c>
      <c r="Q479" s="331" t="s">
        <v>475</v>
      </c>
      <c r="S479" s="331" t="s">
        <v>473</v>
      </c>
      <c r="T479" s="331">
        <f t="shared" si="109"/>
        <v>3.51777470344665</v>
      </c>
      <c r="U479" s="331" t="s">
        <v>474</v>
      </c>
      <c r="V479" s="331">
        <v>-48</v>
      </c>
      <c r="W479" s="331" t="s">
        <v>475</v>
      </c>
    </row>
    <row r="480" spans="10:23" x14ac:dyDescent="0.35">
      <c r="J480" s="331">
        <v>3565.9934072106998</v>
      </c>
      <c r="M480" s="331" t="s">
        <v>473</v>
      </c>
      <c r="N480" s="331">
        <v>-497.491501050159</v>
      </c>
      <c r="O480" s="331" t="s">
        <v>474</v>
      </c>
      <c r="P480" s="331">
        <v>-47.4</v>
      </c>
      <c r="Q480" s="331" t="s">
        <v>475</v>
      </c>
      <c r="S480" s="331" t="s">
        <v>473</v>
      </c>
      <c r="T480" s="331">
        <f t="shared" si="109"/>
        <v>3.5659934072107</v>
      </c>
      <c r="U480" s="331" t="s">
        <v>474</v>
      </c>
      <c r="V480" s="331">
        <v>-47.4</v>
      </c>
      <c r="W480" s="331" t="s">
        <v>475</v>
      </c>
    </row>
    <row r="481" spans="10:23" x14ac:dyDescent="0.35">
      <c r="J481" s="331">
        <v>3615.8421749204199</v>
      </c>
      <c r="M481" s="331" t="s">
        <v>473</v>
      </c>
      <c r="N481" s="331">
        <v>-496.92583226893203</v>
      </c>
      <c r="O481" s="331" t="s">
        <v>474</v>
      </c>
      <c r="P481" s="331">
        <v>-46.8</v>
      </c>
      <c r="Q481" s="331" t="s">
        <v>475</v>
      </c>
      <c r="S481" s="331" t="s">
        <v>473</v>
      </c>
      <c r="T481" s="331">
        <f t="shared" si="109"/>
        <v>3.6158421749204197</v>
      </c>
      <c r="U481" s="331" t="s">
        <v>474</v>
      </c>
      <c r="V481" s="331">
        <v>-46.8</v>
      </c>
      <c r="W481" s="331" t="s">
        <v>475</v>
      </c>
    </row>
    <row r="482" spans="10:23" x14ac:dyDescent="0.35">
      <c r="J482" s="331">
        <v>3667.4095531848602</v>
      </c>
      <c r="M482" s="331" t="s">
        <v>473</v>
      </c>
      <c r="N482" s="331">
        <v>-496.35218116739901</v>
      </c>
      <c r="O482" s="331" t="s">
        <v>474</v>
      </c>
      <c r="P482" s="331">
        <v>-46.2</v>
      </c>
      <c r="Q482" s="331" t="s">
        <v>475</v>
      </c>
      <c r="S482" s="331" t="s">
        <v>473</v>
      </c>
      <c r="T482" s="331">
        <f t="shared" si="109"/>
        <v>3.6674095531848603</v>
      </c>
      <c r="U482" s="331" t="s">
        <v>474</v>
      </c>
      <c r="V482" s="331">
        <v>-46.2</v>
      </c>
      <c r="W482" s="331" t="s">
        <v>475</v>
      </c>
    </row>
    <row r="483" spans="10:23" x14ac:dyDescent="0.35">
      <c r="J483" s="331">
        <v>3720.7907335384798</v>
      </c>
      <c r="M483" s="331" t="s">
        <v>473</v>
      </c>
      <c r="N483" s="331">
        <v>-495.77026866736998</v>
      </c>
      <c r="O483" s="331" t="s">
        <v>474</v>
      </c>
      <c r="P483" s="331">
        <v>-45.6</v>
      </c>
      <c r="Q483" s="331" t="s">
        <v>475</v>
      </c>
      <c r="S483" s="331" t="s">
        <v>473</v>
      </c>
      <c r="T483" s="331">
        <f t="shared" si="109"/>
        <v>3.7207907335384798</v>
      </c>
      <c r="U483" s="331" t="s">
        <v>474</v>
      </c>
      <c r="V483" s="331">
        <v>-45.6</v>
      </c>
      <c r="W483" s="331" t="s">
        <v>475</v>
      </c>
    </row>
    <row r="484" spans="10:23" x14ac:dyDescent="0.35">
      <c r="J484" s="331">
        <v>3776.0881976344099</v>
      </c>
      <c r="M484" s="331" t="s">
        <v>473</v>
      </c>
      <c r="N484" s="331">
        <v>-495.17980029742699</v>
      </c>
      <c r="O484" s="331" t="s">
        <v>474</v>
      </c>
      <c r="P484" s="331">
        <v>-45</v>
      </c>
      <c r="Q484" s="331" t="s">
        <v>475</v>
      </c>
      <c r="S484" s="331" t="s">
        <v>473</v>
      </c>
      <c r="T484" s="331">
        <f t="shared" si="109"/>
        <v>3.7760881976344098</v>
      </c>
      <c r="U484" s="331" t="s">
        <v>474</v>
      </c>
      <c r="V484" s="331">
        <v>-45</v>
      </c>
      <c r="W484" s="331" t="s">
        <v>475</v>
      </c>
    </row>
    <row r="485" spans="10:23" x14ac:dyDescent="0.35">
      <c r="J485" s="331">
        <v>3833.4124390980501</v>
      </c>
      <c r="M485" s="331" t="s">
        <v>473</v>
      </c>
      <c r="N485" s="331">
        <v>-494.580464966097</v>
      </c>
      <c r="O485" s="331" t="s">
        <v>474</v>
      </c>
      <c r="P485" s="331">
        <v>-44.4</v>
      </c>
      <c r="Q485" s="331" t="s">
        <v>475</v>
      </c>
      <c r="S485" s="331" t="s">
        <v>473</v>
      </c>
      <c r="T485" s="331">
        <f t="shared" si="109"/>
        <v>3.83341243909805</v>
      </c>
      <c r="U485" s="331" t="s">
        <v>474</v>
      </c>
      <c r="V485" s="331">
        <v>-44.4</v>
      </c>
      <c r="W485" s="331" t="s">
        <v>475</v>
      </c>
    </row>
    <row r="486" spans="10:23" x14ac:dyDescent="0.35">
      <c r="J486" s="331">
        <v>3892.8827729045402</v>
      </c>
      <c r="M486" s="331" t="s">
        <v>473</v>
      </c>
      <c r="N486" s="331">
        <v>-493.971933616245</v>
      </c>
      <c r="O486" s="331" t="s">
        <v>474</v>
      </c>
      <c r="P486" s="331">
        <v>-43.8</v>
      </c>
      <c r="Q486" s="331" t="s">
        <v>475</v>
      </c>
      <c r="S486" s="331" t="s">
        <v>473</v>
      </c>
      <c r="T486" s="331">
        <f t="shared" si="109"/>
        <v>3.8928827729045401</v>
      </c>
      <c r="U486" s="331" t="s">
        <v>474</v>
      </c>
      <c r="V486" s="331">
        <v>-43.8</v>
      </c>
      <c r="W486" s="331" t="s">
        <v>475</v>
      </c>
    </row>
    <row r="487" spans="10:23" x14ac:dyDescent="0.35">
      <c r="J487" s="331">
        <v>3954.6282449452901</v>
      </c>
      <c r="M487" s="331" t="s">
        <v>473</v>
      </c>
      <c r="N487" s="331">
        <v>-493.353857746041</v>
      </c>
      <c r="O487" s="331" t="s">
        <v>474</v>
      </c>
      <c r="P487" s="331">
        <v>-43.2</v>
      </c>
      <c r="Q487" s="331" t="s">
        <v>475</v>
      </c>
      <c r="S487" s="331" t="s">
        <v>473</v>
      </c>
      <c r="T487" s="331">
        <f t="shared" si="109"/>
        <v>3.9546282449452903</v>
      </c>
      <c r="U487" s="331" t="s">
        <v>474</v>
      </c>
      <c r="V487" s="331">
        <v>-43.2</v>
      </c>
      <c r="W487" s="331" t="s">
        <v>475</v>
      </c>
    </row>
    <row r="488" spans="10:23" x14ac:dyDescent="0.35">
      <c r="J488" s="331">
        <v>4018.7886565929098</v>
      </c>
      <c r="M488" s="331" t="s">
        <v>473</v>
      </c>
      <c r="N488" s="331">
        <v>-492.725867779655</v>
      </c>
      <c r="O488" s="331" t="s">
        <v>474</v>
      </c>
      <c r="P488" s="331">
        <v>-42.6</v>
      </c>
      <c r="Q488" s="331" t="s">
        <v>475</v>
      </c>
      <c r="S488" s="331" t="s">
        <v>473</v>
      </c>
      <c r="T488" s="331">
        <f t="shared" si="109"/>
        <v>4.0187886565929096</v>
      </c>
      <c r="U488" s="331" t="s">
        <v>474</v>
      </c>
      <c r="V488" s="331">
        <v>-42.6</v>
      </c>
      <c r="W488" s="331" t="s">
        <v>475</v>
      </c>
    </row>
    <row r="489" spans="10:23" x14ac:dyDescent="0.35">
      <c r="J489" s="331">
        <v>4085.5157216335601</v>
      </c>
      <c r="M489" s="331" t="s">
        <v>473</v>
      </c>
      <c r="N489" s="331">
        <v>-492.087571268266</v>
      </c>
      <c r="O489" s="331" t="s">
        <v>474</v>
      </c>
      <c r="P489" s="331">
        <v>-42</v>
      </c>
      <c r="Q489" s="331" t="s">
        <v>475</v>
      </c>
      <c r="S489" s="331" t="s">
        <v>473</v>
      </c>
      <c r="T489" s="331">
        <f t="shared" si="109"/>
        <v>4.08551572163356</v>
      </c>
      <c r="U489" s="331" t="s">
        <v>474</v>
      </c>
      <c r="V489" s="331">
        <v>-42</v>
      </c>
      <c r="W489" s="331" t="s">
        <v>475</v>
      </c>
    </row>
    <row r="490" spans="10:23" x14ac:dyDescent="0.35">
      <c r="J490" s="331">
        <v>4154.9743760034398</v>
      </c>
      <c r="M490" s="331" t="s">
        <v>473</v>
      </c>
      <c r="N490" s="331">
        <v>-491.438550898946</v>
      </c>
      <c r="O490" s="331" t="s">
        <v>474</v>
      </c>
      <c r="P490" s="331">
        <v>-41.4</v>
      </c>
      <c r="Q490" s="331" t="s">
        <v>475</v>
      </c>
      <c r="S490" s="331" t="s">
        <v>473</v>
      </c>
      <c r="T490" s="331">
        <f t="shared" si="109"/>
        <v>4.1549743760034401</v>
      </c>
      <c r="U490" s="331" t="s">
        <v>474</v>
      </c>
      <c r="V490" s="331">
        <v>-41.4</v>
      </c>
      <c r="W490" s="331" t="s">
        <v>475</v>
      </c>
    </row>
    <row r="491" spans="10:23" x14ac:dyDescent="0.35">
      <c r="J491" s="331">
        <v>4227.3442644535398</v>
      </c>
      <c r="M491" s="331" t="s">
        <v>473</v>
      </c>
      <c r="N491" s="331">
        <v>-490.77836228547</v>
      </c>
      <c r="O491" s="331" t="s">
        <v>474</v>
      </c>
      <c r="P491" s="331">
        <v>-40.799999999999997</v>
      </c>
      <c r="Q491" s="331" t="s">
        <v>475</v>
      </c>
      <c r="S491" s="331" t="s">
        <v>473</v>
      </c>
      <c r="T491" s="331">
        <f t="shared" si="109"/>
        <v>4.2273442644535395</v>
      </c>
      <c r="U491" s="331" t="s">
        <v>474</v>
      </c>
      <c r="V491" s="331">
        <v>-40.799999999999997</v>
      </c>
      <c r="W491" s="331" t="s">
        <v>475</v>
      </c>
    </row>
    <row r="492" spans="10:23" x14ac:dyDescent="0.35">
      <c r="J492" s="331">
        <v>4302.8214327179603</v>
      </c>
      <c r="M492" s="331" t="s">
        <v>473</v>
      </c>
      <c r="N492" s="331">
        <v>-490.106531510889</v>
      </c>
      <c r="O492" s="331" t="s">
        <v>474</v>
      </c>
      <c r="P492" s="331">
        <v>-40.200000000000003</v>
      </c>
      <c r="Q492" s="331" t="s">
        <v>475</v>
      </c>
      <c r="S492" s="331" t="s">
        <v>473</v>
      </c>
      <c r="T492" s="331">
        <f t="shared" si="109"/>
        <v>4.3028214327179599</v>
      </c>
      <c r="U492" s="331" t="s">
        <v>474</v>
      </c>
      <c r="V492" s="331">
        <v>-40.200000000000003</v>
      </c>
      <c r="W492" s="331" t="s">
        <v>475</v>
      </c>
    </row>
    <row r="493" spans="10:23" x14ac:dyDescent="0.35">
      <c r="J493" s="331">
        <v>4381.6202591536903</v>
      </c>
      <c r="M493" s="331" t="s">
        <v>473</v>
      </c>
      <c r="N493" s="331">
        <v>-489.42255238680002</v>
      </c>
      <c r="O493" s="331" t="s">
        <v>474</v>
      </c>
      <c r="P493" s="331">
        <v>-39.6</v>
      </c>
      <c r="Q493" s="331" t="s">
        <v>475</v>
      </c>
      <c r="S493" s="331" t="s">
        <v>473</v>
      </c>
      <c r="T493" s="331">
        <f t="shared" si="109"/>
        <v>4.3816202591536904</v>
      </c>
      <c r="U493" s="331" t="s">
        <v>474</v>
      </c>
      <c r="V493" s="331">
        <v>-39.6</v>
      </c>
      <c r="W493" s="331" t="s">
        <v>475</v>
      </c>
    </row>
    <row r="494" spans="10:23" x14ac:dyDescent="0.35">
      <c r="J494" s="331">
        <v>4463.5097793749701</v>
      </c>
      <c r="M494" s="331" t="s">
        <v>473</v>
      </c>
      <c r="N494" s="331">
        <v>-488.72977375528001</v>
      </c>
      <c r="O494" s="331" t="s">
        <v>474</v>
      </c>
      <c r="P494" s="331">
        <v>-39</v>
      </c>
      <c r="Q494" s="331" t="s">
        <v>475</v>
      </c>
      <c r="S494" s="331" t="s">
        <v>473</v>
      </c>
      <c r="T494" s="331">
        <f t="shared" si="109"/>
        <v>4.4635097793749701</v>
      </c>
      <c r="U494" s="331" t="s">
        <v>474</v>
      </c>
      <c r="V494" s="331">
        <v>-39</v>
      </c>
      <c r="W494" s="331" t="s">
        <v>475</v>
      </c>
    </row>
    <row r="495" spans="10:23" x14ac:dyDescent="0.35">
      <c r="J495" s="331">
        <v>4549.78932012532</v>
      </c>
      <c r="M495" s="331" t="s">
        <v>473</v>
      </c>
      <c r="N495" s="331">
        <v>-488.01884126494002</v>
      </c>
      <c r="O495" s="331" t="s">
        <v>474</v>
      </c>
      <c r="P495" s="331">
        <v>-38.4</v>
      </c>
      <c r="Q495" s="331" t="s">
        <v>475</v>
      </c>
      <c r="S495" s="331" t="s">
        <v>473</v>
      </c>
      <c r="T495" s="331">
        <f t="shared" si="109"/>
        <v>4.5497893201253197</v>
      </c>
      <c r="U495" s="331" t="s">
        <v>474</v>
      </c>
      <c r="V495" s="331">
        <v>-38.4</v>
      </c>
      <c r="W495" s="331" t="s">
        <v>475</v>
      </c>
    </row>
    <row r="496" spans="10:23" x14ac:dyDescent="0.35">
      <c r="J496" s="331">
        <v>4640.1458936888703</v>
      </c>
      <c r="M496" s="331" t="s">
        <v>473</v>
      </c>
      <c r="N496" s="331">
        <v>-487.29423469910398</v>
      </c>
      <c r="O496" s="331" t="s">
        <v>474</v>
      </c>
      <c r="P496" s="331">
        <v>-37.799999999999997</v>
      </c>
      <c r="Q496" s="331" t="s">
        <v>475</v>
      </c>
      <c r="S496" s="331" t="s">
        <v>473</v>
      </c>
      <c r="T496" s="331">
        <f t="shared" si="109"/>
        <v>4.64014589368887</v>
      </c>
      <c r="U496" s="331" t="s">
        <v>474</v>
      </c>
      <c r="V496" s="331">
        <v>-37.799999999999997</v>
      </c>
      <c r="W496" s="331" t="s">
        <v>475</v>
      </c>
    </row>
    <row r="497" spans="10:23" x14ac:dyDescent="0.35">
      <c r="J497" s="331">
        <v>4734.8961335883096</v>
      </c>
      <c r="M497" s="331" t="s">
        <v>473</v>
      </c>
      <c r="N497" s="331">
        <v>-486.55524502806202</v>
      </c>
      <c r="O497" s="331" t="s">
        <v>474</v>
      </c>
      <c r="P497" s="331">
        <v>-37.200000000000003</v>
      </c>
      <c r="Q497" s="331" t="s">
        <v>475</v>
      </c>
      <c r="S497" s="331" t="s">
        <v>473</v>
      </c>
      <c r="T497" s="331">
        <f t="shared" si="109"/>
        <v>4.7348961335883093</v>
      </c>
      <c r="U497" s="331" t="s">
        <v>474</v>
      </c>
      <c r="V497" s="331">
        <v>-37.200000000000003</v>
      </c>
      <c r="W497" s="331" t="s">
        <v>475</v>
      </c>
    </row>
    <row r="498" spans="10:23" x14ac:dyDescent="0.35">
      <c r="J498" s="331">
        <v>4834.3897340734902</v>
      </c>
      <c r="M498" s="331" t="s">
        <v>473</v>
      </c>
      <c r="N498" s="331">
        <v>-485.80111611921501</v>
      </c>
      <c r="O498" s="331" t="s">
        <v>474</v>
      </c>
      <c r="P498" s="331">
        <v>-36.6</v>
      </c>
      <c r="Q498" s="331" t="s">
        <v>475</v>
      </c>
      <c r="S498" s="331" t="s">
        <v>473</v>
      </c>
      <c r="T498" s="331">
        <f t="shared" si="109"/>
        <v>4.8343897340734898</v>
      </c>
      <c r="U498" s="331" t="s">
        <v>474</v>
      </c>
      <c r="V498" s="331">
        <v>-36.6</v>
      </c>
      <c r="W498" s="331" t="s">
        <v>475</v>
      </c>
    </row>
    <row r="499" spans="10:23" x14ac:dyDescent="0.35">
      <c r="J499" s="331">
        <v>4939.0140077242104</v>
      </c>
      <c r="M499" s="331" t="s">
        <v>473</v>
      </c>
      <c r="N499" s="331">
        <v>-485.03103895949903</v>
      </c>
      <c r="O499" s="331" t="s">
        <v>474</v>
      </c>
      <c r="P499" s="331">
        <v>-36</v>
      </c>
      <c r="Q499" s="331" t="s">
        <v>475</v>
      </c>
      <c r="S499" s="331" t="s">
        <v>473</v>
      </c>
      <c r="T499" s="331">
        <f t="shared" si="109"/>
        <v>4.93901400772421</v>
      </c>
      <c r="U499" s="331" t="s">
        <v>474</v>
      </c>
      <c r="V499" s="331">
        <v>-36</v>
      </c>
      <c r="W499" s="331" t="s">
        <v>475</v>
      </c>
    </row>
    <row r="500" spans="10:23" x14ac:dyDescent="0.35">
      <c r="J500" s="331">
        <v>5049.1992240958298</v>
      </c>
      <c r="M500" s="331" t="s">
        <v>473</v>
      </c>
      <c r="N500" s="331">
        <v>-484.24414503326801</v>
      </c>
      <c r="O500" s="331" t="s">
        <v>474</v>
      </c>
      <c r="P500" s="331">
        <v>-35.4</v>
      </c>
      <c r="Q500" s="331" t="s">
        <v>475</v>
      </c>
      <c r="S500" s="331" t="s">
        <v>473</v>
      </c>
      <c r="T500" s="331">
        <f t="shared" si="109"/>
        <v>5.0491992240958297</v>
      </c>
      <c r="U500" s="331" t="s">
        <v>474</v>
      </c>
      <c r="V500" s="331">
        <v>-35.4</v>
      </c>
      <c r="W500" s="331" t="s">
        <v>475</v>
      </c>
    </row>
    <row r="501" spans="10:23" x14ac:dyDescent="0.35">
      <c r="J501" s="331">
        <v>5165.4248868621298</v>
      </c>
      <c r="M501" s="331" t="s">
        <v>473</v>
      </c>
      <c r="N501" s="331">
        <v>-483.43949872823799</v>
      </c>
      <c r="O501" s="331" t="s">
        <v>474</v>
      </c>
      <c r="P501" s="331">
        <v>-34.799999999999997</v>
      </c>
      <c r="Q501" s="331" t="s">
        <v>475</v>
      </c>
      <c r="S501" s="331" t="s">
        <v>473</v>
      </c>
      <c r="T501" s="331">
        <f t="shared" si="109"/>
        <v>5.1654248868621302</v>
      </c>
      <c r="U501" s="331" t="s">
        <v>474</v>
      </c>
      <c r="V501" s="331">
        <v>-34.799999999999997</v>
      </c>
      <c r="W501" s="331" t="s">
        <v>475</v>
      </c>
    </row>
    <row r="502" spans="10:23" x14ac:dyDescent="0.35">
      <c r="J502" s="331">
        <v>5288.2271438753096</v>
      </c>
      <c r="M502" s="331" t="s">
        <v>473</v>
      </c>
      <c r="N502" s="331">
        <v>-482.61608861703098</v>
      </c>
      <c r="O502" s="331" t="s">
        <v>474</v>
      </c>
      <c r="P502" s="331">
        <v>-34.200000000000003</v>
      </c>
      <c r="Q502" s="331" t="s">
        <v>475</v>
      </c>
      <c r="S502" s="331" t="s">
        <v>473</v>
      </c>
      <c r="T502" s="331">
        <f t="shared" si="109"/>
        <v>5.2882271438753099</v>
      </c>
      <c r="U502" s="331" t="s">
        <v>474</v>
      </c>
      <c r="V502" s="331">
        <v>-34.200000000000003</v>
      </c>
      <c r="W502" s="331" t="s">
        <v>475</v>
      </c>
    </row>
    <row r="503" spans="10:23" x14ac:dyDescent="0.35">
      <c r="J503" s="331">
        <v>5418.2075716284398</v>
      </c>
      <c r="M503" s="331" t="s">
        <v>473</v>
      </c>
      <c r="N503" s="331">
        <v>-481.77281742991403</v>
      </c>
      <c r="O503" s="331" t="s">
        <v>474</v>
      </c>
      <c r="P503" s="331">
        <v>-33.6</v>
      </c>
      <c r="Q503" s="331" t="s">
        <v>475</v>
      </c>
      <c r="S503" s="331" t="s">
        <v>473</v>
      </c>
      <c r="T503" s="331">
        <f t="shared" si="109"/>
        <v>5.4182075716284395</v>
      </c>
      <c r="U503" s="331" t="s">
        <v>474</v>
      </c>
      <c r="V503" s="331">
        <v>-33.6</v>
      </c>
      <c r="W503" s="331" t="s">
        <v>475</v>
      </c>
    </row>
    <row r="504" spans="10:23" x14ac:dyDescent="0.35">
      <c r="J504" s="331">
        <v>5556.0436359240502</v>
      </c>
      <c r="M504" s="331" t="s">
        <v>473</v>
      </c>
      <c r="N504" s="331">
        <v>-480.90849049351101</v>
      </c>
      <c r="O504" s="331" t="s">
        <v>474</v>
      </c>
      <c r="P504" s="331">
        <v>-33</v>
      </c>
      <c r="Q504" s="331" t="s">
        <v>475</v>
      </c>
      <c r="S504" s="331" t="s">
        <v>473</v>
      </c>
      <c r="T504" s="331">
        <f t="shared" si="109"/>
        <v>5.5560436359240502</v>
      </c>
      <c r="U504" s="331" t="s">
        <v>474</v>
      </c>
      <c r="V504" s="331">
        <v>-33</v>
      </c>
      <c r="W504" s="331" t="s">
        <v>475</v>
      </c>
    </row>
    <row r="505" spans="10:23" x14ac:dyDescent="0.35">
      <c r="J505" s="331">
        <v>5702.5012083637603</v>
      </c>
      <c r="M505" s="331" t="s">
        <v>473</v>
      </c>
      <c r="N505" s="331">
        <v>-480.02180235793202</v>
      </c>
      <c r="O505" s="331" t="s">
        <v>474</v>
      </c>
      <c r="P505" s="331">
        <v>-32.4</v>
      </c>
      <c r="Q505" s="331" t="s">
        <v>475</v>
      </c>
      <c r="S505" s="331" t="s">
        <v>473</v>
      </c>
      <c r="T505" s="331">
        <f t="shared" si="109"/>
        <v>5.7025012083637598</v>
      </c>
      <c r="U505" s="331" t="s">
        <v>474</v>
      </c>
      <c r="V505" s="331">
        <v>-32.4</v>
      </c>
      <c r="W505" s="331" t="s">
        <v>475</v>
      </c>
    </row>
    <row r="506" spans="10:23" x14ac:dyDescent="0.35">
      <c r="J506" s="331">
        <v>5858.4496193221903</v>
      </c>
      <c r="M506" s="331" t="s">
        <v>473</v>
      </c>
      <c r="N506" s="331">
        <v>-479.111321267574</v>
      </c>
      <c r="O506" s="331" t="s">
        <v>474</v>
      </c>
      <c r="P506" s="331">
        <v>-31.8</v>
      </c>
      <c r="Q506" s="331" t="s">
        <v>475</v>
      </c>
      <c r="S506" s="331" t="s">
        <v>473</v>
      </c>
      <c r="T506" s="331">
        <f t="shared" si="109"/>
        <v>5.8584496193221902</v>
      </c>
      <c r="U506" s="331" t="s">
        <v>474</v>
      </c>
      <c r="V506" s="331">
        <v>-31.8</v>
      </c>
      <c r="W506" s="331" t="s">
        <v>475</v>
      </c>
    </row>
    <row r="507" spans="10:23" x14ac:dyDescent="0.35">
      <c r="J507" s="331">
        <v>6024.8798601890003</v>
      </c>
      <c r="M507" s="331" t="s">
        <v>473</v>
      </c>
      <c r="N507" s="331">
        <v>-478.17547104445299</v>
      </c>
      <c r="O507" s="331" t="s">
        <v>474</v>
      </c>
      <c r="P507" s="331">
        <v>-31.2</v>
      </c>
      <c r="Q507" s="331" t="s">
        <v>475</v>
      </c>
      <c r="S507" s="331" t="s">
        <v>473</v>
      </c>
      <c r="T507" s="331">
        <f t="shared" si="109"/>
        <v>6.0248798601890003</v>
      </c>
      <c r="U507" s="331" t="s">
        <v>474</v>
      </c>
      <c r="V507" s="331">
        <v>-31.2</v>
      </c>
      <c r="W507" s="331" t="s">
        <v>475</v>
      </c>
    </row>
    <row r="508" spans="10:23" x14ac:dyDescent="0.35">
      <c r="J508" s="331">
        <v>6202.9267216098497</v>
      </c>
      <c r="M508" s="331" t="s">
        <v>473</v>
      </c>
      <c r="N508" s="331">
        <v>-477.21250984150498</v>
      </c>
      <c r="O508" s="331" t="s">
        <v>474</v>
      </c>
      <c r="P508" s="331">
        <v>-30.6</v>
      </c>
      <c r="Q508" s="331" t="s">
        <v>475</v>
      </c>
      <c r="S508" s="331" t="s">
        <v>473</v>
      </c>
      <c r="T508" s="331">
        <f t="shared" si="109"/>
        <v>6.2029267216098498</v>
      </c>
      <c r="U508" s="331" t="s">
        <v>474</v>
      </c>
      <c r="V508" s="331">
        <v>-30.6</v>
      </c>
      <c r="W508" s="331" t="s">
        <v>475</v>
      </c>
    </row>
    <row r="509" spans="10:23" x14ac:dyDescent="0.35">
      <c r="J509" s="331">
        <v>6393.8958851010702</v>
      </c>
      <c r="M509" s="331" t="s">
        <v>473</v>
      </c>
      <c r="N509" s="331">
        <v>-476.220505079379</v>
      </c>
      <c r="O509" s="331" t="s">
        <v>474</v>
      </c>
      <c r="P509" s="331">
        <v>-30</v>
      </c>
      <c r="Q509" s="331" t="s">
        <v>475</v>
      </c>
      <c r="S509" s="331" t="s">
        <v>473</v>
      </c>
      <c r="T509" s="331">
        <f t="shared" si="109"/>
        <v>6.3938958851010703</v>
      </c>
      <c r="U509" s="331" t="s">
        <v>474</v>
      </c>
      <c r="V509" s="331">
        <v>-30</v>
      </c>
      <c r="W509" s="331" t="s">
        <v>475</v>
      </c>
    </row>
    <row r="510" spans="10:23" x14ac:dyDescent="0.35">
      <c r="J510" s="331">
        <v>6599.2972934666504</v>
      </c>
      <c r="M510" s="331" t="s">
        <v>473</v>
      </c>
      <c r="N510" s="331">
        <v>-475.19730369335701</v>
      </c>
      <c r="O510" s="331" t="s">
        <v>474</v>
      </c>
      <c r="P510" s="331">
        <v>-29.4</v>
      </c>
      <c r="Q510" s="331" t="s">
        <v>475</v>
      </c>
      <c r="S510" s="331" t="s">
        <v>473</v>
      </c>
      <c r="T510" s="331">
        <f t="shared" si="109"/>
        <v>6.5992972934666501</v>
      </c>
      <c r="U510" s="331" t="s">
        <v>474</v>
      </c>
      <c r="V510" s="331">
        <v>-29.4</v>
      </c>
      <c r="W510" s="331" t="s">
        <v>475</v>
      </c>
    </row>
    <row r="511" spans="10:23" x14ac:dyDescent="0.35">
      <c r="J511" s="331">
        <v>6820.8865399591496</v>
      </c>
      <c r="M511" s="331" t="s">
        <v>473</v>
      </c>
      <c r="N511" s="331">
        <v>-474.14049657335198</v>
      </c>
      <c r="O511" s="331" t="s">
        <v>474</v>
      </c>
      <c r="P511" s="331">
        <v>-28.8</v>
      </c>
      <c r="Q511" s="331" t="s">
        <v>475</v>
      </c>
      <c r="S511" s="331" t="s">
        <v>473</v>
      </c>
      <c r="T511" s="331">
        <f t="shared" si="109"/>
        <v>6.8208865399591492</v>
      </c>
      <c r="U511" s="331" t="s">
        <v>474</v>
      </c>
      <c r="V511" s="331">
        <v>-28.8</v>
      </c>
      <c r="W511" s="331" t="s">
        <v>475</v>
      </c>
    </row>
    <row r="512" spans="10:23" x14ac:dyDescent="0.35">
      <c r="J512" s="331">
        <v>7059.8228049904401</v>
      </c>
      <c r="M512" s="331" t="s">
        <v>473</v>
      </c>
      <c r="N512" s="331">
        <v>-473.05135698015403</v>
      </c>
      <c r="O512" s="331" t="s">
        <v>474</v>
      </c>
      <c r="P512" s="331">
        <v>-28.2</v>
      </c>
      <c r="Q512" s="331" t="s">
        <v>475</v>
      </c>
      <c r="S512" s="331" t="s">
        <v>473</v>
      </c>
      <c r="T512" s="331">
        <f t="shared" si="109"/>
        <v>7.0598228049904401</v>
      </c>
      <c r="U512" s="331" t="s">
        <v>474</v>
      </c>
      <c r="V512" s="331">
        <v>-28.2</v>
      </c>
      <c r="W512" s="331" t="s">
        <v>475</v>
      </c>
    </row>
    <row r="513" spans="10:23" x14ac:dyDescent="0.35">
      <c r="J513" s="331">
        <v>7320.6492919763596</v>
      </c>
      <c r="M513" s="331" t="s">
        <v>473</v>
      </c>
      <c r="N513" s="331">
        <v>-471.91723202644499</v>
      </c>
      <c r="O513" s="331" t="s">
        <v>474</v>
      </c>
      <c r="P513" s="331">
        <v>-27.6</v>
      </c>
      <c r="Q513" s="331" t="s">
        <v>475</v>
      </c>
      <c r="S513" s="331" t="s">
        <v>473</v>
      </c>
      <c r="T513" s="331">
        <f t="shared" si="109"/>
        <v>7.3206492919763599</v>
      </c>
      <c r="U513" s="331" t="s">
        <v>474</v>
      </c>
      <c r="V513" s="331">
        <v>-27.6</v>
      </c>
      <c r="W513" s="331" t="s">
        <v>475</v>
      </c>
    </row>
    <row r="514" spans="10:23" x14ac:dyDescent="0.35">
      <c r="J514" s="331">
        <v>7604.8803140539503</v>
      </c>
      <c r="M514" s="331" t="s">
        <v>473</v>
      </c>
      <c r="N514" s="331">
        <v>-470.74085749664602</v>
      </c>
      <c r="O514" s="331" t="s">
        <v>474</v>
      </c>
      <c r="P514" s="331">
        <v>-27</v>
      </c>
      <c r="Q514" s="331" t="s">
        <v>475</v>
      </c>
      <c r="S514" s="331" t="s">
        <v>473</v>
      </c>
      <c r="T514" s="331">
        <f t="shared" si="109"/>
        <v>7.6048803140539505</v>
      </c>
      <c r="U514" s="331" t="s">
        <v>474</v>
      </c>
      <c r="V514" s="331">
        <v>-27</v>
      </c>
      <c r="W514" s="331" t="s">
        <v>475</v>
      </c>
    </row>
    <row r="515" spans="10:23" x14ac:dyDescent="0.35">
      <c r="J515" s="331">
        <v>7915.9565637166997</v>
      </c>
      <c r="M515" s="331" t="s">
        <v>473</v>
      </c>
      <c r="N515" s="331">
        <v>-469.518084528727</v>
      </c>
      <c r="O515" s="331" t="s">
        <v>474</v>
      </c>
      <c r="P515" s="331">
        <v>-26.4</v>
      </c>
      <c r="Q515" s="331" t="s">
        <v>475</v>
      </c>
      <c r="S515" s="331" t="s">
        <v>473</v>
      </c>
      <c r="T515" s="331">
        <f t="shared" si="109"/>
        <v>7.9159565637166995</v>
      </c>
      <c r="U515" s="331" t="s">
        <v>474</v>
      </c>
      <c r="V515" s="331">
        <v>-26.4</v>
      </c>
      <c r="W515" s="331" t="s">
        <v>475</v>
      </c>
    </row>
    <row r="516" spans="10:23" x14ac:dyDescent="0.35">
      <c r="J516" s="331">
        <v>8258.0012746174107</v>
      </c>
      <c r="M516" s="331" t="s">
        <v>473</v>
      </c>
      <c r="N516" s="331">
        <v>-468.24421696407597</v>
      </c>
      <c r="O516" s="331" t="s">
        <v>474</v>
      </c>
      <c r="P516" s="331">
        <v>-25.8</v>
      </c>
      <c r="Q516" s="331" t="s">
        <v>475</v>
      </c>
      <c r="S516" s="331" t="s">
        <v>473</v>
      </c>
      <c r="T516" s="331">
        <f t="shared" si="109"/>
        <v>8.2580012746174098</v>
      </c>
      <c r="U516" s="331" t="s">
        <v>474</v>
      </c>
      <c r="V516" s="331">
        <v>-25.8</v>
      </c>
      <c r="W516" s="331" t="s">
        <v>475</v>
      </c>
    </row>
    <row r="517" spans="10:23" x14ac:dyDescent="0.35">
      <c r="J517" s="331">
        <v>8635.9975989074501</v>
      </c>
      <c r="M517" s="331" t="s">
        <v>473</v>
      </c>
      <c r="N517" s="331">
        <v>-466.91388556377302</v>
      </c>
      <c r="O517" s="331" t="s">
        <v>474</v>
      </c>
      <c r="P517" s="331">
        <v>-25.2</v>
      </c>
      <c r="Q517" s="331" t="s">
        <v>475</v>
      </c>
      <c r="S517" s="331" t="s">
        <v>473</v>
      </c>
      <c r="T517" s="331">
        <f t="shared" si="109"/>
        <v>8.6359975989074496</v>
      </c>
      <c r="U517" s="331" t="s">
        <v>474</v>
      </c>
      <c r="V517" s="331">
        <v>-25.2</v>
      </c>
      <c r="W517" s="331" t="s">
        <v>475</v>
      </c>
    </row>
    <row r="518" spans="10:23" x14ac:dyDescent="0.35">
      <c r="J518" s="331">
        <v>9056.0220769055304</v>
      </c>
      <c r="M518" s="331" t="s">
        <v>473</v>
      </c>
      <c r="N518" s="331">
        <v>-465.52088851738199</v>
      </c>
      <c r="O518" s="331" t="s">
        <v>474</v>
      </c>
      <c r="P518" s="331">
        <v>-24.6</v>
      </c>
      <c r="Q518" s="331" t="s">
        <v>475</v>
      </c>
      <c r="S518" s="331" t="s">
        <v>473</v>
      </c>
      <c r="T518" s="331">
        <f t="shared" si="109"/>
        <v>9.0560220769055313</v>
      </c>
      <c r="U518" s="331" t="s">
        <v>474</v>
      </c>
      <c r="V518" s="331">
        <v>-24.6</v>
      </c>
      <c r="W518" s="331" t="s">
        <v>475</v>
      </c>
    </row>
    <row r="519" spans="10:23" x14ac:dyDescent="0.35">
      <c r="J519" s="331">
        <v>9525.5542266698903</v>
      </c>
      <c r="M519" s="331" t="s">
        <v>473</v>
      </c>
      <c r="N519" s="331">
        <v>-464.057988589677</v>
      </c>
      <c r="O519" s="331" t="s">
        <v>474</v>
      </c>
      <c r="P519" s="331">
        <v>-24</v>
      </c>
      <c r="Q519" s="331" t="s">
        <v>475</v>
      </c>
      <c r="S519" s="331" t="s">
        <v>473</v>
      </c>
      <c r="T519" s="331">
        <f t="shared" si="109"/>
        <v>9.5255542266698896</v>
      </c>
      <c r="U519" s="331" t="s">
        <v>474</v>
      </c>
      <c r="V519" s="331">
        <v>-24</v>
      </c>
      <c r="W519" s="331" t="s">
        <v>475</v>
      </c>
    </row>
    <row r="520" spans="10:23" x14ac:dyDescent="0.35">
      <c r="J520" s="331">
        <v>10053.8898378057</v>
      </c>
      <c r="M520" s="331" t="s">
        <v>473</v>
      </c>
      <c r="N520" s="331">
        <v>-462.51665366600002</v>
      </c>
      <c r="O520" s="331" t="s">
        <v>474</v>
      </c>
      <c r="P520" s="331">
        <v>-23.4</v>
      </c>
      <c r="Q520" s="331" t="s">
        <v>475</v>
      </c>
      <c r="S520" s="331" t="s">
        <v>473</v>
      </c>
      <c r="T520" s="331">
        <f t="shared" si="109"/>
        <v>10.0538898378057</v>
      </c>
      <c r="U520" s="331" t="s">
        <v>474</v>
      </c>
      <c r="V520" s="331">
        <v>-23.4</v>
      </c>
      <c r="W520" s="331" t="s">
        <v>475</v>
      </c>
    </row>
    <row r="521" spans="10:23" x14ac:dyDescent="0.35">
      <c r="J521" s="331">
        <v>10652.6955415711</v>
      </c>
      <c r="M521" s="331" t="s">
        <v>473</v>
      </c>
      <c r="N521" s="331">
        <v>-460.88672234460699</v>
      </c>
      <c r="O521" s="331" t="s">
        <v>474</v>
      </c>
      <c r="P521" s="331">
        <v>-22.8</v>
      </c>
      <c r="Q521" s="331" t="s">
        <v>475</v>
      </c>
      <c r="S521" s="331" t="s">
        <v>473</v>
      </c>
      <c r="T521" s="331">
        <f t="shared" si="109"/>
        <v>10.6526955415711</v>
      </c>
      <c r="U521" s="331" t="s">
        <v>474</v>
      </c>
      <c r="V521" s="331">
        <v>-22.8</v>
      </c>
      <c r="W521" s="331" t="s">
        <v>475</v>
      </c>
    </row>
    <row r="522" spans="10:23" x14ac:dyDescent="0.35">
      <c r="J522" s="331">
        <v>11334.953186835501</v>
      </c>
      <c r="M522" s="331" t="s">
        <v>473</v>
      </c>
      <c r="N522" s="331">
        <v>-459.16036026720298</v>
      </c>
      <c r="O522" s="331" t="s">
        <v>474</v>
      </c>
      <c r="P522" s="331">
        <v>-22.2</v>
      </c>
      <c r="Q522" s="331" t="s">
        <v>475</v>
      </c>
      <c r="S522" s="331" t="s">
        <v>473</v>
      </c>
      <c r="T522" s="331">
        <f t="shared" si="109"/>
        <v>11.3349531868355</v>
      </c>
      <c r="U522" s="331" t="s">
        <v>474</v>
      </c>
      <c r="V522" s="331">
        <v>-22.2</v>
      </c>
      <c r="W522" s="331" t="s">
        <v>475</v>
      </c>
    </row>
    <row r="523" spans="10:23" x14ac:dyDescent="0.35">
      <c r="J523" s="331">
        <v>12124.2059189051</v>
      </c>
      <c r="M523" s="331" t="s">
        <v>473</v>
      </c>
      <c r="N523" s="331">
        <v>-457.31123967709698</v>
      </c>
      <c r="O523" s="331" t="s">
        <v>474</v>
      </c>
      <c r="P523" s="331">
        <v>-21.6</v>
      </c>
      <c r="Q523" s="331" t="s">
        <v>475</v>
      </c>
      <c r="S523" s="331" t="s">
        <v>473</v>
      </c>
      <c r="T523" s="331">
        <f t="shared" ref="T523:T586" si="110">J523/1000</f>
        <v>12.124205918905099</v>
      </c>
      <c r="U523" s="331" t="s">
        <v>474</v>
      </c>
      <c r="V523" s="331">
        <v>-21.6</v>
      </c>
      <c r="W523" s="331" t="s">
        <v>475</v>
      </c>
    </row>
    <row r="524" spans="10:23" x14ac:dyDescent="0.35">
      <c r="J524" s="331">
        <v>13041.3745741864</v>
      </c>
      <c r="M524" s="331" t="s">
        <v>473</v>
      </c>
      <c r="N524" s="331">
        <v>-455.32972784036502</v>
      </c>
      <c r="O524" s="331" t="s">
        <v>474</v>
      </c>
      <c r="P524" s="331">
        <v>-21</v>
      </c>
      <c r="Q524" s="331" t="s">
        <v>475</v>
      </c>
      <c r="S524" s="331" t="s">
        <v>473</v>
      </c>
      <c r="T524" s="331">
        <f t="shared" si="110"/>
        <v>13.041374574186401</v>
      </c>
      <c r="U524" s="331" t="s">
        <v>474</v>
      </c>
      <c r="V524" s="331">
        <v>-21</v>
      </c>
      <c r="W524" s="331" t="s">
        <v>475</v>
      </c>
    </row>
    <row r="525" spans="10:23" x14ac:dyDescent="0.35">
      <c r="J525" s="331">
        <v>14118.090647519</v>
      </c>
      <c r="M525" s="331" t="s">
        <v>473</v>
      </c>
      <c r="N525" s="331">
        <v>-453.19243329634998</v>
      </c>
      <c r="O525" s="331" t="s">
        <v>474</v>
      </c>
      <c r="P525" s="331">
        <v>-20.399999999999999</v>
      </c>
      <c r="Q525" s="331" t="s">
        <v>475</v>
      </c>
      <c r="S525" s="331" t="s">
        <v>473</v>
      </c>
      <c r="T525" s="331">
        <f t="shared" si="110"/>
        <v>14.118090647519001</v>
      </c>
      <c r="U525" s="331" t="s">
        <v>474</v>
      </c>
      <c r="V525" s="331">
        <v>-20.399999999999999</v>
      </c>
      <c r="W525" s="331" t="s">
        <v>475</v>
      </c>
    </row>
    <row r="526" spans="10:23" x14ac:dyDescent="0.35">
      <c r="J526" s="331">
        <v>15394.7535382478</v>
      </c>
      <c r="M526" s="331" t="s">
        <v>473</v>
      </c>
      <c r="N526" s="331">
        <v>-450.87068661632497</v>
      </c>
      <c r="O526" s="331" t="s">
        <v>474</v>
      </c>
      <c r="P526" s="331">
        <v>-19.8</v>
      </c>
      <c r="Q526" s="331" t="s">
        <v>475</v>
      </c>
      <c r="S526" s="331" t="s">
        <v>473</v>
      </c>
      <c r="T526" s="331">
        <f t="shared" si="110"/>
        <v>15.3947535382478</v>
      </c>
      <c r="U526" s="331" t="s">
        <v>474</v>
      </c>
      <c r="V526" s="331">
        <v>-19.8</v>
      </c>
      <c r="W526" s="331" t="s">
        <v>475</v>
      </c>
    </row>
    <row r="527" spans="10:23" x14ac:dyDescent="0.35">
      <c r="J527" s="331">
        <v>16921.745776278301</v>
      </c>
      <c r="M527" s="331" t="s">
        <v>473</v>
      </c>
      <c r="N527" s="331">
        <v>-448.328934347955</v>
      </c>
      <c r="O527" s="331" t="s">
        <v>474</v>
      </c>
      <c r="P527" s="331">
        <v>-19.2</v>
      </c>
      <c r="Q527" s="331" t="s">
        <v>475</v>
      </c>
      <c r="S527" s="331" t="s">
        <v>473</v>
      </c>
      <c r="T527" s="331">
        <f t="shared" si="110"/>
        <v>16.9217457762783</v>
      </c>
      <c r="U527" s="331" t="s">
        <v>474</v>
      </c>
      <c r="V527" s="331">
        <v>-19.2</v>
      </c>
      <c r="W527" s="331" t="s">
        <v>475</v>
      </c>
    </row>
    <row r="528" spans="10:23" x14ac:dyDescent="0.35">
      <c r="J528" s="331">
        <v>18755.604208035202</v>
      </c>
      <c r="M528" s="331" t="s">
        <v>473</v>
      </c>
      <c r="N528" s="331">
        <v>-445.52616132215098</v>
      </c>
      <c r="O528" s="331" t="s">
        <v>474</v>
      </c>
      <c r="P528" s="331">
        <v>-18.600000000000001</v>
      </c>
      <c r="Q528" s="331" t="s">
        <v>475</v>
      </c>
      <c r="S528" s="331" t="s">
        <v>473</v>
      </c>
      <c r="T528" s="331">
        <f t="shared" si="110"/>
        <v>18.755604208035201</v>
      </c>
      <c r="U528" s="331" t="s">
        <v>474</v>
      </c>
      <c r="V528" s="331">
        <v>-18.600000000000001</v>
      </c>
      <c r="W528" s="331" t="s">
        <v>475</v>
      </c>
    </row>
    <row r="529" spans="10:23" x14ac:dyDescent="0.35">
      <c r="J529" s="331">
        <v>20957.558956954999</v>
      </c>
      <c r="M529" s="331" t="s">
        <v>473</v>
      </c>
      <c r="N529" s="331">
        <v>-442.40045895139099</v>
      </c>
      <c r="O529" s="331" t="s">
        <v>474</v>
      </c>
      <c r="P529" s="331">
        <v>-18</v>
      </c>
      <c r="Q529" s="331" t="s">
        <v>475</v>
      </c>
      <c r="S529" s="331" t="s">
        <v>473</v>
      </c>
      <c r="T529" s="331">
        <f t="shared" si="110"/>
        <v>20.957558956954998</v>
      </c>
      <c r="U529" s="331" t="s">
        <v>474</v>
      </c>
      <c r="V529" s="331">
        <v>-18</v>
      </c>
      <c r="W529" s="331" t="s">
        <v>475</v>
      </c>
    </row>
    <row r="530" spans="10:23" x14ac:dyDescent="0.35">
      <c r="J530" s="331">
        <v>23536.8412820292</v>
      </c>
      <c r="M530" s="331" t="s">
        <v>473</v>
      </c>
      <c r="N530" s="331">
        <v>-438.90011151029199</v>
      </c>
      <c r="O530" s="331" t="s">
        <v>474</v>
      </c>
      <c r="P530" s="331">
        <v>-17.399999999999999</v>
      </c>
      <c r="Q530" s="331" t="s">
        <v>475</v>
      </c>
      <c r="S530" s="331" t="s">
        <v>473</v>
      </c>
      <c r="T530" s="331">
        <f t="shared" si="110"/>
        <v>23.536841282029201</v>
      </c>
      <c r="U530" s="331" t="s">
        <v>474</v>
      </c>
      <c r="V530" s="331">
        <v>-17.399999999999999</v>
      </c>
      <c r="W530" s="331" t="s">
        <v>475</v>
      </c>
    </row>
    <row r="531" spans="10:23" x14ac:dyDescent="0.35">
      <c r="J531" s="331">
        <v>26369.913790032599</v>
      </c>
      <c r="M531" s="331" t="s">
        <v>473</v>
      </c>
      <c r="N531" s="331">
        <v>-434.97699165768103</v>
      </c>
      <c r="O531" s="331" t="s">
        <v>474</v>
      </c>
      <c r="P531" s="331">
        <v>-16.8</v>
      </c>
      <c r="Q531" s="331" t="s">
        <v>475</v>
      </c>
      <c r="S531" s="331" t="s">
        <v>473</v>
      </c>
      <c r="T531" s="331">
        <f t="shared" si="110"/>
        <v>26.369913790032598</v>
      </c>
      <c r="U531" s="331" t="s">
        <v>474</v>
      </c>
      <c r="V531" s="331">
        <v>-16.8</v>
      </c>
      <c r="W531" s="331" t="s">
        <v>475</v>
      </c>
    </row>
    <row r="532" spans="10:23" x14ac:dyDescent="0.35">
      <c r="J532" s="331">
        <v>29055.213458779199</v>
      </c>
      <c r="M532" s="331" t="s">
        <v>473</v>
      </c>
      <c r="N532" s="331">
        <v>-430.59837821752302</v>
      </c>
      <c r="O532" s="331" t="s">
        <v>474</v>
      </c>
      <c r="P532" s="331">
        <v>-16.2</v>
      </c>
      <c r="Q532" s="331" t="s">
        <v>475</v>
      </c>
      <c r="S532" s="331" t="s">
        <v>473</v>
      </c>
      <c r="T532" s="331">
        <f t="shared" si="110"/>
        <v>29.0552134587792</v>
      </c>
      <c r="U532" s="331" t="s">
        <v>474</v>
      </c>
      <c r="V532" s="331">
        <v>-16.2</v>
      </c>
      <c r="W532" s="331" t="s">
        <v>475</v>
      </c>
    </row>
    <row r="533" spans="10:23" x14ac:dyDescent="0.35">
      <c r="J533" s="331">
        <v>30803.1358012809</v>
      </c>
      <c r="M533" s="331" t="s">
        <v>473</v>
      </c>
      <c r="N533" s="331">
        <v>-425.87409437757799</v>
      </c>
      <c r="O533" s="331" t="s">
        <v>474</v>
      </c>
      <c r="P533" s="331">
        <v>-15.6</v>
      </c>
      <c r="Q533" s="331" t="s">
        <v>475</v>
      </c>
      <c r="S533" s="331" t="s">
        <v>473</v>
      </c>
      <c r="T533" s="331">
        <f t="shared" si="110"/>
        <v>30.803135801280899</v>
      </c>
      <c r="U533" s="331" t="s">
        <v>474</v>
      </c>
      <c r="V533" s="331">
        <v>-15.6</v>
      </c>
      <c r="W533" s="331" t="s">
        <v>475</v>
      </c>
    </row>
    <row r="534" spans="10:23" x14ac:dyDescent="0.35">
      <c r="J534" s="331">
        <v>31716.771222602099</v>
      </c>
      <c r="M534" s="331" t="s">
        <v>473</v>
      </c>
      <c r="N534" s="331">
        <v>-420.956561169233</v>
      </c>
      <c r="O534" s="331" t="s">
        <v>474</v>
      </c>
      <c r="P534" s="331">
        <v>-15</v>
      </c>
      <c r="Q534" s="331" t="s">
        <v>475</v>
      </c>
      <c r="S534" s="331" t="s">
        <v>473</v>
      </c>
      <c r="T534" s="331">
        <f t="shared" si="110"/>
        <v>31.716771222602098</v>
      </c>
      <c r="U534" s="331" t="s">
        <v>474</v>
      </c>
      <c r="V534" s="331">
        <v>-15</v>
      </c>
      <c r="W534" s="331" t="s">
        <v>475</v>
      </c>
    </row>
    <row r="535" spans="10:23" x14ac:dyDescent="0.35">
      <c r="J535" s="331">
        <v>33333.151439046</v>
      </c>
      <c r="M535" s="331" t="s">
        <v>473</v>
      </c>
      <c r="N535" s="331">
        <v>-415.83511894315501</v>
      </c>
      <c r="O535" s="331" t="s">
        <v>474</v>
      </c>
      <c r="P535" s="331">
        <v>-14.4</v>
      </c>
      <c r="Q535" s="331" t="s">
        <v>475</v>
      </c>
      <c r="S535" s="331" t="s">
        <v>473</v>
      </c>
      <c r="T535" s="331">
        <f t="shared" si="110"/>
        <v>33.333151439045999</v>
      </c>
      <c r="U535" s="331" t="s">
        <v>474</v>
      </c>
      <c r="V535" s="331">
        <v>-14.4</v>
      </c>
      <c r="W535" s="331" t="s">
        <v>475</v>
      </c>
    </row>
    <row r="536" spans="10:23" x14ac:dyDescent="0.35">
      <c r="J536" s="331">
        <v>35128.8960545644</v>
      </c>
      <c r="M536" s="331" t="s">
        <v>473</v>
      </c>
      <c r="N536" s="331">
        <v>-410.445283630674</v>
      </c>
      <c r="O536" s="331" t="s">
        <v>474</v>
      </c>
      <c r="P536" s="331">
        <v>-13.8</v>
      </c>
      <c r="Q536" s="331" t="s">
        <v>475</v>
      </c>
      <c r="S536" s="331" t="s">
        <v>473</v>
      </c>
      <c r="T536" s="331">
        <f t="shared" si="110"/>
        <v>35.1288960545644</v>
      </c>
      <c r="U536" s="331" t="s">
        <v>474</v>
      </c>
      <c r="V536" s="331">
        <v>-13.8</v>
      </c>
      <c r="W536" s="331" t="s">
        <v>475</v>
      </c>
    </row>
    <row r="537" spans="10:23" x14ac:dyDescent="0.35">
      <c r="J537" s="331">
        <v>37134.871821513698</v>
      </c>
      <c r="M537" s="331" t="s">
        <v>473</v>
      </c>
      <c r="N537" s="331">
        <v>-404.75644942749699</v>
      </c>
      <c r="O537" s="331" t="s">
        <v>474</v>
      </c>
      <c r="P537" s="331">
        <v>-13.2</v>
      </c>
      <c r="Q537" s="331" t="s">
        <v>475</v>
      </c>
      <c r="S537" s="331" t="s">
        <v>473</v>
      </c>
      <c r="T537" s="331">
        <f t="shared" si="110"/>
        <v>37.134871821513698</v>
      </c>
      <c r="U537" s="331" t="s">
        <v>474</v>
      </c>
      <c r="V537" s="331">
        <v>-13.2</v>
      </c>
      <c r="W537" s="331" t="s">
        <v>475</v>
      </c>
    </row>
    <row r="538" spans="10:23" x14ac:dyDescent="0.35">
      <c r="J538" s="331">
        <v>39389.167979585298</v>
      </c>
      <c r="M538" s="331" t="s">
        <v>473</v>
      </c>
      <c r="N538" s="331">
        <v>-398.73260182195099</v>
      </c>
      <c r="O538" s="331" t="s">
        <v>474</v>
      </c>
      <c r="P538" s="331">
        <v>-12.6</v>
      </c>
      <c r="Q538" s="331" t="s">
        <v>475</v>
      </c>
      <c r="S538" s="331" t="s">
        <v>473</v>
      </c>
      <c r="T538" s="331">
        <f t="shared" si="110"/>
        <v>39.389167979585295</v>
      </c>
      <c r="U538" s="331" t="s">
        <v>474</v>
      </c>
      <c r="V538" s="331">
        <v>-12.6</v>
      </c>
      <c r="W538" s="331" t="s">
        <v>475</v>
      </c>
    </row>
    <row r="539" spans="10:23" x14ac:dyDescent="0.35">
      <c r="J539" s="331">
        <v>41939.2220217305</v>
      </c>
      <c r="M539" s="331" t="s">
        <v>473</v>
      </c>
      <c r="N539" s="331">
        <v>-392.33102012666802</v>
      </c>
      <c r="O539" s="331" t="s">
        <v>474</v>
      </c>
      <c r="P539" s="331">
        <v>-12</v>
      </c>
      <c r="Q539" s="331" t="s">
        <v>475</v>
      </c>
      <c r="S539" s="331" t="s">
        <v>473</v>
      </c>
      <c r="T539" s="331">
        <f t="shared" si="110"/>
        <v>41.939222021730501</v>
      </c>
      <c r="U539" s="331" t="s">
        <v>474</v>
      </c>
      <c r="V539" s="331">
        <v>-12</v>
      </c>
      <c r="W539" s="331" t="s">
        <v>475</v>
      </c>
    </row>
    <row r="540" spans="10:23" x14ac:dyDescent="0.35">
      <c r="J540" s="331">
        <v>44844.683382374496</v>
      </c>
      <c r="M540" s="331" t="s">
        <v>473</v>
      </c>
      <c r="N540" s="331">
        <v>-385.50059021769403</v>
      </c>
      <c r="O540" s="331" t="s">
        <v>474</v>
      </c>
      <c r="P540" s="331">
        <v>-11.4</v>
      </c>
      <c r="Q540" s="331" t="s">
        <v>475</v>
      </c>
      <c r="S540" s="331" t="s">
        <v>473</v>
      </c>
      <c r="T540" s="331">
        <f t="shared" si="110"/>
        <v>44.844683382374498</v>
      </c>
      <c r="U540" s="331" t="s">
        <v>474</v>
      </c>
      <c r="V540" s="331">
        <v>-11.4</v>
      </c>
      <c r="W540" s="331" t="s">
        <v>475</v>
      </c>
    </row>
    <row r="541" spans="10:23" x14ac:dyDescent="0.35">
      <c r="J541" s="331">
        <v>48181.293360559197</v>
      </c>
      <c r="M541" s="331" t="s">
        <v>473</v>
      </c>
      <c r="N541" s="331">
        <v>-378.17959086918302</v>
      </c>
      <c r="O541" s="331" t="s">
        <v>474</v>
      </c>
      <c r="P541" s="331">
        <v>-10.8</v>
      </c>
      <c r="Q541" s="331" t="s">
        <v>475</v>
      </c>
      <c r="S541" s="331" t="s">
        <v>473</v>
      </c>
      <c r="T541" s="331">
        <f t="shared" si="110"/>
        <v>48.181293360559195</v>
      </c>
      <c r="U541" s="331" t="s">
        <v>474</v>
      </c>
      <c r="V541" s="331">
        <v>-10.8</v>
      </c>
      <c r="W541" s="331" t="s">
        <v>475</v>
      </c>
    </row>
    <row r="542" spans="10:23" x14ac:dyDescent="0.35">
      <c r="J542" s="331">
        <v>52046.153565765198</v>
      </c>
      <c r="M542" s="331" t="s">
        <v>473</v>
      </c>
      <c r="N542" s="331">
        <v>-370.292766470071</v>
      </c>
      <c r="O542" s="331" t="s">
        <v>474</v>
      </c>
      <c r="P542" s="331">
        <v>-10.199999999999999</v>
      </c>
      <c r="Q542" s="331" t="s">
        <v>475</v>
      </c>
      <c r="S542" s="331" t="s">
        <v>473</v>
      </c>
      <c r="T542" s="331">
        <f t="shared" si="110"/>
        <v>52.046153565765195</v>
      </c>
      <c r="U542" s="331" t="s">
        <v>474</v>
      </c>
      <c r="V542" s="331">
        <v>-10.199999999999999</v>
      </c>
      <c r="W542" s="331" t="s">
        <v>475</v>
      </c>
    </row>
    <row r="543" spans="10:23" x14ac:dyDescent="0.35">
      <c r="J543" s="331">
        <v>56564.848905297898</v>
      </c>
      <c r="M543" s="331" t="s">
        <v>473</v>
      </c>
      <c r="N543" s="331">
        <v>-361.74743313682097</v>
      </c>
      <c r="O543" s="331" t="s">
        <v>474</v>
      </c>
      <c r="P543" s="331">
        <v>-9.6</v>
      </c>
      <c r="Q543" s="331" t="s">
        <v>475</v>
      </c>
      <c r="S543" s="331" t="s">
        <v>473</v>
      </c>
      <c r="T543" s="331">
        <f t="shared" si="110"/>
        <v>56.5648489052979</v>
      </c>
      <c r="U543" s="331" t="s">
        <v>474</v>
      </c>
      <c r="V543" s="331">
        <v>-9.6</v>
      </c>
      <c r="W543" s="331" t="s">
        <v>475</v>
      </c>
    </row>
    <row r="544" spans="10:23" x14ac:dyDescent="0.35">
      <c r="J544" s="331">
        <v>61900.916660012103</v>
      </c>
      <c r="M544" s="331" t="s">
        <v>473</v>
      </c>
      <c r="N544" s="331">
        <v>-352.42828781723398</v>
      </c>
      <c r="O544" s="331" t="s">
        <v>474</v>
      </c>
      <c r="P544" s="331">
        <v>-9</v>
      </c>
      <c r="Q544" s="331" t="s">
        <v>475</v>
      </c>
      <c r="S544" s="331" t="s">
        <v>473</v>
      </c>
      <c r="T544" s="331">
        <f t="shared" si="110"/>
        <v>61.900916660012101</v>
      </c>
      <c r="U544" s="331" t="s">
        <v>474</v>
      </c>
      <c r="V544" s="331">
        <v>-9</v>
      </c>
      <c r="W544" s="331" t="s">
        <v>475</v>
      </c>
    </row>
    <row r="545" spans="10:23" x14ac:dyDescent="0.35">
      <c r="J545" s="331">
        <v>68267.904771264599</v>
      </c>
      <c r="M545" s="331" t="s">
        <v>473</v>
      </c>
      <c r="N545" s="331">
        <v>-342.19052294659298</v>
      </c>
      <c r="O545" s="331" t="s">
        <v>474</v>
      </c>
      <c r="P545" s="331">
        <v>-8.4</v>
      </c>
      <c r="Q545" s="331" t="s">
        <v>475</v>
      </c>
      <c r="S545" s="331" t="s">
        <v>473</v>
      </c>
      <c r="T545" s="331">
        <f t="shared" si="110"/>
        <v>68.267904771264597</v>
      </c>
      <c r="U545" s="331" t="s">
        <v>474</v>
      </c>
      <c r="V545" s="331">
        <v>-8.4</v>
      </c>
      <c r="W545" s="331" t="s">
        <v>475</v>
      </c>
    </row>
    <row r="546" spans="10:23" x14ac:dyDescent="0.35">
      <c r="J546" s="331">
        <v>75943.17079977</v>
      </c>
      <c r="M546" s="331" t="s">
        <v>473</v>
      </c>
      <c r="N546" s="331">
        <v>-330.85087144635401</v>
      </c>
      <c r="O546" s="331" t="s">
        <v>474</v>
      </c>
      <c r="P546" s="331">
        <v>-7.8</v>
      </c>
      <c r="Q546" s="331" t="s">
        <v>475</v>
      </c>
      <c r="S546" s="331" t="s">
        <v>473</v>
      </c>
      <c r="T546" s="331">
        <f t="shared" si="110"/>
        <v>75.943170799770002</v>
      </c>
      <c r="U546" s="331" t="s">
        <v>474</v>
      </c>
      <c r="V546" s="331">
        <v>-7.8</v>
      </c>
      <c r="W546" s="331" t="s">
        <v>475</v>
      </c>
    </row>
    <row r="547" spans="10:23" x14ac:dyDescent="0.35">
      <c r="J547" s="331">
        <v>85279.162280537596</v>
      </c>
      <c r="M547" s="331" t="s">
        <v>473</v>
      </c>
      <c r="N547" s="331">
        <v>-318.17655675927801</v>
      </c>
      <c r="O547" s="331" t="s">
        <v>474</v>
      </c>
      <c r="P547" s="331">
        <v>-7.2</v>
      </c>
      <c r="Q547" s="331" t="s">
        <v>475</v>
      </c>
      <c r="S547" s="331" t="s">
        <v>473</v>
      </c>
      <c r="T547" s="331">
        <f t="shared" si="110"/>
        <v>85.279162280537591</v>
      </c>
      <c r="U547" s="331" t="s">
        <v>474</v>
      </c>
      <c r="V547" s="331">
        <v>-7.2</v>
      </c>
      <c r="W547" s="331" t="s">
        <v>475</v>
      </c>
    </row>
    <row r="548" spans="10:23" x14ac:dyDescent="0.35">
      <c r="J548" s="331">
        <v>96698.709374181693</v>
      </c>
      <c r="M548" s="331" t="s">
        <v>473</v>
      </c>
      <c r="N548" s="331">
        <v>-303.873426802148</v>
      </c>
      <c r="O548" s="331" t="s">
        <v>474</v>
      </c>
      <c r="P548" s="331">
        <v>-6.6</v>
      </c>
      <c r="Q548" s="331" t="s">
        <v>475</v>
      </c>
      <c r="S548" s="331" t="s">
        <v>473</v>
      </c>
      <c r="T548" s="331">
        <f t="shared" si="110"/>
        <v>96.698709374181689</v>
      </c>
      <c r="U548" s="331" t="s">
        <v>474</v>
      </c>
      <c r="V548" s="331">
        <v>-6.6</v>
      </c>
      <c r="W548" s="331" t="s">
        <v>475</v>
      </c>
    </row>
    <row r="549" spans="10:23" x14ac:dyDescent="0.35">
      <c r="J549" s="331">
        <v>110639.215091255</v>
      </c>
      <c r="M549" s="331" t="s">
        <v>473</v>
      </c>
      <c r="N549" s="331">
        <v>-287.57820290929601</v>
      </c>
      <c r="O549" s="331" t="s">
        <v>474</v>
      </c>
      <c r="P549" s="331">
        <v>-6</v>
      </c>
      <c r="Q549" s="331" t="s">
        <v>475</v>
      </c>
      <c r="S549" s="331" t="s">
        <v>473</v>
      </c>
      <c r="T549" s="331">
        <f t="shared" si="110"/>
        <v>110.639215091255</v>
      </c>
      <c r="U549" s="331" t="s">
        <v>474</v>
      </c>
      <c r="V549" s="331">
        <v>-6</v>
      </c>
      <c r="W549" s="331" t="s">
        <v>475</v>
      </c>
    </row>
    <row r="550" spans="10:23" x14ac:dyDescent="0.35">
      <c r="J550" s="331">
        <v>127363.766774904</v>
      </c>
      <c r="M550" s="331" t="s">
        <v>473</v>
      </c>
      <c r="N550" s="331">
        <v>-268.876263365733</v>
      </c>
      <c r="O550" s="331" t="s">
        <v>474</v>
      </c>
      <c r="P550" s="331">
        <v>-5.4</v>
      </c>
      <c r="Q550" s="331" t="s">
        <v>475</v>
      </c>
      <c r="S550" s="331" t="s">
        <v>473</v>
      </c>
      <c r="T550" s="331">
        <f t="shared" si="110"/>
        <v>127.36376677490399</v>
      </c>
      <c r="U550" s="331" t="s">
        <v>474</v>
      </c>
      <c r="V550" s="331">
        <v>-5.4</v>
      </c>
      <c r="W550" s="331" t="s">
        <v>475</v>
      </c>
    </row>
    <row r="551" spans="10:23" x14ac:dyDescent="0.35">
      <c r="J551" s="331">
        <v>146586.068802289</v>
      </c>
      <c r="M551" s="331" t="s">
        <v>473</v>
      </c>
      <c r="N551" s="331">
        <v>-247.31738782123199</v>
      </c>
      <c r="O551" s="331" t="s">
        <v>474</v>
      </c>
      <c r="P551" s="331">
        <v>-4.8</v>
      </c>
      <c r="Q551" s="331" t="s">
        <v>475</v>
      </c>
      <c r="S551" s="331" t="s">
        <v>473</v>
      </c>
      <c r="T551" s="331">
        <f t="shared" si="110"/>
        <v>146.58606880228899</v>
      </c>
      <c r="U551" s="331" t="s">
        <v>474</v>
      </c>
      <c r="V551" s="331">
        <v>-4.8</v>
      </c>
      <c r="W551" s="331" t="s">
        <v>475</v>
      </c>
    </row>
    <row r="552" spans="10:23" x14ac:dyDescent="0.35">
      <c r="J552" s="331">
        <v>166801.841416799</v>
      </c>
      <c r="M552" s="331" t="s">
        <v>473</v>
      </c>
      <c r="N552" s="331">
        <v>-222.62979843218901</v>
      </c>
      <c r="O552" s="331" t="s">
        <v>474</v>
      </c>
      <c r="P552" s="331">
        <v>-4.2</v>
      </c>
      <c r="Q552" s="331" t="s">
        <v>475</v>
      </c>
      <c r="S552" s="331" t="s">
        <v>473</v>
      </c>
      <c r="T552" s="331">
        <f t="shared" si="110"/>
        <v>166.80184141679899</v>
      </c>
      <c r="U552" s="331" t="s">
        <v>474</v>
      </c>
      <c r="V552" s="331">
        <v>-4.2</v>
      </c>
      <c r="W552" s="331" t="s">
        <v>475</v>
      </c>
    </row>
    <row r="553" spans="10:23" x14ac:dyDescent="0.35">
      <c r="J553" s="331">
        <v>185176.23143996499</v>
      </c>
      <c r="M553" s="331" t="s">
        <v>473</v>
      </c>
      <c r="N553" s="331">
        <v>-194.86054490123399</v>
      </c>
      <c r="O553" s="331" t="s">
        <v>474</v>
      </c>
      <c r="P553" s="331">
        <v>-3.6</v>
      </c>
      <c r="Q553" s="331" t="s">
        <v>475</v>
      </c>
      <c r="S553" s="331" t="s">
        <v>473</v>
      </c>
      <c r="T553" s="331">
        <f t="shared" si="110"/>
        <v>185.17623143996499</v>
      </c>
      <c r="U553" s="331" t="s">
        <v>474</v>
      </c>
      <c r="V553" s="331">
        <v>-3.6</v>
      </c>
      <c r="W553" s="331" t="s">
        <v>475</v>
      </c>
    </row>
    <row r="554" spans="10:23" x14ac:dyDescent="0.35">
      <c r="J554" s="331">
        <v>198767.87452735001</v>
      </c>
      <c r="M554" s="331" t="s">
        <v>473</v>
      </c>
      <c r="N554" s="331">
        <v>-164.54559599493001</v>
      </c>
      <c r="O554" s="331" t="s">
        <v>474</v>
      </c>
      <c r="P554" s="331">
        <v>-3</v>
      </c>
      <c r="Q554" s="331" t="s">
        <v>475</v>
      </c>
      <c r="S554" s="331" t="s">
        <v>473</v>
      </c>
      <c r="T554" s="331">
        <f t="shared" si="110"/>
        <v>198.76787452735002</v>
      </c>
      <c r="U554" s="331" t="s">
        <v>474</v>
      </c>
      <c r="V554" s="331">
        <v>-3</v>
      </c>
      <c r="W554" s="331" t="s">
        <v>475</v>
      </c>
    </row>
    <row r="555" spans="10:23" x14ac:dyDescent="0.35">
      <c r="J555" s="331">
        <v>206592.49477912</v>
      </c>
      <c r="M555" s="331" t="s">
        <v>473</v>
      </c>
      <c r="N555" s="331">
        <v>-132.54459389980701</v>
      </c>
      <c r="O555" s="331" t="s">
        <v>474</v>
      </c>
      <c r="P555" s="331">
        <v>-2.4</v>
      </c>
      <c r="Q555" s="331" t="s">
        <v>475</v>
      </c>
      <c r="S555" s="331" t="s">
        <v>473</v>
      </c>
      <c r="T555" s="331">
        <f t="shared" si="110"/>
        <v>206.59249477911999</v>
      </c>
      <c r="U555" s="331" t="s">
        <v>474</v>
      </c>
      <c r="V555" s="331">
        <v>-2.4</v>
      </c>
      <c r="W555" s="331" t="s">
        <v>475</v>
      </c>
    </row>
    <row r="556" spans="10:23" x14ac:dyDescent="0.35">
      <c r="J556" s="331">
        <v>209969.79633524601</v>
      </c>
      <c r="M556" s="331" t="s">
        <v>473</v>
      </c>
      <c r="N556" s="331">
        <v>-99.6898817312739</v>
      </c>
      <c r="O556" s="331" t="s">
        <v>474</v>
      </c>
      <c r="P556" s="331">
        <v>-1.8</v>
      </c>
      <c r="Q556" s="331" t="s">
        <v>475</v>
      </c>
      <c r="S556" s="331" t="s">
        <v>473</v>
      </c>
      <c r="T556" s="331">
        <f t="shared" si="110"/>
        <v>209.969796335246</v>
      </c>
      <c r="U556" s="331" t="s">
        <v>474</v>
      </c>
      <c r="V556" s="331">
        <v>-1.8</v>
      </c>
      <c r="W556" s="331" t="s">
        <v>475</v>
      </c>
    </row>
    <row r="557" spans="10:23" x14ac:dyDescent="0.35">
      <c r="J557" s="331">
        <v>210979.967129583</v>
      </c>
      <c r="M557" s="331" t="s">
        <v>473</v>
      </c>
      <c r="N557" s="331">
        <v>-66.515084998459798</v>
      </c>
      <c r="O557" s="331" t="s">
        <v>474</v>
      </c>
      <c r="P557" s="331">
        <v>-1.2</v>
      </c>
      <c r="Q557" s="331" t="s">
        <v>475</v>
      </c>
      <c r="S557" s="331" t="s">
        <v>473</v>
      </c>
      <c r="T557" s="331">
        <f t="shared" si="110"/>
        <v>210.979967129583</v>
      </c>
      <c r="U557" s="331" t="s">
        <v>474</v>
      </c>
      <c r="V557" s="331">
        <v>-1.2</v>
      </c>
      <c r="W557" s="331" t="s">
        <v>475</v>
      </c>
    </row>
    <row r="558" spans="10:23" x14ac:dyDescent="0.35">
      <c r="J558" s="331">
        <v>211143.88754266599</v>
      </c>
      <c r="M558" s="331" t="s">
        <v>473</v>
      </c>
      <c r="N558" s="331">
        <v>-33.262163688351798</v>
      </c>
      <c r="O558" s="331" t="s">
        <v>474</v>
      </c>
      <c r="P558" s="331">
        <v>-0.6</v>
      </c>
      <c r="Q558" s="331" t="s">
        <v>475</v>
      </c>
      <c r="S558" s="331" t="s">
        <v>473</v>
      </c>
      <c r="T558" s="331">
        <f t="shared" si="110"/>
        <v>211.14388754266599</v>
      </c>
      <c r="U558" s="331" t="s">
        <v>474</v>
      </c>
      <c r="V558" s="331">
        <v>-0.6</v>
      </c>
      <c r="W558" s="331" t="s">
        <v>475</v>
      </c>
    </row>
    <row r="559" spans="10:23" x14ac:dyDescent="0.35">
      <c r="J559" s="331">
        <v>211150</v>
      </c>
      <c r="M559" s="331" t="s">
        <v>473</v>
      </c>
      <c r="N559" s="331">
        <v>0</v>
      </c>
      <c r="O559" s="331" t="s">
        <v>474</v>
      </c>
      <c r="P559" s="331">
        <v>0</v>
      </c>
      <c r="Q559" s="331" t="s">
        <v>475</v>
      </c>
      <c r="S559" s="331" t="s">
        <v>473</v>
      </c>
      <c r="T559" s="331">
        <f t="shared" si="110"/>
        <v>211.15</v>
      </c>
      <c r="U559" s="331" t="s">
        <v>474</v>
      </c>
      <c r="V559" s="331">
        <v>0</v>
      </c>
      <c r="W559" s="331" t="s">
        <v>475</v>
      </c>
    </row>
    <row r="560" spans="10:23" x14ac:dyDescent="0.35">
      <c r="J560" s="331">
        <v>211150</v>
      </c>
      <c r="M560" s="331" t="s">
        <v>473</v>
      </c>
      <c r="N560" s="331">
        <v>0</v>
      </c>
      <c r="O560" s="331" t="s">
        <v>474</v>
      </c>
      <c r="P560" s="331">
        <v>0</v>
      </c>
      <c r="Q560" s="331" t="s">
        <v>475</v>
      </c>
      <c r="S560" s="331" t="s">
        <v>473</v>
      </c>
      <c r="T560" s="331">
        <f t="shared" si="110"/>
        <v>211.15</v>
      </c>
      <c r="U560" s="331" t="s">
        <v>474</v>
      </c>
      <c r="V560" s="331">
        <v>0</v>
      </c>
      <c r="W560" s="331" t="s">
        <v>475</v>
      </c>
    </row>
    <row r="561" spans="10:23" x14ac:dyDescent="0.35">
      <c r="J561" s="331">
        <v>211143.88754266599</v>
      </c>
      <c r="M561" s="331" t="s">
        <v>473</v>
      </c>
      <c r="N561" s="331">
        <v>33.262163688351798</v>
      </c>
      <c r="O561" s="331" t="s">
        <v>474</v>
      </c>
      <c r="P561" s="331">
        <v>0.6</v>
      </c>
      <c r="Q561" s="331" t="s">
        <v>475</v>
      </c>
      <c r="S561" s="331" t="s">
        <v>473</v>
      </c>
      <c r="T561" s="331">
        <f t="shared" si="110"/>
        <v>211.14388754266599</v>
      </c>
      <c r="U561" s="331" t="s">
        <v>474</v>
      </c>
      <c r="V561" s="331">
        <v>0.6</v>
      </c>
      <c r="W561" s="331" t="s">
        <v>475</v>
      </c>
    </row>
    <row r="562" spans="10:23" x14ac:dyDescent="0.35">
      <c r="J562" s="331">
        <v>210979.967129583</v>
      </c>
      <c r="M562" s="331" t="s">
        <v>473</v>
      </c>
      <c r="N562" s="331">
        <v>66.515084998459798</v>
      </c>
      <c r="O562" s="331" t="s">
        <v>474</v>
      </c>
      <c r="P562" s="331">
        <v>1.2</v>
      </c>
      <c r="Q562" s="331" t="s">
        <v>475</v>
      </c>
      <c r="S562" s="331" t="s">
        <v>473</v>
      </c>
      <c r="T562" s="331">
        <f t="shared" si="110"/>
        <v>210.979967129583</v>
      </c>
      <c r="U562" s="331" t="s">
        <v>474</v>
      </c>
      <c r="V562" s="331">
        <v>1.2</v>
      </c>
      <c r="W562" s="331" t="s">
        <v>475</v>
      </c>
    </row>
    <row r="563" spans="10:23" x14ac:dyDescent="0.35">
      <c r="J563" s="331">
        <v>209969.79633524601</v>
      </c>
      <c r="M563" s="331" t="s">
        <v>473</v>
      </c>
      <c r="N563" s="331">
        <v>99.6898817312739</v>
      </c>
      <c r="O563" s="331" t="s">
        <v>474</v>
      </c>
      <c r="P563" s="331">
        <v>1.8</v>
      </c>
      <c r="Q563" s="331" t="s">
        <v>475</v>
      </c>
      <c r="S563" s="331" t="s">
        <v>473</v>
      </c>
      <c r="T563" s="331">
        <f t="shared" si="110"/>
        <v>209.969796335246</v>
      </c>
      <c r="U563" s="331" t="s">
        <v>474</v>
      </c>
      <c r="V563" s="331">
        <v>1.8</v>
      </c>
      <c r="W563" s="331" t="s">
        <v>475</v>
      </c>
    </row>
    <row r="564" spans="10:23" x14ac:dyDescent="0.35">
      <c r="J564" s="331">
        <v>206592.49477912</v>
      </c>
      <c r="M564" s="331" t="s">
        <v>473</v>
      </c>
      <c r="N564" s="331">
        <v>132.54459389980701</v>
      </c>
      <c r="O564" s="331" t="s">
        <v>474</v>
      </c>
      <c r="P564" s="331">
        <v>2.4</v>
      </c>
      <c r="Q564" s="331" t="s">
        <v>475</v>
      </c>
      <c r="S564" s="331" t="s">
        <v>473</v>
      </c>
      <c r="T564" s="331">
        <f t="shared" si="110"/>
        <v>206.59249477911999</v>
      </c>
      <c r="U564" s="331" t="s">
        <v>474</v>
      </c>
      <c r="V564" s="331">
        <v>2.4</v>
      </c>
      <c r="W564" s="331" t="s">
        <v>475</v>
      </c>
    </row>
    <row r="565" spans="10:23" x14ac:dyDescent="0.35">
      <c r="J565" s="331">
        <v>198767.87452735001</v>
      </c>
      <c r="M565" s="331" t="s">
        <v>473</v>
      </c>
      <c r="N565" s="331">
        <v>164.54559599493001</v>
      </c>
      <c r="O565" s="331" t="s">
        <v>474</v>
      </c>
      <c r="P565" s="331">
        <v>3</v>
      </c>
      <c r="Q565" s="331" t="s">
        <v>475</v>
      </c>
      <c r="S565" s="331" t="s">
        <v>473</v>
      </c>
      <c r="T565" s="331">
        <f t="shared" si="110"/>
        <v>198.76787452735002</v>
      </c>
      <c r="U565" s="331" t="s">
        <v>474</v>
      </c>
      <c r="V565" s="331">
        <v>3</v>
      </c>
      <c r="W565" s="331" t="s">
        <v>475</v>
      </c>
    </row>
    <row r="566" spans="10:23" x14ac:dyDescent="0.35">
      <c r="J566" s="331">
        <v>185176.23143996499</v>
      </c>
      <c r="M566" s="331" t="s">
        <v>473</v>
      </c>
      <c r="N566" s="331">
        <v>194.86054490123399</v>
      </c>
      <c r="O566" s="331" t="s">
        <v>474</v>
      </c>
      <c r="P566" s="331">
        <v>3.6</v>
      </c>
      <c r="Q566" s="331" t="s">
        <v>475</v>
      </c>
      <c r="S566" s="331" t="s">
        <v>473</v>
      </c>
      <c r="T566" s="331">
        <f t="shared" si="110"/>
        <v>185.17623143996499</v>
      </c>
      <c r="U566" s="331" t="s">
        <v>474</v>
      </c>
      <c r="V566" s="331">
        <v>3.6</v>
      </c>
      <c r="W566" s="331" t="s">
        <v>475</v>
      </c>
    </row>
    <row r="567" spans="10:23" x14ac:dyDescent="0.35">
      <c r="J567" s="331">
        <v>166801.841416799</v>
      </c>
      <c r="M567" s="331" t="s">
        <v>473</v>
      </c>
      <c r="N567" s="331">
        <v>222.62979843218901</v>
      </c>
      <c r="O567" s="331" t="s">
        <v>474</v>
      </c>
      <c r="P567" s="331">
        <v>4.2</v>
      </c>
      <c r="Q567" s="331" t="s">
        <v>475</v>
      </c>
      <c r="S567" s="331" t="s">
        <v>473</v>
      </c>
      <c r="T567" s="331">
        <f t="shared" si="110"/>
        <v>166.80184141679899</v>
      </c>
      <c r="U567" s="331" t="s">
        <v>474</v>
      </c>
      <c r="V567" s="331">
        <v>4.2</v>
      </c>
      <c r="W567" s="331" t="s">
        <v>475</v>
      </c>
    </row>
    <row r="568" spans="10:23" x14ac:dyDescent="0.35">
      <c r="J568" s="331">
        <v>146586.068802289</v>
      </c>
      <c r="M568" s="331" t="s">
        <v>473</v>
      </c>
      <c r="N568" s="331">
        <v>247.31738782123199</v>
      </c>
      <c r="O568" s="331" t="s">
        <v>474</v>
      </c>
      <c r="P568" s="331">
        <v>4.8</v>
      </c>
      <c r="Q568" s="331" t="s">
        <v>475</v>
      </c>
      <c r="S568" s="331" t="s">
        <v>473</v>
      </c>
      <c r="T568" s="331">
        <f t="shared" si="110"/>
        <v>146.58606880228899</v>
      </c>
      <c r="U568" s="331" t="s">
        <v>474</v>
      </c>
      <c r="V568" s="331">
        <v>4.8</v>
      </c>
      <c r="W568" s="331" t="s">
        <v>475</v>
      </c>
    </row>
    <row r="569" spans="10:23" x14ac:dyDescent="0.35">
      <c r="J569" s="331">
        <v>127363.766774904</v>
      </c>
      <c r="M569" s="331" t="s">
        <v>473</v>
      </c>
      <c r="N569" s="331">
        <v>268.876263365733</v>
      </c>
      <c r="O569" s="331" t="s">
        <v>474</v>
      </c>
      <c r="P569" s="331">
        <v>5.4</v>
      </c>
      <c r="Q569" s="331" t="s">
        <v>475</v>
      </c>
      <c r="S569" s="331" t="s">
        <v>473</v>
      </c>
      <c r="T569" s="331">
        <f t="shared" si="110"/>
        <v>127.36376677490399</v>
      </c>
      <c r="U569" s="331" t="s">
        <v>474</v>
      </c>
      <c r="V569" s="331">
        <v>5.4</v>
      </c>
      <c r="W569" s="331" t="s">
        <v>475</v>
      </c>
    </row>
    <row r="570" spans="10:23" x14ac:dyDescent="0.35">
      <c r="J570" s="331">
        <v>110639.215091255</v>
      </c>
      <c r="M570" s="331" t="s">
        <v>473</v>
      </c>
      <c r="N570" s="331">
        <v>287.57820290929601</v>
      </c>
      <c r="O570" s="331" t="s">
        <v>474</v>
      </c>
      <c r="P570" s="331">
        <v>6</v>
      </c>
      <c r="Q570" s="331" t="s">
        <v>475</v>
      </c>
      <c r="S570" s="331" t="s">
        <v>473</v>
      </c>
      <c r="T570" s="331">
        <f t="shared" si="110"/>
        <v>110.639215091255</v>
      </c>
      <c r="U570" s="331" t="s">
        <v>474</v>
      </c>
      <c r="V570" s="331">
        <v>6</v>
      </c>
      <c r="W570" s="331" t="s">
        <v>475</v>
      </c>
    </row>
    <row r="571" spans="10:23" x14ac:dyDescent="0.35">
      <c r="J571" s="331">
        <v>96698.709374181693</v>
      </c>
      <c r="M571" s="331" t="s">
        <v>473</v>
      </c>
      <c r="N571" s="331">
        <v>303.873426802148</v>
      </c>
      <c r="O571" s="331" t="s">
        <v>474</v>
      </c>
      <c r="P571" s="331">
        <v>6.6</v>
      </c>
      <c r="Q571" s="331" t="s">
        <v>475</v>
      </c>
      <c r="S571" s="331" t="s">
        <v>473</v>
      </c>
      <c r="T571" s="331">
        <f t="shared" si="110"/>
        <v>96.698709374181689</v>
      </c>
      <c r="U571" s="331" t="s">
        <v>474</v>
      </c>
      <c r="V571" s="331">
        <v>6.6</v>
      </c>
      <c r="W571" s="331" t="s">
        <v>475</v>
      </c>
    </row>
    <row r="572" spans="10:23" x14ac:dyDescent="0.35">
      <c r="J572" s="331">
        <v>85279.162280537596</v>
      </c>
      <c r="M572" s="331" t="s">
        <v>473</v>
      </c>
      <c r="N572" s="331">
        <v>318.17655675927801</v>
      </c>
      <c r="O572" s="331" t="s">
        <v>474</v>
      </c>
      <c r="P572" s="331">
        <v>7.2</v>
      </c>
      <c r="Q572" s="331" t="s">
        <v>475</v>
      </c>
      <c r="S572" s="331" t="s">
        <v>473</v>
      </c>
      <c r="T572" s="331">
        <f t="shared" si="110"/>
        <v>85.279162280537591</v>
      </c>
      <c r="U572" s="331" t="s">
        <v>474</v>
      </c>
      <c r="V572" s="331">
        <v>7.2</v>
      </c>
      <c r="W572" s="331" t="s">
        <v>475</v>
      </c>
    </row>
    <row r="573" spans="10:23" x14ac:dyDescent="0.35">
      <c r="J573" s="331">
        <v>75943.17079977</v>
      </c>
      <c r="M573" s="331" t="s">
        <v>473</v>
      </c>
      <c r="N573" s="331">
        <v>330.85087144635401</v>
      </c>
      <c r="O573" s="331" t="s">
        <v>474</v>
      </c>
      <c r="P573" s="331">
        <v>7.8</v>
      </c>
      <c r="Q573" s="331" t="s">
        <v>475</v>
      </c>
      <c r="S573" s="331" t="s">
        <v>473</v>
      </c>
      <c r="T573" s="331">
        <f t="shared" si="110"/>
        <v>75.943170799770002</v>
      </c>
      <c r="U573" s="331" t="s">
        <v>474</v>
      </c>
      <c r="V573" s="331">
        <v>7.8</v>
      </c>
      <c r="W573" s="331" t="s">
        <v>475</v>
      </c>
    </row>
    <row r="574" spans="10:23" x14ac:dyDescent="0.35">
      <c r="J574" s="331">
        <v>68267.904771264599</v>
      </c>
      <c r="M574" s="331" t="s">
        <v>473</v>
      </c>
      <c r="N574" s="331">
        <v>342.19052294659298</v>
      </c>
      <c r="O574" s="331" t="s">
        <v>474</v>
      </c>
      <c r="P574" s="331">
        <v>8.4</v>
      </c>
      <c r="Q574" s="331" t="s">
        <v>475</v>
      </c>
      <c r="S574" s="331" t="s">
        <v>473</v>
      </c>
      <c r="T574" s="331">
        <f t="shared" si="110"/>
        <v>68.267904771264597</v>
      </c>
      <c r="U574" s="331" t="s">
        <v>474</v>
      </c>
      <c r="V574" s="331">
        <v>8.4</v>
      </c>
      <c r="W574" s="331" t="s">
        <v>475</v>
      </c>
    </row>
    <row r="575" spans="10:23" x14ac:dyDescent="0.35">
      <c r="J575" s="331">
        <v>61900.916660012103</v>
      </c>
      <c r="M575" s="331" t="s">
        <v>473</v>
      </c>
      <c r="N575" s="331">
        <v>352.42828781723398</v>
      </c>
      <c r="O575" s="331" t="s">
        <v>474</v>
      </c>
      <c r="P575" s="331">
        <v>9</v>
      </c>
      <c r="Q575" s="331" t="s">
        <v>475</v>
      </c>
      <c r="S575" s="331" t="s">
        <v>473</v>
      </c>
      <c r="T575" s="331">
        <f t="shared" si="110"/>
        <v>61.900916660012101</v>
      </c>
      <c r="U575" s="331" t="s">
        <v>474</v>
      </c>
      <c r="V575" s="331">
        <v>9</v>
      </c>
      <c r="W575" s="331" t="s">
        <v>475</v>
      </c>
    </row>
    <row r="576" spans="10:23" x14ac:dyDescent="0.35">
      <c r="J576" s="331">
        <v>56564.848905297898</v>
      </c>
      <c r="M576" s="331" t="s">
        <v>473</v>
      </c>
      <c r="N576" s="331">
        <v>361.74743313682097</v>
      </c>
      <c r="O576" s="331" t="s">
        <v>474</v>
      </c>
      <c r="P576" s="331">
        <v>9.6</v>
      </c>
      <c r="Q576" s="331" t="s">
        <v>475</v>
      </c>
      <c r="S576" s="331" t="s">
        <v>473</v>
      </c>
      <c r="T576" s="331">
        <f t="shared" si="110"/>
        <v>56.5648489052979</v>
      </c>
      <c r="U576" s="331" t="s">
        <v>474</v>
      </c>
      <c r="V576" s="331">
        <v>9.6</v>
      </c>
      <c r="W576" s="331" t="s">
        <v>475</v>
      </c>
    </row>
    <row r="577" spans="10:23" x14ac:dyDescent="0.35">
      <c r="J577" s="331">
        <v>52046.153565765198</v>
      </c>
      <c r="M577" s="331" t="s">
        <v>473</v>
      </c>
      <c r="N577" s="331">
        <v>370.292766470071</v>
      </c>
      <c r="O577" s="331" t="s">
        <v>474</v>
      </c>
      <c r="P577" s="331">
        <v>10.199999999999999</v>
      </c>
      <c r="Q577" s="331" t="s">
        <v>475</v>
      </c>
      <c r="S577" s="331" t="s">
        <v>473</v>
      </c>
      <c r="T577" s="331">
        <f t="shared" si="110"/>
        <v>52.046153565765195</v>
      </c>
      <c r="U577" s="331" t="s">
        <v>474</v>
      </c>
      <c r="V577" s="331">
        <v>10.199999999999999</v>
      </c>
      <c r="W577" s="331" t="s">
        <v>475</v>
      </c>
    </row>
    <row r="578" spans="10:23" x14ac:dyDescent="0.35">
      <c r="J578" s="331">
        <v>48181.293360559197</v>
      </c>
      <c r="M578" s="331" t="s">
        <v>473</v>
      </c>
      <c r="N578" s="331">
        <v>378.17959086918302</v>
      </c>
      <c r="O578" s="331" t="s">
        <v>474</v>
      </c>
      <c r="P578" s="331">
        <v>10.8</v>
      </c>
      <c r="Q578" s="331" t="s">
        <v>475</v>
      </c>
      <c r="S578" s="331" t="s">
        <v>473</v>
      </c>
      <c r="T578" s="331">
        <f t="shared" si="110"/>
        <v>48.181293360559195</v>
      </c>
      <c r="U578" s="331" t="s">
        <v>474</v>
      </c>
      <c r="V578" s="331">
        <v>10.8</v>
      </c>
      <c r="W578" s="331" t="s">
        <v>475</v>
      </c>
    </row>
    <row r="579" spans="10:23" x14ac:dyDescent="0.35">
      <c r="J579" s="331">
        <v>44844.683382374496</v>
      </c>
      <c r="M579" s="331" t="s">
        <v>473</v>
      </c>
      <c r="N579" s="331">
        <v>385.50059021769403</v>
      </c>
      <c r="O579" s="331" t="s">
        <v>474</v>
      </c>
      <c r="P579" s="331">
        <v>11.4</v>
      </c>
      <c r="Q579" s="331" t="s">
        <v>475</v>
      </c>
      <c r="S579" s="331" t="s">
        <v>473</v>
      </c>
      <c r="T579" s="331">
        <f t="shared" si="110"/>
        <v>44.844683382374498</v>
      </c>
      <c r="U579" s="331" t="s">
        <v>474</v>
      </c>
      <c r="V579" s="331">
        <v>11.4</v>
      </c>
      <c r="W579" s="331" t="s">
        <v>475</v>
      </c>
    </row>
    <row r="580" spans="10:23" x14ac:dyDescent="0.35">
      <c r="J580" s="331">
        <v>41939.2220217305</v>
      </c>
      <c r="M580" s="331" t="s">
        <v>473</v>
      </c>
      <c r="N580" s="331">
        <v>392.33102012666802</v>
      </c>
      <c r="O580" s="331" t="s">
        <v>474</v>
      </c>
      <c r="P580" s="331">
        <v>12</v>
      </c>
      <c r="Q580" s="331" t="s">
        <v>475</v>
      </c>
      <c r="S580" s="331" t="s">
        <v>473</v>
      </c>
      <c r="T580" s="331">
        <f t="shared" si="110"/>
        <v>41.939222021730501</v>
      </c>
      <c r="U580" s="331" t="s">
        <v>474</v>
      </c>
      <c r="V580" s="331">
        <v>12</v>
      </c>
      <c r="W580" s="331" t="s">
        <v>475</v>
      </c>
    </row>
    <row r="581" spans="10:23" x14ac:dyDescent="0.35">
      <c r="J581" s="331">
        <v>39389.167979585298</v>
      </c>
      <c r="M581" s="331" t="s">
        <v>473</v>
      </c>
      <c r="N581" s="331">
        <v>398.73260182195099</v>
      </c>
      <c r="O581" s="331" t="s">
        <v>474</v>
      </c>
      <c r="P581" s="331">
        <v>12.6</v>
      </c>
      <c r="Q581" s="331" t="s">
        <v>475</v>
      </c>
      <c r="S581" s="331" t="s">
        <v>473</v>
      </c>
      <c r="T581" s="331">
        <f t="shared" si="110"/>
        <v>39.389167979585295</v>
      </c>
      <c r="U581" s="331" t="s">
        <v>474</v>
      </c>
      <c r="V581" s="331">
        <v>12.6</v>
      </c>
      <c r="W581" s="331" t="s">
        <v>475</v>
      </c>
    </row>
    <row r="582" spans="10:23" x14ac:dyDescent="0.35">
      <c r="J582" s="331">
        <v>37134.871821513698</v>
      </c>
      <c r="M582" s="331" t="s">
        <v>473</v>
      </c>
      <c r="N582" s="331">
        <v>404.75644942749699</v>
      </c>
      <c r="O582" s="331" t="s">
        <v>474</v>
      </c>
      <c r="P582" s="331">
        <v>13.2</v>
      </c>
      <c r="Q582" s="331" t="s">
        <v>475</v>
      </c>
      <c r="S582" s="331" t="s">
        <v>473</v>
      </c>
      <c r="T582" s="331">
        <f t="shared" si="110"/>
        <v>37.134871821513698</v>
      </c>
      <c r="U582" s="331" t="s">
        <v>474</v>
      </c>
      <c r="V582" s="331">
        <v>13.2</v>
      </c>
      <c r="W582" s="331" t="s">
        <v>475</v>
      </c>
    </row>
    <row r="583" spans="10:23" x14ac:dyDescent="0.35">
      <c r="J583" s="331">
        <v>35128.8960545644</v>
      </c>
      <c r="M583" s="331" t="s">
        <v>473</v>
      </c>
      <c r="N583" s="331">
        <v>410.445283630674</v>
      </c>
      <c r="O583" s="331" t="s">
        <v>474</v>
      </c>
      <c r="P583" s="331">
        <v>13.8</v>
      </c>
      <c r="Q583" s="331" t="s">
        <v>475</v>
      </c>
      <c r="S583" s="331" t="s">
        <v>473</v>
      </c>
      <c r="T583" s="331">
        <f t="shared" si="110"/>
        <v>35.1288960545644</v>
      </c>
      <c r="U583" s="331" t="s">
        <v>474</v>
      </c>
      <c r="V583" s="331">
        <v>13.8</v>
      </c>
      <c r="W583" s="331" t="s">
        <v>475</v>
      </c>
    </row>
    <row r="584" spans="10:23" x14ac:dyDescent="0.35">
      <c r="J584" s="331">
        <v>33333.151439046</v>
      </c>
      <c r="M584" s="331" t="s">
        <v>473</v>
      </c>
      <c r="N584" s="331">
        <v>415.83511894315501</v>
      </c>
      <c r="O584" s="331" t="s">
        <v>474</v>
      </c>
      <c r="P584" s="331">
        <v>14.4</v>
      </c>
      <c r="Q584" s="331" t="s">
        <v>475</v>
      </c>
      <c r="S584" s="331" t="s">
        <v>473</v>
      </c>
      <c r="T584" s="331">
        <f t="shared" si="110"/>
        <v>33.333151439045999</v>
      </c>
      <c r="U584" s="331" t="s">
        <v>474</v>
      </c>
      <c r="V584" s="331">
        <v>14.4</v>
      </c>
      <c r="W584" s="331" t="s">
        <v>475</v>
      </c>
    </row>
    <row r="585" spans="10:23" x14ac:dyDescent="0.35">
      <c r="J585" s="331">
        <v>31716.771222602099</v>
      </c>
      <c r="M585" s="331" t="s">
        <v>473</v>
      </c>
      <c r="N585" s="331">
        <v>420.956561169233</v>
      </c>
      <c r="O585" s="331" t="s">
        <v>474</v>
      </c>
      <c r="P585" s="331">
        <v>15</v>
      </c>
      <c r="Q585" s="331" t="s">
        <v>475</v>
      </c>
      <c r="S585" s="331" t="s">
        <v>473</v>
      </c>
      <c r="T585" s="331">
        <f t="shared" si="110"/>
        <v>31.716771222602098</v>
      </c>
      <c r="U585" s="331" t="s">
        <v>474</v>
      </c>
      <c r="V585" s="331">
        <v>15</v>
      </c>
      <c r="W585" s="331" t="s">
        <v>475</v>
      </c>
    </row>
    <row r="586" spans="10:23" x14ac:dyDescent="0.35">
      <c r="J586" s="331">
        <v>30803.1358012809</v>
      </c>
      <c r="M586" s="331" t="s">
        <v>473</v>
      </c>
      <c r="N586" s="331">
        <v>425.87409437757799</v>
      </c>
      <c r="O586" s="331" t="s">
        <v>474</v>
      </c>
      <c r="P586" s="331">
        <v>15.6</v>
      </c>
      <c r="Q586" s="331" t="s">
        <v>475</v>
      </c>
      <c r="S586" s="331" t="s">
        <v>473</v>
      </c>
      <c r="T586" s="331">
        <f t="shared" si="110"/>
        <v>30.803135801280899</v>
      </c>
      <c r="U586" s="331" t="s">
        <v>474</v>
      </c>
      <c r="V586" s="331">
        <v>15.6</v>
      </c>
      <c r="W586" s="331" t="s">
        <v>475</v>
      </c>
    </row>
    <row r="587" spans="10:23" x14ac:dyDescent="0.35">
      <c r="J587" s="331">
        <v>29055.213458779199</v>
      </c>
      <c r="M587" s="331" t="s">
        <v>473</v>
      </c>
      <c r="N587" s="331">
        <v>430.59837821752302</v>
      </c>
      <c r="O587" s="331" t="s">
        <v>474</v>
      </c>
      <c r="P587" s="331">
        <v>16.2</v>
      </c>
      <c r="Q587" s="331" t="s">
        <v>475</v>
      </c>
      <c r="S587" s="331" t="s">
        <v>473</v>
      </c>
      <c r="T587" s="331">
        <f t="shared" ref="T587:T650" si="111">J587/1000</f>
        <v>29.0552134587792</v>
      </c>
      <c r="U587" s="331" t="s">
        <v>474</v>
      </c>
      <c r="V587" s="331">
        <v>16.2</v>
      </c>
      <c r="W587" s="331" t="s">
        <v>475</v>
      </c>
    </row>
    <row r="588" spans="10:23" x14ac:dyDescent="0.35">
      <c r="J588" s="331">
        <v>26369.913790032599</v>
      </c>
      <c r="M588" s="331" t="s">
        <v>473</v>
      </c>
      <c r="N588" s="331">
        <v>434.97699165768103</v>
      </c>
      <c r="O588" s="331" t="s">
        <v>474</v>
      </c>
      <c r="P588" s="331">
        <v>16.8</v>
      </c>
      <c r="Q588" s="331" t="s">
        <v>475</v>
      </c>
      <c r="S588" s="331" t="s">
        <v>473</v>
      </c>
      <c r="T588" s="331">
        <f t="shared" si="111"/>
        <v>26.369913790032598</v>
      </c>
      <c r="U588" s="331" t="s">
        <v>474</v>
      </c>
      <c r="V588" s="331">
        <v>16.8</v>
      </c>
      <c r="W588" s="331" t="s">
        <v>475</v>
      </c>
    </row>
    <row r="589" spans="10:23" x14ac:dyDescent="0.35">
      <c r="J589" s="331">
        <v>23536.8412820292</v>
      </c>
      <c r="M589" s="331" t="s">
        <v>473</v>
      </c>
      <c r="N589" s="331">
        <v>438.90011151029199</v>
      </c>
      <c r="O589" s="331" t="s">
        <v>474</v>
      </c>
      <c r="P589" s="331">
        <v>17.399999999999999</v>
      </c>
      <c r="Q589" s="331" t="s">
        <v>475</v>
      </c>
      <c r="S589" s="331" t="s">
        <v>473</v>
      </c>
      <c r="T589" s="331">
        <f t="shared" si="111"/>
        <v>23.536841282029201</v>
      </c>
      <c r="U589" s="331" t="s">
        <v>474</v>
      </c>
      <c r="V589" s="331">
        <v>17.399999999999999</v>
      </c>
      <c r="W589" s="331" t="s">
        <v>475</v>
      </c>
    </row>
    <row r="590" spans="10:23" x14ac:dyDescent="0.35">
      <c r="J590" s="331">
        <v>20957.558956954999</v>
      </c>
      <c r="M590" s="331" t="s">
        <v>473</v>
      </c>
      <c r="N590" s="331">
        <v>442.40045895139099</v>
      </c>
      <c r="O590" s="331" t="s">
        <v>474</v>
      </c>
      <c r="P590" s="331">
        <v>18</v>
      </c>
      <c r="Q590" s="331" t="s">
        <v>475</v>
      </c>
      <c r="S590" s="331" t="s">
        <v>473</v>
      </c>
      <c r="T590" s="331">
        <f t="shared" si="111"/>
        <v>20.957558956954998</v>
      </c>
      <c r="U590" s="331" t="s">
        <v>474</v>
      </c>
      <c r="V590" s="331">
        <v>18</v>
      </c>
      <c r="W590" s="331" t="s">
        <v>475</v>
      </c>
    </row>
    <row r="591" spans="10:23" x14ac:dyDescent="0.35">
      <c r="J591" s="331">
        <v>18755.604208035202</v>
      </c>
      <c r="M591" s="331" t="s">
        <v>473</v>
      </c>
      <c r="N591" s="331">
        <v>445.52616132215098</v>
      </c>
      <c r="O591" s="331" t="s">
        <v>474</v>
      </c>
      <c r="P591" s="331">
        <v>18.600000000000001</v>
      </c>
      <c r="Q591" s="331" t="s">
        <v>475</v>
      </c>
      <c r="S591" s="331" t="s">
        <v>473</v>
      </c>
      <c r="T591" s="331">
        <f t="shared" si="111"/>
        <v>18.755604208035201</v>
      </c>
      <c r="U591" s="331" t="s">
        <v>474</v>
      </c>
      <c r="V591" s="331">
        <v>18.600000000000001</v>
      </c>
      <c r="W591" s="331" t="s">
        <v>475</v>
      </c>
    </row>
    <row r="592" spans="10:23" x14ac:dyDescent="0.35">
      <c r="J592" s="331">
        <v>16921.745776278301</v>
      </c>
      <c r="M592" s="331" t="s">
        <v>473</v>
      </c>
      <c r="N592" s="331">
        <v>448.328934347955</v>
      </c>
      <c r="O592" s="331" t="s">
        <v>474</v>
      </c>
      <c r="P592" s="331">
        <v>19.2</v>
      </c>
      <c r="Q592" s="331" t="s">
        <v>475</v>
      </c>
      <c r="S592" s="331" t="s">
        <v>473</v>
      </c>
      <c r="T592" s="331">
        <f t="shared" si="111"/>
        <v>16.9217457762783</v>
      </c>
      <c r="U592" s="331" t="s">
        <v>474</v>
      </c>
      <c r="V592" s="331">
        <v>19.2</v>
      </c>
      <c r="W592" s="331" t="s">
        <v>475</v>
      </c>
    </row>
    <row r="593" spans="10:23" x14ac:dyDescent="0.35">
      <c r="J593" s="331">
        <v>15394.7535382478</v>
      </c>
      <c r="M593" s="331" t="s">
        <v>473</v>
      </c>
      <c r="N593" s="331">
        <v>450.87068661632497</v>
      </c>
      <c r="O593" s="331" t="s">
        <v>474</v>
      </c>
      <c r="P593" s="331">
        <v>19.8</v>
      </c>
      <c r="Q593" s="331" t="s">
        <v>475</v>
      </c>
      <c r="S593" s="331" t="s">
        <v>473</v>
      </c>
      <c r="T593" s="331">
        <f t="shared" si="111"/>
        <v>15.3947535382478</v>
      </c>
      <c r="U593" s="331" t="s">
        <v>474</v>
      </c>
      <c r="V593" s="331">
        <v>19.8</v>
      </c>
      <c r="W593" s="331" t="s">
        <v>475</v>
      </c>
    </row>
    <row r="594" spans="10:23" x14ac:dyDescent="0.35">
      <c r="J594" s="331">
        <v>14118.090647519</v>
      </c>
      <c r="M594" s="331" t="s">
        <v>473</v>
      </c>
      <c r="N594" s="331">
        <v>453.19243329634998</v>
      </c>
      <c r="O594" s="331" t="s">
        <v>474</v>
      </c>
      <c r="P594" s="331">
        <v>20.399999999999999</v>
      </c>
      <c r="Q594" s="331" t="s">
        <v>475</v>
      </c>
      <c r="S594" s="331" t="s">
        <v>473</v>
      </c>
      <c r="T594" s="331">
        <f t="shared" si="111"/>
        <v>14.118090647519001</v>
      </c>
      <c r="U594" s="331" t="s">
        <v>474</v>
      </c>
      <c r="V594" s="331">
        <v>20.399999999999999</v>
      </c>
      <c r="W594" s="331" t="s">
        <v>475</v>
      </c>
    </row>
    <row r="595" spans="10:23" x14ac:dyDescent="0.35">
      <c r="J595" s="331">
        <v>13041.3745741864</v>
      </c>
      <c r="M595" s="331" t="s">
        <v>473</v>
      </c>
      <c r="N595" s="331">
        <v>455.32972784036502</v>
      </c>
      <c r="O595" s="331" t="s">
        <v>474</v>
      </c>
      <c r="P595" s="331">
        <v>21</v>
      </c>
      <c r="Q595" s="331" t="s">
        <v>475</v>
      </c>
      <c r="S595" s="331" t="s">
        <v>473</v>
      </c>
      <c r="T595" s="331">
        <f t="shared" si="111"/>
        <v>13.041374574186401</v>
      </c>
      <c r="U595" s="331" t="s">
        <v>474</v>
      </c>
      <c r="V595" s="331">
        <v>21</v>
      </c>
      <c r="W595" s="331" t="s">
        <v>475</v>
      </c>
    </row>
    <row r="596" spans="10:23" x14ac:dyDescent="0.35">
      <c r="J596" s="331">
        <v>12124.2059189051</v>
      </c>
      <c r="M596" s="331" t="s">
        <v>473</v>
      </c>
      <c r="N596" s="331">
        <v>457.31123967709698</v>
      </c>
      <c r="O596" s="331" t="s">
        <v>474</v>
      </c>
      <c r="P596" s="331">
        <v>21.6</v>
      </c>
      <c r="Q596" s="331" t="s">
        <v>475</v>
      </c>
      <c r="S596" s="331" t="s">
        <v>473</v>
      </c>
      <c r="T596" s="331">
        <f t="shared" si="111"/>
        <v>12.124205918905099</v>
      </c>
      <c r="U596" s="331" t="s">
        <v>474</v>
      </c>
      <c r="V596" s="331">
        <v>21.6</v>
      </c>
      <c r="W596" s="331" t="s">
        <v>475</v>
      </c>
    </row>
    <row r="597" spans="10:23" x14ac:dyDescent="0.35">
      <c r="J597" s="331">
        <v>11334.953186835501</v>
      </c>
      <c r="M597" s="331" t="s">
        <v>473</v>
      </c>
      <c r="N597" s="331">
        <v>459.16036026720298</v>
      </c>
      <c r="O597" s="331" t="s">
        <v>474</v>
      </c>
      <c r="P597" s="331">
        <v>22.2</v>
      </c>
      <c r="Q597" s="331" t="s">
        <v>475</v>
      </c>
      <c r="S597" s="331" t="s">
        <v>473</v>
      </c>
      <c r="T597" s="331">
        <f t="shared" si="111"/>
        <v>11.3349531868355</v>
      </c>
      <c r="U597" s="331" t="s">
        <v>474</v>
      </c>
      <c r="V597" s="331">
        <v>22.2</v>
      </c>
      <c r="W597" s="331" t="s">
        <v>475</v>
      </c>
    </row>
    <row r="598" spans="10:23" x14ac:dyDescent="0.35">
      <c r="J598" s="331">
        <v>10652.6955415711</v>
      </c>
      <c r="M598" s="331" t="s">
        <v>473</v>
      </c>
      <c r="N598" s="331">
        <v>460.88672234460699</v>
      </c>
      <c r="O598" s="331" t="s">
        <v>474</v>
      </c>
      <c r="P598" s="331">
        <v>22.8</v>
      </c>
      <c r="Q598" s="331" t="s">
        <v>475</v>
      </c>
      <c r="S598" s="331" t="s">
        <v>473</v>
      </c>
      <c r="T598" s="331">
        <f t="shared" si="111"/>
        <v>10.6526955415711</v>
      </c>
      <c r="U598" s="331" t="s">
        <v>474</v>
      </c>
      <c r="V598" s="331">
        <v>22.8</v>
      </c>
      <c r="W598" s="331" t="s">
        <v>475</v>
      </c>
    </row>
    <row r="599" spans="10:23" x14ac:dyDescent="0.35">
      <c r="J599" s="331">
        <v>10053.8898378057</v>
      </c>
      <c r="M599" s="331" t="s">
        <v>473</v>
      </c>
      <c r="N599" s="331">
        <v>462.51665366600002</v>
      </c>
      <c r="O599" s="331" t="s">
        <v>474</v>
      </c>
      <c r="P599" s="331">
        <v>23.4</v>
      </c>
      <c r="Q599" s="331" t="s">
        <v>475</v>
      </c>
      <c r="S599" s="331" t="s">
        <v>473</v>
      </c>
      <c r="T599" s="331">
        <f t="shared" si="111"/>
        <v>10.0538898378057</v>
      </c>
      <c r="U599" s="331" t="s">
        <v>474</v>
      </c>
      <c r="V599" s="331">
        <v>23.4</v>
      </c>
      <c r="W599" s="331" t="s">
        <v>475</v>
      </c>
    </row>
    <row r="600" spans="10:23" x14ac:dyDescent="0.35">
      <c r="J600" s="331">
        <v>9525.5542266698903</v>
      </c>
      <c r="M600" s="331" t="s">
        <v>473</v>
      </c>
      <c r="N600" s="331">
        <v>464.057988589677</v>
      </c>
      <c r="O600" s="331" t="s">
        <v>474</v>
      </c>
      <c r="P600" s="331">
        <v>24</v>
      </c>
      <c r="Q600" s="331" t="s">
        <v>475</v>
      </c>
      <c r="S600" s="331" t="s">
        <v>473</v>
      </c>
      <c r="T600" s="331">
        <f t="shared" si="111"/>
        <v>9.5255542266698896</v>
      </c>
      <c r="U600" s="331" t="s">
        <v>474</v>
      </c>
      <c r="V600" s="331">
        <v>24</v>
      </c>
      <c r="W600" s="331" t="s">
        <v>475</v>
      </c>
    </row>
    <row r="601" spans="10:23" x14ac:dyDescent="0.35">
      <c r="J601" s="331">
        <v>9056.0220769055304</v>
      </c>
      <c r="M601" s="331" t="s">
        <v>473</v>
      </c>
      <c r="N601" s="331">
        <v>465.52088851738199</v>
      </c>
      <c r="O601" s="331" t="s">
        <v>474</v>
      </c>
      <c r="P601" s="331">
        <v>24.6</v>
      </c>
      <c r="Q601" s="331" t="s">
        <v>475</v>
      </c>
      <c r="S601" s="331" t="s">
        <v>473</v>
      </c>
      <c r="T601" s="331">
        <f t="shared" si="111"/>
        <v>9.0560220769055313</v>
      </c>
      <c r="U601" s="331" t="s">
        <v>474</v>
      </c>
      <c r="V601" s="331">
        <v>24.6</v>
      </c>
      <c r="W601" s="331" t="s">
        <v>475</v>
      </c>
    </row>
    <row r="602" spans="10:23" x14ac:dyDescent="0.35">
      <c r="J602" s="331">
        <v>8635.9975989074501</v>
      </c>
      <c r="M602" s="331" t="s">
        <v>473</v>
      </c>
      <c r="N602" s="331">
        <v>466.91388556377302</v>
      </c>
      <c r="O602" s="331" t="s">
        <v>474</v>
      </c>
      <c r="P602" s="331">
        <v>25.2</v>
      </c>
      <c r="Q602" s="331" t="s">
        <v>475</v>
      </c>
      <c r="S602" s="331" t="s">
        <v>473</v>
      </c>
      <c r="T602" s="331">
        <f t="shared" si="111"/>
        <v>8.6359975989074496</v>
      </c>
      <c r="U602" s="331" t="s">
        <v>474</v>
      </c>
      <c r="V602" s="331">
        <v>25.2</v>
      </c>
      <c r="W602" s="331" t="s">
        <v>475</v>
      </c>
    </row>
    <row r="603" spans="10:23" x14ac:dyDescent="0.35">
      <c r="J603" s="331">
        <v>8258.0012746174107</v>
      </c>
      <c r="M603" s="331" t="s">
        <v>473</v>
      </c>
      <c r="N603" s="331">
        <v>468.24421696407597</v>
      </c>
      <c r="O603" s="331" t="s">
        <v>474</v>
      </c>
      <c r="P603" s="331">
        <v>25.8</v>
      </c>
      <c r="Q603" s="331" t="s">
        <v>475</v>
      </c>
      <c r="S603" s="331" t="s">
        <v>473</v>
      </c>
      <c r="T603" s="331">
        <f t="shared" si="111"/>
        <v>8.2580012746174098</v>
      </c>
      <c r="U603" s="331" t="s">
        <v>474</v>
      </c>
      <c r="V603" s="331">
        <v>25.8</v>
      </c>
      <c r="W603" s="331" t="s">
        <v>475</v>
      </c>
    </row>
    <row r="604" spans="10:23" x14ac:dyDescent="0.35">
      <c r="J604" s="331">
        <v>7915.9565637166997</v>
      </c>
      <c r="M604" s="331" t="s">
        <v>473</v>
      </c>
      <c r="N604" s="331">
        <v>469.518084528727</v>
      </c>
      <c r="O604" s="331" t="s">
        <v>474</v>
      </c>
      <c r="P604" s="331">
        <v>26.4</v>
      </c>
      <c r="Q604" s="331" t="s">
        <v>475</v>
      </c>
      <c r="S604" s="331" t="s">
        <v>473</v>
      </c>
      <c r="T604" s="331">
        <f t="shared" si="111"/>
        <v>7.9159565637166995</v>
      </c>
      <c r="U604" s="331" t="s">
        <v>474</v>
      </c>
      <c r="V604" s="331">
        <v>26.4</v>
      </c>
      <c r="W604" s="331" t="s">
        <v>475</v>
      </c>
    </row>
    <row r="605" spans="10:23" x14ac:dyDescent="0.35">
      <c r="J605" s="331">
        <v>7604.8803140539503</v>
      </c>
      <c r="M605" s="331" t="s">
        <v>473</v>
      </c>
      <c r="N605" s="331">
        <v>470.74085749664602</v>
      </c>
      <c r="O605" s="331" t="s">
        <v>474</v>
      </c>
      <c r="P605" s="331">
        <v>27</v>
      </c>
      <c r="Q605" s="331" t="s">
        <v>475</v>
      </c>
      <c r="S605" s="331" t="s">
        <v>473</v>
      </c>
      <c r="T605" s="331">
        <f t="shared" si="111"/>
        <v>7.6048803140539505</v>
      </c>
      <c r="U605" s="331" t="s">
        <v>474</v>
      </c>
      <c r="V605" s="331">
        <v>27</v>
      </c>
      <c r="W605" s="331" t="s">
        <v>475</v>
      </c>
    </row>
    <row r="606" spans="10:23" x14ac:dyDescent="0.35">
      <c r="J606" s="331">
        <v>7320.6492919763596</v>
      </c>
      <c r="M606" s="331" t="s">
        <v>473</v>
      </c>
      <c r="N606" s="331">
        <v>471.91723202644499</v>
      </c>
      <c r="O606" s="331" t="s">
        <v>474</v>
      </c>
      <c r="P606" s="331">
        <v>27.6</v>
      </c>
      <c r="Q606" s="331" t="s">
        <v>475</v>
      </c>
      <c r="S606" s="331" t="s">
        <v>473</v>
      </c>
      <c r="T606" s="331">
        <f t="shared" si="111"/>
        <v>7.3206492919763599</v>
      </c>
      <c r="U606" s="331" t="s">
        <v>474</v>
      </c>
      <c r="V606" s="331">
        <v>27.6</v>
      </c>
      <c r="W606" s="331" t="s">
        <v>475</v>
      </c>
    </row>
    <row r="607" spans="10:23" x14ac:dyDescent="0.35">
      <c r="J607" s="331">
        <v>7059.8228049904401</v>
      </c>
      <c r="M607" s="331" t="s">
        <v>473</v>
      </c>
      <c r="N607" s="331">
        <v>473.05135698015403</v>
      </c>
      <c r="O607" s="331" t="s">
        <v>474</v>
      </c>
      <c r="P607" s="331">
        <v>28.2</v>
      </c>
      <c r="Q607" s="331" t="s">
        <v>475</v>
      </c>
      <c r="S607" s="331" t="s">
        <v>473</v>
      </c>
      <c r="T607" s="331">
        <f t="shared" si="111"/>
        <v>7.0598228049904401</v>
      </c>
      <c r="U607" s="331" t="s">
        <v>474</v>
      </c>
      <c r="V607" s="331">
        <v>28.2</v>
      </c>
      <c r="W607" s="331" t="s">
        <v>475</v>
      </c>
    </row>
    <row r="608" spans="10:23" x14ac:dyDescent="0.35">
      <c r="J608" s="331">
        <v>6820.8865399591496</v>
      </c>
      <c r="M608" s="331" t="s">
        <v>473</v>
      </c>
      <c r="N608" s="331">
        <v>474.14049657335198</v>
      </c>
      <c r="O608" s="331" t="s">
        <v>474</v>
      </c>
      <c r="P608" s="331">
        <v>28.8</v>
      </c>
      <c r="Q608" s="331" t="s">
        <v>475</v>
      </c>
      <c r="S608" s="331" t="s">
        <v>473</v>
      </c>
      <c r="T608" s="331">
        <f t="shared" si="111"/>
        <v>6.8208865399591492</v>
      </c>
      <c r="U608" s="331" t="s">
        <v>474</v>
      </c>
      <c r="V608" s="331">
        <v>28.8</v>
      </c>
      <c r="W608" s="331" t="s">
        <v>475</v>
      </c>
    </row>
    <row r="609" spans="10:23" x14ac:dyDescent="0.35">
      <c r="J609" s="331">
        <v>6599.2972934666504</v>
      </c>
      <c r="M609" s="331" t="s">
        <v>473</v>
      </c>
      <c r="N609" s="331">
        <v>475.19730369335701</v>
      </c>
      <c r="O609" s="331" t="s">
        <v>474</v>
      </c>
      <c r="P609" s="331">
        <v>29.4</v>
      </c>
      <c r="Q609" s="331" t="s">
        <v>475</v>
      </c>
      <c r="S609" s="331" t="s">
        <v>473</v>
      </c>
      <c r="T609" s="331">
        <f t="shared" si="111"/>
        <v>6.5992972934666501</v>
      </c>
      <c r="U609" s="331" t="s">
        <v>474</v>
      </c>
      <c r="V609" s="331">
        <v>29.4</v>
      </c>
      <c r="W609" s="331" t="s">
        <v>475</v>
      </c>
    </row>
    <row r="610" spans="10:23" x14ac:dyDescent="0.35">
      <c r="J610" s="331">
        <v>6393.8958851010702</v>
      </c>
      <c r="M610" s="331" t="s">
        <v>473</v>
      </c>
      <c r="N610" s="331">
        <v>476.220505079379</v>
      </c>
      <c r="O610" s="331" t="s">
        <v>474</v>
      </c>
      <c r="P610" s="331">
        <v>30</v>
      </c>
      <c r="Q610" s="331" t="s">
        <v>475</v>
      </c>
      <c r="S610" s="331" t="s">
        <v>473</v>
      </c>
      <c r="T610" s="331">
        <f t="shared" si="111"/>
        <v>6.3938958851010703</v>
      </c>
      <c r="U610" s="331" t="s">
        <v>474</v>
      </c>
      <c r="V610" s="331">
        <v>30</v>
      </c>
      <c r="W610" s="331" t="s">
        <v>475</v>
      </c>
    </row>
    <row r="611" spans="10:23" x14ac:dyDescent="0.35">
      <c r="J611" s="331">
        <v>6202.9267216098497</v>
      </c>
      <c r="M611" s="331" t="s">
        <v>473</v>
      </c>
      <c r="N611" s="331">
        <v>477.21250984150498</v>
      </c>
      <c r="O611" s="331" t="s">
        <v>474</v>
      </c>
      <c r="P611" s="331">
        <v>30.6</v>
      </c>
      <c r="Q611" s="331" t="s">
        <v>475</v>
      </c>
      <c r="S611" s="331" t="s">
        <v>473</v>
      </c>
      <c r="T611" s="331">
        <f t="shared" si="111"/>
        <v>6.2029267216098498</v>
      </c>
      <c r="U611" s="331" t="s">
        <v>474</v>
      </c>
      <c r="V611" s="331">
        <v>30.6</v>
      </c>
      <c r="W611" s="331" t="s">
        <v>475</v>
      </c>
    </row>
    <row r="612" spans="10:23" x14ac:dyDescent="0.35">
      <c r="J612" s="331">
        <v>6024.8798601890003</v>
      </c>
      <c r="M612" s="331" t="s">
        <v>473</v>
      </c>
      <c r="N612" s="331">
        <v>478.17547104445299</v>
      </c>
      <c r="O612" s="331" t="s">
        <v>474</v>
      </c>
      <c r="P612" s="331">
        <v>31.2</v>
      </c>
      <c r="Q612" s="331" t="s">
        <v>475</v>
      </c>
      <c r="S612" s="331" t="s">
        <v>473</v>
      </c>
      <c r="T612" s="331">
        <f t="shared" si="111"/>
        <v>6.0248798601890003</v>
      </c>
      <c r="U612" s="331" t="s">
        <v>474</v>
      </c>
      <c r="V612" s="331">
        <v>31.2</v>
      </c>
      <c r="W612" s="331" t="s">
        <v>475</v>
      </c>
    </row>
    <row r="613" spans="10:23" x14ac:dyDescent="0.35">
      <c r="J613" s="331">
        <v>5858.4496193221903</v>
      </c>
      <c r="M613" s="331" t="s">
        <v>473</v>
      </c>
      <c r="N613" s="331">
        <v>479.111321267574</v>
      </c>
      <c r="O613" s="331" t="s">
        <v>474</v>
      </c>
      <c r="P613" s="331">
        <v>31.8</v>
      </c>
      <c r="Q613" s="331" t="s">
        <v>475</v>
      </c>
      <c r="S613" s="331" t="s">
        <v>473</v>
      </c>
      <c r="T613" s="331">
        <f t="shared" si="111"/>
        <v>5.8584496193221902</v>
      </c>
      <c r="U613" s="331" t="s">
        <v>474</v>
      </c>
      <c r="V613" s="331">
        <v>31.8</v>
      </c>
      <c r="W613" s="331" t="s">
        <v>475</v>
      </c>
    </row>
    <row r="614" spans="10:23" x14ac:dyDescent="0.35">
      <c r="J614" s="331">
        <v>5702.5012083637603</v>
      </c>
      <c r="M614" s="331" t="s">
        <v>473</v>
      </c>
      <c r="N614" s="331">
        <v>480.02180235793202</v>
      </c>
      <c r="O614" s="331" t="s">
        <v>474</v>
      </c>
      <c r="P614" s="331">
        <v>32.4</v>
      </c>
      <c r="Q614" s="331" t="s">
        <v>475</v>
      </c>
      <c r="S614" s="331" t="s">
        <v>473</v>
      </c>
      <c r="T614" s="331">
        <f t="shared" si="111"/>
        <v>5.7025012083637598</v>
      </c>
      <c r="U614" s="331" t="s">
        <v>474</v>
      </c>
      <c r="V614" s="331">
        <v>32.4</v>
      </c>
      <c r="W614" s="331" t="s">
        <v>475</v>
      </c>
    </row>
    <row r="615" spans="10:23" x14ac:dyDescent="0.35">
      <c r="J615" s="331">
        <v>5556.0436359240502</v>
      </c>
      <c r="M615" s="331" t="s">
        <v>473</v>
      </c>
      <c r="N615" s="331">
        <v>480.90849049351101</v>
      </c>
      <c r="O615" s="331" t="s">
        <v>474</v>
      </c>
      <c r="P615" s="331">
        <v>33</v>
      </c>
      <c r="Q615" s="331" t="s">
        <v>475</v>
      </c>
      <c r="S615" s="331" t="s">
        <v>473</v>
      </c>
      <c r="T615" s="331">
        <f t="shared" si="111"/>
        <v>5.5560436359240502</v>
      </c>
      <c r="U615" s="331" t="s">
        <v>474</v>
      </c>
      <c r="V615" s="331">
        <v>33</v>
      </c>
      <c r="W615" s="331" t="s">
        <v>475</v>
      </c>
    </row>
    <row r="616" spans="10:23" x14ac:dyDescent="0.35">
      <c r="J616" s="331">
        <v>5418.2075716284398</v>
      </c>
      <c r="M616" s="331" t="s">
        <v>473</v>
      </c>
      <c r="N616" s="331">
        <v>481.77281742991403</v>
      </c>
      <c r="O616" s="331" t="s">
        <v>474</v>
      </c>
      <c r="P616" s="331">
        <v>33.6</v>
      </c>
      <c r="Q616" s="331" t="s">
        <v>475</v>
      </c>
      <c r="S616" s="331" t="s">
        <v>473</v>
      </c>
      <c r="T616" s="331">
        <f t="shared" si="111"/>
        <v>5.4182075716284395</v>
      </c>
      <c r="U616" s="331" t="s">
        <v>474</v>
      </c>
      <c r="V616" s="331">
        <v>33.6</v>
      </c>
      <c r="W616" s="331" t="s">
        <v>475</v>
      </c>
    </row>
    <row r="617" spans="10:23" x14ac:dyDescent="0.35">
      <c r="J617" s="331">
        <v>5288.2271438753096</v>
      </c>
      <c r="M617" s="331" t="s">
        <v>473</v>
      </c>
      <c r="N617" s="331">
        <v>482.61608861703098</v>
      </c>
      <c r="O617" s="331" t="s">
        <v>474</v>
      </c>
      <c r="P617" s="331">
        <v>34.200000000000003</v>
      </c>
      <c r="Q617" s="331" t="s">
        <v>475</v>
      </c>
      <c r="S617" s="331" t="s">
        <v>473</v>
      </c>
      <c r="T617" s="331">
        <f t="shared" si="111"/>
        <v>5.2882271438753099</v>
      </c>
      <c r="U617" s="331" t="s">
        <v>474</v>
      </c>
      <c r="V617" s="331">
        <v>34.200000000000003</v>
      </c>
      <c r="W617" s="331" t="s">
        <v>475</v>
      </c>
    </row>
    <row r="618" spans="10:23" x14ac:dyDescent="0.35">
      <c r="J618" s="331">
        <v>5165.4248868621298</v>
      </c>
      <c r="M618" s="331" t="s">
        <v>473</v>
      </c>
      <c r="N618" s="331">
        <v>483.43949872823799</v>
      </c>
      <c r="O618" s="331" t="s">
        <v>474</v>
      </c>
      <c r="P618" s="331">
        <v>34.799999999999997</v>
      </c>
      <c r="Q618" s="331" t="s">
        <v>475</v>
      </c>
      <c r="S618" s="331" t="s">
        <v>473</v>
      </c>
      <c r="T618" s="331">
        <f t="shared" si="111"/>
        <v>5.1654248868621302</v>
      </c>
      <c r="U618" s="331" t="s">
        <v>474</v>
      </c>
      <c r="V618" s="331">
        <v>34.799999999999997</v>
      </c>
      <c r="W618" s="331" t="s">
        <v>475</v>
      </c>
    </row>
    <row r="619" spans="10:23" x14ac:dyDescent="0.35">
      <c r="J619" s="331">
        <v>5049.1992240958298</v>
      </c>
      <c r="M619" s="331" t="s">
        <v>473</v>
      </c>
      <c r="N619" s="331">
        <v>484.24414503326801</v>
      </c>
      <c r="O619" s="331" t="s">
        <v>474</v>
      </c>
      <c r="P619" s="331">
        <v>35.4</v>
      </c>
      <c r="Q619" s="331" t="s">
        <v>475</v>
      </c>
      <c r="S619" s="331" t="s">
        <v>473</v>
      </c>
      <c r="T619" s="331">
        <f t="shared" si="111"/>
        <v>5.0491992240958297</v>
      </c>
      <c r="U619" s="331" t="s">
        <v>474</v>
      </c>
      <c r="V619" s="331">
        <v>35.4</v>
      </c>
      <c r="W619" s="331" t="s">
        <v>475</v>
      </c>
    </row>
    <row r="620" spans="10:23" x14ac:dyDescent="0.35">
      <c r="J620" s="331">
        <v>4939.0140077242104</v>
      </c>
      <c r="M620" s="331" t="s">
        <v>473</v>
      </c>
      <c r="N620" s="331">
        <v>485.03103895949903</v>
      </c>
      <c r="O620" s="331" t="s">
        <v>474</v>
      </c>
      <c r="P620" s="331">
        <v>36</v>
      </c>
      <c r="Q620" s="331" t="s">
        <v>475</v>
      </c>
      <c r="S620" s="331" t="s">
        <v>473</v>
      </c>
      <c r="T620" s="331">
        <f t="shared" si="111"/>
        <v>4.93901400772421</v>
      </c>
      <c r="U620" s="331" t="s">
        <v>474</v>
      </c>
      <c r="V620" s="331">
        <v>36</v>
      </c>
      <c r="W620" s="331" t="s">
        <v>475</v>
      </c>
    </row>
    <row r="621" spans="10:23" x14ac:dyDescent="0.35">
      <c r="J621" s="331">
        <v>4834.3897340734902</v>
      </c>
      <c r="M621" s="331" t="s">
        <v>473</v>
      </c>
      <c r="N621" s="331">
        <v>485.80111611921501</v>
      </c>
      <c r="O621" s="331" t="s">
        <v>474</v>
      </c>
      <c r="P621" s="331">
        <v>36.6</v>
      </c>
      <c r="Q621" s="331" t="s">
        <v>475</v>
      </c>
      <c r="S621" s="331" t="s">
        <v>473</v>
      </c>
      <c r="T621" s="331">
        <f t="shared" si="111"/>
        <v>4.8343897340734898</v>
      </c>
      <c r="U621" s="331" t="s">
        <v>474</v>
      </c>
      <c r="V621" s="331">
        <v>36.6</v>
      </c>
      <c r="W621" s="331" t="s">
        <v>475</v>
      </c>
    </row>
    <row r="622" spans="10:23" x14ac:dyDescent="0.35">
      <c r="J622" s="331">
        <v>4734.8961335883096</v>
      </c>
      <c r="M622" s="331" t="s">
        <v>473</v>
      </c>
      <c r="N622" s="331">
        <v>486.55524502806202</v>
      </c>
      <c r="O622" s="331" t="s">
        <v>474</v>
      </c>
      <c r="P622" s="331">
        <v>37.200000000000003</v>
      </c>
      <c r="Q622" s="331" t="s">
        <v>475</v>
      </c>
      <c r="S622" s="331" t="s">
        <v>473</v>
      </c>
      <c r="T622" s="331">
        <f t="shared" si="111"/>
        <v>4.7348961335883093</v>
      </c>
      <c r="U622" s="331" t="s">
        <v>474</v>
      </c>
      <c r="V622" s="331">
        <v>37.200000000000003</v>
      </c>
      <c r="W622" s="331" t="s">
        <v>475</v>
      </c>
    </row>
    <row r="623" spans="10:23" x14ac:dyDescent="0.35">
      <c r="J623" s="331">
        <v>4640.1458936888703</v>
      </c>
      <c r="M623" s="331" t="s">
        <v>473</v>
      </c>
      <c r="N623" s="331">
        <v>487.29423469910398</v>
      </c>
      <c r="O623" s="331" t="s">
        <v>474</v>
      </c>
      <c r="P623" s="331">
        <v>37.799999999999997</v>
      </c>
      <c r="Q623" s="331" t="s">
        <v>475</v>
      </c>
      <c r="S623" s="331" t="s">
        <v>473</v>
      </c>
      <c r="T623" s="331">
        <f t="shared" si="111"/>
        <v>4.64014589368887</v>
      </c>
      <c r="U623" s="331" t="s">
        <v>474</v>
      </c>
      <c r="V623" s="331">
        <v>37.799999999999997</v>
      </c>
      <c r="W623" s="331" t="s">
        <v>475</v>
      </c>
    </row>
    <row r="624" spans="10:23" x14ac:dyDescent="0.35">
      <c r="J624" s="331">
        <v>4549.78932012532</v>
      </c>
      <c r="M624" s="331" t="s">
        <v>473</v>
      </c>
      <c r="N624" s="331">
        <v>488.01884126494002</v>
      </c>
      <c r="O624" s="331" t="s">
        <v>474</v>
      </c>
      <c r="P624" s="331">
        <v>38.4</v>
      </c>
      <c r="Q624" s="331" t="s">
        <v>475</v>
      </c>
      <c r="S624" s="331" t="s">
        <v>473</v>
      </c>
      <c r="T624" s="331">
        <f t="shared" si="111"/>
        <v>4.5497893201253197</v>
      </c>
      <c r="U624" s="331" t="s">
        <v>474</v>
      </c>
      <c r="V624" s="331">
        <v>38.4</v>
      </c>
      <c r="W624" s="331" t="s">
        <v>475</v>
      </c>
    </row>
    <row r="625" spans="10:23" x14ac:dyDescent="0.35">
      <c r="J625" s="331">
        <v>4463.5097793749701</v>
      </c>
      <c r="M625" s="331" t="s">
        <v>473</v>
      </c>
      <c r="N625" s="331">
        <v>488.72977375528001</v>
      </c>
      <c r="O625" s="331" t="s">
        <v>474</v>
      </c>
      <c r="P625" s="331">
        <v>39</v>
      </c>
      <c r="Q625" s="331" t="s">
        <v>475</v>
      </c>
      <c r="S625" s="331" t="s">
        <v>473</v>
      </c>
      <c r="T625" s="331">
        <f t="shared" si="111"/>
        <v>4.4635097793749701</v>
      </c>
      <c r="U625" s="331" t="s">
        <v>474</v>
      </c>
      <c r="V625" s="331">
        <v>39</v>
      </c>
      <c r="W625" s="331" t="s">
        <v>475</v>
      </c>
    </row>
    <row r="626" spans="10:23" x14ac:dyDescent="0.35">
      <c r="J626" s="331">
        <v>4381.6202591536903</v>
      </c>
      <c r="M626" s="331" t="s">
        <v>473</v>
      </c>
      <c r="N626" s="331">
        <v>489.42255238680002</v>
      </c>
      <c r="O626" s="331" t="s">
        <v>474</v>
      </c>
      <c r="P626" s="331">
        <v>39.6</v>
      </c>
      <c r="Q626" s="331" t="s">
        <v>475</v>
      </c>
      <c r="S626" s="331" t="s">
        <v>473</v>
      </c>
      <c r="T626" s="331">
        <f t="shared" si="111"/>
        <v>4.3816202591536904</v>
      </c>
      <c r="U626" s="331" t="s">
        <v>474</v>
      </c>
      <c r="V626" s="331">
        <v>39.6</v>
      </c>
      <c r="W626" s="331" t="s">
        <v>475</v>
      </c>
    </row>
    <row r="627" spans="10:23" x14ac:dyDescent="0.35">
      <c r="J627" s="331">
        <v>4302.8214327179603</v>
      </c>
      <c r="M627" s="331" t="s">
        <v>473</v>
      </c>
      <c r="N627" s="331">
        <v>490.106531510889</v>
      </c>
      <c r="O627" s="331" t="s">
        <v>474</v>
      </c>
      <c r="P627" s="331">
        <v>40.200000000000003</v>
      </c>
      <c r="Q627" s="331" t="s">
        <v>475</v>
      </c>
      <c r="S627" s="331" t="s">
        <v>473</v>
      </c>
      <c r="T627" s="331">
        <f t="shared" si="111"/>
        <v>4.3028214327179599</v>
      </c>
      <c r="U627" s="331" t="s">
        <v>474</v>
      </c>
      <c r="V627" s="331">
        <v>40.200000000000003</v>
      </c>
      <c r="W627" s="331" t="s">
        <v>475</v>
      </c>
    </row>
    <row r="628" spans="10:23" x14ac:dyDescent="0.35">
      <c r="J628" s="331">
        <v>4227.3442644535398</v>
      </c>
      <c r="M628" s="331" t="s">
        <v>473</v>
      </c>
      <c r="N628" s="331">
        <v>490.77836228547</v>
      </c>
      <c r="O628" s="331" t="s">
        <v>474</v>
      </c>
      <c r="P628" s="331">
        <v>40.799999999999997</v>
      </c>
      <c r="Q628" s="331" t="s">
        <v>475</v>
      </c>
      <c r="S628" s="331" t="s">
        <v>473</v>
      </c>
      <c r="T628" s="331">
        <f t="shared" si="111"/>
        <v>4.2273442644535395</v>
      </c>
      <c r="U628" s="331" t="s">
        <v>474</v>
      </c>
      <c r="V628" s="331">
        <v>40.799999999999997</v>
      </c>
      <c r="W628" s="331" t="s">
        <v>475</v>
      </c>
    </row>
    <row r="629" spans="10:23" x14ac:dyDescent="0.35">
      <c r="J629" s="331">
        <v>4154.9743760034398</v>
      </c>
      <c r="M629" s="331" t="s">
        <v>473</v>
      </c>
      <c r="N629" s="331">
        <v>491.438550898946</v>
      </c>
      <c r="O629" s="331" t="s">
        <v>474</v>
      </c>
      <c r="P629" s="331">
        <v>41.4</v>
      </c>
      <c r="Q629" s="331" t="s">
        <v>475</v>
      </c>
      <c r="S629" s="331" t="s">
        <v>473</v>
      </c>
      <c r="T629" s="331">
        <f t="shared" si="111"/>
        <v>4.1549743760034401</v>
      </c>
      <c r="U629" s="331" t="s">
        <v>474</v>
      </c>
      <c r="V629" s="331">
        <v>41.4</v>
      </c>
      <c r="W629" s="331" t="s">
        <v>475</v>
      </c>
    </row>
    <row r="630" spans="10:23" x14ac:dyDescent="0.35">
      <c r="J630" s="331">
        <v>4085.5157216335601</v>
      </c>
      <c r="M630" s="331" t="s">
        <v>473</v>
      </c>
      <c r="N630" s="331">
        <v>492.087571268266</v>
      </c>
      <c r="O630" s="331" t="s">
        <v>474</v>
      </c>
      <c r="P630" s="331">
        <v>42</v>
      </c>
      <c r="Q630" s="331" t="s">
        <v>475</v>
      </c>
      <c r="S630" s="331" t="s">
        <v>473</v>
      </c>
      <c r="T630" s="331">
        <f t="shared" si="111"/>
        <v>4.08551572163356</v>
      </c>
      <c r="U630" s="331" t="s">
        <v>474</v>
      </c>
      <c r="V630" s="331">
        <v>42</v>
      </c>
      <c r="W630" s="331" t="s">
        <v>475</v>
      </c>
    </row>
    <row r="631" spans="10:23" x14ac:dyDescent="0.35">
      <c r="J631" s="331">
        <v>4018.7886565929098</v>
      </c>
      <c r="M631" s="331" t="s">
        <v>473</v>
      </c>
      <c r="N631" s="331">
        <v>492.725867779655</v>
      </c>
      <c r="O631" s="331" t="s">
        <v>474</v>
      </c>
      <c r="P631" s="331">
        <v>42.6</v>
      </c>
      <c r="Q631" s="331" t="s">
        <v>475</v>
      </c>
      <c r="S631" s="331" t="s">
        <v>473</v>
      </c>
      <c r="T631" s="331">
        <f t="shared" si="111"/>
        <v>4.0187886565929096</v>
      </c>
      <c r="U631" s="331" t="s">
        <v>474</v>
      </c>
      <c r="V631" s="331">
        <v>42.6</v>
      </c>
      <c r="W631" s="331" t="s">
        <v>475</v>
      </c>
    </row>
    <row r="632" spans="10:23" x14ac:dyDescent="0.35">
      <c r="J632" s="331">
        <v>3954.6282449452901</v>
      </c>
      <c r="M632" s="331" t="s">
        <v>473</v>
      </c>
      <c r="N632" s="331">
        <v>493.353857746041</v>
      </c>
      <c r="O632" s="331" t="s">
        <v>474</v>
      </c>
      <c r="P632" s="331">
        <v>43.2</v>
      </c>
      <c r="Q632" s="331" t="s">
        <v>475</v>
      </c>
      <c r="S632" s="331" t="s">
        <v>473</v>
      </c>
      <c r="T632" s="331">
        <f t="shared" si="111"/>
        <v>3.9546282449452903</v>
      </c>
      <c r="U632" s="331" t="s">
        <v>474</v>
      </c>
      <c r="V632" s="331">
        <v>43.2</v>
      </c>
      <c r="W632" s="331" t="s">
        <v>475</v>
      </c>
    </row>
    <row r="633" spans="10:23" x14ac:dyDescent="0.35">
      <c r="J633" s="331">
        <v>3892.8827729045402</v>
      </c>
      <c r="M633" s="331" t="s">
        <v>473</v>
      </c>
      <c r="N633" s="331">
        <v>493.971933616245</v>
      </c>
      <c r="O633" s="331" t="s">
        <v>474</v>
      </c>
      <c r="P633" s="331">
        <v>43.8</v>
      </c>
      <c r="Q633" s="331" t="s">
        <v>475</v>
      </c>
      <c r="S633" s="331" t="s">
        <v>473</v>
      </c>
      <c r="T633" s="331">
        <f t="shared" si="111"/>
        <v>3.8928827729045401</v>
      </c>
      <c r="U633" s="331" t="s">
        <v>474</v>
      </c>
      <c r="V633" s="331">
        <v>43.8</v>
      </c>
      <c r="W633" s="331" t="s">
        <v>475</v>
      </c>
    </row>
    <row r="634" spans="10:23" x14ac:dyDescent="0.35">
      <c r="J634" s="331">
        <v>3833.4124390980501</v>
      </c>
      <c r="M634" s="331" t="s">
        <v>473</v>
      </c>
      <c r="N634" s="331">
        <v>494.580464966097</v>
      </c>
      <c r="O634" s="331" t="s">
        <v>474</v>
      </c>
      <c r="P634" s="331">
        <v>44.4</v>
      </c>
      <c r="Q634" s="331" t="s">
        <v>475</v>
      </c>
      <c r="S634" s="331" t="s">
        <v>473</v>
      </c>
      <c r="T634" s="331">
        <f t="shared" si="111"/>
        <v>3.83341243909805</v>
      </c>
      <c r="U634" s="331" t="s">
        <v>474</v>
      </c>
      <c r="V634" s="331">
        <v>44.4</v>
      </c>
      <c r="W634" s="331" t="s">
        <v>475</v>
      </c>
    </row>
    <row r="635" spans="10:23" x14ac:dyDescent="0.35">
      <c r="J635" s="331">
        <v>3776.0881976344099</v>
      </c>
      <c r="M635" s="331" t="s">
        <v>473</v>
      </c>
      <c r="N635" s="331">
        <v>495.17980029742699</v>
      </c>
      <c r="O635" s="331" t="s">
        <v>474</v>
      </c>
      <c r="P635" s="331">
        <v>45</v>
      </c>
      <c r="Q635" s="331" t="s">
        <v>475</v>
      </c>
      <c r="S635" s="331" t="s">
        <v>473</v>
      </c>
      <c r="T635" s="331">
        <f t="shared" si="111"/>
        <v>3.7760881976344098</v>
      </c>
      <c r="U635" s="331" t="s">
        <v>474</v>
      </c>
      <c r="V635" s="331">
        <v>45</v>
      </c>
      <c r="W635" s="331" t="s">
        <v>475</v>
      </c>
    </row>
    <row r="636" spans="10:23" x14ac:dyDescent="0.35">
      <c r="J636" s="331">
        <v>3720.7907335384798</v>
      </c>
      <c r="M636" s="331" t="s">
        <v>473</v>
      </c>
      <c r="N636" s="331">
        <v>495.77026866736998</v>
      </c>
      <c r="O636" s="331" t="s">
        <v>474</v>
      </c>
      <c r="P636" s="331">
        <v>45.6</v>
      </c>
      <c r="Q636" s="331" t="s">
        <v>475</v>
      </c>
      <c r="S636" s="331" t="s">
        <v>473</v>
      </c>
      <c r="T636" s="331">
        <f t="shared" si="111"/>
        <v>3.7207907335384798</v>
      </c>
      <c r="U636" s="331" t="s">
        <v>474</v>
      </c>
      <c r="V636" s="331">
        <v>45.6</v>
      </c>
      <c r="W636" s="331" t="s">
        <v>475</v>
      </c>
    </row>
    <row r="637" spans="10:23" x14ac:dyDescent="0.35">
      <c r="J637" s="331">
        <v>3667.4095531848602</v>
      </c>
      <c r="M637" s="331" t="s">
        <v>473</v>
      </c>
      <c r="N637" s="331">
        <v>496.35218116739901</v>
      </c>
      <c r="O637" s="331" t="s">
        <v>474</v>
      </c>
      <c r="P637" s="331">
        <v>46.2</v>
      </c>
      <c r="Q637" s="331" t="s">
        <v>475</v>
      </c>
      <c r="S637" s="331" t="s">
        <v>473</v>
      </c>
      <c r="T637" s="331">
        <f t="shared" si="111"/>
        <v>3.6674095531848603</v>
      </c>
      <c r="U637" s="331" t="s">
        <v>474</v>
      </c>
      <c r="V637" s="331">
        <v>46.2</v>
      </c>
      <c r="W637" s="331" t="s">
        <v>475</v>
      </c>
    </row>
    <row r="638" spans="10:23" x14ac:dyDescent="0.35">
      <c r="J638" s="331">
        <v>3615.8421749204199</v>
      </c>
      <c r="M638" s="331" t="s">
        <v>473</v>
      </c>
      <c r="N638" s="331">
        <v>496.92583226893203</v>
      </c>
      <c r="O638" s="331" t="s">
        <v>474</v>
      </c>
      <c r="P638" s="331">
        <v>46.8</v>
      </c>
      <c r="Q638" s="331" t="s">
        <v>475</v>
      </c>
      <c r="S638" s="331" t="s">
        <v>473</v>
      </c>
      <c r="T638" s="331">
        <f t="shared" si="111"/>
        <v>3.6158421749204197</v>
      </c>
      <c r="U638" s="331" t="s">
        <v>474</v>
      </c>
      <c r="V638" s="331">
        <v>46.8</v>
      </c>
      <c r="W638" s="331" t="s">
        <v>475</v>
      </c>
    </row>
    <row r="639" spans="10:23" x14ac:dyDescent="0.35">
      <c r="J639" s="331">
        <v>3565.9934072106998</v>
      </c>
      <c r="M639" s="331" t="s">
        <v>473</v>
      </c>
      <c r="N639" s="331">
        <v>497.491501050159</v>
      </c>
      <c r="O639" s="331" t="s">
        <v>474</v>
      </c>
      <c r="P639" s="331">
        <v>47.4</v>
      </c>
      <c r="Q639" s="331" t="s">
        <v>475</v>
      </c>
      <c r="S639" s="331" t="s">
        <v>473</v>
      </c>
      <c r="T639" s="331">
        <f t="shared" si="111"/>
        <v>3.5659934072107</v>
      </c>
      <c r="U639" s="331" t="s">
        <v>474</v>
      </c>
      <c r="V639" s="331">
        <v>47.4</v>
      </c>
      <c r="W639" s="331" t="s">
        <v>475</v>
      </c>
    </row>
    <row r="640" spans="10:23" x14ac:dyDescent="0.35">
      <c r="J640" s="331">
        <v>3517.7747034466502</v>
      </c>
      <c r="M640" s="331" t="s">
        <v>473</v>
      </c>
      <c r="N640" s="331">
        <v>498.04945231685502</v>
      </c>
      <c r="O640" s="331" t="s">
        <v>474</v>
      </c>
      <c r="P640" s="331">
        <v>48</v>
      </c>
      <c r="Q640" s="331" t="s">
        <v>475</v>
      </c>
      <c r="S640" s="331" t="s">
        <v>473</v>
      </c>
      <c r="T640" s="331">
        <f t="shared" si="111"/>
        <v>3.51777470344665</v>
      </c>
      <c r="U640" s="331" t="s">
        <v>474</v>
      </c>
      <c r="V640" s="331">
        <v>48</v>
      </c>
      <c r="W640" s="331" t="s">
        <v>475</v>
      </c>
    </row>
    <row r="641" spans="10:23" x14ac:dyDescent="0.35">
      <c r="J641" s="331">
        <v>3471.1035840672198</v>
      </c>
      <c r="M641" s="331" t="s">
        <v>473</v>
      </c>
      <c r="N641" s="331">
        <v>498.59993762830999</v>
      </c>
      <c r="O641" s="331" t="s">
        <v>474</v>
      </c>
      <c r="P641" s="331">
        <v>48.6</v>
      </c>
      <c r="Q641" s="331" t="s">
        <v>475</v>
      </c>
      <c r="S641" s="331" t="s">
        <v>473</v>
      </c>
      <c r="T641" s="331">
        <f t="shared" si="111"/>
        <v>3.4711035840672197</v>
      </c>
      <c r="U641" s="331" t="s">
        <v>474</v>
      </c>
      <c r="V641" s="331">
        <v>48.6</v>
      </c>
      <c r="W641" s="331" t="s">
        <v>475</v>
      </c>
    </row>
    <row r="642" spans="10:23" x14ac:dyDescent="0.35">
      <c r="J642" s="331">
        <v>3425.9031179369899</v>
      </c>
      <c r="M642" s="331" t="s">
        <v>473</v>
      </c>
      <c r="N642" s="331">
        <v>499.143196238109</v>
      </c>
      <c r="O642" s="331" t="s">
        <v>474</v>
      </c>
      <c r="P642" s="331">
        <v>49.2</v>
      </c>
      <c r="Q642" s="331" t="s">
        <v>475</v>
      </c>
      <c r="S642" s="331" t="s">
        <v>473</v>
      </c>
      <c r="T642" s="331">
        <f t="shared" si="111"/>
        <v>3.4259031179369899</v>
      </c>
      <c r="U642" s="331" t="s">
        <v>474</v>
      </c>
      <c r="V642" s="331">
        <v>49.2</v>
      </c>
      <c r="W642" s="331" t="s">
        <v>475</v>
      </c>
    </row>
    <row r="643" spans="10:23" x14ac:dyDescent="0.35">
      <c r="J643" s="331">
        <v>3382.1014560076301</v>
      </c>
      <c r="M643" s="331" t="s">
        <v>473</v>
      </c>
      <c r="N643" s="331">
        <v>499.67945595830503</v>
      </c>
      <c r="O643" s="331" t="s">
        <v>474</v>
      </c>
      <c r="P643" s="331">
        <v>49.8</v>
      </c>
      <c r="Q643" s="331" t="s">
        <v>475</v>
      </c>
      <c r="S643" s="331" t="s">
        <v>473</v>
      </c>
      <c r="T643" s="331">
        <f t="shared" si="111"/>
        <v>3.3821014560076299</v>
      </c>
      <c r="U643" s="331" t="s">
        <v>474</v>
      </c>
      <c r="V643" s="331">
        <v>49.8</v>
      </c>
      <c r="W643" s="331" t="s">
        <v>475</v>
      </c>
    </row>
    <row r="644" spans="10:23" x14ac:dyDescent="0.35">
      <c r="J644" s="331">
        <v>3339.6314112176401</v>
      </c>
      <c r="M644" s="331" t="s">
        <v>473</v>
      </c>
      <c r="N644" s="331">
        <v>500.20893395445802</v>
      </c>
      <c r="O644" s="331" t="s">
        <v>474</v>
      </c>
      <c r="P644" s="331">
        <v>50.4</v>
      </c>
      <c r="Q644" s="331" t="s">
        <v>475</v>
      </c>
      <c r="S644" s="331" t="s">
        <v>473</v>
      </c>
      <c r="T644" s="331">
        <f t="shared" si="111"/>
        <v>3.3396314112176402</v>
      </c>
      <c r="U644" s="331" t="s">
        <v>474</v>
      </c>
      <c r="V644" s="331">
        <v>50.4</v>
      </c>
      <c r="W644" s="331" t="s">
        <v>475</v>
      </c>
    </row>
    <row r="645" spans="10:23" x14ac:dyDescent="0.35">
      <c r="J645" s="331">
        <v>3298.4300793749098</v>
      </c>
      <c r="M645" s="331" t="s">
        <v>473</v>
      </c>
      <c r="N645" s="331">
        <v>500.73183747812402</v>
      </c>
      <c r="O645" s="331" t="s">
        <v>474</v>
      </c>
      <c r="P645" s="331">
        <v>51</v>
      </c>
      <c r="Q645" s="331" t="s">
        <v>475</v>
      </c>
      <c r="S645" s="331" t="s">
        <v>473</v>
      </c>
      <c r="T645" s="331">
        <f t="shared" si="111"/>
        <v>3.29843007937491</v>
      </c>
      <c r="U645" s="331" t="s">
        <v>474</v>
      </c>
      <c r="V645" s="331">
        <v>51</v>
      </c>
      <c r="W645" s="331" t="s">
        <v>475</v>
      </c>
    </row>
    <row r="646" spans="10:23" x14ac:dyDescent="0.35">
      <c r="J646" s="331">
        <v>3258.43849644173</v>
      </c>
      <c r="M646" s="331" t="s">
        <v>473</v>
      </c>
      <c r="N646" s="331">
        <v>501.24836454260401</v>
      </c>
      <c r="O646" s="331" t="s">
        <v>474</v>
      </c>
      <c r="P646" s="331">
        <v>51.6</v>
      </c>
      <c r="Q646" s="331" t="s">
        <v>475</v>
      </c>
      <c r="S646" s="331" t="s">
        <v>473</v>
      </c>
      <c r="T646" s="331">
        <f t="shared" si="111"/>
        <v>3.2584384964417299</v>
      </c>
      <c r="U646" s="331" t="s">
        <v>474</v>
      </c>
      <c r="V646" s="331">
        <v>51.6</v>
      </c>
      <c r="W646" s="331" t="s">
        <v>475</v>
      </c>
    </row>
    <row r="647" spans="10:23" x14ac:dyDescent="0.35">
      <c r="J647" s="331">
        <v>3219.6013282210502</v>
      </c>
      <c r="M647" s="331" t="s">
        <v>473</v>
      </c>
      <c r="N647" s="331">
        <v>501.75870454706001</v>
      </c>
      <c r="O647" s="331" t="s">
        <v>474</v>
      </c>
      <c r="P647" s="331">
        <v>52.2</v>
      </c>
      <c r="Q647" s="331" t="s">
        <v>475</v>
      </c>
      <c r="S647" s="331" t="s">
        <v>473</v>
      </c>
      <c r="T647" s="331">
        <f t="shared" si="111"/>
        <v>3.2196013282210503</v>
      </c>
      <c r="U647" s="331" t="s">
        <v>474</v>
      </c>
      <c r="V647" s="331">
        <v>52.2</v>
      </c>
      <c r="W647" s="331" t="s">
        <v>475</v>
      </c>
    </row>
    <row r="648" spans="10:23" x14ac:dyDescent="0.35">
      <c r="J648" s="331">
        <v>3181.8665889396898</v>
      </c>
      <c r="M648" s="331" t="s">
        <v>473</v>
      </c>
      <c r="N648" s="331">
        <v>502.26303885354099</v>
      </c>
      <c r="O648" s="331" t="s">
        <v>474</v>
      </c>
      <c r="P648" s="331">
        <v>52.8</v>
      </c>
      <c r="Q648" s="331" t="s">
        <v>475</v>
      </c>
      <c r="S648" s="331" t="s">
        <v>473</v>
      </c>
      <c r="T648" s="331">
        <f t="shared" si="111"/>
        <v>3.1818665889396898</v>
      </c>
      <c r="U648" s="331" t="s">
        <v>474</v>
      </c>
      <c r="V648" s="331">
        <v>52.8</v>
      </c>
      <c r="W648" s="331" t="s">
        <v>475</v>
      </c>
    </row>
    <row r="649" spans="10:23" x14ac:dyDescent="0.35">
      <c r="J649" s="331">
        <v>3145.1853856534499</v>
      </c>
      <c r="M649" s="331" t="s">
        <v>473</v>
      </c>
      <c r="N649" s="331">
        <v>502.76154132094399</v>
      </c>
      <c r="O649" s="331" t="s">
        <v>474</v>
      </c>
      <c r="P649" s="331">
        <v>53.4</v>
      </c>
      <c r="Q649" s="331" t="s">
        <v>475</v>
      </c>
      <c r="S649" s="331" t="s">
        <v>473</v>
      </c>
      <c r="T649" s="331">
        <f t="shared" si="111"/>
        <v>3.1451853856534497</v>
      </c>
      <c r="U649" s="331" t="s">
        <v>474</v>
      </c>
      <c r="V649" s="331">
        <v>53.4</v>
      </c>
      <c r="W649" s="331" t="s">
        <v>475</v>
      </c>
    </row>
    <row r="650" spans="10:23" x14ac:dyDescent="0.35">
      <c r="J650" s="331">
        <v>3109.5116857686498</v>
      </c>
      <c r="M650" s="331" t="s">
        <v>473</v>
      </c>
      <c r="N650" s="331">
        <v>503.25437879948697</v>
      </c>
      <c r="O650" s="331" t="s">
        <v>474</v>
      </c>
      <c r="P650" s="331">
        <v>54</v>
      </c>
      <c r="Q650" s="331" t="s">
        <v>475</v>
      </c>
      <c r="S650" s="331" t="s">
        <v>473</v>
      </c>
      <c r="T650" s="331">
        <f t="shared" si="111"/>
        <v>3.1095116857686498</v>
      </c>
      <c r="U650" s="331" t="s">
        <v>474</v>
      </c>
      <c r="V650" s="331">
        <v>54</v>
      </c>
      <c r="W650" s="331" t="s">
        <v>475</v>
      </c>
    </row>
    <row r="651" spans="10:23" x14ac:dyDescent="0.35">
      <c r="J651" s="331">
        <v>3074.8021052951299</v>
      </c>
      <c r="M651" s="331" t="s">
        <v>473</v>
      </c>
      <c r="N651" s="331">
        <v>503.74171158888697</v>
      </c>
      <c r="O651" s="331" t="s">
        <v>474</v>
      </c>
      <c r="P651" s="331">
        <v>54.6</v>
      </c>
      <c r="Q651" s="331" t="s">
        <v>475</v>
      </c>
      <c r="S651" s="331" t="s">
        <v>473</v>
      </c>
      <c r="T651" s="331">
        <f t="shared" ref="T651:T659" si="112">J651/1000</f>
        <v>3.07480210529513</v>
      </c>
      <c r="U651" s="331" t="s">
        <v>474</v>
      </c>
      <c r="V651" s="331">
        <v>54.6</v>
      </c>
      <c r="W651" s="331" t="s">
        <v>475</v>
      </c>
    </row>
    <row r="652" spans="10:23" x14ac:dyDescent="0.35">
      <c r="J652" s="331">
        <v>3041.01571572373</v>
      </c>
      <c r="M652" s="331" t="s">
        <v>473</v>
      </c>
      <c r="N652" s="331">
        <v>504.22369386311999</v>
      </c>
      <c r="O652" s="331" t="s">
        <v>474</v>
      </c>
      <c r="P652" s="331">
        <v>55.2</v>
      </c>
      <c r="Q652" s="331" t="s">
        <v>475</v>
      </c>
      <c r="S652" s="331" t="s">
        <v>473</v>
      </c>
      <c r="T652" s="331">
        <f t="shared" si="112"/>
        <v>3.0410157157237299</v>
      </c>
      <c r="U652" s="331" t="s">
        <v>474</v>
      </c>
      <c r="V652" s="331">
        <v>55.2</v>
      </c>
      <c r="W652" s="331" t="s">
        <v>475</v>
      </c>
    </row>
    <row r="653" spans="10:23" x14ac:dyDescent="0.35">
      <c r="J653" s="331">
        <v>3008.1138676626701</v>
      </c>
      <c r="M653" s="331" t="s">
        <v>473</v>
      </c>
      <c r="N653" s="331">
        <v>504.70047406431797</v>
      </c>
      <c r="O653" s="331" t="s">
        <v>474</v>
      </c>
      <c r="P653" s="331">
        <v>55.8</v>
      </c>
      <c r="Q653" s="331" t="s">
        <v>475</v>
      </c>
      <c r="S653" s="331" t="s">
        <v>473</v>
      </c>
      <c r="T653" s="331">
        <f t="shared" si="112"/>
        <v>3.00811386766267</v>
      </c>
      <c r="U653" s="331" t="s">
        <v>474</v>
      </c>
      <c r="V653" s="331">
        <v>55.8</v>
      </c>
      <c r="W653" s="331" t="s">
        <v>475</v>
      </c>
    </row>
    <row r="654" spans="10:23" x14ac:dyDescent="0.35">
      <c r="J654" s="331">
        <v>2976.0600295782101</v>
      </c>
      <c r="M654" s="331" t="s">
        <v>473</v>
      </c>
      <c r="N654" s="331">
        <v>505.17219526813801</v>
      </c>
      <c r="O654" s="331" t="s">
        <v>474</v>
      </c>
      <c r="P654" s="331">
        <v>56.4</v>
      </c>
      <c r="Q654" s="331" t="s">
        <v>475</v>
      </c>
      <c r="S654" s="331" t="s">
        <v>473</v>
      </c>
      <c r="T654" s="331">
        <f t="shared" si="112"/>
        <v>2.97606002957821</v>
      </c>
      <c r="U654" s="331" t="s">
        <v>474</v>
      </c>
      <c r="V654" s="331">
        <v>56.4</v>
      </c>
      <c r="W654" s="331" t="s">
        <v>475</v>
      </c>
    </row>
    <row r="655" spans="10:23" x14ac:dyDescent="0.35">
      <c r="J655" s="331">
        <v>2944.81964016849</v>
      </c>
      <c r="M655" s="331" t="s">
        <v>473</v>
      </c>
      <c r="N655" s="331">
        <v>505.63899552268998</v>
      </c>
      <c r="O655" s="331" t="s">
        <v>474</v>
      </c>
      <c r="P655" s="331">
        <v>57</v>
      </c>
      <c r="Q655" s="331" t="s">
        <v>475</v>
      </c>
      <c r="S655" s="331" t="s">
        <v>473</v>
      </c>
      <c r="T655" s="331">
        <f t="shared" si="112"/>
        <v>2.9448196401684901</v>
      </c>
      <c r="U655" s="331" t="s">
        <v>474</v>
      </c>
      <c r="V655" s="331">
        <v>57</v>
      </c>
      <c r="W655" s="331" t="s">
        <v>475</v>
      </c>
    </row>
    <row r="656" spans="10:23" x14ac:dyDescent="0.35">
      <c r="J656" s="331">
        <v>2914.3599730608398</v>
      </c>
      <c r="M656" s="331" t="s">
        <v>473</v>
      </c>
      <c r="N656" s="331">
        <v>506.10100816294403</v>
      </c>
      <c r="O656" s="331" t="s">
        <v>474</v>
      </c>
      <c r="P656" s="331">
        <v>57.6</v>
      </c>
      <c r="Q656" s="331" t="s">
        <v>475</v>
      </c>
      <c r="S656" s="331" t="s">
        <v>473</v>
      </c>
      <c r="T656" s="331">
        <f t="shared" si="112"/>
        <v>2.9143599730608396</v>
      </c>
      <c r="U656" s="331" t="s">
        <v>474</v>
      </c>
      <c r="V656" s="331">
        <v>57.6</v>
      </c>
      <c r="W656" s="331" t="s">
        <v>475</v>
      </c>
    </row>
    <row r="657" spans="10:23" x14ac:dyDescent="0.35">
      <c r="J657" s="331">
        <v>2884.6500126636902</v>
      </c>
      <c r="M657" s="331" t="s">
        <v>473</v>
      </c>
      <c r="N657" s="331">
        <v>506.55836210234702</v>
      </c>
      <c r="O657" s="331" t="s">
        <v>474</v>
      </c>
      <c r="P657" s="331">
        <v>58.2</v>
      </c>
      <c r="Q657" s="331" t="s">
        <v>475</v>
      </c>
      <c r="S657" s="331" t="s">
        <v>473</v>
      </c>
      <c r="T657" s="331">
        <f t="shared" si="112"/>
        <v>2.8846500126636903</v>
      </c>
      <c r="U657" s="331" t="s">
        <v>474</v>
      </c>
      <c r="V657" s="331">
        <v>58.2</v>
      </c>
      <c r="W657" s="331" t="s">
        <v>475</v>
      </c>
    </row>
    <row r="658" spans="10:23" x14ac:dyDescent="0.35">
      <c r="J658" s="331">
        <v>2855.6603401287498</v>
      </c>
      <c r="M658" s="331" t="s">
        <v>473</v>
      </c>
      <c r="N658" s="331">
        <v>507.01118210324</v>
      </c>
      <c r="O658" s="331" t="s">
        <v>474</v>
      </c>
      <c r="P658" s="331">
        <v>58.8</v>
      </c>
      <c r="Q658" s="331" t="s">
        <v>475</v>
      </c>
      <c r="S658" s="331" t="s">
        <v>473</v>
      </c>
      <c r="T658" s="331">
        <f t="shared" si="112"/>
        <v>2.8556603401287499</v>
      </c>
      <c r="U658" s="331" t="s">
        <v>474</v>
      </c>
      <c r="V658" s="331">
        <v>58.8</v>
      </c>
      <c r="W658" s="331" t="s">
        <v>475</v>
      </c>
    </row>
    <row r="659" spans="10:23" x14ac:dyDescent="0.35">
      <c r="J659" s="331">
        <v>2827.6842599080001</v>
      </c>
      <c r="M659" s="331" t="s">
        <v>473</v>
      </c>
      <c r="N659" s="331">
        <v>507.45446262898901</v>
      </c>
      <c r="O659" s="331" t="s">
        <v>474</v>
      </c>
      <c r="P659" s="331">
        <v>59.4</v>
      </c>
      <c r="Q659" s="331" t="s">
        <v>475</v>
      </c>
      <c r="S659" s="331" t="s">
        <v>473</v>
      </c>
      <c r="T659" s="331">
        <f t="shared" si="112"/>
        <v>2.8276842599080001</v>
      </c>
      <c r="U659" s="331" t="s">
        <v>474</v>
      </c>
      <c r="V659" s="331">
        <v>59.4</v>
      </c>
      <c r="W659" s="331" t="s">
        <v>475</v>
      </c>
    </row>
    <row r="660" spans="10:23" x14ac:dyDescent="0.35">
      <c r="J660" s="331">
        <v>2800.1008694339698</v>
      </c>
      <c r="M660" s="331" t="s">
        <v>473</v>
      </c>
      <c r="N660" s="331">
        <v>507.897722647622</v>
      </c>
      <c r="O660" s="331" t="s">
        <v>474</v>
      </c>
      <c r="P660" s="331">
        <v>60</v>
      </c>
      <c r="Q660" s="331" t="s">
        <v>475</v>
      </c>
      <c r="S660" s="331" t="s">
        <v>473</v>
      </c>
      <c r="T660" s="331">
        <f>J660/1000</f>
        <v>2.8001008694339697</v>
      </c>
      <c r="U660" s="331" t="s">
        <v>474</v>
      </c>
      <c r="V660" s="331">
        <v>60</v>
      </c>
      <c r="W660" s="331" t="s">
        <v>475</v>
      </c>
    </row>
  </sheetData>
  <sortState xmlns:xlrd2="http://schemas.microsoft.com/office/spreadsheetml/2017/richdata2" ref="AJ429:AM534">
    <sortCondition ref="AJ429:AJ534"/>
  </sortState>
  <mergeCells count="145">
    <mergeCell ref="B8:B9"/>
    <mergeCell ref="C8:C9"/>
    <mergeCell ref="E8:E9"/>
    <mergeCell ref="F8:F9"/>
    <mergeCell ref="F24:F25"/>
    <mergeCell ref="E31:E32"/>
    <mergeCell ref="E37:E40"/>
    <mergeCell ref="B33:B35"/>
    <mergeCell ref="C20:C26"/>
    <mergeCell ref="E20:E26"/>
    <mergeCell ref="C33:C35"/>
    <mergeCell ref="E33:E35"/>
    <mergeCell ref="B37:B40"/>
    <mergeCell ref="C37:C40"/>
    <mergeCell ref="B10:B15"/>
    <mergeCell ref="C10:C15"/>
    <mergeCell ref="E10:E15"/>
    <mergeCell ref="B16:B19"/>
    <mergeCell ref="C16:C19"/>
    <mergeCell ref="B27:B30"/>
    <mergeCell ref="C27:C30"/>
    <mergeCell ref="E27:E30"/>
    <mergeCell ref="E49:E50"/>
    <mergeCell ref="B51:B55"/>
    <mergeCell ref="C51:C55"/>
    <mergeCell ref="E51:E55"/>
    <mergeCell ref="B56:B63"/>
    <mergeCell ref="C56:C63"/>
    <mergeCell ref="E56:E63"/>
    <mergeCell ref="AD5:AL5"/>
    <mergeCell ref="F56:F63"/>
    <mergeCell ref="F37:F40"/>
    <mergeCell ref="J5:J6"/>
    <mergeCell ref="F27:F28"/>
    <mergeCell ref="F29:F30"/>
    <mergeCell ref="F31:F32"/>
    <mergeCell ref="H5:H6"/>
    <mergeCell ref="I5:I6"/>
    <mergeCell ref="F20:F23"/>
    <mergeCell ref="F16:F19"/>
    <mergeCell ref="F51:F55"/>
    <mergeCell ref="F47:F48"/>
    <mergeCell ref="F10:F15"/>
    <mergeCell ref="F41:F44"/>
    <mergeCell ref="F45:F46"/>
    <mergeCell ref="F33:F35"/>
    <mergeCell ref="AM5:AQ5"/>
    <mergeCell ref="K6:L6"/>
    <mergeCell ref="M6:S6"/>
    <mergeCell ref="T6:X6"/>
    <mergeCell ref="Y6:AA6"/>
    <mergeCell ref="AC6:AC7"/>
    <mergeCell ref="AQ6:AQ7"/>
    <mergeCell ref="K5:AC5"/>
    <mergeCell ref="B5:B7"/>
    <mergeCell ref="C5:C7"/>
    <mergeCell ref="E5:E7"/>
    <mergeCell ref="F5:F7"/>
    <mergeCell ref="G5:G7"/>
    <mergeCell ref="B41:B48"/>
    <mergeCell ref="C41:C48"/>
    <mergeCell ref="E41:E48"/>
    <mergeCell ref="B31:B32"/>
    <mergeCell ref="C31:C32"/>
    <mergeCell ref="E16:E19"/>
    <mergeCell ref="B20:B26"/>
    <mergeCell ref="S75:AD75"/>
    <mergeCell ref="F75:F77"/>
    <mergeCell ref="G75:G77"/>
    <mergeCell ref="J75:J76"/>
    <mergeCell ref="K75:K76"/>
    <mergeCell ref="L75:R75"/>
    <mergeCell ref="I75:I76"/>
    <mergeCell ref="B64:B71"/>
    <mergeCell ref="C64:C71"/>
    <mergeCell ref="E64:E71"/>
    <mergeCell ref="F64:F71"/>
    <mergeCell ref="E75:E77"/>
    <mergeCell ref="B75:B77"/>
    <mergeCell ref="C75:C77"/>
    <mergeCell ref="H75:H76"/>
    <mergeCell ref="B49:B50"/>
    <mergeCell ref="C49:C50"/>
    <mergeCell ref="C126:C131"/>
    <mergeCell ref="C111:C125"/>
    <mergeCell ref="AK98:AL98"/>
    <mergeCell ref="AM98:AN98"/>
    <mergeCell ref="E78:E81"/>
    <mergeCell ref="E82:E83"/>
    <mergeCell ref="B78:B81"/>
    <mergeCell ref="C78:C81"/>
    <mergeCell ref="C84:C87"/>
    <mergeCell ref="C100:C103"/>
    <mergeCell ref="P98:U98"/>
    <mergeCell ref="V98:AB98"/>
    <mergeCell ref="B82:B83"/>
    <mergeCell ref="C82:C83"/>
    <mergeCell ref="B84:B91"/>
    <mergeCell ref="C88:C91"/>
    <mergeCell ref="AG98:AJ98"/>
    <mergeCell ref="AC98:AF98"/>
    <mergeCell ref="C104:C107"/>
    <mergeCell ref="C108:C110"/>
    <mergeCell ref="E88:E91"/>
    <mergeCell ref="F88:F91"/>
    <mergeCell ref="E84:E87"/>
    <mergeCell ref="F84:F87"/>
    <mergeCell ref="C226:C231"/>
    <mergeCell ref="C232:C236"/>
    <mergeCell ref="C132:C135"/>
    <mergeCell ref="C136:C142"/>
    <mergeCell ref="C143:C146"/>
    <mergeCell ref="C147:C148"/>
    <mergeCell ref="C149:C151"/>
    <mergeCell ref="C153:C156"/>
    <mergeCell ref="C157:C164"/>
    <mergeCell ref="C165:C166"/>
    <mergeCell ref="C167:C171"/>
    <mergeCell ref="C172:C179"/>
    <mergeCell ref="C180:C187"/>
    <mergeCell ref="C188:C191"/>
    <mergeCell ref="AC212:AC213"/>
    <mergeCell ref="C358:C365"/>
    <mergeCell ref="C366:C369"/>
    <mergeCell ref="C370:C371"/>
    <mergeCell ref="C372:C375"/>
    <mergeCell ref="C313:C318"/>
    <mergeCell ref="C319:C322"/>
    <mergeCell ref="C323:C326"/>
    <mergeCell ref="C327:C332"/>
    <mergeCell ref="C333:C336"/>
    <mergeCell ref="C337:C352"/>
    <mergeCell ref="C353:C354"/>
    <mergeCell ref="C355:C357"/>
    <mergeCell ref="C237:C244"/>
    <mergeCell ref="C245:C252"/>
    <mergeCell ref="C253:C256"/>
    <mergeCell ref="C257:C260"/>
    <mergeCell ref="C261:C267"/>
    <mergeCell ref="C268:C282"/>
    <mergeCell ref="C283:C297"/>
    <mergeCell ref="C299:C300"/>
    <mergeCell ref="C301:C312"/>
    <mergeCell ref="C214:C219"/>
    <mergeCell ref="C220:C225"/>
  </mergeCells>
  <phoneticPr fontId="42" type="noConversion"/>
  <conditionalFormatting sqref="AK383:AM461 AP214:AP375">
    <cfRule type="cellIs" dxfId="0" priority="2" operator="lessThan"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Stub column tests</vt:lpstr>
      <vt:lpstr>Beam tests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sa306</dc:creator>
  <cp:lastModifiedBy>saul gilbert</cp:lastModifiedBy>
  <cp:lastPrinted>2012-11-08T12:19:07Z</cp:lastPrinted>
  <dcterms:created xsi:type="dcterms:W3CDTF">2010-11-25T11:12:08Z</dcterms:created>
  <dcterms:modified xsi:type="dcterms:W3CDTF">2021-06-01T09:23:13Z</dcterms:modified>
</cp:coreProperties>
</file>