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aule\Documents\ml\Visualization\tableau\"/>
    </mc:Choice>
  </mc:AlternateContent>
  <xr:revisionPtr revIDLastSave="0" documentId="13_ncr:1_{D8FB938E-318F-4628-8EF5-57C21BF1318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ransactions" sheetId="1" r:id="rId1"/>
    <sheet name="Positions" sheetId="2" r:id="rId2"/>
  </sheets>
  <calcPr calcId="181029"/>
</workbook>
</file>

<file path=xl/calcChain.xml><?xml version="1.0" encoding="utf-8"?>
<calcChain xmlns="http://schemas.openxmlformats.org/spreadsheetml/2006/main">
  <c r="L30" i="2" l="1"/>
  <c r="K30" i="2"/>
  <c r="H30" i="2"/>
  <c r="F30" i="2"/>
  <c r="E30" i="2"/>
  <c r="D30" i="2"/>
  <c r="C30" i="2"/>
  <c r="G30" i="2" s="1"/>
  <c r="L29" i="2"/>
  <c r="K29" i="2"/>
  <c r="F29" i="2"/>
  <c r="E29" i="2"/>
  <c r="D29" i="2"/>
  <c r="I29" i="2" s="1"/>
  <c r="C29" i="2"/>
  <c r="G29" i="2" s="1"/>
  <c r="L28" i="2"/>
  <c r="K28" i="2"/>
  <c r="F28" i="2"/>
  <c r="E28" i="2"/>
  <c r="D28" i="2"/>
  <c r="H28" i="2" s="1"/>
  <c r="C28" i="2"/>
  <c r="G28" i="2" s="1"/>
  <c r="L27" i="2"/>
  <c r="K27" i="2"/>
  <c r="F27" i="2"/>
  <c r="E27" i="2"/>
  <c r="D27" i="2"/>
  <c r="C27" i="2"/>
  <c r="G27" i="2" s="1"/>
  <c r="L26" i="2"/>
  <c r="K26" i="2"/>
  <c r="H26" i="2"/>
  <c r="J26" i="2" s="1"/>
  <c r="G26" i="2"/>
  <c r="F26" i="2"/>
  <c r="E26" i="2"/>
  <c r="D26" i="2"/>
  <c r="C26" i="2"/>
  <c r="L25" i="2"/>
  <c r="K25" i="2"/>
  <c r="I25" i="2"/>
  <c r="H25" i="2"/>
  <c r="J25" i="2" s="1"/>
  <c r="G25" i="2"/>
  <c r="F25" i="2"/>
  <c r="E25" i="2"/>
  <c r="D25" i="2"/>
  <c r="C25" i="2"/>
  <c r="L24" i="2"/>
  <c r="K24" i="2"/>
  <c r="I24" i="2"/>
  <c r="F24" i="2"/>
  <c r="E24" i="2"/>
  <c r="D24" i="2"/>
  <c r="H24" i="2" s="1"/>
  <c r="C24" i="2"/>
  <c r="G24" i="2" s="1"/>
  <c r="L23" i="2"/>
  <c r="K23" i="2"/>
  <c r="F23" i="2"/>
  <c r="E23" i="2"/>
  <c r="D23" i="2"/>
  <c r="I23" i="2" s="1"/>
  <c r="C23" i="2"/>
  <c r="G23" i="2" s="1"/>
  <c r="L22" i="2"/>
  <c r="K22" i="2"/>
  <c r="G22" i="2"/>
  <c r="F22" i="2"/>
  <c r="E22" i="2"/>
  <c r="D22" i="2"/>
  <c r="I22" i="2" s="1"/>
  <c r="C22" i="2"/>
  <c r="L21" i="2"/>
  <c r="K21" i="2"/>
  <c r="I21" i="2"/>
  <c r="H21" i="2"/>
  <c r="J21" i="2" s="1"/>
  <c r="G21" i="2"/>
  <c r="F21" i="2"/>
  <c r="E21" i="2"/>
  <c r="D21" i="2"/>
  <c r="C21" i="2"/>
  <c r="L20" i="2"/>
  <c r="K20" i="2"/>
  <c r="I20" i="2"/>
  <c r="F20" i="2"/>
  <c r="E20" i="2"/>
  <c r="D20" i="2"/>
  <c r="H20" i="2" s="1"/>
  <c r="C20" i="2"/>
  <c r="G20" i="2" s="1"/>
  <c r="L19" i="2"/>
  <c r="K19" i="2"/>
  <c r="F19" i="2"/>
  <c r="E19" i="2"/>
  <c r="D19" i="2"/>
  <c r="I19" i="2" s="1"/>
  <c r="C19" i="2"/>
  <c r="G19" i="2" s="1"/>
  <c r="L18" i="2"/>
  <c r="K18" i="2"/>
  <c r="F18" i="2"/>
  <c r="E18" i="2"/>
  <c r="D18" i="2"/>
  <c r="I18" i="2" s="1"/>
  <c r="C18" i="2"/>
  <c r="G18" i="2" s="1"/>
  <c r="L17" i="2"/>
  <c r="K17" i="2"/>
  <c r="H17" i="2"/>
  <c r="F17" i="2"/>
  <c r="E17" i="2"/>
  <c r="D17" i="2"/>
  <c r="I17" i="2" s="1"/>
  <c r="C17" i="2"/>
  <c r="G17" i="2" s="1"/>
  <c r="L16" i="2"/>
  <c r="K16" i="2"/>
  <c r="F16" i="2"/>
  <c r="E16" i="2"/>
  <c r="D16" i="2"/>
  <c r="H16" i="2" s="1"/>
  <c r="J16" i="2" s="1"/>
  <c r="C16" i="2"/>
  <c r="G16" i="2" s="1"/>
  <c r="L15" i="2"/>
  <c r="K15" i="2"/>
  <c r="F15" i="2"/>
  <c r="E15" i="2"/>
  <c r="D15" i="2"/>
  <c r="C15" i="2"/>
  <c r="G15" i="2" s="1"/>
  <c r="L14" i="2"/>
  <c r="K14" i="2"/>
  <c r="H14" i="2"/>
  <c r="F14" i="2"/>
  <c r="E14" i="2"/>
  <c r="D14" i="2"/>
  <c r="C14" i="2"/>
  <c r="G14" i="2" s="1"/>
  <c r="L13" i="2"/>
  <c r="K13" i="2"/>
  <c r="F13" i="2"/>
  <c r="E13" i="2"/>
  <c r="D13" i="2"/>
  <c r="I13" i="2" s="1"/>
  <c r="C13" i="2"/>
  <c r="G13" i="2" s="1"/>
  <c r="L12" i="2"/>
  <c r="K12" i="2"/>
  <c r="F12" i="2"/>
  <c r="E12" i="2"/>
  <c r="D12" i="2"/>
  <c r="H12" i="2" s="1"/>
  <c r="C12" i="2"/>
  <c r="G12" i="2" s="1"/>
  <c r="L11" i="2"/>
  <c r="K11" i="2"/>
  <c r="F11" i="2"/>
  <c r="E11" i="2"/>
  <c r="D11" i="2"/>
  <c r="C11" i="2"/>
  <c r="G11" i="2" s="1"/>
  <c r="L10" i="2"/>
  <c r="K10" i="2"/>
  <c r="H10" i="2"/>
  <c r="F10" i="2"/>
  <c r="E10" i="2"/>
  <c r="D10" i="2"/>
  <c r="C10" i="2"/>
  <c r="G10" i="2" s="1"/>
  <c r="L9" i="2"/>
  <c r="K9" i="2"/>
  <c r="I9" i="2"/>
  <c r="G9" i="2"/>
  <c r="F9" i="2"/>
  <c r="E9" i="2"/>
  <c r="D9" i="2"/>
  <c r="H9" i="2" s="1"/>
  <c r="J9" i="2" s="1"/>
  <c r="C9" i="2"/>
  <c r="L8" i="2"/>
  <c r="K8" i="2"/>
  <c r="F8" i="2"/>
  <c r="E8" i="2"/>
  <c r="D8" i="2"/>
  <c r="H8" i="2" s="1"/>
  <c r="C8" i="2"/>
  <c r="G8" i="2" s="1"/>
  <c r="L7" i="2"/>
  <c r="K7" i="2"/>
  <c r="F7" i="2"/>
  <c r="E7" i="2"/>
  <c r="D7" i="2"/>
  <c r="I7" i="2" s="1"/>
  <c r="C7" i="2"/>
  <c r="G7" i="2" s="1"/>
  <c r="L6" i="2"/>
  <c r="K6" i="2"/>
  <c r="G6" i="2"/>
  <c r="F6" i="2"/>
  <c r="E6" i="2"/>
  <c r="D6" i="2"/>
  <c r="I6" i="2" s="1"/>
  <c r="C6" i="2"/>
  <c r="L5" i="2"/>
  <c r="K5" i="2"/>
  <c r="H5" i="2"/>
  <c r="J5" i="2" s="1"/>
  <c r="G5" i="2"/>
  <c r="F5" i="2"/>
  <c r="E5" i="2"/>
  <c r="D5" i="2"/>
  <c r="I5" i="2" s="1"/>
  <c r="C5" i="2"/>
  <c r="L4" i="2"/>
  <c r="K4" i="2"/>
  <c r="I4" i="2"/>
  <c r="F4" i="2"/>
  <c r="E4" i="2"/>
  <c r="D4" i="2"/>
  <c r="H4" i="2" s="1"/>
  <c r="C4" i="2"/>
  <c r="G4" i="2" s="1"/>
  <c r="L3" i="2"/>
  <c r="K3" i="2"/>
  <c r="F3" i="2"/>
  <c r="E3" i="2"/>
  <c r="D3" i="2"/>
  <c r="I3" i="2" s="1"/>
  <c r="C3" i="2"/>
  <c r="G3" i="2" s="1"/>
  <c r="A3" i="2"/>
  <c r="H6" i="2" l="1"/>
  <c r="J6" i="2" s="1"/>
  <c r="I14" i="2"/>
  <c r="I15" i="2"/>
  <c r="H22" i="2"/>
  <c r="J22" i="2" s="1"/>
  <c r="I30" i="2"/>
  <c r="I16" i="2"/>
  <c r="J17" i="2"/>
  <c r="J8" i="2"/>
  <c r="I10" i="2"/>
  <c r="I11" i="2"/>
  <c r="H18" i="2"/>
  <c r="J18" i="2" s="1"/>
  <c r="J24" i="2"/>
  <c r="I26" i="2"/>
  <c r="I27" i="2"/>
  <c r="I12" i="2"/>
  <c r="H13" i="2"/>
  <c r="J13" i="2" s="1"/>
  <c r="I28" i="2"/>
  <c r="H29" i="2"/>
  <c r="J29" i="2" s="1"/>
  <c r="J14" i="2"/>
  <c r="J30" i="2"/>
  <c r="I8" i="2"/>
  <c r="J10" i="2"/>
  <c r="J28" i="2"/>
  <c r="J12" i="2"/>
  <c r="J4" i="2"/>
  <c r="J20" i="2"/>
  <c r="H3" i="2"/>
  <c r="J3" i="2" s="1"/>
  <c r="H7" i="2"/>
  <c r="J7" i="2" s="1"/>
  <c r="H11" i="2"/>
  <c r="J11" i="2" s="1"/>
  <c r="H15" i="2"/>
  <c r="J15" i="2" s="1"/>
  <c r="H19" i="2"/>
  <c r="J19" i="2" s="1"/>
  <c r="H23" i="2"/>
  <c r="J23" i="2" s="1"/>
  <c r="H27" i="2"/>
  <c r="J27" i="2" s="1"/>
</calcChain>
</file>

<file path=xl/sharedStrings.xml><?xml version="1.0" encoding="utf-8"?>
<sst xmlns="http://schemas.openxmlformats.org/spreadsheetml/2006/main" count="1288" uniqueCount="80">
  <si>
    <t>Date</t>
  </si>
  <si>
    <t>Security</t>
  </si>
  <si>
    <t>SecurityName</t>
  </si>
  <si>
    <t>Action</t>
  </si>
  <si>
    <t>Quantity</t>
  </si>
  <si>
    <t>Price</t>
  </si>
  <si>
    <t>Total</t>
  </si>
  <si>
    <t>Area</t>
  </si>
  <si>
    <t>AMD</t>
  </si>
  <si>
    <t>Advanced Micro Devices Inc</t>
  </si>
  <si>
    <t>Deposit</t>
  </si>
  <si>
    <t>Information Technology</t>
  </si>
  <si>
    <t>AKAM</t>
  </si>
  <si>
    <t>Akamai Technologies Inc</t>
  </si>
  <si>
    <t>APH</t>
  </si>
  <si>
    <t>Amphenol Corp</t>
  </si>
  <si>
    <t>Buy</t>
  </si>
  <si>
    <t>CSCO</t>
  </si>
  <si>
    <t>Cisco Systems</t>
  </si>
  <si>
    <t>INTC</t>
  </si>
  <si>
    <t>Intel Corp.</t>
  </si>
  <si>
    <t>IBM</t>
  </si>
  <si>
    <t>International Business Machines</t>
  </si>
  <si>
    <t>INTU</t>
  </si>
  <si>
    <t>Intuit Inc.</t>
  </si>
  <si>
    <t>IPGP</t>
  </si>
  <si>
    <t>IPG Photonics Corp.</t>
  </si>
  <si>
    <t>BAX</t>
  </si>
  <si>
    <t>Baxter International Inc.</t>
  </si>
  <si>
    <t>Health Care</t>
  </si>
  <si>
    <t>GILD</t>
  </si>
  <si>
    <t>Gilead Sciences</t>
  </si>
  <si>
    <t>HCA</t>
  </si>
  <si>
    <t>HCA Healthcare</t>
  </si>
  <si>
    <t>HSIC</t>
  </si>
  <si>
    <t>Henry Schein</t>
  </si>
  <si>
    <t>PFE</t>
  </si>
  <si>
    <t>Pfizer Inc.</t>
  </si>
  <si>
    <t>C</t>
  </si>
  <si>
    <t>Citigroup Inc.</t>
  </si>
  <si>
    <t>Financials</t>
  </si>
  <si>
    <t>CFG</t>
  </si>
  <si>
    <t>Citizens Financial Group</t>
  </si>
  <si>
    <t>GS</t>
  </si>
  <si>
    <t>Goldman Sachs Group</t>
  </si>
  <si>
    <t>HIG</t>
  </si>
  <si>
    <t>Hartford Financial Svc.Gp.</t>
  </si>
  <si>
    <t>HBAN</t>
  </si>
  <si>
    <t>Huntington Bancshares</t>
  </si>
  <si>
    <t>JPM</t>
  </si>
  <si>
    <t>JPMorgan Chase &amp; Co.</t>
  </si>
  <si>
    <t>KEY</t>
  </si>
  <si>
    <t>KeyCorp</t>
  </si>
  <si>
    <t>AMGN</t>
  </si>
  <si>
    <t>Amgen Inc.</t>
  </si>
  <si>
    <t>ANTM</t>
  </si>
  <si>
    <t>Anthem</t>
  </si>
  <si>
    <t>MDT</t>
  </si>
  <si>
    <t>Medtronic plc</t>
  </si>
  <si>
    <t>CINF</t>
  </si>
  <si>
    <t>Cincinnati Financial</t>
  </si>
  <si>
    <t>ICE</t>
  </si>
  <si>
    <t>Intercontinental Exchange</t>
  </si>
  <si>
    <t>IVZ</t>
  </si>
  <si>
    <t>Invesco Ltd.</t>
  </si>
  <si>
    <t>CDW</t>
  </si>
  <si>
    <t>CDNS</t>
  </si>
  <si>
    <t>Cadence Design Systems</t>
  </si>
  <si>
    <t>Sell</t>
  </si>
  <si>
    <t>Portfolio Positions</t>
  </si>
  <si>
    <t>Tickers</t>
  </si>
  <si>
    <t>Shares</t>
  </si>
  <si>
    <t>Purchase</t>
  </si>
  <si>
    <t>Change%</t>
  </si>
  <si>
    <t>Change$</t>
  </si>
  <si>
    <t>Cost</t>
  </si>
  <si>
    <t>Value</t>
  </si>
  <si>
    <t>Gain %</t>
  </si>
  <si>
    <t>Gain $</t>
  </si>
  <si>
    <t>TickerName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</si>
</sst>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0" borderId="0" xfId="0" applyFont="1" applyAlignment="1"/>
    <xf numFmtId="2" fontId="3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workbookViewId="0"/>
  </sheetViews>
  <sheetFormatPr defaultColWidth="14.44140625" defaultRowHeight="15.75" customHeight="1" x14ac:dyDescent="0.25"/>
  <cols>
    <col min="4" max="4" width="33" customWidth="1"/>
    <col min="9" max="9" width="21.33203125" customWidth="1"/>
  </cols>
  <sheetData>
    <row r="1" spans="2:10" x14ac:dyDescent="0.25">
      <c r="F1" s="1"/>
      <c r="H1" s="1"/>
    </row>
    <row r="2" spans="2:10" ht="15.75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3" t="s">
        <v>6</v>
      </c>
      <c r="I2" s="2" t="s">
        <v>7</v>
      </c>
    </row>
    <row r="3" spans="2:10" ht="15.75" customHeight="1" x14ac:dyDescent="0.3">
      <c r="B3" s="4">
        <v>43769</v>
      </c>
      <c r="C3" s="5" t="s">
        <v>8</v>
      </c>
      <c r="D3" s="5" t="s">
        <v>9</v>
      </c>
      <c r="E3" s="5" t="s">
        <v>10</v>
      </c>
      <c r="F3" s="6">
        <v>1</v>
      </c>
      <c r="G3" s="7">
        <v>33.130000000000003</v>
      </c>
      <c r="H3" s="6">
        <v>33.130000000000003</v>
      </c>
      <c r="I3" s="5" t="s">
        <v>11</v>
      </c>
      <c r="J3" s="8"/>
    </row>
    <row r="4" spans="2:10" ht="15.75" customHeight="1" x14ac:dyDescent="0.3">
      <c r="B4" s="9">
        <v>43770</v>
      </c>
      <c r="C4" s="5" t="s">
        <v>12</v>
      </c>
      <c r="D4" s="5" t="s">
        <v>13</v>
      </c>
      <c r="E4" s="5" t="s">
        <v>10</v>
      </c>
      <c r="F4" s="6">
        <v>2</v>
      </c>
      <c r="G4" s="7">
        <v>86.5</v>
      </c>
      <c r="H4" s="6">
        <v>173</v>
      </c>
      <c r="I4" s="5" t="s">
        <v>11</v>
      </c>
    </row>
    <row r="5" spans="2:10" ht="15.75" customHeight="1" x14ac:dyDescent="0.3">
      <c r="B5" s="9">
        <v>43771</v>
      </c>
      <c r="C5" s="5" t="s">
        <v>14</v>
      </c>
      <c r="D5" s="5" t="s">
        <v>15</v>
      </c>
      <c r="E5" s="5" t="s">
        <v>16</v>
      </c>
      <c r="F5" s="6">
        <v>4</v>
      </c>
      <c r="G5" s="7">
        <v>102.78</v>
      </c>
      <c r="H5" s="6">
        <v>411.12</v>
      </c>
      <c r="I5" s="5" t="s">
        <v>11</v>
      </c>
    </row>
    <row r="6" spans="2:10" ht="15.75" customHeight="1" x14ac:dyDescent="0.3">
      <c r="B6" s="9">
        <v>43774</v>
      </c>
      <c r="C6" s="5" t="s">
        <v>17</v>
      </c>
      <c r="D6" s="5" t="s">
        <v>18</v>
      </c>
      <c r="E6" s="5" t="s">
        <v>10</v>
      </c>
      <c r="F6" s="6">
        <v>10</v>
      </c>
      <c r="G6" s="7">
        <v>47.48</v>
      </c>
      <c r="H6" s="6">
        <v>474.8</v>
      </c>
      <c r="I6" s="5" t="s">
        <v>11</v>
      </c>
    </row>
    <row r="7" spans="2:10" ht="15.75" customHeight="1" x14ac:dyDescent="0.3">
      <c r="B7" s="9">
        <v>43775</v>
      </c>
      <c r="C7" s="5" t="s">
        <v>19</v>
      </c>
      <c r="D7" s="5" t="s">
        <v>20</v>
      </c>
      <c r="E7" s="5" t="s">
        <v>16</v>
      </c>
      <c r="F7" s="6">
        <v>6</v>
      </c>
      <c r="G7" s="7">
        <v>57.55</v>
      </c>
      <c r="H7" s="6">
        <v>345.3</v>
      </c>
      <c r="I7" s="5" t="s">
        <v>11</v>
      </c>
    </row>
    <row r="8" spans="2:10" ht="15.75" customHeight="1" x14ac:dyDescent="0.3">
      <c r="B8" s="9">
        <v>43776</v>
      </c>
      <c r="C8" s="5" t="s">
        <v>21</v>
      </c>
      <c r="D8" s="5" t="s">
        <v>22</v>
      </c>
      <c r="E8" s="5" t="s">
        <v>10</v>
      </c>
      <c r="F8" s="6">
        <v>6</v>
      </c>
      <c r="G8" s="7">
        <v>138.78</v>
      </c>
      <c r="H8" s="6">
        <v>832.68</v>
      </c>
      <c r="I8" s="5" t="s">
        <v>11</v>
      </c>
    </row>
    <row r="9" spans="2:10" ht="15.75" customHeight="1" x14ac:dyDescent="0.3">
      <c r="B9" s="9">
        <v>43777</v>
      </c>
      <c r="C9" s="5" t="s">
        <v>23</v>
      </c>
      <c r="D9" s="5" t="s">
        <v>24</v>
      </c>
      <c r="E9" s="5" t="s">
        <v>10</v>
      </c>
      <c r="F9" s="6">
        <v>2</v>
      </c>
      <c r="G9" s="7">
        <v>259.35000000000002</v>
      </c>
      <c r="H9" s="6">
        <v>518.70000000000005</v>
      </c>
      <c r="I9" s="5" t="s">
        <v>11</v>
      </c>
    </row>
    <row r="10" spans="2:10" ht="15.75" customHeight="1" x14ac:dyDescent="0.3">
      <c r="B10" s="9">
        <v>43778</v>
      </c>
      <c r="C10" s="5" t="s">
        <v>25</v>
      </c>
      <c r="D10" s="5" t="s">
        <v>26</v>
      </c>
      <c r="E10" s="5" t="s">
        <v>10</v>
      </c>
      <c r="F10" s="6">
        <v>8</v>
      </c>
      <c r="G10" s="7">
        <v>147.25</v>
      </c>
      <c r="H10" s="6">
        <v>1178</v>
      </c>
      <c r="I10" s="5" t="s">
        <v>11</v>
      </c>
    </row>
    <row r="11" spans="2:10" ht="15.75" customHeight="1" x14ac:dyDescent="0.3">
      <c r="B11" s="9">
        <v>43781</v>
      </c>
      <c r="C11" s="5" t="s">
        <v>27</v>
      </c>
      <c r="D11" s="5" t="s">
        <v>28</v>
      </c>
      <c r="E11" s="5" t="s">
        <v>16</v>
      </c>
      <c r="F11" s="6">
        <v>1</v>
      </c>
      <c r="G11" s="7">
        <v>78.86</v>
      </c>
      <c r="H11" s="6">
        <v>78.86</v>
      </c>
      <c r="I11" s="5" t="s">
        <v>29</v>
      </c>
    </row>
    <row r="12" spans="2:10" ht="15.75" customHeight="1" x14ac:dyDescent="0.3">
      <c r="B12" s="4">
        <v>43782</v>
      </c>
      <c r="C12" s="5" t="s">
        <v>30</v>
      </c>
      <c r="D12" s="5" t="s">
        <v>31</v>
      </c>
      <c r="E12" s="5" t="s">
        <v>10</v>
      </c>
      <c r="F12" s="6">
        <v>8</v>
      </c>
      <c r="G12" s="7">
        <v>64.319999999999993</v>
      </c>
      <c r="H12" s="6">
        <v>514.55999999999995</v>
      </c>
      <c r="I12" s="5" t="s">
        <v>29</v>
      </c>
    </row>
    <row r="13" spans="2:10" ht="15.75" customHeight="1" x14ac:dyDescent="0.3">
      <c r="B13" s="4">
        <v>43783</v>
      </c>
      <c r="C13" s="5" t="s">
        <v>32</v>
      </c>
      <c r="D13" s="5" t="s">
        <v>33</v>
      </c>
      <c r="E13" s="5" t="s">
        <v>16</v>
      </c>
      <c r="F13" s="6">
        <v>1</v>
      </c>
      <c r="G13" s="7">
        <v>134.38999999999999</v>
      </c>
      <c r="H13" s="6">
        <v>134.38999999999999</v>
      </c>
      <c r="I13" s="5" t="s">
        <v>29</v>
      </c>
    </row>
    <row r="14" spans="2:10" ht="15.75" customHeight="1" x14ac:dyDescent="0.3">
      <c r="B14" s="4">
        <v>43784</v>
      </c>
      <c r="C14" s="5" t="s">
        <v>34</v>
      </c>
      <c r="D14" s="5" t="s">
        <v>35</v>
      </c>
      <c r="E14" s="5" t="s">
        <v>10</v>
      </c>
      <c r="F14" s="6">
        <v>7</v>
      </c>
      <c r="G14" s="7">
        <v>68.180000000000007</v>
      </c>
      <c r="H14" s="6">
        <v>477.26</v>
      </c>
      <c r="I14" s="5" t="s">
        <v>29</v>
      </c>
    </row>
    <row r="15" spans="2:10" ht="15.75" customHeight="1" x14ac:dyDescent="0.3">
      <c r="B15" s="4">
        <v>43785</v>
      </c>
      <c r="C15" s="5" t="s">
        <v>36</v>
      </c>
      <c r="D15" s="5" t="s">
        <v>37</v>
      </c>
      <c r="E15" s="5" t="s">
        <v>10</v>
      </c>
      <c r="F15" s="6">
        <v>6</v>
      </c>
      <c r="G15" s="7">
        <v>35.369999999999997</v>
      </c>
      <c r="H15" s="6">
        <v>212.22</v>
      </c>
      <c r="I15" s="5" t="s">
        <v>29</v>
      </c>
    </row>
    <row r="16" spans="2:10" ht="15.75" customHeight="1" x14ac:dyDescent="0.3">
      <c r="B16" s="4">
        <v>43788</v>
      </c>
      <c r="C16" s="5" t="s">
        <v>38</v>
      </c>
      <c r="D16" s="5" t="s">
        <v>39</v>
      </c>
      <c r="E16" s="5" t="s">
        <v>16</v>
      </c>
      <c r="F16" s="6">
        <v>10</v>
      </c>
      <c r="G16" s="7">
        <v>74.400000000000006</v>
      </c>
      <c r="H16" s="6">
        <v>744</v>
      </c>
      <c r="I16" s="5" t="s">
        <v>40</v>
      </c>
    </row>
    <row r="17" spans="2:9" ht="15.75" customHeight="1" x14ac:dyDescent="0.3">
      <c r="B17" s="4">
        <v>43789</v>
      </c>
      <c r="C17" s="5" t="s">
        <v>41</v>
      </c>
      <c r="D17" s="5" t="s">
        <v>42</v>
      </c>
      <c r="E17" s="5" t="s">
        <v>16</v>
      </c>
      <c r="F17" s="6">
        <v>1</v>
      </c>
      <c r="G17" s="7">
        <v>38.03</v>
      </c>
      <c r="H17" s="6">
        <v>38.03</v>
      </c>
      <c r="I17" s="5" t="s">
        <v>40</v>
      </c>
    </row>
    <row r="18" spans="2:9" ht="15.75" customHeight="1" x14ac:dyDescent="0.3">
      <c r="B18" s="4">
        <v>43790</v>
      </c>
      <c r="C18" s="5" t="s">
        <v>43</v>
      </c>
      <c r="D18" s="5" t="s">
        <v>44</v>
      </c>
      <c r="E18" s="5" t="s">
        <v>10</v>
      </c>
      <c r="F18" s="6">
        <v>1</v>
      </c>
      <c r="G18" s="7">
        <v>217.91</v>
      </c>
      <c r="H18" s="6">
        <v>217.91</v>
      </c>
      <c r="I18" s="5" t="s">
        <v>40</v>
      </c>
    </row>
    <row r="19" spans="2:9" ht="15.75" customHeight="1" x14ac:dyDescent="0.3">
      <c r="B19" s="4">
        <v>43791</v>
      </c>
      <c r="C19" s="5" t="s">
        <v>45</v>
      </c>
      <c r="D19" s="5" t="s">
        <v>46</v>
      </c>
      <c r="E19" s="5" t="s">
        <v>16</v>
      </c>
      <c r="F19" s="6">
        <v>6</v>
      </c>
      <c r="G19" s="7">
        <v>61.63</v>
      </c>
      <c r="H19" s="6">
        <v>369.78</v>
      </c>
      <c r="I19" s="5" t="s">
        <v>40</v>
      </c>
    </row>
    <row r="20" spans="2:9" ht="15.75" customHeight="1" x14ac:dyDescent="0.3">
      <c r="B20" s="4">
        <v>43792</v>
      </c>
      <c r="C20" s="5" t="s">
        <v>47</v>
      </c>
      <c r="D20" s="5" t="s">
        <v>48</v>
      </c>
      <c r="E20" s="5" t="s">
        <v>10</v>
      </c>
      <c r="F20" s="6">
        <v>3</v>
      </c>
      <c r="G20" s="7">
        <v>14.86</v>
      </c>
      <c r="H20" s="6">
        <v>44.58</v>
      </c>
      <c r="I20" s="5" t="s">
        <v>40</v>
      </c>
    </row>
    <row r="21" spans="2:9" ht="15.75" customHeight="1" x14ac:dyDescent="0.3">
      <c r="B21" s="4">
        <v>43795</v>
      </c>
      <c r="C21" s="5" t="s">
        <v>49</v>
      </c>
      <c r="D21" s="5" t="s">
        <v>50</v>
      </c>
      <c r="E21" s="5" t="s">
        <v>16</v>
      </c>
      <c r="F21" s="6">
        <v>5</v>
      </c>
      <c r="G21" s="7">
        <v>131.49</v>
      </c>
      <c r="H21" s="6">
        <v>657.45</v>
      </c>
      <c r="I21" s="5" t="s">
        <v>40</v>
      </c>
    </row>
    <row r="22" spans="2:9" ht="15.75" customHeight="1" x14ac:dyDescent="0.3">
      <c r="B22" s="4">
        <v>43796</v>
      </c>
      <c r="C22" s="5" t="s">
        <v>51</v>
      </c>
      <c r="D22" s="5" t="s">
        <v>52</v>
      </c>
      <c r="E22" s="5" t="s">
        <v>16</v>
      </c>
      <c r="F22" s="6">
        <v>7</v>
      </c>
      <c r="G22" s="7">
        <v>19.29</v>
      </c>
      <c r="H22" s="6">
        <v>135.03</v>
      </c>
      <c r="I22" s="5" t="s">
        <v>40</v>
      </c>
    </row>
    <row r="23" spans="2:9" ht="15.75" customHeight="1" x14ac:dyDescent="0.3">
      <c r="B23" s="4">
        <v>43797</v>
      </c>
      <c r="C23" s="5" t="s">
        <v>8</v>
      </c>
      <c r="D23" s="5" t="s">
        <v>9</v>
      </c>
      <c r="E23" s="5" t="s">
        <v>16</v>
      </c>
      <c r="F23" s="6">
        <v>10</v>
      </c>
      <c r="G23" s="7">
        <v>39.409999999999997</v>
      </c>
      <c r="H23" s="6">
        <v>394.1</v>
      </c>
      <c r="I23" s="5" t="s">
        <v>11</v>
      </c>
    </row>
    <row r="24" spans="2:9" ht="15.75" customHeight="1" x14ac:dyDescent="0.3">
      <c r="B24" s="4">
        <v>43799</v>
      </c>
      <c r="C24" s="5" t="s">
        <v>14</v>
      </c>
      <c r="D24" s="5" t="s">
        <v>15</v>
      </c>
      <c r="E24" s="5" t="s">
        <v>16</v>
      </c>
      <c r="F24" s="6">
        <v>2</v>
      </c>
      <c r="G24" s="7">
        <v>104</v>
      </c>
      <c r="H24" s="6">
        <v>208</v>
      </c>
      <c r="I24" s="5" t="s">
        <v>11</v>
      </c>
    </row>
    <row r="25" spans="2:9" ht="15.75" customHeight="1" x14ac:dyDescent="0.3">
      <c r="B25" s="9">
        <v>43802</v>
      </c>
      <c r="C25" s="5" t="s">
        <v>17</v>
      </c>
      <c r="D25" s="5" t="s">
        <v>18</v>
      </c>
      <c r="E25" s="5" t="s">
        <v>16</v>
      </c>
      <c r="F25" s="6">
        <v>10</v>
      </c>
      <c r="G25" s="7">
        <v>44.7</v>
      </c>
      <c r="H25" s="6">
        <v>447</v>
      </c>
      <c r="I25" s="5" t="s">
        <v>11</v>
      </c>
    </row>
    <row r="26" spans="2:9" ht="14.4" x14ac:dyDescent="0.3">
      <c r="B26" s="9">
        <v>43803</v>
      </c>
      <c r="C26" s="5" t="s">
        <v>19</v>
      </c>
      <c r="D26" s="5" t="s">
        <v>20</v>
      </c>
      <c r="E26" s="5" t="s">
        <v>16</v>
      </c>
      <c r="F26" s="6">
        <v>6</v>
      </c>
      <c r="G26" s="7">
        <v>56.07</v>
      </c>
      <c r="H26" s="6">
        <v>336.42</v>
      </c>
      <c r="I26" s="5" t="s">
        <v>11</v>
      </c>
    </row>
    <row r="27" spans="2:9" ht="14.4" x14ac:dyDescent="0.3">
      <c r="B27" s="9">
        <v>43804</v>
      </c>
      <c r="C27" s="5" t="s">
        <v>21</v>
      </c>
      <c r="D27" s="5" t="s">
        <v>22</v>
      </c>
      <c r="E27" s="5" t="s">
        <v>16</v>
      </c>
      <c r="F27" s="6">
        <v>2</v>
      </c>
      <c r="G27" s="7">
        <v>131.99</v>
      </c>
      <c r="H27" s="6">
        <v>263.98</v>
      </c>
      <c r="I27" s="5" t="s">
        <v>11</v>
      </c>
    </row>
    <row r="28" spans="2:9" ht="14.4" x14ac:dyDescent="0.3">
      <c r="B28" s="9">
        <v>43805</v>
      </c>
      <c r="C28" s="5" t="s">
        <v>23</v>
      </c>
      <c r="D28" s="5" t="s">
        <v>24</v>
      </c>
      <c r="E28" s="5" t="s">
        <v>10</v>
      </c>
      <c r="F28" s="6">
        <v>4</v>
      </c>
      <c r="G28" s="7">
        <v>253.78</v>
      </c>
      <c r="H28" s="6">
        <v>1015.12</v>
      </c>
      <c r="I28" s="5" t="s">
        <v>11</v>
      </c>
    </row>
    <row r="29" spans="2:9" ht="14.4" x14ac:dyDescent="0.3">
      <c r="B29" s="9">
        <v>43806</v>
      </c>
      <c r="C29" s="5" t="s">
        <v>25</v>
      </c>
      <c r="D29" s="5" t="s">
        <v>26</v>
      </c>
      <c r="E29" s="5" t="s">
        <v>16</v>
      </c>
      <c r="F29" s="6">
        <v>9</v>
      </c>
      <c r="G29" s="7">
        <v>141.97999999999999</v>
      </c>
      <c r="H29" s="6">
        <v>1277.82</v>
      </c>
      <c r="I29" s="5" t="s">
        <v>11</v>
      </c>
    </row>
    <row r="30" spans="2:9" ht="14.4" x14ac:dyDescent="0.3">
      <c r="B30" s="9">
        <v>43809</v>
      </c>
      <c r="C30" s="5" t="s">
        <v>27</v>
      </c>
      <c r="D30" s="5" t="s">
        <v>28</v>
      </c>
      <c r="E30" s="5" t="s">
        <v>10</v>
      </c>
      <c r="F30" s="6">
        <v>10</v>
      </c>
      <c r="G30" s="7">
        <v>81.55</v>
      </c>
      <c r="H30" s="6">
        <v>815.5</v>
      </c>
      <c r="I30" s="5" t="s">
        <v>29</v>
      </c>
    </row>
    <row r="31" spans="2:9" ht="14.4" x14ac:dyDescent="0.3">
      <c r="B31" s="9">
        <v>43810</v>
      </c>
      <c r="C31" s="5" t="s">
        <v>30</v>
      </c>
      <c r="D31" s="5" t="s">
        <v>31</v>
      </c>
      <c r="E31" s="5" t="s">
        <v>16</v>
      </c>
      <c r="F31" s="6">
        <v>6</v>
      </c>
      <c r="G31" s="7">
        <v>67.08</v>
      </c>
      <c r="H31" s="6">
        <v>402.48</v>
      </c>
      <c r="I31" s="5" t="s">
        <v>29</v>
      </c>
    </row>
    <row r="32" spans="2:9" ht="14.4" x14ac:dyDescent="0.3">
      <c r="B32" s="9">
        <v>43811</v>
      </c>
      <c r="C32" s="5" t="s">
        <v>32</v>
      </c>
      <c r="D32" s="5" t="s">
        <v>33</v>
      </c>
      <c r="E32" s="5" t="s">
        <v>16</v>
      </c>
      <c r="F32" s="6">
        <v>8</v>
      </c>
      <c r="G32" s="7">
        <v>142.53</v>
      </c>
      <c r="H32" s="6">
        <v>1140.24</v>
      </c>
      <c r="I32" s="5" t="s">
        <v>29</v>
      </c>
    </row>
    <row r="33" spans="2:9" ht="14.4" x14ac:dyDescent="0.3">
      <c r="B33" s="4">
        <v>43812</v>
      </c>
      <c r="C33" s="5" t="s">
        <v>34</v>
      </c>
      <c r="D33" s="5" t="s">
        <v>35</v>
      </c>
      <c r="E33" s="5" t="s">
        <v>16</v>
      </c>
      <c r="F33" s="6">
        <v>7</v>
      </c>
      <c r="G33" s="7">
        <v>68.819999999999993</v>
      </c>
      <c r="H33" s="6">
        <v>481.74</v>
      </c>
      <c r="I33" s="5" t="s">
        <v>29</v>
      </c>
    </row>
    <row r="34" spans="2:9" ht="14.4" x14ac:dyDescent="0.3">
      <c r="B34" s="4">
        <v>43813</v>
      </c>
      <c r="C34" s="5" t="s">
        <v>36</v>
      </c>
      <c r="D34" s="5" t="s">
        <v>37</v>
      </c>
      <c r="E34" s="5" t="s">
        <v>10</v>
      </c>
      <c r="F34" s="6">
        <v>4</v>
      </c>
      <c r="G34" s="7">
        <v>36.369999999999997</v>
      </c>
      <c r="H34" s="6">
        <v>145.47999999999999</v>
      </c>
      <c r="I34" s="5" t="s">
        <v>29</v>
      </c>
    </row>
    <row r="35" spans="2:9" ht="14.4" x14ac:dyDescent="0.3">
      <c r="B35" s="4">
        <v>43816</v>
      </c>
      <c r="C35" s="5" t="s">
        <v>38</v>
      </c>
      <c r="D35" s="5" t="s">
        <v>39</v>
      </c>
      <c r="E35" s="5" t="s">
        <v>10</v>
      </c>
      <c r="F35" s="6">
        <v>6</v>
      </c>
      <c r="G35" s="7">
        <v>76.91</v>
      </c>
      <c r="H35" s="6">
        <v>461.46</v>
      </c>
      <c r="I35" s="5" t="s">
        <v>40</v>
      </c>
    </row>
    <row r="36" spans="2:9" ht="14.4" x14ac:dyDescent="0.3">
      <c r="B36" s="4">
        <v>43817</v>
      </c>
      <c r="C36" s="5" t="s">
        <v>41</v>
      </c>
      <c r="D36" s="5" t="s">
        <v>42</v>
      </c>
      <c r="E36" s="5" t="s">
        <v>10</v>
      </c>
      <c r="F36" s="6">
        <v>10</v>
      </c>
      <c r="G36" s="7">
        <v>40.53</v>
      </c>
      <c r="H36" s="6">
        <v>405.3</v>
      </c>
      <c r="I36" s="5" t="s">
        <v>40</v>
      </c>
    </row>
    <row r="37" spans="2:9" ht="14.4" x14ac:dyDescent="0.3">
      <c r="B37" s="4">
        <v>43818</v>
      </c>
      <c r="C37" s="5" t="s">
        <v>43</v>
      </c>
      <c r="D37" s="5" t="s">
        <v>44</v>
      </c>
      <c r="E37" s="5" t="s">
        <v>16</v>
      </c>
      <c r="F37" s="6">
        <v>10</v>
      </c>
      <c r="G37" s="7">
        <v>230.45</v>
      </c>
      <c r="H37" s="6">
        <v>2304.5</v>
      </c>
      <c r="I37" s="5" t="s">
        <v>40</v>
      </c>
    </row>
    <row r="38" spans="2:9" ht="14.4" x14ac:dyDescent="0.3">
      <c r="B38" s="4">
        <v>43819</v>
      </c>
      <c r="C38" s="5" t="s">
        <v>45</v>
      </c>
      <c r="D38" s="5" t="s">
        <v>46</v>
      </c>
      <c r="E38" s="5" t="s">
        <v>16</v>
      </c>
      <c r="F38" s="6">
        <v>1</v>
      </c>
      <c r="G38" s="7">
        <v>60.78</v>
      </c>
      <c r="H38" s="6">
        <v>60.78</v>
      </c>
      <c r="I38" s="5" t="s">
        <v>40</v>
      </c>
    </row>
    <row r="39" spans="2:9" ht="14.4" x14ac:dyDescent="0.3">
      <c r="B39" s="4">
        <v>43820</v>
      </c>
      <c r="C39" s="5" t="s">
        <v>47</v>
      </c>
      <c r="D39" s="5" t="s">
        <v>48</v>
      </c>
      <c r="E39" s="5" t="s">
        <v>16</v>
      </c>
      <c r="F39" s="6">
        <v>3</v>
      </c>
      <c r="G39" s="7">
        <v>15.15</v>
      </c>
      <c r="H39" s="6">
        <v>45.45</v>
      </c>
      <c r="I39" s="5" t="s">
        <v>40</v>
      </c>
    </row>
    <row r="40" spans="2:9" ht="14.4" x14ac:dyDescent="0.3">
      <c r="B40" s="4">
        <v>43823</v>
      </c>
      <c r="C40" s="5" t="s">
        <v>49</v>
      </c>
      <c r="D40" s="5" t="s">
        <v>50</v>
      </c>
      <c r="E40" s="5" t="s">
        <v>10</v>
      </c>
      <c r="F40" s="6">
        <v>8</v>
      </c>
      <c r="G40" s="7">
        <v>137.19999999999999</v>
      </c>
      <c r="H40" s="6">
        <v>1097.5999999999999</v>
      </c>
      <c r="I40" s="5" t="s">
        <v>40</v>
      </c>
    </row>
    <row r="41" spans="2:9" ht="14.4" x14ac:dyDescent="0.3">
      <c r="B41" s="4">
        <v>43824</v>
      </c>
      <c r="C41" s="5" t="s">
        <v>51</v>
      </c>
      <c r="D41" s="5" t="s">
        <v>52</v>
      </c>
      <c r="E41" s="5" t="s">
        <v>10</v>
      </c>
      <c r="F41" s="6">
        <v>4</v>
      </c>
      <c r="G41" s="7">
        <v>20.350000000000001</v>
      </c>
      <c r="H41" s="6">
        <v>81.400000000000006</v>
      </c>
      <c r="I41" s="5" t="s">
        <v>40</v>
      </c>
    </row>
    <row r="42" spans="2:9" ht="14.4" x14ac:dyDescent="0.3">
      <c r="B42" s="4">
        <v>43826</v>
      </c>
      <c r="C42" s="5" t="s">
        <v>12</v>
      </c>
      <c r="D42" s="5" t="s">
        <v>13</v>
      </c>
      <c r="E42" s="5" t="s">
        <v>16</v>
      </c>
      <c r="F42" s="6">
        <v>1</v>
      </c>
      <c r="G42" s="7">
        <v>86.34</v>
      </c>
      <c r="H42" s="6">
        <v>86.34</v>
      </c>
      <c r="I42" s="5" t="s">
        <v>11</v>
      </c>
    </row>
    <row r="43" spans="2:9" ht="14.4" x14ac:dyDescent="0.3">
      <c r="B43" s="4">
        <v>43827</v>
      </c>
      <c r="C43" s="5" t="s">
        <v>14</v>
      </c>
      <c r="D43" s="5" t="s">
        <v>15</v>
      </c>
      <c r="E43" s="5" t="s">
        <v>16</v>
      </c>
      <c r="F43" s="6">
        <v>5</v>
      </c>
      <c r="G43" s="7">
        <v>108.06</v>
      </c>
      <c r="H43" s="6">
        <v>540.29999999999995</v>
      </c>
      <c r="I43" s="5" t="s">
        <v>11</v>
      </c>
    </row>
    <row r="44" spans="2:9" ht="14.4" x14ac:dyDescent="0.3">
      <c r="B44" s="4">
        <v>43830</v>
      </c>
      <c r="C44" s="5" t="s">
        <v>17</v>
      </c>
      <c r="D44" s="5" t="s">
        <v>18</v>
      </c>
      <c r="E44" s="5" t="s">
        <v>16</v>
      </c>
      <c r="F44" s="6">
        <v>7</v>
      </c>
      <c r="G44" s="7">
        <v>47.59</v>
      </c>
      <c r="H44" s="6">
        <v>333.13</v>
      </c>
      <c r="I44" s="5" t="s">
        <v>11</v>
      </c>
    </row>
    <row r="45" spans="2:9" ht="14.4" x14ac:dyDescent="0.3">
      <c r="B45" s="9">
        <v>43831</v>
      </c>
      <c r="C45" s="5" t="s">
        <v>19</v>
      </c>
      <c r="D45" s="5" t="s">
        <v>20</v>
      </c>
      <c r="E45" s="5" t="s">
        <v>10</v>
      </c>
      <c r="F45" s="6">
        <v>3</v>
      </c>
      <c r="G45" s="7">
        <v>59.85</v>
      </c>
      <c r="H45" s="6">
        <v>179.55</v>
      </c>
      <c r="I45" s="5" t="s">
        <v>11</v>
      </c>
    </row>
    <row r="46" spans="2:9" ht="14.4" x14ac:dyDescent="0.3">
      <c r="B46" s="9">
        <v>43833</v>
      </c>
      <c r="C46" s="5" t="s">
        <v>23</v>
      </c>
      <c r="D46" s="5" t="s">
        <v>24</v>
      </c>
      <c r="E46" s="5" t="s">
        <v>16</v>
      </c>
      <c r="F46" s="6">
        <v>7</v>
      </c>
      <c r="G46" s="7">
        <v>266.16000000000003</v>
      </c>
      <c r="H46" s="6">
        <v>1863.12</v>
      </c>
      <c r="I46" s="5" t="s">
        <v>11</v>
      </c>
    </row>
    <row r="47" spans="2:9" ht="14.4" x14ac:dyDescent="0.3">
      <c r="B47" s="9">
        <v>43834</v>
      </c>
      <c r="C47" s="5" t="s">
        <v>25</v>
      </c>
      <c r="D47" s="5" t="s">
        <v>26</v>
      </c>
      <c r="E47" s="5" t="s">
        <v>16</v>
      </c>
      <c r="F47" s="6">
        <v>1</v>
      </c>
      <c r="G47" s="7">
        <v>141.82</v>
      </c>
      <c r="H47" s="6">
        <v>141.82</v>
      </c>
      <c r="I47" s="5" t="s">
        <v>11</v>
      </c>
    </row>
    <row r="48" spans="2:9" ht="14.4" x14ac:dyDescent="0.3">
      <c r="B48" s="9">
        <v>43837</v>
      </c>
      <c r="C48" s="5" t="s">
        <v>27</v>
      </c>
      <c r="D48" s="5" t="s">
        <v>28</v>
      </c>
      <c r="E48" s="5" t="s">
        <v>16</v>
      </c>
      <c r="F48" s="6">
        <v>4</v>
      </c>
      <c r="G48" s="7">
        <v>85.29</v>
      </c>
      <c r="H48" s="6">
        <v>341.16</v>
      </c>
      <c r="I48" s="5" t="s">
        <v>29</v>
      </c>
    </row>
    <row r="49" spans="2:9" ht="14.4" x14ac:dyDescent="0.3">
      <c r="B49" s="9">
        <v>43838</v>
      </c>
      <c r="C49" s="5" t="s">
        <v>30</v>
      </c>
      <c r="D49" s="5" t="s">
        <v>31</v>
      </c>
      <c r="E49" s="5" t="s">
        <v>10</v>
      </c>
      <c r="F49" s="6">
        <v>4</v>
      </c>
      <c r="G49" s="7">
        <v>65.12</v>
      </c>
      <c r="H49" s="6">
        <v>260.48</v>
      </c>
      <c r="I49" s="5" t="s">
        <v>29</v>
      </c>
    </row>
    <row r="50" spans="2:9" ht="14.4" x14ac:dyDescent="0.3">
      <c r="B50" s="9">
        <v>43839</v>
      </c>
      <c r="C50" s="5" t="s">
        <v>32</v>
      </c>
      <c r="D50" s="5" t="s">
        <v>33</v>
      </c>
      <c r="E50" s="5" t="s">
        <v>10</v>
      </c>
      <c r="F50" s="6">
        <v>2</v>
      </c>
      <c r="G50" s="7">
        <v>149.28</v>
      </c>
      <c r="H50" s="6">
        <v>298.56</v>
      </c>
      <c r="I50" s="5" t="s">
        <v>29</v>
      </c>
    </row>
    <row r="51" spans="2:9" ht="14.4" x14ac:dyDescent="0.3">
      <c r="B51" s="9">
        <v>43840</v>
      </c>
      <c r="C51" s="5" t="s">
        <v>34</v>
      </c>
      <c r="D51" s="5" t="s">
        <v>35</v>
      </c>
      <c r="E51" s="5" t="s">
        <v>10</v>
      </c>
      <c r="F51" s="6">
        <v>2</v>
      </c>
      <c r="G51" s="7">
        <v>66.2</v>
      </c>
      <c r="H51" s="6">
        <v>132.4</v>
      </c>
      <c r="I51" s="5" t="s">
        <v>29</v>
      </c>
    </row>
    <row r="52" spans="2:9" ht="14.4" x14ac:dyDescent="0.3">
      <c r="B52" s="4">
        <v>43841</v>
      </c>
      <c r="C52" s="5" t="s">
        <v>36</v>
      </c>
      <c r="D52" s="5" t="s">
        <v>37</v>
      </c>
      <c r="E52" s="5" t="s">
        <v>16</v>
      </c>
      <c r="F52" s="6">
        <v>8</v>
      </c>
      <c r="G52" s="7">
        <v>37.47</v>
      </c>
      <c r="H52" s="6">
        <v>299.76</v>
      </c>
      <c r="I52" s="5" t="s">
        <v>29</v>
      </c>
    </row>
    <row r="53" spans="2:9" ht="14.4" x14ac:dyDescent="0.3">
      <c r="B53" s="4">
        <v>43844</v>
      </c>
      <c r="C53" s="5" t="s">
        <v>38</v>
      </c>
      <c r="D53" s="5" t="s">
        <v>39</v>
      </c>
      <c r="E53" s="5" t="s">
        <v>10</v>
      </c>
      <c r="F53" s="6">
        <v>6</v>
      </c>
      <c r="G53" s="7">
        <v>80.650000000000006</v>
      </c>
      <c r="H53" s="6">
        <v>483.9</v>
      </c>
      <c r="I53" s="5" t="s">
        <v>40</v>
      </c>
    </row>
    <row r="54" spans="2:9" ht="14.4" x14ac:dyDescent="0.3">
      <c r="B54" s="4">
        <v>43845</v>
      </c>
      <c r="C54" s="5" t="s">
        <v>41</v>
      </c>
      <c r="D54" s="5" t="s">
        <v>42</v>
      </c>
      <c r="E54" s="5" t="s">
        <v>16</v>
      </c>
      <c r="F54" s="6">
        <v>2</v>
      </c>
      <c r="G54" s="7">
        <v>40.01</v>
      </c>
      <c r="H54" s="6">
        <v>80.02</v>
      </c>
      <c r="I54" s="5" t="s">
        <v>40</v>
      </c>
    </row>
    <row r="55" spans="2:9" ht="14.4" x14ac:dyDescent="0.3">
      <c r="B55" s="4">
        <v>43846</v>
      </c>
      <c r="C55" s="5" t="s">
        <v>43</v>
      </c>
      <c r="D55" s="5" t="s">
        <v>44</v>
      </c>
      <c r="E55" s="5" t="s">
        <v>10</v>
      </c>
      <c r="F55" s="6">
        <v>2</v>
      </c>
      <c r="G55" s="7">
        <v>245.21</v>
      </c>
      <c r="H55" s="6">
        <v>490.42</v>
      </c>
      <c r="I55" s="5" t="s">
        <v>40</v>
      </c>
    </row>
    <row r="56" spans="2:9" ht="14.4" x14ac:dyDescent="0.3">
      <c r="B56" s="4">
        <v>43847</v>
      </c>
      <c r="C56" s="5" t="s">
        <v>45</v>
      </c>
      <c r="D56" s="5" t="s">
        <v>46</v>
      </c>
      <c r="E56" s="5" t="s">
        <v>10</v>
      </c>
      <c r="F56" s="6">
        <v>8</v>
      </c>
      <c r="G56" s="7">
        <v>60.27</v>
      </c>
      <c r="H56" s="6">
        <v>482.16</v>
      </c>
      <c r="I56" s="5" t="s">
        <v>40</v>
      </c>
    </row>
    <row r="57" spans="2:9" ht="14.4" x14ac:dyDescent="0.3">
      <c r="B57" s="4">
        <v>43848</v>
      </c>
      <c r="C57" s="5" t="s">
        <v>47</v>
      </c>
      <c r="D57" s="5" t="s">
        <v>48</v>
      </c>
      <c r="E57" s="5" t="s">
        <v>10</v>
      </c>
      <c r="F57" s="6">
        <v>8</v>
      </c>
      <c r="G57" s="7">
        <v>14.71</v>
      </c>
      <c r="H57" s="6">
        <v>117.68</v>
      </c>
      <c r="I57" s="5" t="s">
        <v>40</v>
      </c>
    </row>
    <row r="58" spans="2:9" ht="14.4" x14ac:dyDescent="0.3">
      <c r="B58" s="4">
        <v>43852</v>
      </c>
      <c r="C58" s="5" t="s">
        <v>51</v>
      </c>
      <c r="D58" s="5" t="s">
        <v>52</v>
      </c>
      <c r="E58" s="5" t="s">
        <v>10</v>
      </c>
      <c r="F58" s="6">
        <v>2</v>
      </c>
      <c r="G58" s="7">
        <v>19.5</v>
      </c>
      <c r="H58" s="6">
        <v>39</v>
      </c>
      <c r="I58" s="5" t="s">
        <v>40</v>
      </c>
    </row>
    <row r="59" spans="2:9" ht="14.4" x14ac:dyDescent="0.3">
      <c r="B59" s="4">
        <v>43853</v>
      </c>
      <c r="C59" s="5" t="s">
        <v>8</v>
      </c>
      <c r="D59" s="5" t="s">
        <v>9</v>
      </c>
      <c r="E59" s="5" t="s">
        <v>16</v>
      </c>
      <c r="F59" s="6">
        <v>2</v>
      </c>
      <c r="G59" s="7">
        <v>51.43</v>
      </c>
      <c r="H59" s="6">
        <v>102.86</v>
      </c>
      <c r="I59" s="5" t="s">
        <v>11</v>
      </c>
    </row>
    <row r="60" spans="2:9" ht="14.4" x14ac:dyDescent="0.3">
      <c r="B60" s="4">
        <v>43854</v>
      </c>
      <c r="C60" s="5" t="s">
        <v>12</v>
      </c>
      <c r="D60" s="5" t="s">
        <v>13</v>
      </c>
      <c r="E60" s="5" t="s">
        <v>10</v>
      </c>
      <c r="F60" s="6">
        <v>9</v>
      </c>
      <c r="G60" s="7">
        <v>96.44</v>
      </c>
      <c r="H60" s="6">
        <v>867.96</v>
      </c>
      <c r="I60" s="5" t="s">
        <v>11</v>
      </c>
    </row>
    <row r="61" spans="2:9" ht="14.4" x14ac:dyDescent="0.3">
      <c r="B61" s="4">
        <v>43855</v>
      </c>
      <c r="C61" s="5" t="s">
        <v>14</v>
      </c>
      <c r="D61" s="5" t="s">
        <v>15</v>
      </c>
      <c r="E61" s="5" t="s">
        <v>10</v>
      </c>
      <c r="F61" s="6">
        <v>9</v>
      </c>
      <c r="G61" s="7">
        <v>105.36</v>
      </c>
      <c r="H61" s="6">
        <v>948.24</v>
      </c>
      <c r="I61" s="5" t="s">
        <v>11</v>
      </c>
    </row>
    <row r="62" spans="2:9" ht="14.4" x14ac:dyDescent="0.3">
      <c r="B62" s="4">
        <v>43858</v>
      </c>
      <c r="C62" s="5" t="s">
        <v>17</v>
      </c>
      <c r="D62" s="5" t="s">
        <v>18</v>
      </c>
      <c r="E62" s="5" t="s">
        <v>16</v>
      </c>
      <c r="F62" s="6">
        <v>4</v>
      </c>
      <c r="G62" s="7">
        <v>47.47</v>
      </c>
      <c r="H62" s="6">
        <v>189.88</v>
      </c>
      <c r="I62" s="5" t="s">
        <v>11</v>
      </c>
    </row>
    <row r="63" spans="2:9" ht="14.4" x14ac:dyDescent="0.3">
      <c r="B63" s="4">
        <v>43859</v>
      </c>
      <c r="C63" s="5" t="s">
        <v>19</v>
      </c>
      <c r="D63" s="5" t="s">
        <v>20</v>
      </c>
      <c r="E63" s="5" t="s">
        <v>16</v>
      </c>
      <c r="F63" s="6">
        <v>5</v>
      </c>
      <c r="G63" s="7">
        <v>67.31</v>
      </c>
      <c r="H63" s="6">
        <v>336.55</v>
      </c>
      <c r="I63" s="5" t="s">
        <v>11</v>
      </c>
    </row>
    <row r="64" spans="2:9" ht="14.4" x14ac:dyDescent="0.3">
      <c r="B64" s="4">
        <v>43860</v>
      </c>
      <c r="C64" s="5" t="s">
        <v>21</v>
      </c>
      <c r="D64" s="5" t="s">
        <v>22</v>
      </c>
      <c r="E64" s="5" t="s">
        <v>10</v>
      </c>
      <c r="F64" s="6">
        <v>4</v>
      </c>
      <c r="G64" s="7">
        <v>137.69</v>
      </c>
      <c r="H64" s="6">
        <v>550.76</v>
      </c>
      <c r="I64" s="5" t="s">
        <v>11</v>
      </c>
    </row>
    <row r="65" spans="2:9" ht="14.4" x14ac:dyDescent="0.3">
      <c r="B65" s="9">
        <v>43861</v>
      </c>
      <c r="C65" s="5" t="s">
        <v>23</v>
      </c>
      <c r="D65" s="5" t="s">
        <v>24</v>
      </c>
      <c r="E65" s="5" t="s">
        <v>16</v>
      </c>
      <c r="F65" s="6">
        <v>1</v>
      </c>
      <c r="G65" s="7">
        <v>286.63</v>
      </c>
      <c r="H65" s="6">
        <v>286.63</v>
      </c>
      <c r="I65" s="5" t="s">
        <v>11</v>
      </c>
    </row>
    <row r="66" spans="2:9" ht="14.4" x14ac:dyDescent="0.3">
      <c r="B66" s="9">
        <v>43862</v>
      </c>
      <c r="C66" s="5" t="s">
        <v>25</v>
      </c>
      <c r="D66" s="5" t="s">
        <v>26</v>
      </c>
      <c r="E66" s="5" t="s">
        <v>10</v>
      </c>
      <c r="F66" s="6">
        <v>7</v>
      </c>
      <c r="G66" s="7">
        <v>127.67</v>
      </c>
      <c r="H66" s="6">
        <v>893.69</v>
      </c>
      <c r="I66" s="5" t="s">
        <v>11</v>
      </c>
    </row>
    <row r="67" spans="2:9" ht="14.4" x14ac:dyDescent="0.3">
      <c r="B67" s="9">
        <v>43865</v>
      </c>
      <c r="C67" s="5" t="s">
        <v>27</v>
      </c>
      <c r="D67" s="5" t="s">
        <v>28</v>
      </c>
      <c r="E67" s="5" t="s">
        <v>16</v>
      </c>
      <c r="F67" s="6">
        <v>2</v>
      </c>
      <c r="G67" s="7">
        <v>89.69</v>
      </c>
      <c r="H67" s="6">
        <v>179.38</v>
      </c>
      <c r="I67" s="5" t="s">
        <v>29</v>
      </c>
    </row>
    <row r="68" spans="2:9" ht="14.4" x14ac:dyDescent="0.3">
      <c r="B68" s="9">
        <v>43866</v>
      </c>
      <c r="C68" s="5" t="s">
        <v>30</v>
      </c>
      <c r="D68" s="5" t="s">
        <v>31</v>
      </c>
      <c r="E68" s="5" t="s">
        <v>16</v>
      </c>
      <c r="F68" s="6">
        <v>5</v>
      </c>
      <c r="G68" s="7">
        <v>67.400000000000006</v>
      </c>
      <c r="H68" s="6">
        <v>337</v>
      </c>
      <c r="I68" s="5" t="s">
        <v>29</v>
      </c>
    </row>
    <row r="69" spans="2:9" ht="14.4" x14ac:dyDescent="0.3">
      <c r="B69" s="9">
        <v>43867</v>
      </c>
      <c r="C69" s="5" t="s">
        <v>32</v>
      </c>
      <c r="D69" s="5" t="s">
        <v>33</v>
      </c>
      <c r="E69" s="5" t="s">
        <v>10</v>
      </c>
      <c r="F69" s="6">
        <v>5</v>
      </c>
      <c r="G69" s="7">
        <v>151.04</v>
      </c>
      <c r="H69" s="6">
        <v>755.2</v>
      </c>
      <c r="I69" s="5" t="s">
        <v>29</v>
      </c>
    </row>
    <row r="70" spans="2:9" ht="14.4" x14ac:dyDescent="0.3">
      <c r="B70" s="9">
        <v>43868</v>
      </c>
      <c r="C70" s="5" t="s">
        <v>34</v>
      </c>
      <c r="D70" s="5" t="s">
        <v>35</v>
      </c>
      <c r="E70" s="5" t="s">
        <v>16</v>
      </c>
      <c r="F70" s="6">
        <v>5</v>
      </c>
      <c r="G70" s="7">
        <v>70.97</v>
      </c>
      <c r="H70" s="6">
        <v>354.85</v>
      </c>
      <c r="I70" s="5" t="s">
        <v>29</v>
      </c>
    </row>
    <row r="71" spans="2:9" ht="14.4" x14ac:dyDescent="0.3">
      <c r="B71" s="9">
        <v>43869</v>
      </c>
      <c r="C71" s="5" t="s">
        <v>36</v>
      </c>
      <c r="D71" s="5" t="s">
        <v>37</v>
      </c>
      <c r="E71" s="5" t="s">
        <v>10</v>
      </c>
      <c r="F71" s="6">
        <v>9</v>
      </c>
      <c r="G71" s="7">
        <v>36.1</v>
      </c>
      <c r="H71" s="6">
        <v>324.89999999999998</v>
      </c>
      <c r="I71" s="5" t="s">
        <v>29</v>
      </c>
    </row>
    <row r="72" spans="2:9" ht="14.4" x14ac:dyDescent="0.3">
      <c r="B72" s="9">
        <v>43872</v>
      </c>
      <c r="C72" s="5" t="s">
        <v>38</v>
      </c>
      <c r="D72" s="5" t="s">
        <v>39</v>
      </c>
      <c r="E72" s="5" t="s">
        <v>16</v>
      </c>
      <c r="F72" s="6">
        <v>2</v>
      </c>
      <c r="G72" s="7">
        <v>78.48</v>
      </c>
      <c r="H72" s="6">
        <v>156.96</v>
      </c>
      <c r="I72" s="5" t="s">
        <v>40</v>
      </c>
    </row>
    <row r="73" spans="2:9" ht="14.4" x14ac:dyDescent="0.3">
      <c r="B73" s="4">
        <v>43873</v>
      </c>
      <c r="C73" s="5" t="s">
        <v>41</v>
      </c>
      <c r="D73" s="5" t="s">
        <v>42</v>
      </c>
      <c r="E73" s="5" t="s">
        <v>16</v>
      </c>
      <c r="F73" s="6">
        <v>9</v>
      </c>
      <c r="G73" s="7">
        <v>39</v>
      </c>
      <c r="H73" s="6">
        <v>351</v>
      </c>
      <c r="I73" s="5" t="s">
        <v>40</v>
      </c>
    </row>
    <row r="74" spans="2:9" ht="14.4" x14ac:dyDescent="0.3">
      <c r="B74" s="4">
        <v>43874</v>
      </c>
      <c r="C74" s="5" t="s">
        <v>43</v>
      </c>
      <c r="D74" s="5" t="s">
        <v>44</v>
      </c>
      <c r="E74" s="5" t="s">
        <v>16</v>
      </c>
      <c r="F74" s="6">
        <v>2</v>
      </c>
      <c r="G74" s="7">
        <v>238.65</v>
      </c>
      <c r="H74" s="6">
        <v>477.3</v>
      </c>
      <c r="I74" s="5" t="s">
        <v>40</v>
      </c>
    </row>
    <row r="75" spans="2:9" ht="14.4" x14ac:dyDescent="0.3">
      <c r="B75" s="4">
        <v>43875</v>
      </c>
      <c r="C75" s="5" t="s">
        <v>45</v>
      </c>
      <c r="D75" s="5" t="s">
        <v>46</v>
      </c>
      <c r="E75" s="5" t="s">
        <v>10</v>
      </c>
      <c r="F75" s="6">
        <v>8</v>
      </c>
      <c r="G75" s="7">
        <v>59.24</v>
      </c>
      <c r="H75" s="6">
        <v>473.92</v>
      </c>
      <c r="I75" s="5" t="s">
        <v>40</v>
      </c>
    </row>
    <row r="76" spans="2:9" ht="14.4" x14ac:dyDescent="0.3">
      <c r="B76" s="4">
        <v>43876</v>
      </c>
      <c r="C76" s="5" t="s">
        <v>47</v>
      </c>
      <c r="D76" s="5" t="s">
        <v>48</v>
      </c>
      <c r="E76" s="5" t="s">
        <v>16</v>
      </c>
      <c r="F76" s="6">
        <v>4</v>
      </c>
      <c r="G76" s="7">
        <v>14.08</v>
      </c>
      <c r="H76" s="6">
        <v>56.32</v>
      </c>
      <c r="I76" s="5" t="s">
        <v>40</v>
      </c>
    </row>
    <row r="77" spans="2:9" ht="14.4" x14ac:dyDescent="0.3">
      <c r="B77" s="4">
        <v>43880</v>
      </c>
      <c r="C77" s="5" t="s">
        <v>51</v>
      </c>
      <c r="D77" s="5" t="s">
        <v>52</v>
      </c>
      <c r="E77" s="5" t="s">
        <v>10</v>
      </c>
      <c r="F77" s="6">
        <v>5</v>
      </c>
      <c r="G77" s="7">
        <v>19.559999999999999</v>
      </c>
      <c r="H77" s="6">
        <v>97.8</v>
      </c>
      <c r="I77" s="5" t="s">
        <v>40</v>
      </c>
    </row>
    <row r="78" spans="2:9" ht="14.4" x14ac:dyDescent="0.3">
      <c r="B78" s="4">
        <v>43881</v>
      </c>
      <c r="C78" s="5" t="s">
        <v>8</v>
      </c>
      <c r="D78" s="5" t="s">
        <v>9</v>
      </c>
      <c r="E78" s="5" t="s">
        <v>10</v>
      </c>
      <c r="F78" s="6">
        <v>2</v>
      </c>
      <c r="G78" s="7">
        <v>58.9</v>
      </c>
      <c r="H78" s="6">
        <v>117.8</v>
      </c>
      <c r="I78" s="5" t="s">
        <v>11</v>
      </c>
    </row>
    <row r="79" spans="2:9" ht="14.4" x14ac:dyDescent="0.3">
      <c r="B79" s="4">
        <v>43882</v>
      </c>
      <c r="C79" s="5" t="s">
        <v>12</v>
      </c>
      <c r="D79" s="5" t="s">
        <v>13</v>
      </c>
      <c r="E79" s="5" t="s">
        <v>16</v>
      </c>
      <c r="F79" s="6">
        <v>7</v>
      </c>
      <c r="G79" s="7">
        <v>101.47</v>
      </c>
      <c r="H79" s="6">
        <v>710.29</v>
      </c>
      <c r="I79" s="5" t="s">
        <v>11</v>
      </c>
    </row>
    <row r="80" spans="2:9" ht="14.4" x14ac:dyDescent="0.3">
      <c r="B80" s="4">
        <v>43883</v>
      </c>
      <c r="C80" s="5" t="s">
        <v>14</v>
      </c>
      <c r="D80" s="5" t="s">
        <v>15</v>
      </c>
      <c r="E80" s="5" t="s">
        <v>16</v>
      </c>
      <c r="F80" s="6">
        <v>9</v>
      </c>
      <c r="G80" s="7">
        <v>101.75</v>
      </c>
      <c r="H80" s="6">
        <v>915.75</v>
      </c>
      <c r="I80" s="5" t="s">
        <v>11</v>
      </c>
    </row>
    <row r="81" spans="2:9" ht="14.4" x14ac:dyDescent="0.3">
      <c r="B81" s="4">
        <v>43886</v>
      </c>
      <c r="C81" s="5" t="s">
        <v>17</v>
      </c>
      <c r="D81" s="5" t="s">
        <v>18</v>
      </c>
      <c r="E81" s="5" t="s">
        <v>16</v>
      </c>
      <c r="F81" s="6">
        <v>8</v>
      </c>
      <c r="G81" s="7">
        <v>44</v>
      </c>
      <c r="H81" s="6">
        <v>352</v>
      </c>
      <c r="I81" s="5" t="s">
        <v>11</v>
      </c>
    </row>
    <row r="82" spans="2:9" ht="14.4" x14ac:dyDescent="0.3">
      <c r="B82" s="4">
        <v>43887</v>
      </c>
      <c r="C82" s="5" t="s">
        <v>19</v>
      </c>
      <c r="D82" s="5" t="s">
        <v>20</v>
      </c>
      <c r="E82" s="5" t="s">
        <v>10</v>
      </c>
      <c r="F82" s="6">
        <v>8</v>
      </c>
      <c r="G82" s="7">
        <v>59.73</v>
      </c>
      <c r="H82" s="6">
        <v>477.84</v>
      </c>
      <c r="I82" s="5" t="s">
        <v>11</v>
      </c>
    </row>
    <row r="83" spans="2:9" ht="14.4" x14ac:dyDescent="0.3">
      <c r="B83" s="4">
        <v>43888</v>
      </c>
      <c r="C83" s="5" t="s">
        <v>21</v>
      </c>
      <c r="D83" s="5" t="s">
        <v>22</v>
      </c>
      <c r="E83" s="5" t="s">
        <v>10</v>
      </c>
      <c r="F83" s="6">
        <v>5</v>
      </c>
      <c r="G83" s="7">
        <v>139.75</v>
      </c>
      <c r="H83" s="6">
        <v>698.75</v>
      </c>
      <c r="I83" s="5" t="s">
        <v>11</v>
      </c>
    </row>
    <row r="84" spans="2:9" ht="14.4" x14ac:dyDescent="0.3">
      <c r="B84" s="4">
        <v>43889</v>
      </c>
      <c r="C84" s="5" t="s">
        <v>23</v>
      </c>
      <c r="D84" s="5" t="s">
        <v>24</v>
      </c>
      <c r="E84" s="5" t="s">
        <v>10</v>
      </c>
      <c r="F84" s="6">
        <v>6</v>
      </c>
      <c r="G84" s="7">
        <v>268.77</v>
      </c>
      <c r="H84" s="6">
        <v>1612.62</v>
      </c>
      <c r="I84" s="5" t="s">
        <v>11</v>
      </c>
    </row>
    <row r="85" spans="2:9" ht="14.4" x14ac:dyDescent="0.3">
      <c r="B85" s="9">
        <v>43890</v>
      </c>
      <c r="C85" s="5" t="s">
        <v>25</v>
      </c>
      <c r="D85" s="5" t="s">
        <v>26</v>
      </c>
      <c r="E85" s="5" t="s">
        <v>16</v>
      </c>
      <c r="F85" s="6">
        <v>8</v>
      </c>
      <c r="G85" s="7">
        <v>127.64</v>
      </c>
      <c r="H85" s="6">
        <v>1021.12</v>
      </c>
      <c r="I85" s="5" t="s">
        <v>11</v>
      </c>
    </row>
    <row r="86" spans="2:9" ht="14.4" x14ac:dyDescent="0.3">
      <c r="B86" s="9">
        <v>43893</v>
      </c>
      <c r="C86" s="5" t="s">
        <v>27</v>
      </c>
      <c r="D86" s="5" t="s">
        <v>28</v>
      </c>
      <c r="E86" s="5" t="s">
        <v>10</v>
      </c>
      <c r="F86" s="6">
        <v>6</v>
      </c>
      <c r="G86" s="7">
        <v>87.18</v>
      </c>
      <c r="H86" s="6">
        <v>523.08000000000004</v>
      </c>
      <c r="I86" s="5" t="s">
        <v>29</v>
      </c>
    </row>
    <row r="87" spans="2:9" ht="14.4" x14ac:dyDescent="0.3">
      <c r="B87" s="9">
        <v>43894</v>
      </c>
      <c r="C87" s="5" t="s">
        <v>30</v>
      </c>
      <c r="D87" s="5" t="s">
        <v>31</v>
      </c>
      <c r="E87" s="5" t="s">
        <v>16</v>
      </c>
      <c r="F87" s="6">
        <v>10</v>
      </c>
      <c r="G87" s="7">
        <v>74.209999999999994</v>
      </c>
      <c r="H87" s="6">
        <v>742.1</v>
      </c>
      <c r="I87" s="5" t="s">
        <v>29</v>
      </c>
    </row>
    <row r="88" spans="2:9" ht="14.4" x14ac:dyDescent="0.3">
      <c r="B88" s="9">
        <v>43895</v>
      </c>
      <c r="C88" s="5" t="s">
        <v>32</v>
      </c>
      <c r="D88" s="5" t="s">
        <v>33</v>
      </c>
      <c r="E88" s="5" t="s">
        <v>10</v>
      </c>
      <c r="F88" s="6">
        <v>2</v>
      </c>
      <c r="G88" s="7">
        <v>135.22999999999999</v>
      </c>
      <c r="H88" s="6">
        <v>270.45999999999998</v>
      </c>
      <c r="I88" s="5" t="s">
        <v>29</v>
      </c>
    </row>
    <row r="89" spans="2:9" ht="14.4" x14ac:dyDescent="0.3">
      <c r="B89" s="9">
        <v>43896</v>
      </c>
      <c r="C89" s="5" t="s">
        <v>34</v>
      </c>
      <c r="D89" s="5" t="s">
        <v>35</v>
      </c>
      <c r="E89" s="5" t="s">
        <v>10</v>
      </c>
      <c r="F89" s="6">
        <v>7</v>
      </c>
      <c r="G89" s="7">
        <v>59.25</v>
      </c>
      <c r="H89" s="6">
        <v>414.75</v>
      </c>
      <c r="I89" s="5" t="s">
        <v>29</v>
      </c>
    </row>
    <row r="90" spans="2:9" ht="14.4" x14ac:dyDescent="0.3">
      <c r="B90" s="9">
        <v>43897</v>
      </c>
      <c r="C90" s="5" t="s">
        <v>36</v>
      </c>
      <c r="D90" s="5" t="s">
        <v>37</v>
      </c>
      <c r="E90" s="5" t="s">
        <v>10</v>
      </c>
      <c r="F90" s="6">
        <v>10</v>
      </c>
      <c r="G90" s="7">
        <v>33.229999999999997</v>
      </c>
      <c r="H90" s="6">
        <v>332.3</v>
      </c>
      <c r="I90" s="5" t="s">
        <v>29</v>
      </c>
    </row>
    <row r="91" spans="2:9" ht="14.4" x14ac:dyDescent="0.3">
      <c r="B91" s="9">
        <v>43900</v>
      </c>
      <c r="C91" s="5" t="s">
        <v>38</v>
      </c>
      <c r="D91" s="5" t="s">
        <v>39</v>
      </c>
      <c r="E91" s="5" t="s">
        <v>16</v>
      </c>
      <c r="F91" s="6">
        <v>5</v>
      </c>
      <c r="G91" s="7">
        <v>51.37</v>
      </c>
      <c r="H91" s="6">
        <v>256.85000000000002</v>
      </c>
      <c r="I91" s="5" t="s">
        <v>40</v>
      </c>
    </row>
    <row r="92" spans="2:9" ht="14.4" x14ac:dyDescent="0.3">
      <c r="B92" s="9">
        <v>43901</v>
      </c>
      <c r="C92" s="5" t="s">
        <v>41</v>
      </c>
      <c r="D92" s="5" t="s">
        <v>42</v>
      </c>
      <c r="E92" s="5" t="s">
        <v>10</v>
      </c>
      <c r="F92" s="6">
        <v>7</v>
      </c>
      <c r="G92" s="7">
        <v>25.41</v>
      </c>
      <c r="H92" s="6">
        <v>177.87</v>
      </c>
      <c r="I92" s="5" t="s">
        <v>40</v>
      </c>
    </row>
    <row r="93" spans="2:9" ht="14.4" x14ac:dyDescent="0.3">
      <c r="B93" s="4">
        <v>43902</v>
      </c>
      <c r="C93" s="5" t="s">
        <v>43</v>
      </c>
      <c r="D93" s="5" t="s">
        <v>44</v>
      </c>
      <c r="E93" s="5" t="s">
        <v>16</v>
      </c>
      <c r="F93" s="6">
        <v>1</v>
      </c>
      <c r="G93" s="7">
        <v>171.89</v>
      </c>
      <c r="H93" s="6">
        <v>171.89</v>
      </c>
      <c r="I93" s="5" t="s">
        <v>40</v>
      </c>
    </row>
    <row r="94" spans="2:9" ht="14.4" x14ac:dyDescent="0.3">
      <c r="B94" s="4">
        <v>43903</v>
      </c>
      <c r="C94" s="5" t="s">
        <v>45</v>
      </c>
      <c r="D94" s="5" t="s">
        <v>46</v>
      </c>
      <c r="E94" s="5" t="s">
        <v>10</v>
      </c>
      <c r="F94" s="6">
        <v>1</v>
      </c>
      <c r="G94" s="7">
        <v>40.18</v>
      </c>
      <c r="H94" s="6">
        <v>40.18</v>
      </c>
      <c r="I94" s="5" t="s">
        <v>40</v>
      </c>
    </row>
    <row r="95" spans="2:9" ht="14.4" x14ac:dyDescent="0.3">
      <c r="B95" s="4">
        <v>43904</v>
      </c>
      <c r="C95" s="5" t="s">
        <v>47</v>
      </c>
      <c r="D95" s="5" t="s">
        <v>48</v>
      </c>
      <c r="E95" s="5" t="s">
        <v>10</v>
      </c>
      <c r="F95" s="6">
        <v>8</v>
      </c>
      <c r="G95" s="7">
        <v>9.5</v>
      </c>
      <c r="H95" s="6">
        <v>76</v>
      </c>
      <c r="I95" s="5" t="s">
        <v>40</v>
      </c>
    </row>
    <row r="96" spans="2:9" ht="14.4" x14ac:dyDescent="0.3">
      <c r="B96" s="4">
        <v>43907</v>
      </c>
      <c r="C96" s="5" t="s">
        <v>49</v>
      </c>
      <c r="D96" s="5" t="s">
        <v>50</v>
      </c>
      <c r="E96" s="5" t="s">
        <v>16</v>
      </c>
      <c r="F96" s="6">
        <v>7</v>
      </c>
      <c r="G96" s="7">
        <v>88.36</v>
      </c>
      <c r="H96" s="6">
        <v>618.52</v>
      </c>
      <c r="I96" s="5" t="s">
        <v>40</v>
      </c>
    </row>
    <row r="97" spans="2:9" ht="14.4" x14ac:dyDescent="0.3">
      <c r="B97" s="4">
        <v>43908</v>
      </c>
      <c r="C97" s="5" t="s">
        <v>51</v>
      </c>
      <c r="D97" s="5" t="s">
        <v>52</v>
      </c>
      <c r="E97" s="5" t="s">
        <v>16</v>
      </c>
      <c r="F97" s="6">
        <v>4</v>
      </c>
      <c r="G97" s="7">
        <v>10.24</v>
      </c>
      <c r="H97" s="6">
        <v>40.96</v>
      </c>
      <c r="I97" s="5" t="s">
        <v>40</v>
      </c>
    </row>
    <row r="98" spans="2:9" ht="14.4" x14ac:dyDescent="0.3">
      <c r="B98" s="4">
        <v>43909</v>
      </c>
      <c r="C98" s="5" t="s">
        <v>53</v>
      </c>
      <c r="D98" s="5" t="s">
        <v>54</v>
      </c>
      <c r="E98" s="5" t="s">
        <v>10</v>
      </c>
      <c r="F98" s="6">
        <v>10</v>
      </c>
      <c r="G98" s="7">
        <v>204.88</v>
      </c>
      <c r="H98" s="6">
        <v>2048.8000000000002</v>
      </c>
      <c r="I98" s="5" t="s">
        <v>29</v>
      </c>
    </row>
    <row r="99" spans="2:9" ht="14.4" x14ac:dyDescent="0.3">
      <c r="B99" s="4">
        <v>43910</v>
      </c>
      <c r="C99" s="5" t="s">
        <v>55</v>
      </c>
      <c r="D99" s="5" t="s">
        <v>56</v>
      </c>
      <c r="E99" s="5" t="s">
        <v>16</v>
      </c>
      <c r="F99" s="6">
        <v>2</v>
      </c>
      <c r="G99" s="7">
        <v>200.87</v>
      </c>
      <c r="H99" s="6">
        <v>401.74</v>
      </c>
      <c r="I99" s="5" t="s">
        <v>29</v>
      </c>
    </row>
    <row r="100" spans="2:9" ht="14.4" x14ac:dyDescent="0.3">
      <c r="B100" s="4">
        <v>43911</v>
      </c>
      <c r="C100" s="5" t="s">
        <v>27</v>
      </c>
      <c r="D100" s="5" t="s">
        <v>28</v>
      </c>
      <c r="E100" s="5" t="s">
        <v>10</v>
      </c>
      <c r="F100" s="6">
        <v>10</v>
      </c>
      <c r="G100" s="7">
        <v>75.75</v>
      </c>
      <c r="H100" s="6">
        <v>757.5</v>
      </c>
      <c r="I100" s="5" t="s">
        <v>29</v>
      </c>
    </row>
    <row r="101" spans="2:9" ht="14.4" x14ac:dyDescent="0.3">
      <c r="B101" s="4">
        <v>43914</v>
      </c>
      <c r="C101" s="5" t="s">
        <v>34</v>
      </c>
      <c r="D101" s="5" t="s">
        <v>35</v>
      </c>
      <c r="E101" s="5" t="s">
        <v>16</v>
      </c>
      <c r="F101" s="6">
        <v>2</v>
      </c>
      <c r="G101" s="7">
        <v>43.18</v>
      </c>
      <c r="H101" s="6">
        <v>86.36</v>
      </c>
      <c r="I101" s="5" t="s">
        <v>29</v>
      </c>
    </row>
    <row r="102" spans="2:9" ht="14.4" x14ac:dyDescent="0.3">
      <c r="B102" s="4">
        <v>43915</v>
      </c>
      <c r="C102" s="5" t="s">
        <v>36</v>
      </c>
      <c r="D102" s="5" t="s">
        <v>37</v>
      </c>
      <c r="E102" s="5" t="s">
        <v>16</v>
      </c>
      <c r="F102" s="6">
        <v>7</v>
      </c>
      <c r="G102" s="7">
        <v>28.18</v>
      </c>
      <c r="H102" s="6">
        <v>197.26</v>
      </c>
      <c r="I102" s="5" t="s">
        <v>29</v>
      </c>
    </row>
    <row r="103" spans="2:9" ht="14.4" x14ac:dyDescent="0.3">
      <c r="B103" s="4">
        <v>43916</v>
      </c>
      <c r="C103" s="5" t="s">
        <v>57</v>
      </c>
      <c r="D103" s="5" t="s">
        <v>58</v>
      </c>
      <c r="E103" s="5" t="s">
        <v>10</v>
      </c>
      <c r="F103" s="6">
        <v>3</v>
      </c>
      <c r="G103" s="7">
        <v>86.82</v>
      </c>
      <c r="H103" s="6">
        <v>260.45999999999998</v>
      </c>
      <c r="I103" s="5" t="s">
        <v>29</v>
      </c>
    </row>
    <row r="104" spans="2:9" ht="14.4" x14ac:dyDescent="0.3">
      <c r="B104" s="4">
        <v>43917</v>
      </c>
      <c r="C104" s="5" t="s">
        <v>59</v>
      </c>
      <c r="D104" s="5" t="s">
        <v>60</v>
      </c>
      <c r="E104" s="5" t="s">
        <v>16</v>
      </c>
      <c r="F104" s="6">
        <v>2</v>
      </c>
      <c r="G104" s="7">
        <v>78.72</v>
      </c>
      <c r="H104" s="6">
        <v>157.44</v>
      </c>
      <c r="I104" s="5" t="s">
        <v>40</v>
      </c>
    </row>
    <row r="105" spans="2:9" ht="14.4" x14ac:dyDescent="0.3">
      <c r="B105" s="4">
        <v>43918</v>
      </c>
      <c r="C105" s="5" t="s">
        <v>38</v>
      </c>
      <c r="D105" s="5" t="s">
        <v>39</v>
      </c>
      <c r="E105" s="5" t="s">
        <v>10</v>
      </c>
      <c r="F105" s="6">
        <v>7</v>
      </c>
      <c r="G105" s="7">
        <v>43.8</v>
      </c>
      <c r="H105" s="6">
        <v>306.60000000000002</v>
      </c>
      <c r="I105" s="5" t="s">
        <v>40</v>
      </c>
    </row>
    <row r="106" spans="2:9" ht="14.4" x14ac:dyDescent="0.3">
      <c r="B106" s="9">
        <v>43921</v>
      </c>
      <c r="C106" s="5" t="s">
        <v>45</v>
      </c>
      <c r="D106" s="5" t="s">
        <v>46</v>
      </c>
      <c r="E106" s="5" t="s">
        <v>16</v>
      </c>
      <c r="F106" s="6">
        <v>6</v>
      </c>
      <c r="G106" s="7">
        <v>35.840000000000003</v>
      </c>
      <c r="H106" s="6">
        <v>215.04</v>
      </c>
      <c r="I106" s="5" t="s">
        <v>40</v>
      </c>
    </row>
    <row r="107" spans="2:9" ht="14.4" x14ac:dyDescent="0.3">
      <c r="B107" s="9">
        <v>43922</v>
      </c>
      <c r="C107" s="5" t="s">
        <v>47</v>
      </c>
      <c r="D107" s="5" t="s">
        <v>48</v>
      </c>
      <c r="E107" s="5" t="s">
        <v>16</v>
      </c>
      <c r="F107" s="6">
        <v>9</v>
      </c>
      <c r="G107" s="7">
        <v>8.2100000000000009</v>
      </c>
      <c r="H107" s="6">
        <v>73.89</v>
      </c>
      <c r="I107" s="5" t="s">
        <v>40</v>
      </c>
    </row>
    <row r="108" spans="2:9" ht="14.4" x14ac:dyDescent="0.3">
      <c r="B108" s="9">
        <v>43923</v>
      </c>
      <c r="C108" s="5" t="s">
        <v>61</v>
      </c>
      <c r="D108" s="5" t="s">
        <v>62</v>
      </c>
      <c r="E108" s="5" t="s">
        <v>16</v>
      </c>
      <c r="F108" s="6">
        <v>4</v>
      </c>
      <c r="G108" s="7">
        <v>79.31</v>
      </c>
      <c r="H108" s="6">
        <v>317.24</v>
      </c>
      <c r="I108" s="5" t="s">
        <v>40</v>
      </c>
    </row>
    <row r="109" spans="2:9" ht="14.4" x14ac:dyDescent="0.3">
      <c r="B109" s="9">
        <v>43924</v>
      </c>
      <c r="C109" s="5" t="s">
        <v>63</v>
      </c>
      <c r="D109" s="5" t="s">
        <v>64</v>
      </c>
      <c r="E109" s="5" t="s">
        <v>10</v>
      </c>
      <c r="F109" s="6">
        <v>8</v>
      </c>
      <c r="G109" s="7">
        <v>8.2200000000000006</v>
      </c>
      <c r="H109" s="6">
        <v>65.760000000000005</v>
      </c>
      <c r="I109" s="5" t="s">
        <v>40</v>
      </c>
    </row>
    <row r="110" spans="2:9" ht="14.4" x14ac:dyDescent="0.3">
      <c r="B110" s="9">
        <v>43925</v>
      </c>
      <c r="C110" s="5" t="s">
        <v>49</v>
      </c>
      <c r="D110" s="5" t="s">
        <v>50</v>
      </c>
      <c r="E110" s="5" t="s">
        <v>16</v>
      </c>
      <c r="F110" s="6">
        <v>1</v>
      </c>
      <c r="G110" s="7">
        <v>84.05</v>
      </c>
      <c r="H110" s="6">
        <v>84.05</v>
      </c>
      <c r="I110" s="5" t="s">
        <v>40</v>
      </c>
    </row>
    <row r="111" spans="2:9" ht="14.4" x14ac:dyDescent="0.3">
      <c r="B111" s="9">
        <v>43928</v>
      </c>
      <c r="C111" s="5" t="s">
        <v>55</v>
      </c>
      <c r="D111" s="5" t="s">
        <v>56</v>
      </c>
      <c r="E111" s="5" t="s">
        <v>10</v>
      </c>
      <c r="F111" s="6">
        <v>10</v>
      </c>
      <c r="G111" s="7">
        <v>225.72</v>
      </c>
      <c r="H111" s="6">
        <v>2257.1999999999998</v>
      </c>
      <c r="I111" s="5" t="s">
        <v>29</v>
      </c>
    </row>
    <row r="112" spans="2:9" ht="14.4" x14ac:dyDescent="0.3">
      <c r="B112" s="9">
        <v>43929</v>
      </c>
      <c r="C112" s="5" t="s">
        <v>27</v>
      </c>
      <c r="D112" s="5" t="s">
        <v>28</v>
      </c>
      <c r="E112" s="5" t="s">
        <v>10</v>
      </c>
      <c r="F112" s="6">
        <v>4</v>
      </c>
      <c r="G112" s="7">
        <v>82.51</v>
      </c>
      <c r="H112" s="6">
        <v>330.04</v>
      </c>
      <c r="I112" s="5" t="s">
        <v>29</v>
      </c>
    </row>
    <row r="113" spans="2:9" ht="14.4" x14ac:dyDescent="0.3">
      <c r="B113" s="9">
        <v>43930</v>
      </c>
      <c r="C113" s="5" t="s">
        <v>30</v>
      </c>
      <c r="D113" s="5" t="s">
        <v>31</v>
      </c>
      <c r="E113" s="5" t="s">
        <v>10</v>
      </c>
      <c r="F113" s="6">
        <v>1</v>
      </c>
      <c r="G113" s="7">
        <v>74.989999999999995</v>
      </c>
      <c r="H113" s="6">
        <v>74.989999999999995</v>
      </c>
      <c r="I113" s="5" t="s">
        <v>29</v>
      </c>
    </row>
    <row r="114" spans="2:9" ht="14.4" x14ac:dyDescent="0.3">
      <c r="B114" s="4">
        <v>43931</v>
      </c>
      <c r="C114" s="5" t="s">
        <v>32</v>
      </c>
      <c r="D114" s="5" t="s">
        <v>33</v>
      </c>
      <c r="E114" s="5" t="s">
        <v>16</v>
      </c>
      <c r="F114" s="6">
        <v>9</v>
      </c>
      <c r="G114" s="7">
        <v>108.06</v>
      </c>
      <c r="H114" s="6">
        <v>972.54</v>
      </c>
      <c r="I114" s="5" t="s">
        <v>29</v>
      </c>
    </row>
    <row r="115" spans="2:9" ht="14.4" x14ac:dyDescent="0.3">
      <c r="B115" s="4">
        <v>43935</v>
      </c>
      <c r="C115" s="5" t="s">
        <v>59</v>
      </c>
      <c r="D115" s="5" t="s">
        <v>60</v>
      </c>
      <c r="E115" s="5" t="s">
        <v>16</v>
      </c>
      <c r="F115" s="6">
        <v>8</v>
      </c>
      <c r="G115" s="7">
        <v>82.64</v>
      </c>
      <c r="H115" s="6">
        <v>661.12</v>
      </c>
      <c r="I115" s="5" t="s">
        <v>40</v>
      </c>
    </row>
    <row r="116" spans="2:9" ht="14.4" x14ac:dyDescent="0.3">
      <c r="B116" s="4">
        <v>43936</v>
      </c>
      <c r="C116" s="5" t="s">
        <v>38</v>
      </c>
      <c r="D116" s="5" t="s">
        <v>39</v>
      </c>
      <c r="E116" s="5" t="s">
        <v>10</v>
      </c>
      <c r="F116" s="6">
        <v>1</v>
      </c>
      <c r="G116" s="7">
        <v>45.42</v>
      </c>
      <c r="H116" s="6">
        <v>45.42</v>
      </c>
      <c r="I116" s="5" t="s">
        <v>40</v>
      </c>
    </row>
    <row r="117" spans="2:9" ht="14.4" x14ac:dyDescent="0.3">
      <c r="B117" s="4">
        <v>43937</v>
      </c>
      <c r="C117" s="5" t="s">
        <v>41</v>
      </c>
      <c r="D117" s="5" t="s">
        <v>42</v>
      </c>
      <c r="E117" s="5" t="s">
        <v>10</v>
      </c>
      <c r="F117" s="6">
        <v>9</v>
      </c>
      <c r="G117" s="7">
        <v>18.579999999999998</v>
      </c>
      <c r="H117" s="6">
        <v>167.22</v>
      </c>
      <c r="I117" s="5" t="s">
        <v>40</v>
      </c>
    </row>
    <row r="118" spans="2:9" ht="14.4" x14ac:dyDescent="0.3">
      <c r="B118" s="4">
        <v>43938</v>
      </c>
      <c r="C118" s="5" t="s">
        <v>43</v>
      </c>
      <c r="D118" s="5" t="s">
        <v>44</v>
      </c>
      <c r="E118" s="5" t="s">
        <v>10</v>
      </c>
      <c r="F118" s="6">
        <v>2</v>
      </c>
      <c r="G118" s="7">
        <v>177.04</v>
      </c>
      <c r="H118" s="6">
        <v>354.08</v>
      </c>
      <c r="I118" s="5" t="s">
        <v>40</v>
      </c>
    </row>
    <row r="119" spans="2:9" ht="14.4" x14ac:dyDescent="0.3">
      <c r="B119" s="4">
        <v>43939</v>
      </c>
      <c r="C119" s="5" t="s">
        <v>45</v>
      </c>
      <c r="D119" s="5" t="s">
        <v>46</v>
      </c>
      <c r="E119" s="5" t="s">
        <v>16</v>
      </c>
      <c r="F119" s="6">
        <v>2</v>
      </c>
      <c r="G119" s="7">
        <v>40.01</v>
      </c>
      <c r="H119" s="6">
        <v>80.02</v>
      </c>
      <c r="I119" s="5" t="s">
        <v>40</v>
      </c>
    </row>
    <row r="120" spans="2:9" ht="14.4" x14ac:dyDescent="0.3">
      <c r="B120" s="4">
        <v>43942</v>
      </c>
      <c r="C120" s="5" t="s">
        <v>63</v>
      </c>
      <c r="D120" s="5" t="s">
        <v>64</v>
      </c>
      <c r="E120" s="5" t="s">
        <v>10</v>
      </c>
      <c r="F120" s="6">
        <v>8</v>
      </c>
      <c r="G120" s="7">
        <v>9.09</v>
      </c>
      <c r="H120" s="6">
        <v>72.72</v>
      </c>
      <c r="I120" s="5" t="s">
        <v>40</v>
      </c>
    </row>
    <row r="121" spans="2:9" ht="14.4" x14ac:dyDescent="0.3">
      <c r="B121" s="4">
        <v>43943</v>
      </c>
      <c r="C121" s="5" t="s">
        <v>49</v>
      </c>
      <c r="D121" s="5" t="s">
        <v>50</v>
      </c>
      <c r="E121" s="5" t="s">
        <v>16</v>
      </c>
      <c r="F121" s="6">
        <v>1</v>
      </c>
      <c r="G121" s="7">
        <v>89.05</v>
      </c>
      <c r="H121" s="6">
        <v>89.05</v>
      </c>
      <c r="I121" s="5" t="s">
        <v>40</v>
      </c>
    </row>
    <row r="122" spans="2:9" ht="14.4" x14ac:dyDescent="0.3">
      <c r="B122" s="4">
        <v>43944</v>
      </c>
      <c r="C122" s="5" t="s">
        <v>51</v>
      </c>
      <c r="D122" s="5" t="s">
        <v>52</v>
      </c>
      <c r="E122" s="5" t="s">
        <v>10</v>
      </c>
      <c r="F122" s="6">
        <v>10</v>
      </c>
      <c r="G122" s="7">
        <v>10.23</v>
      </c>
      <c r="H122" s="6">
        <v>102.3</v>
      </c>
      <c r="I122" s="5" t="s">
        <v>40</v>
      </c>
    </row>
    <row r="123" spans="2:9" ht="14.4" x14ac:dyDescent="0.3">
      <c r="B123" s="4">
        <v>43945</v>
      </c>
      <c r="C123" s="5" t="s">
        <v>8</v>
      </c>
      <c r="D123" s="5" t="s">
        <v>9</v>
      </c>
      <c r="E123" s="5" t="s">
        <v>10</v>
      </c>
      <c r="F123" s="6">
        <v>10</v>
      </c>
      <c r="G123" s="7">
        <v>55.9</v>
      </c>
      <c r="H123" s="6">
        <v>559</v>
      </c>
      <c r="I123" s="5" t="s">
        <v>11</v>
      </c>
    </row>
    <row r="124" spans="2:9" ht="14.4" x14ac:dyDescent="0.3">
      <c r="B124" s="4">
        <v>43946</v>
      </c>
      <c r="C124" s="5" t="s">
        <v>12</v>
      </c>
      <c r="D124" s="5" t="s">
        <v>13</v>
      </c>
      <c r="E124" s="5" t="s">
        <v>10</v>
      </c>
      <c r="F124" s="6">
        <v>3</v>
      </c>
      <c r="G124" s="7">
        <v>102.78</v>
      </c>
      <c r="H124" s="6">
        <v>308.33999999999997</v>
      </c>
      <c r="I124" s="5" t="s">
        <v>11</v>
      </c>
    </row>
    <row r="125" spans="2:9" ht="14.4" x14ac:dyDescent="0.3">
      <c r="B125" s="4">
        <v>43949</v>
      </c>
      <c r="C125" s="5" t="s">
        <v>65</v>
      </c>
      <c r="D125" s="5" t="s">
        <v>65</v>
      </c>
      <c r="E125" s="5" t="s">
        <v>16</v>
      </c>
      <c r="F125" s="6">
        <v>2</v>
      </c>
      <c r="G125" s="7">
        <v>106.28</v>
      </c>
      <c r="H125" s="6">
        <v>212.56</v>
      </c>
      <c r="I125" s="5" t="s">
        <v>11</v>
      </c>
    </row>
    <row r="126" spans="2:9" ht="14.4" x14ac:dyDescent="0.3">
      <c r="B126" s="4">
        <v>43950</v>
      </c>
      <c r="C126" s="5" t="s">
        <v>17</v>
      </c>
      <c r="D126" s="5" t="s">
        <v>18</v>
      </c>
      <c r="E126" s="5" t="s">
        <v>10</v>
      </c>
      <c r="F126" s="6">
        <v>4</v>
      </c>
      <c r="G126" s="7">
        <v>42.49</v>
      </c>
      <c r="H126" s="6">
        <v>169.96</v>
      </c>
      <c r="I126" s="5" t="s">
        <v>11</v>
      </c>
    </row>
    <row r="127" spans="2:9" ht="14.4" x14ac:dyDescent="0.3">
      <c r="B127" s="9">
        <v>43951</v>
      </c>
      <c r="C127" s="5" t="s">
        <v>19</v>
      </c>
      <c r="D127" s="5" t="s">
        <v>20</v>
      </c>
      <c r="E127" s="5" t="s">
        <v>16</v>
      </c>
      <c r="F127" s="6">
        <v>2</v>
      </c>
      <c r="G127" s="7">
        <v>61.8</v>
      </c>
      <c r="H127" s="6">
        <v>123.6</v>
      </c>
      <c r="I127" s="5" t="s">
        <v>11</v>
      </c>
    </row>
    <row r="128" spans="2:9" ht="14.4" x14ac:dyDescent="0.3">
      <c r="B128" s="9">
        <v>43952</v>
      </c>
      <c r="C128" s="5" t="s">
        <v>21</v>
      </c>
      <c r="D128" s="5" t="s">
        <v>22</v>
      </c>
      <c r="E128" s="5" t="s">
        <v>10</v>
      </c>
      <c r="F128" s="6">
        <v>6</v>
      </c>
      <c r="G128" s="7">
        <v>125.56</v>
      </c>
      <c r="H128" s="6">
        <v>753.36</v>
      </c>
      <c r="I128" s="5" t="s">
        <v>11</v>
      </c>
    </row>
    <row r="129" spans="2:9" ht="14.4" x14ac:dyDescent="0.3">
      <c r="B129" s="9">
        <v>43953</v>
      </c>
      <c r="C129" s="5" t="s">
        <v>23</v>
      </c>
      <c r="D129" s="5" t="s">
        <v>24</v>
      </c>
      <c r="E129" s="5" t="s">
        <v>10</v>
      </c>
      <c r="F129" s="6">
        <v>5</v>
      </c>
      <c r="G129" s="7">
        <v>261.13</v>
      </c>
      <c r="H129" s="6">
        <v>1305.6500000000001</v>
      </c>
      <c r="I129" s="5" t="s">
        <v>11</v>
      </c>
    </row>
    <row r="130" spans="2:9" ht="14.4" x14ac:dyDescent="0.3">
      <c r="B130" s="9">
        <v>43956</v>
      </c>
      <c r="C130" s="5" t="s">
        <v>38</v>
      </c>
      <c r="D130" s="5" t="s">
        <v>39</v>
      </c>
      <c r="E130" s="5" t="s">
        <v>16</v>
      </c>
      <c r="F130" s="6">
        <v>7</v>
      </c>
      <c r="G130" s="7">
        <v>45.12</v>
      </c>
      <c r="H130" s="6">
        <v>315.83999999999997</v>
      </c>
      <c r="I130" s="5" t="s">
        <v>40</v>
      </c>
    </row>
    <row r="131" spans="2:9" ht="14.4" x14ac:dyDescent="0.3">
      <c r="B131" s="9">
        <v>43957</v>
      </c>
      <c r="C131" s="5" t="s">
        <v>41</v>
      </c>
      <c r="D131" s="5" t="s">
        <v>42</v>
      </c>
      <c r="E131" s="5" t="s">
        <v>16</v>
      </c>
      <c r="F131" s="6">
        <v>5</v>
      </c>
      <c r="G131" s="7">
        <v>21.18</v>
      </c>
      <c r="H131" s="6">
        <v>105.9</v>
      </c>
      <c r="I131" s="5" t="s">
        <v>40</v>
      </c>
    </row>
    <row r="132" spans="2:9" ht="14.4" x14ac:dyDescent="0.3">
      <c r="B132" s="9">
        <v>43958</v>
      </c>
      <c r="C132" s="5" t="s">
        <v>43</v>
      </c>
      <c r="D132" s="5" t="s">
        <v>44</v>
      </c>
      <c r="E132" s="5" t="s">
        <v>10</v>
      </c>
      <c r="F132" s="6">
        <v>4</v>
      </c>
      <c r="G132" s="7">
        <v>176.92</v>
      </c>
      <c r="H132" s="6">
        <v>707.68</v>
      </c>
      <c r="I132" s="5" t="s">
        <v>40</v>
      </c>
    </row>
    <row r="133" spans="2:9" ht="14.4" x14ac:dyDescent="0.3">
      <c r="B133" s="9">
        <v>43959</v>
      </c>
      <c r="C133" s="5" t="s">
        <v>45</v>
      </c>
      <c r="D133" s="5" t="s">
        <v>46</v>
      </c>
      <c r="E133" s="5" t="s">
        <v>16</v>
      </c>
      <c r="F133" s="6">
        <v>4</v>
      </c>
      <c r="G133" s="7">
        <v>34.909999999999997</v>
      </c>
      <c r="H133" s="6">
        <v>139.63999999999999</v>
      </c>
      <c r="I133" s="5" t="s">
        <v>40</v>
      </c>
    </row>
    <row r="134" spans="2:9" ht="14.4" x14ac:dyDescent="0.3">
      <c r="B134" s="9">
        <v>43960</v>
      </c>
      <c r="C134" s="5" t="s">
        <v>47</v>
      </c>
      <c r="D134" s="5" t="s">
        <v>48</v>
      </c>
      <c r="E134" s="5" t="s">
        <v>10</v>
      </c>
      <c r="F134" s="6">
        <v>10</v>
      </c>
      <c r="G134" s="7">
        <v>8.65</v>
      </c>
      <c r="H134" s="6">
        <v>86.5</v>
      </c>
      <c r="I134" s="5" t="s">
        <v>40</v>
      </c>
    </row>
    <row r="135" spans="2:9" ht="14.4" x14ac:dyDescent="0.3">
      <c r="B135" s="4">
        <v>43963</v>
      </c>
      <c r="C135" s="5" t="s">
        <v>49</v>
      </c>
      <c r="D135" s="5" t="s">
        <v>50</v>
      </c>
      <c r="E135" s="5" t="s">
        <v>16</v>
      </c>
      <c r="F135" s="6">
        <v>9</v>
      </c>
      <c r="G135" s="7">
        <v>89.97</v>
      </c>
      <c r="H135" s="6">
        <v>809.73</v>
      </c>
      <c r="I135" s="5" t="s">
        <v>40</v>
      </c>
    </row>
    <row r="136" spans="2:9" ht="14.4" x14ac:dyDescent="0.3">
      <c r="B136" s="4">
        <v>43964</v>
      </c>
      <c r="C136" s="5" t="s">
        <v>51</v>
      </c>
      <c r="D136" s="5" t="s">
        <v>52</v>
      </c>
      <c r="E136" s="5" t="s">
        <v>16</v>
      </c>
      <c r="F136" s="6">
        <v>7</v>
      </c>
      <c r="G136" s="7">
        <v>10.17</v>
      </c>
      <c r="H136" s="6">
        <v>71.19</v>
      </c>
      <c r="I136" s="5" t="s">
        <v>40</v>
      </c>
    </row>
    <row r="137" spans="2:9" ht="14.4" x14ac:dyDescent="0.3">
      <c r="B137" s="4">
        <v>43965</v>
      </c>
      <c r="C137" s="5" t="s">
        <v>8</v>
      </c>
      <c r="D137" s="5" t="s">
        <v>9</v>
      </c>
      <c r="E137" s="5" t="s">
        <v>10</v>
      </c>
      <c r="F137" s="6">
        <v>6</v>
      </c>
      <c r="G137" s="7">
        <v>52.18</v>
      </c>
      <c r="H137" s="6">
        <v>313.08</v>
      </c>
      <c r="I137" s="5" t="s">
        <v>11</v>
      </c>
    </row>
    <row r="138" spans="2:9" ht="14.4" x14ac:dyDescent="0.3">
      <c r="B138" s="4">
        <v>43966</v>
      </c>
      <c r="C138" s="5" t="s">
        <v>12</v>
      </c>
      <c r="D138" s="5" t="s">
        <v>13</v>
      </c>
      <c r="E138" s="5" t="s">
        <v>16</v>
      </c>
      <c r="F138" s="6">
        <v>2</v>
      </c>
      <c r="G138" s="7">
        <v>97.23</v>
      </c>
      <c r="H138" s="6">
        <v>194.46</v>
      </c>
      <c r="I138" s="5" t="s">
        <v>11</v>
      </c>
    </row>
    <row r="139" spans="2:9" ht="14.4" x14ac:dyDescent="0.3">
      <c r="B139" s="4">
        <v>43967</v>
      </c>
      <c r="C139" s="5" t="s">
        <v>14</v>
      </c>
      <c r="D139" s="5" t="s">
        <v>15</v>
      </c>
      <c r="E139" s="5" t="s">
        <v>10</v>
      </c>
      <c r="F139" s="6">
        <v>6</v>
      </c>
      <c r="G139" s="7">
        <v>82.31</v>
      </c>
      <c r="H139" s="6">
        <v>493.86</v>
      </c>
      <c r="I139" s="5" t="s">
        <v>11</v>
      </c>
    </row>
    <row r="140" spans="2:9" ht="14.4" x14ac:dyDescent="0.3">
      <c r="B140" s="4">
        <v>43970</v>
      </c>
      <c r="C140" s="5" t="s">
        <v>17</v>
      </c>
      <c r="D140" s="5" t="s">
        <v>18</v>
      </c>
      <c r="E140" s="5" t="s">
        <v>16</v>
      </c>
      <c r="F140" s="6">
        <v>6</v>
      </c>
      <c r="G140" s="7">
        <v>45.06</v>
      </c>
      <c r="H140" s="6">
        <v>270.36</v>
      </c>
      <c r="I140" s="5" t="s">
        <v>11</v>
      </c>
    </row>
    <row r="141" spans="2:9" ht="14.4" x14ac:dyDescent="0.3">
      <c r="B141" s="4">
        <v>43971</v>
      </c>
      <c r="C141" s="5" t="s">
        <v>19</v>
      </c>
      <c r="D141" s="5" t="s">
        <v>20</v>
      </c>
      <c r="E141" s="5" t="s">
        <v>16</v>
      </c>
      <c r="F141" s="6">
        <v>3</v>
      </c>
      <c r="G141" s="7">
        <v>60.29</v>
      </c>
      <c r="H141" s="6">
        <v>180.87</v>
      </c>
      <c r="I141" s="5" t="s">
        <v>11</v>
      </c>
    </row>
    <row r="142" spans="2:9" ht="14.4" x14ac:dyDescent="0.3">
      <c r="B142" s="4">
        <v>43972</v>
      </c>
      <c r="C142" s="5" t="s">
        <v>21</v>
      </c>
      <c r="D142" s="5" t="s">
        <v>22</v>
      </c>
      <c r="E142" s="5" t="s">
        <v>16</v>
      </c>
      <c r="F142" s="6">
        <v>9</v>
      </c>
      <c r="G142" s="7">
        <v>121.38</v>
      </c>
      <c r="H142" s="6">
        <v>1092.42</v>
      </c>
      <c r="I142" s="5" t="s">
        <v>11</v>
      </c>
    </row>
    <row r="143" spans="2:9" ht="14.4" x14ac:dyDescent="0.3">
      <c r="B143" s="4">
        <v>43973</v>
      </c>
      <c r="C143" s="5" t="s">
        <v>23</v>
      </c>
      <c r="D143" s="5" t="s">
        <v>24</v>
      </c>
      <c r="E143" s="5" t="s">
        <v>10</v>
      </c>
      <c r="F143" s="6">
        <v>7</v>
      </c>
      <c r="G143" s="7">
        <v>290</v>
      </c>
      <c r="H143" s="6">
        <v>2030</v>
      </c>
      <c r="I143" s="5" t="s">
        <v>11</v>
      </c>
    </row>
    <row r="144" spans="2:9" ht="14.4" x14ac:dyDescent="0.3">
      <c r="B144" s="4">
        <v>43974</v>
      </c>
      <c r="C144" s="5" t="s">
        <v>25</v>
      </c>
      <c r="D144" s="5" t="s">
        <v>26</v>
      </c>
      <c r="E144" s="5" t="s">
        <v>16</v>
      </c>
      <c r="F144" s="6">
        <v>10</v>
      </c>
      <c r="G144" s="7">
        <v>157.38999999999999</v>
      </c>
      <c r="H144" s="6">
        <v>1573.9</v>
      </c>
      <c r="I144" s="5" t="s">
        <v>11</v>
      </c>
    </row>
    <row r="145" spans="2:9" ht="14.4" x14ac:dyDescent="0.3">
      <c r="B145" s="4">
        <v>43978</v>
      </c>
      <c r="C145" s="5" t="s">
        <v>43</v>
      </c>
      <c r="D145" s="5" t="s">
        <v>44</v>
      </c>
      <c r="E145" s="5" t="s">
        <v>10</v>
      </c>
      <c r="F145" s="6">
        <v>1</v>
      </c>
      <c r="G145" s="7">
        <v>196.06</v>
      </c>
      <c r="H145" s="6">
        <v>196.06</v>
      </c>
      <c r="I145" s="5" t="s">
        <v>40</v>
      </c>
    </row>
    <row r="146" spans="2:9" ht="14.4" x14ac:dyDescent="0.3">
      <c r="B146" s="4">
        <v>43979</v>
      </c>
      <c r="C146" s="5" t="s">
        <v>45</v>
      </c>
      <c r="D146" s="5" t="s">
        <v>46</v>
      </c>
      <c r="E146" s="5" t="s">
        <v>10</v>
      </c>
      <c r="F146" s="6">
        <v>10</v>
      </c>
      <c r="G146" s="7">
        <v>39.270000000000003</v>
      </c>
      <c r="H146" s="6">
        <v>392.7</v>
      </c>
      <c r="I146" s="5" t="s">
        <v>40</v>
      </c>
    </row>
    <row r="147" spans="2:9" ht="14.4" x14ac:dyDescent="0.3">
      <c r="B147" s="4">
        <v>43980</v>
      </c>
      <c r="C147" s="5" t="s">
        <v>47</v>
      </c>
      <c r="D147" s="5" t="s">
        <v>48</v>
      </c>
      <c r="E147" s="5" t="s">
        <v>16</v>
      </c>
      <c r="F147" s="6">
        <v>8</v>
      </c>
      <c r="G147" s="7">
        <v>9.11</v>
      </c>
      <c r="H147" s="6">
        <v>72.88</v>
      </c>
      <c r="I147" s="5" t="s">
        <v>40</v>
      </c>
    </row>
    <row r="148" spans="2:9" ht="14.4" x14ac:dyDescent="0.3">
      <c r="B148" s="9">
        <v>43981</v>
      </c>
      <c r="C148" s="5" t="s">
        <v>61</v>
      </c>
      <c r="D148" s="5" t="s">
        <v>62</v>
      </c>
      <c r="E148" s="5" t="s">
        <v>16</v>
      </c>
      <c r="F148" s="6">
        <v>5</v>
      </c>
      <c r="G148" s="7">
        <v>97.25</v>
      </c>
      <c r="H148" s="6">
        <v>486.25</v>
      </c>
      <c r="I148" s="5" t="s">
        <v>40</v>
      </c>
    </row>
    <row r="149" spans="2:9" ht="14.4" x14ac:dyDescent="0.3">
      <c r="B149" s="9">
        <v>43984</v>
      </c>
      <c r="C149" s="5" t="s">
        <v>51</v>
      </c>
      <c r="D149" s="5" t="s">
        <v>52</v>
      </c>
      <c r="E149" s="5" t="s">
        <v>16</v>
      </c>
      <c r="F149" s="6">
        <v>4</v>
      </c>
      <c r="G149" s="7">
        <v>11.85</v>
      </c>
      <c r="H149" s="6">
        <v>47.4</v>
      </c>
      <c r="I149" s="5" t="s">
        <v>40</v>
      </c>
    </row>
    <row r="150" spans="2:9" ht="14.4" x14ac:dyDescent="0.3">
      <c r="B150" s="9">
        <v>43985</v>
      </c>
      <c r="C150" s="5" t="s">
        <v>8</v>
      </c>
      <c r="D150" s="5" t="s">
        <v>9</v>
      </c>
      <c r="E150" s="5" t="s">
        <v>10</v>
      </c>
      <c r="F150" s="6">
        <v>4</v>
      </c>
      <c r="G150" s="7">
        <v>53.54</v>
      </c>
      <c r="H150" s="6">
        <v>214.16</v>
      </c>
      <c r="I150" s="5" t="s">
        <v>11</v>
      </c>
    </row>
    <row r="151" spans="2:9" ht="14.4" x14ac:dyDescent="0.3">
      <c r="B151" s="9">
        <v>43986</v>
      </c>
      <c r="C151" s="5" t="s">
        <v>12</v>
      </c>
      <c r="D151" s="5" t="s">
        <v>13</v>
      </c>
      <c r="E151" s="5" t="s">
        <v>10</v>
      </c>
      <c r="F151" s="6">
        <v>4</v>
      </c>
      <c r="G151" s="7">
        <v>103.01</v>
      </c>
      <c r="H151" s="6">
        <v>412.04</v>
      </c>
      <c r="I151" s="5" t="s">
        <v>11</v>
      </c>
    </row>
    <row r="152" spans="2:9" ht="14.4" x14ac:dyDescent="0.3">
      <c r="B152" s="9">
        <v>43987</v>
      </c>
      <c r="C152" s="5" t="s">
        <v>14</v>
      </c>
      <c r="D152" s="5" t="s">
        <v>15</v>
      </c>
      <c r="E152" s="5" t="s">
        <v>10</v>
      </c>
      <c r="F152" s="6">
        <v>10</v>
      </c>
      <c r="G152" s="7">
        <v>101.57</v>
      </c>
      <c r="H152" s="6">
        <v>1015.7</v>
      </c>
      <c r="I152" s="5" t="s">
        <v>11</v>
      </c>
    </row>
    <row r="153" spans="2:9" ht="14.4" x14ac:dyDescent="0.3">
      <c r="B153" s="9">
        <v>43988</v>
      </c>
      <c r="C153" s="5" t="s">
        <v>66</v>
      </c>
      <c r="D153" s="5" t="s">
        <v>67</v>
      </c>
      <c r="E153" s="5" t="s">
        <v>16</v>
      </c>
      <c r="F153" s="6">
        <v>9</v>
      </c>
      <c r="G153" s="7">
        <v>91.4</v>
      </c>
      <c r="H153" s="6">
        <v>822.6</v>
      </c>
      <c r="I153" s="5" t="s">
        <v>11</v>
      </c>
    </row>
    <row r="154" spans="2:9" ht="14.4" x14ac:dyDescent="0.3">
      <c r="B154" s="9">
        <v>43991</v>
      </c>
      <c r="C154" s="5" t="s">
        <v>19</v>
      </c>
      <c r="D154" s="5" t="s">
        <v>20</v>
      </c>
      <c r="E154" s="5" t="s">
        <v>10</v>
      </c>
      <c r="F154" s="6">
        <v>2</v>
      </c>
      <c r="G154" s="7">
        <v>63.67</v>
      </c>
      <c r="H154" s="6">
        <v>127.34</v>
      </c>
      <c r="I154" s="5" t="s">
        <v>11</v>
      </c>
    </row>
    <row r="155" spans="2:9" ht="14.4" x14ac:dyDescent="0.3">
      <c r="B155" s="9">
        <v>43992</v>
      </c>
      <c r="C155" s="5" t="s">
        <v>21</v>
      </c>
      <c r="D155" s="5" t="s">
        <v>22</v>
      </c>
      <c r="E155" s="5" t="s">
        <v>16</v>
      </c>
      <c r="F155" s="6">
        <v>8</v>
      </c>
      <c r="G155" s="7">
        <v>131.87</v>
      </c>
      <c r="H155" s="6">
        <v>1054.96</v>
      </c>
      <c r="I155" s="5" t="s">
        <v>11</v>
      </c>
    </row>
    <row r="156" spans="2:9" ht="14.4" x14ac:dyDescent="0.3">
      <c r="B156" s="4">
        <v>43993</v>
      </c>
      <c r="C156" s="5" t="s">
        <v>23</v>
      </c>
      <c r="D156" s="5" t="s">
        <v>24</v>
      </c>
      <c r="E156" s="5" t="s">
        <v>10</v>
      </c>
      <c r="F156" s="6">
        <v>10</v>
      </c>
      <c r="G156" s="7">
        <v>295.87</v>
      </c>
      <c r="H156" s="6">
        <v>2958.7</v>
      </c>
      <c r="I156" s="5" t="s">
        <v>11</v>
      </c>
    </row>
    <row r="157" spans="2:9" ht="14.4" x14ac:dyDescent="0.3">
      <c r="B157" s="4">
        <v>43994</v>
      </c>
      <c r="C157" s="5" t="s">
        <v>25</v>
      </c>
      <c r="D157" s="5" t="s">
        <v>26</v>
      </c>
      <c r="E157" s="5" t="s">
        <v>10</v>
      </c>
      <c r="F157" s="6">
        <v>8</v>
      </c>
      <c r="G157" s="7">
        <v>155.72999999999999</v>
      </c>
      <c r="H157" s="6">
        <v>1245.8399999999999</v>
      </c>
      <c r="I157" s="5" t="s">
        <v>11</v>
      </c>
    </row>
    <row r="158" spans="2:9" ht="14.4" x14ac:dyDescent="0.3">
      <c r="B158" s="4">
        <v>43995</v>
      </c>
      <c r="C158" s="5" t="s">
        <v>45</v>
      </c>
      <c r="D158" s="5" t="s">
        <v>46</v>
      </c>
      <c r="E158" s="5" t="s">
        <v>10</v>
      </c>
      <c r="F158" s="6">
        <v>6</v>
      </c>
      <c r="G158" s="7">
        <v>40.03</v>
      </c>
      <c r="H158" s="6">
        <v>240.18</v>
      </c>
      <c r="I158" s="5" t="s">
        <v>40</v>
      </c>
    </row>
    <row r="159" spans="2:9" ht="14.4" x14ac:dyDescent="0.3">
      <c r="B159" s="4">
        <v>43998</v>
      </c>
      <c r="C159" s="5" t="s">
        <v>63</v>
      </c>
      <c r="D159" s="5" t="s">
        <v>64</v>
      </c>
      <c r="E159" s="5" t="s">
        <v>16</v>
      </c>
      <c r="F159" s="6">
        <v>6</v>
      </c>
      <c r="G159" s="7">
        <v>10.74</v>
      </c>
      <c r="H159" s="6">
        <v>64.44</v>
      </c>
      <c r="I159" s="5" t="s">
        <v>40</v>
      </c>
    </row>
    <row r="160" spans="2:9" ht="14.4" x14ac:dyDescent="0.3">
      <c r="B160" s="4">
        <v>43999</v>
      </c>
      <c r="C160" s="5" t="s">
        <v>49</v>
      </c>
      <c r="D160" s="5" t="s">
        <v>50</v>
      </c>
      <c r="E160" s="5" t="s">
        <v>10</v>
      </c>
      <c r="F160" s="6">
        <v>5</v>
      </c>
      <c r="G160" s="7">
        <v>102.06</v>
      </c>
      <c r="H160" s="6">
        <v>510.3</v>
      </c>
      <c r="I160" s="5" t="s">
        <v>40</v>
      </c>
    </row>
    <row r="161" spans="2:9" ht="14.4" x14ac:dyDescent="0.3">
      <c r="B161" s="4">
        <v>44000</v>
      </c>
      <c r="C161" s="5" t="s">
        <v>51</v>
      </c>
      <c r="D161" s="5" t="s">
        <v>52</v>
      </c>
      <c r="E161" s="5" t="s">
        <v>16</v>
      </c>
      <c r="F161" s="6">
        <v>4</v>
      </c>
      <c r="G161" s="7">
        <v>13.48</v>
      </c>
      <c r="H161" s="6">
        <v>53.92</v>
      </c>
      <c r="I161" s="5" t="s">
        <v>40</v>
      </c>
    </row>
    <row r="162" spans="2:9" ht="14.4" x14ac:dyDescent="0.3">
      <c r="B162" s="4">
        <v>44001</v>
      </c>
      <c r="C162" s="5" t="s">
        <v>53</v>
      </c>
      <c r="D162" s="5" t="s">
        <v>54</v>
      </c>
      <c r="E162" s="5" t="s">
        <v>10</v>
      </c>
      <c r="F162" s="6">
        <v>6</v>
      </c>
      <c r="G162" s="7">
        <v>230.32</v>
      </c>
      <c r="H162" s="6">
        <v>1381.92</v>
      </c>
      <c r="I162" s="5" t="s">
        <v>29</v>
      </c>
    </row>
    <row r="163" spans="2:9" ht="14.4" x14ac:dyDescent="0.3">
      <c r="B163" s="4">
        <v>44002</v>
      </c>
      <c r="C163" s="5" t="s">
        <v>55</v>
      </c>
      <c r="D163" s="5" t="s">
        <v>56</v>
      </c>
      <c r="E163" s="5" t="s">
        <v>10</v>
      </c>
      <c r="F163" s="6">
        <v>8</v>
      </c>
      <c r="G163" s="7">
        <v>266.43</v>
      </c>
      <c r="H163" s="6">
        <v>2131.44</v>
      </c>
      <c r="I163" s="5" t="s">
        <v>29</v>
      </c>
    </row>
    <row r="164" spans="2:9" ht="14.4" x14ac:dyDescent="0.3">
      <c r="B164" s="4">
        <v>44005</v>
      </c>
      <c r="C164" s="5" t="s">
        <v>32</v>
      </c>
      <c r="D164" s="5" t="s">
        <v>33</v>
      </c>
      <c r="E164" s="5" t="s">
        <v>16</v>
      </c>
      <c r="F164" s="6">
        <v>7</v>
      </c>
      <c r="G164" s="7">
        <v>98.32</v>
      </c>
      <c r="H164" s="6">
        <v>688.24</v>
      </c>
      <c r="I164" s="5" t="s">
        <v>29</v>
      </c>
    </row>
    <row r="165" spans="2:9" ht="14.4" x14ac:dyDescent="0.3">
      <c r="B165" s="4">
        <v>44006</v>
      </c>
      <c r="C165" s="5" t="s">
        <v>34</v>
      </c>
      <c r="D165" s="5" t="s">
        <v>35</v>
      </c>
      <c r="E165" s="5" t="s">
        <v>16</v>
      </c>
      <c r="F165" s="6">
        <v>5</v>
      </c>
      <c r="G165" s="7">
        <v>59.35</v>
      </c>
      <c r="H165" s="6">
        <v>296.75</v>
      </c>
      <c r="I165" s="5" t="s">
        <v>29</v>
      </c>
    </row>
    <row r="166" spans="2:9" ht="14.4" x14ac:dyDescent="0.3">
      <c r="B166" s="4">
        <v>44007</v>
      </c>
      <c r="C166" s="5" t="s">
        <v>36</v>
      </c>
      <c r="D166" s="5" t="s">
        <v>37</v>
      </c>
      <c r="E166" s="5" t="s">
        <v>10</v>
      </c>
      <c r="F166" s="6">
        <v>3</v>
      </c>
      <c r="G166" s="7">
        <v>30.54</v>
      </c>
      <c r="H166" s="6">
        <v>91.62</v>
      </c>
      <c r="I166" s="5" t="s">
        <v>29</v>
      </c>
    </row>
    <row r="167" spans="2:9" ht="14.4" x14ac:dyDescent="0.3">
      <c r="B167" s="4">
        <v>44008</v>
      </c>
      <c r="C167" s="5" t="s">
        <v>57</v>
      </c>
      <c r="D167" s="5" t="s">
        <v>58</v>
      </c>
      <c r="E167" s="5" t="s">
        <v>16</v>
      </c>
      <c r="F167" s="6">
        <v>2</v>
      </c>
      <c r="G167" s="7">
        <v>88.86</v>
      </c>
      <c r="H167" s="6">
        <v>177.72</v>
      </c>
      <c r="I167" s="5" t="s">
        <v>29</v>
      </c>
    </row>
    <row r="168" spans="2:9" ht="14.4" x14ac:dyDescent="0.3">
      <c r="B168" s="9">
        <v>44009</v>
      </c>
      <c r="C168" s="5" t="s">
        <v>17</v>
      </c>
      <c r="D168" s="5" t="s">
        <v>18</v>
      </c>
      <c r="E168" s="5" t="s">
        <v>10</v>
      </c>
      <c r="F168" s="6">
        <v>8</v>
      </c>
      <c r="G168" s="7">
        <v>46.31</v>
      </c>
      <c r="H168" s="6">
        <v>370.48</v>
      </c>
      <c r="I168" s="5" t="s">
        <v>11</v>
      </c>
    </row>
    <row r="169" spans="2:9" ht="14.4" x14ac:dyDescent="0.3">
      <c r="B169" s="9">
        <v>44012</v>
      </c>
      <c r="C169" s="5" t="s">
        <v>23</v>
      </c>
      <c r="D169" s="5" t="s">
        <v>24</v>
      </c>
      <c r="E169" s="5" t="s">
        <v>16</v>
      </c>
      <c r="F169" s="6">
        <v>2</v>
      </c>
      <c r="G169" s="7">
        <v>287.92</v>
      </c>
      <c r="H169" s="6">
        <v>575.84</v>
      </c>
      <c r="I169" s="5" t="s">
        <v>11</v>
      </c>
    </row>
    <row r="170" spans="2:9" ht="14.4" x14ac:dyDescent="0.3">
      <c r="B170" s="9">
        <v>44013</v>
      </c>
      <c r="C170" s="5" t="s">
        <v>25</v>
      </c>
      <c r="D170" s="5" t="s">
        <v>26</v>
      </c>
      <c r="E170" s="5" t="s">
        <v>16</v>
      </c>
      <c r="F170" s="6">
        <v>10</v>
      </c>
      <c r="G170" s="7">
        <v>160.38999999999999</v>
      </c>
      <c r="H170" s="6">
        <v>1603.9</v>
      </c>
      <c r="I170" s="5" t="s">
        <v>11</v>
      </c>
    </row>
    <row r="171" spans="2:9" ht="14.4" x14ac:dyDescent="0.3">
      <c r="B171" s="9">
        <v>44014</v>
      </c>
      <c r="C171" s="5" t="s">
        <v>45</v>
      </c>
      <c r="D171" s="5" t="s">
        <v>46</v>
      </c>
      <c r="E171" s="5" t="s">
        <v>10</v>
      </c>
      <c r="F171" s="6">
        <v>4</v>
      </c>
      <c r="G171" s="7">
        <v>37.700000000000003</v>
      </c>
      <c r="H171" s="6">
        <v>150.80000000000001</v>
      </c>
      <c r="I171" s="5" t="s">
        <v>40</v>
      </c>
    </row>
    <row r="172" spans="2:9" ht="14.4" x14ac:dyDescent="0.3">
      <c r="B172" s="9">
        <v>44015</v>
      </c>
      <c r="C172" s="5" t="s">
        <v>47</v>
      </c>
      <c r="D172" s="5" t="s">
        <v>48</v>
      </c>
      <c r="E172" s="5" t="s">
        <v>16</v>
      </c>
      <c r="F172" s="6">
        <v>7</v>
      </c>
      <c r="G172" s="7">
        <v>8.6</v>
      </c>
      <c r="H172" s="6">
        <v>60.2</v>
      </c>
      <c r="I172" s="5" t="s">
        <v>40</v>
      </c>
    </row>
    <row r="173" spans="2:9" ht="14.4" x14ac:dyDescent="0.3">
      <c r="B173" s="9">
        <v>44019</v>
      </c>
      <c r="C173" s="5" t="s">
        <v>17</v>
      </c>
      <c r="D173" s="5" t="s">
        <v>18</v>
      </c>
      <c r="E173" s="5" t="s">
        <v>68</v>
      </c>
      <c r="F173" s="6">
        <v>-4</v>
      </c>
      <c r="G173" s="7">
        <v>46.42</v>
      </c>
      <c r="H173" s="6">
        <v>-185.68</v>
      </c>
      <c r="I173" s="5" t="s">
        <v>11</v>
      </c>
    </row>
    <row r="174" spans="2:9" ht="14.4" x14ac:dyDescent="0.3">
      <c r="B174" s="9">
        <v>44020</v>
      </c>
      <c r="C174" s="5" t="s">
        <v>19</v>
      </c>
      <c r="D174" s="5" t="s">
        <v>20</v>
      </c>
      <c r="E174" s="5" t="s">
        <v>68</v>
      </c>
      <c r="F174" s="6">
        <v>-4</v>
      </c>
      <c r="G174" s="7">
        <v>58.31</v>
      </c>
      <c r="H174" s="6">
        <v>-233.24</v>
      </c>
      <c r="I174" s="5" t="s">
        <v>11</v>
      </c>
    </row>
    <row r="175" spans="2:9" ht="14.4" x14ac:dyDescent="0.3">
      <c r="B175" s="9">
        <v>44021</v>
      </c>
      <c r="C175" s="5" t="s">
        <v>21</v>
      </c>
      <c r="D175" s="5" t="s">
        <v>22</v>
      </c>
      <c r="E175" s="5" t="s">
        <v>68</v>
      </c>
      <c r="F175" s="6">
        <v>-1</v>
      </c>
      <c r="G175" s="7">
        <v>117.71</v>
      </c>
      <c r="H175" s="6">
        <v>-117.71</v>
      </c>
      <c r="I175" s="5" t="s">
        <v>11</v>
      </c>
    </row>
    <row r="176" spans="2:9" ht="14.4" x14ac:dyDescent="0.3">
      <c r="B176" s="4">
        <v>44022</v>
      </c>
      <c r="C176" s="5" t="s">
        <v>23</v>
      </c>
      <c r="D176" s="5" t="s">
        <v>24</v>
      </c>
      <c r="E176" s="5" t="s">
        <v>68</v>
      </c>
      <c r="F176" s="6">
        <v>-5</v>
      </c>
      <c r="G176" s="7">
        <v>307.91000000000003</v>
      </c>
      <c r="H176" s="6">
        <v>-1539.55</v>
      </c>
      <c r="I176" s="5" t="s">
        <v>11</v>
      </c>
    </row>
    <row r="177" spans="2:9" ht="14.4" x14ac:dyDescent="0.3">
      <c r="B177" s="4">
        <v>44023</v>
      </c>
      <c r="C177" s="5" t="s">
        <v>25</v>
      </c>
      <c r="D177" s="5" t="s">
        <v>26</v>
      </c>
      <c r="E177" s="5" t="s">
        <v>68</v>
      </c>
      <c r="F177" s="6">
        <v>-5</v>
      </c>
      <c r="G177" s="7">
        <v>161.62</v>
      </c>
      <c r="H177" s="6">
        <v>-808.1</v>
      </c>
      <c r="I177" s="5" t="s">
        <v>11</v>
      </c>
    </row>
    <row r="178" spans="2:9" ht="14.4" x14ac:dyDescent="0.3">
      <c r="B178" s="4">
        <v>44026</v>
      </c>
      <c r="C178" s="5" t="s">
        <v>41</v>
      </c>
      <c r="D178" s="5" t="s">
        <v>42</v>
      </c>
      <c r="E178" s="5" t="s">
        <v>68</v>
      </c>
      <c r="F178" s="6">
        <v>-2</v>
      </c>
      <c r="G178" s="7">
        <v>24.37</v>
      </c>
      <c r="H178" s="6">
        <v>-48.74</v>
      </c>
      <c r="I178" s="5" t="s">
        <v>40</v>
      </c>
    </row>
    <row r="179" spans="2:9" ht="14.4" x14ac:dyDescent="0.3">
      <c r="B179" s="4">
        <v>44027</v>
      </c>
      <c r="C179" s="5" t="s">
        <v>43</v>
      </c>
      <c r="D179" s="5" t="s">
        <v>44</v>
      </c>
      <c r="E179" s="5" t="s">
        <v>68</v>
      </c>
      <c r="F179" s="6">
        <v>-5</v>
      </c>
      <c r="G179" s="7">
        <v>214.01</v>
      </c>
      <c r="H179" s="6">
        <v>-1070.05</v>
      </c>
      <c r="I179" s="5" t="s">
        <v>40</v>
      </c>
    </row>
    <row r="180" spans="2:9" ht="14.4" x14ac:dyDescent="0.3">
      <c r="B180" s="4">
        <v>44028</v>
      </c>
      <c r="C180" s="5" t="s">
        <v>45</v>
      </c>
      <c r="D180" s="5" t="s">
        <v>46</v>
      </c>
      <c r="E180" s="5" t="s">
        <v>68</v>
      </c>
      <c r="F180" s="6">
        <v>-3</v>
      </c>
      <c r="G180" s="7">
        <v>40.409999999999997</v>
      </c>
      <c r="H180" s="6">
        <v>-121.23</v>
      </c>
      <c r="I180" s="5" t="s">
        <v>40</v>
      </c>
    </row>
    <row r="181" spans="2:9" ht="14.4" x14ac:dyDescent="0.3">
      <c r="B181" s="4">
        <v>44029</v>
      </c>
      <c r="C181" s="5" t="s">
        <v>47</v>
      </c>
      <c r="D181" s="5" t="s">
        <v>48</v>
      </c>
      <c r="E181" s="5" t="s">
        <v>68</v>
      </c>
      <c r="F181" s="6">
        <v>-3</v>
      </c>
      <c r="G181" s="7">
        <v>9.07</v>
      </c>
      <c r="H181" s="6">
        <v>-27.21</v>
      </c>
      <c r="I181" s="5" t="s">
        <v>40</v>
      </c>
    </row>
    <row r="182" spans="2:9" ht="14.4" x14ac:dyDescent="0.3">
      <c r="B182" s="4">
        <v>44030</v>
      </c>
      <c r="C182" s="5" t="s">
        <v>55</v>
      </c>
      <c r="D182" s="5" t="s">
        <v>56</v>
      </c>
      <c r="E182" s="5" t="s">
        <v>68</v>
      </c>
      <c r="F182" s="6">
        <v>-4</v>
      </c>
      <c r="G182" s="7">
        <v>266.37</v>
      </c>
      <c r="H182" s="6">
        <v>-1065.48</v>
      </c>
      <c r="I182" s="5" t="s">
        <v>29</v>
      </c>
    </row>
    <row r="183" spans="2:9" ht="14.4" x14ac:dyDescent="0.3">
      <c r="B183" s="4">
        <v>44033</v>
      </c>
      <c r="C183" s="5" t="s">
        <v>32</v>
      </c>
      <c r="D183" s="5" t="s">
        <v>33</v>
      </c>
      <c r="E183" s="5" t="s">
        <v>68</v>
      </c>
      <c r="F183" s="6">
        <v>-3</v>
      </c>
      <c r="G183" s="7">
        <v>104.97</v>
      </c>
      <c r="H183" s="6">
        <v>-314.91000000000003</v>
      </c>
      <c r="I183" s="5" t="s">
        <v>29</v>
      </c>
    </row>
    <row r="184" spans="2:9" ht="14.4" x14ac:dyDescent="0.3">
      <c r="B184" s="4">
        <v>44034</v>
      </c>
      <c r="C184" s="5" t="s">
        <v>34</v>
      </c>
      <c r="D184" s="5" t="s">
        <v>35</v>
      </c>
      <c r="E184" s="5" t="s">
        <v>68</v>
      </c>
      <c r="F184" s="6">
        <v>-3</v>
      </c>
      <c r="G184" s="7">
        <v>67.66</v>
      </c>
      <c r="H184" s="6">
        <v>-202.98</v>
      </c>
      <c r="I184" s="5" t="s">
        <v>29</v>
      </c>
    </row>
    <row r="185" spans="2:9" ht="14.4" x14ac:dyDescent="0.3">
      <c r="B185" s="4">
        <v>44035</v>
      </c>
      <c r="C185" s="5" t="s">
        <v>23</v>
      </c>
      <c r="D185" s="5" t="s">
        <v>24</v>
      </c>
      <c r="E185" s="5" t="s">
        <v>68</v>
      </c>
      <c r="F185" s="6">
        <v>-3</v>
      </c>
      <c r="G185" s="7">
        <v>296.44</v>
      </c>
      <c r="H185" s="6">
        <v>-889.32</v>
      </c>
      <c r="I185" s="5" t="s">
        <v>11</v>
      </c>
    </row>
    <row r="186" spans="2:9" ht="14.4" x14ac:dyDescent="0.3">
      <c r="B186" s="4">
        <v>44036</v>
      </c>
      <c r="C186" s="5" t="s">
        <v>25</v>
      </c>
      <c r="D186" s="5" t="s">
        <v>26</v>
      </c>
      <c r="E186" s="5" t="s">
        <v>68</v>
      </c>
      <c r="F186" s="6">
        <v>-3</v>
      </c>
      <c r="G186" s="7">
        <v>178.74</v>
      </c>
      <c r="H186" s="6">
        <v>-536.22</v>
      </c>
      <c r="I186" s="5" t="s">
        <v>11</v>
      </c>
    </row>
    <row r="187" spans="2:9" ht="14.4" x14ac:dyDescent="0.3">
      <c r="B187" s="4">
        <v>44037</v>
      </c>
      <c r="C187" s="5" t="s">
        <v>53</v>
      </c>
      <c r="D187" s="5" t="s">
        <v>54</v>
      </c>
      <c r="E187" s="5" t="s">
        <v>16</v>
      </c>
      <c r="F187" s="6">
        <v>3</v>
      </c>
      <c r="G187" s="7">
        <v>247.98</v>
      </c>
      <c r="H187" s="6">
        <v>743.94</v>
      </c>
      <c r="I187" s="5" t="s">
        <v>29</v>
      </c>
    </row>
    <row r="188" spans="2:9" ht="14.4" x14ac:dyDescent="0.3">
      <c r="B188" s="4">
        <v>44040</v>
      </c>
      <c r="C188" s="5" t="s">
        <v>30</v>
      </c>
      <c r="D188" s="5" t="s">
        <v>31</v>
      </c>
      <c r="E188" s="5" t="s">
        <v>16</v>
      </c>
      <c r="F188" s="6">
        <v>1</v>
      </c>
      <c r="G188" s="7">
        <v>74.540000000000006</v>
      </c>
      <c r="H188" s="6">
        <v>74.540000000000006</v>
      </c>
      <c r="I188" s="5" t="s">
        <v>29</v>
      </c>
    </row>
    <row r="189" spans="2:9" ht="14.4" x14ac:dyDescent="0.3">
      <c r="B189" s="4">
        <v>44041</v>
      </c>
      <c r="C189" s="5" t="s">
        <v>32</v>
      </c>
      <c r="D189" s="5" t="s">
        <v>33</v>
      </c>
      <c r="E189" s="5" t="s">
        <v>10</v>
      </c>
      <c r="F189" s="6">
        <v>9</v>
      </c>
      <c r="G189" s="7">
        <v>123.96</v>
      </c>
      <c r="H189" s="6">
        <v>1115.6400000000001</v>
      </c>
      <c r="I189" s="5" t="s">
        <v>29</v>
      </c>
    </row>
    <row r="190" spans="2:9" ht="14.4" x14ac:dyDescent="0.3">
      <c r="B190" s="9">
        <v>44042</v>
      </c>
      <c r="C190" s="5" t="s">
        <v>34</v>
      </c>
      <c r="D190" s="5" t="s">
        <v>35</v>
      </c>
      <c r="E190" s="5" t="s">
        <v>10</v>
      </c>
      <c r="F190" s="6">
        <v>7</v>
      </c>
      <c r="G190" s="7">
        <v>68.709999999999994</v>
      </c>
      <c r="H190" s="6">
        <v>480.97</v>
      </c>
      <c r="I190" s="5" t="s">
        <v>29</v>
      </c>
    </row>
    <row r="191" spans="2:9" ht="14.4" x14ac:dyDescent="0.3">
      <c r="B191" s="9">
        <v>44043</v>
      </c>
      <c r="C191" s="5" t="s">
        <v>36</v>
      </c>
      <c r="D191" s="5" t="s">
        <v>37</v>
      </c>
      <c r="E191" s="5" t="s">
        <v>10</v>
      </c>
      <c r="F191" s="6">
        <v>1</v>
      </c>
      <c r="G191" s="7">
        <v>36.76</v>
      </c>
      <c r="H191" s="6">
        <v>36.76</v>
      </c>
      <c r="I191" s="5" t="s">
        <v>29</v>
      </c>
    </row>
    <row r="192" spans="2:9" ht="14.4" x14ac:dyDescent="0.3">
      <c r="B192" s="9">
        <v>44044</v>
      </c>
      <c r="C192" s="5" t="s">
        <v>57</v>
      </c>
      <c r="D192" s="5" t="s">
        <v>58</v>
      </c>
      <c r="E192" s="5" t="s">
        <v>10</v>
      </c>
      <c r="F192" s="6">
        <v>8</v>
      </c>
      <c r="G192" s="7">
        <v>96.48</v>
      </c>
      <c r="H192" s="6">
        <v>771.84</v>
      </c>
      <c r="I192" s="5" t="s">
        <v>29</v>
      </c>
    </row>
    <row r="193" spans="2:9" ht="14.4" x14ac:dyDescent="0.3">
      <c r="B193" s="9">
        <v>44047</v>
      </c>
      <c r="C193" s="5" t="s">
        <v>41</v>
      </c>
      <c r="D193" s="5" t="s">
        <v>42</v>
      </c>
      <c r="E193" s="5" t="s">
        <v>16</v>
      </c>
      <c r="F193" s="6">
        <v>6</v>
      </c>
      <c r="G193" s="7">
        <v>24.23</v>
      </c>
      <c r="H193" s="6">
        <v>145.38</v>
      </c>
      <c r="I193" s="5" t="s">
        <v>40</v>
      </c>
    </row>
    <row r="194" spans="2:9" ht="14.4" x14ac:dyDescent="0.3">
      <c r="B194" s="9">
        <v>44048</v>
      </c>
      <c r="C194" s="5" t="s">
        <v>43</v>
      </c>
      <c r="D194" s="5" t="s">
        <v>44</v>
      </c>
      <c r="E194" s="5" t="s">
        <v>16</v>
      </c>
      <c r="F194" s="6">
        <v>2</v>
      </c>
      <c r="G194" s="7">
        <v>201.64</v>
      </c>
      <c r="H194" s="6">
        <v>403.28</v>
      </c>
      <c r="I194" s="5" t="s">
        <v>40</v>
      </c>
    </row>
    <row r="195" spans="2:9" ht="14.4" x14ac:dyDescent="0.3">
      <c r="B195" s="9">
        <v>44049</v>
      </c>
      <c r="C195" s="5" t="s">
        <v>45</v>
      </c>
      <c r="D195" s="5" t="s">
        <v>46</v>
      </c>
      <c r="E195" s="5" t="s">
        <v>10</v>
      </c>
      <c r="F195" s="6">
        <v>8</v>
      </c>
      <c r="G195" s="7">
        <v>42.03</v>
      </c>
      <c r="H195" s="6">
        <v>336.24</v>
      </c>
      <c r="I195" s="5" t="s">
        <v>40</v>
      </c>
    </row>
    <row r="196" spans="2:9" ht="14.4" x14ac:dyDescent="0.3">
      <c r="B196" s="9">
        <v>44050</v>
      </c>
      <c r="C196" s="5" t="s">
        <v>47</v>
      </c>
      <c r="D196" s="5" t="s">
        <v>48</v>
      </c>
      <c r="E196" s="5" t="s">
        <v>16</v>
      </c>
      <c r="F196" s="6">
        <v>4</v>
      </c>
      <c r="G196" s="7">
        <v>9.3000000000000007</v>
      </c>
      <c r="H196" s="6">
        <v>37.200000000000003</v>
      </c>
      <c r="I196" s="5" t="s">
        <v>40</v>
      </c>
    </row>
    <row r="197" spans="2:9" ht="14.4" x14ac:dyDescent="0.3">
      <c r="B197" s="9">
        <v>44051</v>
      </c>
      <c r="C197" s="5" t="s">
        <v>61</v>
      </c>
      <c r="D197" s="5" t="s">
        <v>62</v>
      </c>
      <c r="E197" s="5" t="s">
        <v>10</v>
      </c>
      <c r="F197" s="6">
        <v>5</v>
      </c>
      <c r="G197" s="7">
        <v>100.96</v>
      </c>
      <c r="H197" s="6">
        <v>504.8</v>
      </c>
      <c r="I197" s="5" t="s">
        <v>40</v>
      </c>
    </row>
    <row r="198" spans="2:9" ht="14.4" x14ac:dyDescent="0.3">
      <c r="B198" s="4">
        <v>44054</v>
      </c>
      <c r="C198" s="5" t="s">
        <v>45</v>
      </c>
      <c r="D198" s="5" t="s">
        <v>46</v>
      </c>
      <c r="E198" s="5" t="s">
        <v>16</v>
      </c>
      <c r="F198" s="6">
        <v>6</v>
      </c>
      <c r="G198" s="7">
        <v>43.66</v>
      </c>
      <c r="H198" s="6">
        <v>261.95999999999998</v>
      </c>
      <c r="I198" s="5" t="s">
        <v>40</v>
      </c>
    </row>
    <row r="199" spans="2:9" ht="14.4" x14ac:dyDescent="0.3">
      <c r="B199" s="4">
        <v>44055</v>
      </c>
      <c r="C199" s="5" t="s">
        <v>47</v>
      </c>
      <c r="D199" s="5" t="s">
        <v>48</v>
      </c>
      <c r="E199" s="5" t="s">
        <v>16</v>
      </c>
      <c r="F199" s="6">
        <v>9</v>
      </c>
      <c r="G199" s="7">
        <v>10.09</v>
      </c>
      <c r="H199" s="6">
        <v>90.81</v>
      </c>
      <c r="I199" s="5" t="s">
        <v>40</v>
      </c>
    </row>
    <row r="200" spans="2:9" ht="14.4" x14ac:dyDescent="0.3">
      <c r="B200" s="4">
        <v>44056</v>
      </c>
      <c r="C200" s="5" t="s">
        <v>61</v>
      </c>
      <c r="D200" s="5" t="s">
        <v>62</v>
      </c>
      <c r="E200" s="5" t="s">
        <v>16</v>
      </c>
      <c r="F200" s="6">
        <v>5</v>
      </c>
      <c r="G200" s="7">
        <v>99.43</v>
      </c>
      <c r="H200" s="6">
        <v>497.15</v>
      </c>
      <c r="I200" s="5" t="s">
        <v>40</v>
      </c>
    </row>
    <row r="201" spans="2:9" ht="14.4" x14ac:dyDescent="0.3">
      <c r="B201" s="4">
        <v>44057</v>
      </c>
      <c r="C201" s="5" t="s">
        <v>63</v>
      </c>
      <c r="D201" s="5" t="s">
        <v>64</v>
      </c>
      <c r="E201" s="5" t="s">
        <v>68</v>
      </c>
      <c r="F201" s="6">
        <v>-2</v>
      </c>
      <c r="G201" s="7">
        <v>10.7</v>
      </c>
      <c r="H201" s="6">
        <v>-21.4</v>
      </c>
      <c r="I201" s="5" t="s">
        <v>40</v>
      </c>
    </row>
    <row r="202" spans="2:9" ht="14.4" x14ac:dyDescent="0.3">
      <c r="B202" s="4">
        <v>44058</v>
      </c>
      <c r="C202" s="5" t="s">
        <v>49</v>
      </c>
      <c r="D202" s="5" t="s">
        <v>50</v>
      </c>
      <c r="E202" s="5" t="s">
        <v>68</v>
      </c>
      <c r="F202" s="6">
        <v>-1</v>
      </c>
      <c r="G202" s="7">
        <v>102.41</v>
      </c>
      <c r="H202" s="6">
        <v>-102.41</v>
      </c>
      <c r="I202" s="5" t="s">
        <v>40</v>
      </c>
    </row>
    <row r="203" spans="2:9" ht="14.4" x14ac:dyDescent="0.3">
      <c r="B203" s="4">
        <v>44061</v>
      </c>
      <c r="C203" s="5" t="s">
        <v>55</v>
      </c>
      <c r="D203" s="5" t="s">
        <v>56</v>
      </c>
      <c r="E203" s="5" t="s">
        <v>68</v>
      </c>
      <c r="F203" s="6">
        <v>-5</v>
      </c>
      <c r="G203" s="7">
        <v>283.11</v>
      </c>
      <c r="H203" s="6">
        <v>-1415.55</v>
      </c>
      <c r="I203" s="5" t="s">
        <v>29</v>
      </c>
    </row>
    <row r="204" spans="2:9" ht="14.4" x14ac:dyDescent="0.3">
      <c r="B204" s="4">
        <v>44062</v>
      </c>
      <c r="C204" s="5" t="s">
        <v>27</v>
      </c>
      <c r="D204" s="5" t="s">
        <v>28</v>
      </c>
      <c r="E204" s="5" t="s">
        <v>68</v>
      </c>
      <c r="F204" s="6">
        <v>-1</v>
      </c>
      <c r="G204" s="7">
        <v>84.27</v>
      </c>
      <c r="H204" s="6">
        <v>-84.27</v>
      </c>
      <c r="I204" s="5" t="s">
        <v>29</v>
      </c>
    </row>
    <row r="205" spans="2:9" ht="14.4" x14ac:dyDescent="0.3">
      <c r="B205" s="4">
        <v>44063</v>
      </c>
      <c r="C205" s="5" t="s">
        <v>30</v>
      </c>
      <c r="D205" s="5" t="s">
        <v>31</v>
      </c>
      <c r="E205" s="5" t="s">
        <v>68</v>
      </c>
      <c r="F205" s="6">
        <v>-1</v>
      </c>
      <c r="G205" s="7">
        <v>65.7</v>
      </c>
      <c r="H205" s="6">
        <v>-65.7</v>
      </c>
      <c r="I205" s="5" t="s">
        <v>29</v>
      </c>
    </row>
    <row r="206" spans="2:9" ht="14.4" x14ac:dyDescent="0.3">
      <c r="B206" s="4">
        <v>44064</v>
      </c>
      <c r="C206" s="5" t="s">
        <v>32</v>
      </c>
      <c r="D206" s="5" t="s">
        <v>33</v>
      </c>
      <c r="E206" s="5" t="s">
        <v>68</v>
      </c>
      <c r="F206" s="6">
        <v>-5</v>
      </c>
      <c r="G206" s="7">
        <v>131.15</v>
      </c>
      <c r="H206" s="6">
        <v>-655.75</v>
      </c>
      <c r="I206" s="5" t="s">
        <v>29</v>
      </c>
    </row>
    <row r="207" spans="2:9" ht="14.4" x14ac:dyDescent="0.3">
      <c r="B207" s="4">
        <v>44065</v>
      </c>
      <c r="C207" s="5" t="s">
        <v>34</v>
      </c>
      <c r="D207" s="5" t="s">
        <v>35</v>
      </c>
      <c r="E207" s="5" t="s">
        <v>68</v>
      </c>
      <c r="F207" s="6">
        <v>-2</v>
      </c>
      <c r="G207" s="7">
        <v>66.150000000000006</v>
      </c>
      <c r="H207" s="6">
        <v>-132.30000000000001</v>
      </c>
      <c r="I207" s="5" t="s">
        <v>29</v>
      </c>
    </row>
    <row r="208" spans="2:9" ht="14.4" x14ac:dyDescent="0.3">
      <c r="B208" s="4">
        <v>44068</v>
      </c>
      <c r="C208" s="5" t="s">
        <v>8</v>
      </c>
      <c r="D208" s="5" t="s">
        <v>9</v>
      </c>
      <c r="E208" s="5" t="s">
        <v>68</v>
      </c>
      <c r="F208" s="6">
        <v>-1</v>
      </c>
      <c r="G208" s="7">
        <v>83.08</v>
      </c>
      <c r="H208" s="6">
        <v>-83.08</v>
      </c>
      <c r="I208" s="5" t="s">
        <v>11</v>
      </c>
    </row>
    <row r="209" spans="2:9" ht="14.4" x14ac:dyDescent="0.3">
      <c r="B209" s="4">
        <v>44069</v>
      </c>
      <c r="C209" s="5" t="s">
        <v>12</v>
      </c>
      <c r="D209" s="5" t="s">
        <v>13</v>
      </c>
      <c r="E209" s="5" t="s">
        <v>68</v>
      </c>
      <c r="F209" s="6">
        <v>-4</v>
      </c>
      <c r="G209" s="7">
        <v>111</v>
      </c>
      <c r="H209" s="6">
        <v>-444</v>
      </c>
      <c r="I209" s="5" t="s">
        <v>11</v>
      </c>
    </row>
    <row r="210" spans="2:9" ht="14.4" x14ac:dyDescent="0.3">
      <c r="B210" s="4">
        <v>44070</v>
      </c>
      <c r="C210" s="5" t="s">
        <v>14</v>
      </c>
      <c r="D210" s="5" t="s">
        <v>15</v>
      </c>
      <c r="E210" s="5" t="s">
        <v>68</v>
      </c>
      <c r="F210" s="6">
        <v>-2</v>
      </c>
      <c r="G210" s="7">
        <v>109.05</v>
      </c>
      <c r="H210" s="6">
        <v>-218.1</v>
      </c>
      <c r="I210" s="5" t="s">
        <v>11</v>
      </c>
    </row>
    <row r="211" spans="2:9" ht="14.4" x14ac:dyDescent="0.3">
      <c r="B211" s="9">
        <v>44071</v>
      </c>
      <c r="C211" s="5" t="s">
        <v>66</v>
      </c>
      <c r="D211" s="5" t="s">
        <v>67</v>
      </c>
      <c r="E211" s="5" t="s">
        <v>68</v>
      </c>
      <c r="F211" s="6">
        <v>-4</v>
      </c>
      <c r="G211" s="7">
        <v>109.36</v>
      </c>
      <c r="H211" s="6">
        <v>-437.44</v>
      </c>
      <c r="I211" s="5" t="s">
        <v>11</v>
      </c>
    </row>
    <row r="212" spans="2:9" ht="14.4" x14ac:dyDescent="0.3">
      <c r="B212" s="9">
        <v>44072</v>
      </c>
      <c r="C212" s="5" t="s">
        <v>65</v>
      </c>
      <c r="D212" s="5" t="s">
        <v>65</v>
      </c>
      <c r="E212" s="5" t="s">
        <v>68</v>
      </c>
      <c r="F212" s="6">
        <v>-4</v>
      </c>
      <c r="G212" s="7">
        <v>115.34</v>
      </c>
      <c r="H212" s="6">
        <v>-461.36</v>
      </c>
      <c r="I212" s="5" t="s">
        <v>11</v>
      </c>
    </row>
    <row r="213" spans="2:9" ht="14.4" x14ac:dyDescent="0.3">
      <c r="B213" s="9">
        <v>44075</v>
      </c>
      <c r="C213" s="5" t="s">
        <v>21</v>
      </c>
      <c r="D213" s="5" t="s">
        <v>22</v>
      </c>
      <c r="E213" s="5" t="s">
        <v>68</v>
      </c>
      <c r="F213" s="6">
        <v>-5</v>
      </c>
      <c r="G213" s="7">
        <v>123.31</v>
      </c>
      <c r="H213" s="6">
        <v>-616.54999999999995</v>
      </c>
      <c r="I213" s="5" t="s">
        <v>11</v>
      </c>
    </row>
    <row r="214" spans="2:9" ht="14.4" x14ac:dyDescent="0.3">
      <c r="B214" s="9">
        <v>44076</v>
      </c>
      <c r="C214" s="5" t="s">
        <v>23</v>
      </c>
      <c r="D214" s="5" t="s">
        <v>24</v>
      </c>
      <c r="E214" s="5" t="s">
        <v>68</v>
      </c>
      <c r="F214" s="6">
        <v>-5</v>
      </c>
      <c r="G214" s="7">
        <v>347.18</v>
      </c>
      <c r="H214" s="6">
        <v>-1735.9</v>
      </c>
      <c r="I214" s="5" t="s">
        <v>11</v>
      </c>
    </row>
    <row r="215" spans="2:9" ht="14.4" x14ac:dyDescent="0.3">
      <c r="B215" s="9">
        <v>44077</v>
      </c>
      <c r="C215" s="5" t="s">
        <v>25</v>
      </c>
      <c r="D215" s="5" t="s">
        <v>26</v>
      </c>
      <c r="E215" s="5" t="s">
        <v>10</v>
      </c>
      <c r="F215" s="6">
        <v>9</v>
      </c>
      <c r="G215" s="7">
        <v>168.45</v>
      </c>
      <c r="H215" s="6">
        <v>1516.05</v>
      </c>
      <c r="I215" s="5" t="s">
        <v>11</v>
      </c>
    </row>
    <row r="216" spans="2:9" ht="14.4" x14ac:dyDescent="0.3">
      <c r="B216" s="9">
        <v>44078</v>
      </c>
      <c r="C216" s="5" t="s">
        <v>8</v>
      </c>
      <c r="D216" s="5" t="s">
        <v>9</v>
      </c>
      <c r="E216" s="5" t="s">
        <v>16</v>
      </c>
      <c r="F216" s="6">
        <v>4</v>
      </c>
      <c r="G216" s="7">
        <v>82.54</v>
      </c>
      <c r="H216" s="6">
        <v>330.16</v>
      </c>
      <c r="I216" s="5" t="s">
        <v>11</v>
      </c>
    </row>
    <row r="217" spans="2:9" ht="14.4" x14ac:dyDescent="0.3">
      <c r="B217" s="9">
        <v>44079</v>
      </c>
      <c r="C217" s="5" t="s">
        <v>12</v>
      </c>
      <c r="D217" s="5" t="s">
        <v>13</v>
      </c>
      <c r="E217" s="5" t="s">
        <v>16</v>
      </c>
      <c r="F217" s="6">
        <v>2</v>
      </c>
      <c r="G217" s="7">
        <v>108.43</v>
      </c>
      <c r="H217" s="6">
        <v>216.86</v>
      </c>
      <c r="I217" s="5" t="s">
        <v>11</v>
      </c>
    </row>
    <row r="218" spans="2:9" ht="14.4" x14ac:dyDescent="0.3">
      <c r="B218" s="9">
        <v>44083</v>
      </c>
      <c r="C218" s="5" t="s">
        <v>17</v>
      </c>
      <c r="D218" s="5" t="s">
        <v>18</v>
      </c>
      <c r="E218" s="5" t="s">
        <v>10</v>
      </c>
      <c r="F218" s="6">
        <v>6</v>
      </c>
      <c r="G218" s="7">
        <v>40</v>
      </c>
      <c r="H218" s="6">
        <v>240</v>
      </c>
      <c r="I218" s="5" t="s">
        <v>11</v>
      </c>
    </row>
    <row r="219" spans="2:9" ht="14.4" x14ac:dyDescent="0.3">
      <c r="B219" s="9">
        <v>44084</v>
      </c>
      <c r="C219" s="5" t="s">
        <v>19</v>
      </c>
      <c r="D219" s="5" t="s">
        <v>20</v>
      </c>
      <c r="E219" s="5" t="s">
        <v>10</v>
      </c>
      <c r="F219" s="6">
        <v>5</v>
      </c>
      <c r="G219" s="7">
        <v>49.62</v>
      </c>
      <c r="H219" s="6">
        <v>248.1</v>
      </c>
      <c r="I219" s="5" t="s">
        <v>11</v>
      </c>
    </row>
    <row r="220" spans="2:9" ht="14.4" x14ac:dyDescent="0.3">
      <c r="B220" s="4">
        <v>44085</v>
      </c>
      <c r="C220" s="5" t="s">
        <v>21</v>
      </c>
      <c r="D220" s="5" t="s">
        <v>22</v>
      </c>
      <c r="E220" s="5" t="s">
        <v>10</v>
      </c>
      <c r="F220" s="6">
        <v>9</v>
      </c>
      <c r="G220" s="7">
        <v>120.56</v>
      </c>
      <c r="H220" s="6">
        <v>1085.04</v>
      </c>
      <c r="I220" s="5" t="s">
        <v>11</v>
      </c>
    </row>
    <row r="221" spans="2:9" ht="14.4" x14ac:dyDescent="0.3">
      <c r="B221" s="4">
        <v>44086</v>
      </c>
      <c r="C221" s="5" t="s">
        <v>23</v>
      </c>
      <c r="D221" s="5" t="s">
        <v>24</v>
      </c>
      <c r="E221" s="5" t="s">
        <v>16</v>
      </c>
      <c r="F221" s="6">
        <v>6</v>
      </c>
      <c r="G221" s="7">
        <v>315</v>
      </c>
      <c r="H221" s="6">
        <v>1890</v>
      </c>
      <c r="I221" s="5" t="s">
        <v>11</v>
      </c>
    </row>
    <row r="222" spans="2:9" ht="14.4" x14ac:dyDescent="0.3">
      <c r="B222" s="4">
        <v>44089</v>
      </c>
      <c r="C222" s="5" t="s">
        <v>47</v>
      </c>
      <c r="D222" s="5" t="s">
        <v>48</v>
      </c>
      <c r="E222" s="5" t="s">
        <v>10</v>
      </c>
      <c r="F222" s="6">
        <v>3</v>
      </c>
      <c r="G222" s="7">
        <v>10.119999999999999</v>
      </c>
      <c r="H222" s="6">
        <v>30.36</v>
      </c>
      <c r="I222" s="5" t="s">
        <v>40</v>
      </c>
    </row>
    <row r="223" spans="2:9" ht="14.4" x14ac:dyDescent="0.3">
      <c r="B223" s="4">
        <v>44090</v>
      </c>
      <c r="C223" s="5" t="s">
        <v>61</v>
      </c>
      <c r="D223" s="5" t="s">
        <v>62</v>
      </c>
      <c r="E223" s="5" t="s">
        <v>16</v>
      </c>
      <c r="F223" s="6">
        <v>3</v>
      </c>
      <c r="G223" s="7">
        <v>100.53</v>
      </c>
      <c r="H223" s="6">
        <v>301.58999999999997</v>
      </c>
      <c r="I223" s="5" t="s">
        <v>40</v>
      </c>
    </row>
    <row r="224" spans="2:9" ht="14.4" x14ac:dyDescent="0.3">
      <c r="B224" s="4">
        <v>44091</v>
      </c>
      <c r="C224" s="5" t="s">
        <v>63</v>
      </c>
      <c r="D224" s="5" t="s">
        <v>64</v>
      </c>
      <c r="E224" s="5" t="s">
        <v>10</v>
      </c>
      <c r="F224" s="6">
        <v>8</v>
      </c>
      <c r="G224" s="7">
        <v>10.89</v>
      </c>
      <c r="H224" s="6">
        <v>87.12</v>
      </c>
      <c r="I224" s="5" t="s">
        <v>40</v>
      </c>
    </row>
    <row r="225" spans="2:9" ht="14.4" x14ac:dyDescent="0.3">
      <c r="B225" s="4">
        <v>44092</v>
      </c>
      <c r="C225" s="5" t="s">
        <v>49</v>
      </c>
      <c r="D225" s="5" t="s">
        <v>50</v>
      </c>
      <c r="E225" s="5" t="s">
        <v>10</v>
      </c>
      <c r="F225" s="6">
        <v>6</v>
      </c>
      <c r="G225" s="7">
        <v>98.56</v>
      </c>
      <c r="H225" s="6">
        <v>591.36</v>
      </c>
      <c r="I225" s="5" t="s">
        <v>40</v>
      </c>
    </row>
    <row r="226" spans="2:9" ht="14.4" x14ac:dyDescent="0.3">
      <c r="B226" s="4">
        <v>44093</v>
      </c>
      <c r="C226" s="5" t="s">
        <v>51</v>
      </c>
      <c r="D226" s="5" t="s">
        <v>52</v>
      </c>
      <c r="E226" s="5" t="s">
        <v>10</v>
      </c>
      <c r="F226" s="6">
        <v>5</v>
      </c>
      <c r="G226" s="7">
        <v>12.65</v>
      </c>
      <c r="H226" s="6">
        <v>63.25</v>
      </c>
      <c r="I226" s="5" t="s">
        <v>40</v>
      </c>
    </row>
    <row r="227" spans="2:9" ht="14.4" x14ac:dyDescent="0.3">
      <c r="B227" s="4">
        <v>44096</v>
      </c>
      <c r="C227" s="5" t="s">
        <v>27</v>
      </c>
      <c r="D227" s="5" t="s">
        <v>28</v>
      </c>
      <c r="E227" s="5" t="s">
        <v>16</v>
      </c>
      <c r="F227" s="6">
        <v>2</v>
      </c>
      <c r="G227" s="7">
        <v>80.25</v>
      </c>
      <c r="H227" s="6">
        <v>160.5</v>
      </c>
      <c r="I227" s="5" t="s">
        <v>29</v>
      </c>
    </row>
    <row r="228" spans="2:9" ht="14.4" x14ac:dyDescent="0.3">
      <c r="B228" s="4">
        <v>44097</v>
      </c>
      <c r="C228" s="5" t="s">
        <v>30</v>
      </c>
      <c r="D228" s="5" t="s">
        <v>31</v>
      </c>
      <c r="E228" s="5" t="s">
        <v>10</v>
      </c>
      <c r="F228" s="6">
        <v>10</v>
      </c>
      <c r="G228" s="7">
        <v>63.4</v>
      </c>
      <c r="H228" s="6">
        <v>634</v>
      </c>
      <c r="I228" s="5" t="s">
        <v>29</v>
      </c>
    </row>
    <row r="229" spans="2:9" ht="14.4" x14ac:dyDescent="0.3">
      <c r="B229" s="4">
        <v>44098</v>
      </c>
      <c r="C229" s="5" t="s">
        <v>32</v>
      </c>
      <c r="D229" s="5" t="s">
        <v>33</v>
      </c>
      <c r="E229" s="5" t="s">
        <v>16</v>
      </c>
      <c r="F229" s="6">
        <v>8</v>
      </c>
      <c r="G229" s="7">
        <v>116.33</v>
      </c>
      <c r="H229" s="6">
        <v>930.64</v>
      </c>
      <c r="I229" s="5" t="s">
        <v>29</v>
      </c>
    </row>
    <row r="230" spans="2:9" ht="14.4" x14ac:dyDescent="0.3">
      <c r="B230" s="4">
        <v>44099</v>
      </c>
      <c r="C230" s="5" t="s">
        <v>34</v>
      </c>
      <c r="D230" s="5" t="s">
        <v>35</v>
      </c>
      <c r="E230" s="5" t="s">
        <v>10</v>
      </c>
      <c r="F230" s="6">
        <v>5</v>
      </c>
      <c r="G230" s="7">
        <v>58.28</v>
      </c>
      <c r="H230" s="6">
        <v>291.39999999999998</v>
      </c>
      <c r="I230" s="5" t="s">
        <v>29</v>
      </c>
    </row>
    <row r="231" spans="2:9" ht="14.4" x14ac:dyDescent="0.3">
      <c r="B231" s="4">
        <v>44100</v>
      </c>
      <c r="C231" s="5" t="s">
        <v>36</v>
      </c>
      <c r="D231" s="5" t="s">
        <v>37</v>
      </c>
      <c r="E231" s="5" t="s">
        <v>10</v>
      </c>
      <c r="F231" s="6">
        <v>4</v>
      </c>
      <c r="G231" s="7">
        <v>34.200000000000003</v>
      </c>
      <c r="H231" s="6">
        <v>136.80000000000001</v>
      </c>
      <c r="I231" s="5" t="s">
        <v>29</v>
      </c>
    </row>
    <row r="232" spans="2:9" ht="14.4" x14ac:dyDescent="0.3">
      <c r="B232" s="9">
        <v>44103</v>
      </c>
      <c r="C232" s="5" t="s">
        <v>12</v>
      </c>
      <c r="D232" s="5" t="s">
        <v>13</v>
      </c>
      <c r="E232" s="5" t="s">
        <v>16</v>
      </c>
      <c r="F232" s="6">
        <v>10</v>
      </c>
      <c r="G232" s="7">
        <v>110.97</v>
      </c>
      <c r="H232" s="6">
        <v>1109.7</v>
      </c>
      <c r="I232" s="5" t="s">
        <v>11</v>
      </c>
    </row>
    <row r="233" spans="2:9" ht="14.4" x14ac:dyDescent="0.3">
      <c r="B233" s="9">
        <v>44104</v>
      </c>
      <c r="C233" s="5" t="s">
        <v>14</v>
      </c>
      <c r="D233" s="5" t="s">
        <v>15</v>
      </c>
      <c r="E233" s="5" t="s">
        <v>16</v>
      </c>
      <c r="F233" s="6">
        <v>2</v>
      </c>
      <c r="G233" s="7">
        <v>108.63</v>
      </c>
      <c r="H233" s="6">
        <v>217.26</v>
      </c>
      <c r="I233" s="5" t="s">
        <v>11</v>
      </c>
    </row>
    <row r="234" spans="2:9" ht="14.4" x14ac:dyDescent="0.3">
      <c r="B234" s="9">
        <v>44105</v>
      </c>
      <c r="C234" s="5" t="s">
        <v>66</v>
      </c>
      <c r="D234" s="5" t="s">
        <v>67</v>
      </c>
      <c r="E234" s="5" t="s">
        <v>10</v>
      </c>
      <c r="F234" s="6">
        <v>6</v>
      </c>
      <c r="G234" s="7">
        <v>106.63</v>
      </c>
      <c r="H234" s="6">
        <v>639.78</v>
      </c>
      <c r="I234" s="5" t="s">
        <v>11</v>
      </c>
    </row>
    <row r="235" spans="2:9" ht="14.4" x14ac:dyDescent="0.3">
      <c r="B235" s="9">
        <v>44106</v>
      </c>
      <c r="C235" s="5" t="s">
        <v>65</v>
      </c>
      <c r="D235" s="5" t="s">
        <v>65</v>
      </c>
      <c r="E235" s="5" t="s">
        <v>16</v>
      </c>
      <c r="F235" s="6">
        <v>5</v>
      </c>
      <c r="G235" s="7">
        <v>123.5</v>
      </c>
      <c r="H235" s="6">
        <v>617.5</v>
      </c>
      <c r="I235" s="5" t="s">
        <v>11</v>
      </c>
    </row>
    <row r="236" spans="2:9" ht="14.4" x14ac:dyDescent="0.3">
      <c r="B236" s="9">
        <v>44107</v>
      </c>
      <c r="C236" s="5" t="s">
        <v>17</v>
      </c>
      <c r="D236" s="5" t="s">
        <v>18</v>
      </c>
      <c r="E236" s="5" t="s">
        <v>10</v>
      </c>
      <c r="F236" s="6">
        <v>3</v>
      </c>
      <c r="G236" s="7">
        <v>38.270000000000003</v>
      </c>
      <c r="H236" s="6">
        <v>114.81</v>
      </c>
      <c r="I236" s="5" t="s">
        <v>11</v>
      </c>
    </row>
    <row r="237" spans="2:9" ht="14.4" x14ac:dyDescent="0.3">
      <c r="B237" s="9">
        <v>44110</v>
      </c>
      <c r="C237" s="5" t="s">
        <v>23</v>
      </c>
      <c r="D237" s="5" t="s">
        <v>24</v>
      </c>
      <c r="E237" s="5" t="s">
        <v>16</v>
      </c>
      <c r="F237" s="6">
        <v>4</v>
      </c>
      <c r="G237" s="7">
        <v>331.36</v>
      </c>
      <c r="H237" s="6">
        <v>1325.44</v>
      </c>
      <c r="I237" s="5" t="s">
        <v>11</v>
      </c>
    </row>
    <row r="238" spans="2:9" ht="14.4" x14ac:dyDescent="0.3">
      <c r="B238" s="9">
        <v>44111</v>
      </c>
      <c r="C238" s="5" t="s">
        <v>25</v>
      </c>
      <c r="D238" s="5" t="s">
        <v>26</v>
      </c>
      <c r="E238" s="5" t="s">
        <v>16</v>
      </c>
      <c r="F238" s="6">
        <v>4</v>
      </c>
      <c r="G238" s="7">
        <v>173.97</v>
      </c>
      <c r="H238" s="6">
        <v>695.88</v>
      </c>
      <c r="I238" s="5" t="s">
        <v>11</v>
      </c>
    </row>
    <row r="239" spans="2:9" ht="14.4" x14ac:dyDescent="0.3">
      <c r="B239" s="9">
        <v>44112</v>
      </c>
      <c r="C239" s="5" t="s">
        <v>53</v>
      </c>
      <c r="D239" s="5" t="s">
        <v>54</v>
      </c>
      <c r="E239" s="5" t="s">
        <v>16</v>
      </c>
      <c r="F239" s="6">
        <v>3</v>
      </c>
      <c r="G239" s="7">
        <v>257.67</v>
      </c>
      <c r="H239" s="6">
        <v>773.01</v>
      </c>
      <c r="I239" s="5" t="s">
        <v>29</v>
      </c>
    </row>
    <row r="240" spans="2:9" ht="14.4" x14ac:dyDescent="0.3">
      <c r="B240" s="4">
        <v>44113</v>
      </c>
      <c r="C240" s="5" t="s">
        <v>55</v>
      </c>
      <c r="D240" s="5" t="s">
        <v>56</v>
      </c>
      <c r="E240" s="5" t="s">
        <v>10</v>
      </c>
      <c r="F240" s="6">
        <v>10</v>
      </c>
      <c r="G240" s="7">
        <v>293.29000000000002</v>
      </c>
      <c r="H240" s="6">
        <v>2932.9</v>
      </c>
      <c r="I240" s="5" t="s">
        <v>29</v>
      </c>
    </row>
    <row r="241" spans="2:9" ht="14.4" x14ac:dyDescent="0.3">
      <c r="B241" s="4">
        <v>44114</v>
      </c>
      <c r="C241" s="5" t="s">
        <v>27</v>
      </c>
      <c r="D241" s="5" t="s">
        <v>28</v>
      </c>
      <c r="E241" s="5" t="s">
        <v>16</v>
      </c>
      <c r="F241" s="6">
        <v>7</v>
      </c>
      <c r="G241" s="7">
        <v>78.5</v>
      </c>
      <c r="H241" s="6">
        <v>549.5</v>
      </c>
      <c r="I241" s="5" t="s">
        <v>29</v>
      </c>
    </row>
    <row r="242" spans="2:9" ht="14.4" x14ac:dyDescent="0.3">
      <c r="B242" s="4">
        <v>44117</v>
      </c>
      <c r="C242" s="5" t="s">
        <v>34</v>
      </c>
      <c r="D242" s="5" t="s">
        <v>35</v>
      </c>
      <c r="E242" s="5" t="s">
        <v>10</v>
      </c>
      <c r="F242" s="6">
        <v>5</v>
      </c>
      <c r="G242" s="7">
        <v>59.89</v>
      </c>
      <c r="H242" s="6">
        <v>299.45</v>
      </c>
      <c r="I242" s="5" t="s">
        <v>29</v>
      </c>
    </row>
    <row r="243" spans="2:9" ht="14.4" x14ac:dyDescent="0.3">
      <c r="B243" s="4">
        <v>44118</v>
      </c>
      <c r="C243" s="5" t="s">
        <v>36</v>
      </c>
      <c r="D243" s="5" t="s">
        <v>37</v>
      </c>
      <c r="E243" s="5" t="s">
        <v>16</v>
      </c>
      <c r="F243" s="6">
        <v>5</v>
      </c>
      <c r="G243" s="7">
        <v>35.01</v>
      </c>
      <c r="H243" s="6">
        <v>175.05</v>
      </c>
      <c r="I243" s="5" t="s">
        <v>29</v>
      </c>
    </row>
    <row r="244" spans="2:9" ht="14.4" x14ac:dyDescent="0.3">
      <c r="B244" s="4">
        <v>44119</v>
      </c>
      <c r="C244" s="5" t="s">
        <v>57</v>
      </c>
      <c r="D244" s="5" t="s">
        <v>58</v>
      </c>
      <c r="E244" s="5" t="s">
        <v>16</v>
      </c>
      <c r="F244" s="6">
        <v>10</v>
      </c>
      <c r="G244" s="7">
        <v>107.56</v>
      </c>
      <c r="H244" s="6">
        <v>1075.5999999999999</v>
      </c>
      <c r="I244" s="5" t="s">
        <v>29</v>
      </c>
    </row>
    <row r="245" spans="2:9" ht="14.4" x14ac:dyDescent="0.3">
      <c r="B245" s="4">
        <v>44120</v>
      </c>
      <c r="C245" s="5" t="s">
        <v>59</v>
      </c>
      <c r="D245" s="5" t="s">
        <v>60</v>
      </c>
      <c r="E245" s="5" t="s">
        <v>16</v>
      </c>
      <c r="F245" s="6">
        <v>2</v>
      </c>
      <c r="G245" s="7">
        <v>78.819999999999993</v>
      </c>
      <c r="H245" s="6">
        <v>157.63999999999999</v>
      </c>
      <c r="I245" s="5" t="s">
        <v>40</v>
      </c>
    </row>
    <row r="246" spans="2:9" ht="14.4" x14ac:dyDescent="0.3">
      <c r="B246" s="4">
        <v>44121</v>
      </c>
      <c r="C246" s="5" t="s">
        <v>38</v>
      </c>
      <c r="D246" s="5" t="s">
        <v>39</v>
      </c>
      <c r="E246" s="5" t="s">
        <v>10</v>
      </c>
      <c r="F246" s="6">
        <v>2</v>
      </c>
      <c r="G246" s="7">
        <v>43.19</v>
      </c>
      <c r="H246" s="6">
        <v>86.38</v>
      </c>
      <c r="I246" s="5" t="s">
        <v>40</v>
      </c>
    </row>
    <row r="247" spans="2:9" ht="14.4" x14ac:dyDescent="0.3">
      <c r="B247" s="4">
        <v>44124</v>
      </c>
      <c r="C247" s="5" t="s">
        <v>45</v>
      </c>
      <c r="D247" s="5" t="s">
        <v>46</v>
      </c>
      <c r="E247" s="5" t="s">
        <v>10</v>
      </c>
      <c r="F247" s="6">
        <v>5</v>
      </c>
      <c r="G247" s="7">
        <v>37.19</v>
      </c>
      <c r="H247" s="6">
        <v>185.95</v>
      </c>
      <c r="I247" s="5" t="s">
        <v>40</v>
      </c>
    </row>
    <row r="248" spans="2:9" ht="14.4" x14ac:dyDescent="0.3">
      <c r="B248" s="4">
        <v>44125</v>
      </c>
      <c r="C248" s="5" t="s">
        <v>47</v>
      </c>
      <c r="D248" s="5" t="s">
        <v>48</v>
      </c>
      <c r="E248" s="5" t="s">
        <v>10</v>
      </c>
      <c r="F248" s="6">
        <v>2</v>
      </c>
      <c r="G248" s="7">
        <v>9.8800000000000008</v>
      </c>
      <c r="H248" s="6">
        <v>19.760000000000002</v>
      </c>
      <c r="I248" s="5" t="s">
        <v>40</v>
      </c>
    </row>
    <row r="249" spans="2:9" ht="14.4" x14ac:dyDescent="0.3">
      <c r="B249" s="4">
        <v>44126</v>
      </c>
      <c r="C249" s="5" t="s">
        <v>61</v>
      </c>
      <c r="D249" s="5" t="s">
        <v>62</v>
      </c>
      <c r="E249" s="5" t="s">
        <v>16</v>
      </c>
      <c r="F249" s="6">
        <v>5</v>
      </c>
      <c r="G249" s="7">
        <v>99.47</v>
      </c>
      <c r="H249" s="6">
        <v>497.35</v>
      </c>
      <c r="I249" s="5" t="s">
        <v>40</v>
      </c>
    </row>
    <row r="250" spans="2:9" ht="14.4" x14ac:dyDescent="0.3">
      <c r="B250" s="4">
        <v>44127</v>
      </c>
      <c r="C250" s="5" t="s">
        <v>63</v>
      </c>
      <c r="D250" s="5" t="s">
        <v>64</v>
      </c>
      <c r="E250" s="5" t="s">
        <v>16</v>
      </c>
      <c r="F250" s="6">
        <v>4</v>
      </c>
      <c r="G250" s="7">
        <v>14.05</v>
      </c>
      <c r="H250" s="6">
        <v>56.2</v>
      </c>
      <c r="I250" s="5" t="s">
        <v>40</v>
      </c>
    </row>
    <row r="251" spans="2:9" ht="14.4" x14ac:dyDescent="0.3">
      <c r="B251" s="4">
        <v>44128</v>
      </c>
      <c r="C251" s="5" t="s">
        <v>49</v>
      </c>
      <c r="D251" s="5" t="s">
        <v>50</v>
      </c>
      <c r="E251" s="5" t="s">
        <v>16</v>
      </c>
      <c r="F251" s="6">
        <v>5</v>
      </c>
      <c r="G251" s="7">
        <v>103.81</v>
      </c>
      <c r="H251" s="6">
        <v>519.04999999999995</v>
      </c>
      <c r="I251" s="5" t="s">
        <v>40</v>
      </c>
    </row>
    <row r="252" spans="2:9" ht="14.4" x14ac:dyDescent="0.3">
      <c r="B252" s="4">
        <v>44131</v>
      </c>
      <c r="C252" s="5" t="s">
        <v>12</v>
      </c>
      <c r="D252" s="5" t="s">
        <v>13</v>
      </c>
      <c r="E252" s="5" t="s">
        <v>10</v>
      </c>
      <c r="F252" s="6">
        <v>5</v>
      </c>
      <c r="G252" s="7">
        <v>106.06</v>
      </c>
      <c r="H252" s="6">
        <v>530.29999999999995</v>
      </c>
      <c r="I252" s="5" t="s">
        <v>11</v>
      </c>
    </row>
    <row r="253" spans="2:9" ht="14.4" x14ac:dyDescent="0.3">
      <c r="B253" s="4">
        <v>44132</v>
      </c>
      <c r="C253" s="5" t="s">
        <v>14</v>
      </c>
      <c r="D253" s="5" t="s">
        <v>15</v>
      </c>
      <c r="E253" s="5" t="s">
        <v>10</v>
      </c>
      <c r="F253" s="6">
        <v>8</v>
      </c>
      <c r="G253" s="7">
        <v>115.05</v>
      </c>
      <c r="H253" s="6">
        <v>920.4</v>
      </c>
      <c r="I253" s="5" t="s">
        <v>11</v>
      </c>
    </row>
    <row r="254" spans="2:9" ht="14.4" x14ac:dyDescent="0.3">
      <c r="B254" s="4">
        <v>44133</v>
      </c>
      <c r="C254" s="5" t="s">
        <v>66</v>
      </c>
      <c r="D254" s="5" t="s">
        <v>67</v>
      </c>
      <c r="E254" s="5" t="s">
        <v>10</v>
      </c>
      <c r="F254" s="6">
        <v>7</v>
      </c>
      <c r="G254" s="7">
        <v>107.64</v>
      </c>
      <c r="H254" s="6">
        <v>753.48</v>
      </c>
      <c r="I254" s="5" t="s">
        <v>11</v>
      </c>
    </row>
    <row r="255" spans="2:9" ht="14.4" x14ac:dyDescent="0.3">
      <c r="B255" s="9">
        <v>44134</v>
      </c>
      <c r="C255" s="5" t="s">
        <v>65</v>
      </c>
      <c r="D255" s="5" t="s">
        <v>65</v>
      </c>
      <c r="E255" s="5" t="s">
        <v>16</v>
      </c>
      <c r="F255" s="6">
        <v>4</v>
      </c>
      <c r="G255" s="7">
        <v>120.95</v>
      </c>
      <c r="H255" s="6">
        <v>483.8</v>
      </c>
      <c r="I255" s="5" t="s">
        <v>11</v>
      </c>
    </row>
    <row r="256" spans="2:9" ht="14.4" x14ac:dyDescent="0.3">
      <c r="B256" s="9">
        <v>44135</v>
      </c>
      <c r="C256" s="5" t="s">
        <v>17</v>
      </c>
      <c r="D256" s="5" t="s">
        <v>18</v>
      </c>
      <c r="E256" s="5" t="s">
        <v>16</v>
      </c>
      <c r="F256" s="6">
        <v>3</v>
      </c>
      <c r="G256" s="7">
        <v>35.9</v>
      </c>
      <c r="H256" s="6">
        <v>107.7</v>
      </c>
      <c r="I256" s="5" t="s">
        <v>11</v>
      </c>
    </row>
    <row r="257" spans="2:9" ht="14.4" x14ac:dyDescent="0.3">
      <c r="B257" s="9">
        <v>44138</v>
      </c>
      <c r="C257" s="5" t="s">
        <v>23</v>
      </c>
      <c r="D257" s="5" t="s">
        <v>24</v>
      </c>
      <c r="E257" s="5" t="s">
        <v>16</v>
      </c>
      <c r="F257" s="6">
        <v>8</v>
      </c>
      <c r="G257" s="7">
        <v>316.42</v>
      </c>
      <c r="H257" s="6">
        <v>2531.36</v>
      </c>
      <c r="I257" s="5" t="s">
        <v>11</v>
      </c>
    </row>
    <row r="258" spans="2:9" ht="14.4" x14ac:dyDescent="0.3">
      <c r="B258" s="9">
        <v>44139</v>
      </c>
      <c r="C258" s="5" t="s">
        <v>25</v>
      </c>
      <c r="D258" s="5" t="s">
        <v>26</v>
      </c>
      <c r="E258" s="5" t="s">
        <v>10</v>
      </c>
      <c r="F258" s="6">
        <v>10</v>
      </c>
      <c r="G258" s="7">
        <v>194.97</v>
      </c>
      <c r="H258" s="6">
        <v>1949.7</v>
      </c>
      <c r="I258" s="5" t="s">
        <v>11</v>
      </c>
    </row>
    <row r="259" spans="2:9" ht="14.4" x14ac:dyDescent="0.3">
      <c r="B259" s="9">
        <v>44140</v>
      </c>
      <c r="C259" s="5" t="s">
        <v>53</v>
      </c>
      <c r="D259" s="5" t="s">
        <v>54</v>
      </c>
      <c r="E259" s="5" t="s">
        <v>10</v>
      </c>
      <c r="F259" s="6">
        <v>9</v>
      </c>
      <c r="G259" s="7">
        <v>230.33</v>
      </c>
      <c r="H259" s="6">
        <v>2072.9699999999998</v>
      </c>
      <c r="I259" s="5" t="s">
        <v>29</v>
      </c>
    </row>
    <row r="260" spans="2:9" ht="14.4" x14ac:dyDescent="0.3">
      <c r="B260" s="9">
        <v>44141</v>
      </c>
      <c r="C260" s="5" t="s">
        <v>55</v>
      </c>
      <c r="D260" s="5" t="s">
        <v>56</v>
      </c>
      <c r="E260" s="5" t="s">
        <v>10</v>
      </c>
      <c r="F260" s="6">
        <v>3</v>
      </c>
      <c r="G260" s="7">
        <v>319.60000000000002</v>
      </c>
      <c r="H260" s="6">
        <v>958.8</v>
      </c>
      <c r="I260" s="5" t="s">
        <v>29</v>
      </c>
    </row>
    <row r="261" spans="2:9" ht="14.4" x14ac:dyDescent="0.3">
      <c r="B261" s="9">
        <v>44142</v>
      </c>
      <c r="C261" s="5" t="s">
        <v>27</v>
      </c>
      <c r="D261" s="5" t="s">
        <v>28</v>
      </c>
      <c r="E261" s="5" t="s">
        <v>16</v>
      </c>
      <c r="F261" s="6">
        <v>9</v>
      </c>
      <c r="G261" s="7">
        <v>78.930000000000007</v>
      </c>
      <c r="H261" s="6">
        <v>710.37</v>
      </c>
      <c r="I261" s="5" t="s">
        <v>29</v>
      </c>
    </row>
    <row r="262" spans="2:9" ht="14.4" x14ac:dyDescent="0.3">
      <c r="B262" s="9">
        <v>44145</v>
      </c>
      <c r="C262" s="5" t="s">
        <v>34</v>
      </c>
      <c r="D262" s="5" t="s">
        <v>35</v>
      </c>
      <c r="E262" s="5" t="s">
        <v>10</v>
      </c>
      <c r="F262" s="6">
        <v>8</v>
      </c>
      <c r="G262" s="7">
        <v>68</v>
      </c>
      <c r="H262" s="6">
        <v>544</v>
      </c>
      <c r="I262" s="5" t="s">
        <v>29</v>
      </c>
    </row>
    <row r="263" spans="2:9" ht="14.4" x14ac:dyDescent="0.3">
      <c r="B263" s="4">
        <v>44146</v>
      </c>
      <c r="C263" s="5" t="s">
        <v>36</v>
      </c>
      <c r="D263" s="5" t="s">
        <v>37</v>
      </c>
      <c r="E263" s="5" t="s">
        <v>16</v>
      </c>
      <c r="F263" s="6">
        <v>8</v>
      </c>
      <c r="G263" s="7">
        <v>36.700000000000003</v>
      </c>
      <c r="H263" s="6">
        <v>293.60000000000002</v>
      </c>
      <c r="I263" s="5" t="s">
        <v>29</v>
      </c>
    </row>
    <row r="264" spans="2:9" ht="14.4" x14ac:dyDescent="0.3">
      <c r="B264" s="4">
        <v>44147</v>
      </c>
      <c r="C264" s="5" t="s">
        <v>57</v>
      </c>
      <c r="D264" s="5" t="s">
        <v>58</v>
      </c>
      <c r="E264" s="5" t="s">
        <v>10</v>
      </c>
      <c r="F264" s="6">
        <v>4</v>
      </c>
      <c r="G264" s="7">
        <v>110.24</v>
      </c>
      <c r="H264" s="6">
        <v>440.96</v>
      </c>
      <c r="I264" s="5" t="s">
        <v>29</v>
      </c>
    </row>
    <row r="265" spans="2:9" ht="14.4" x14ac:dyDescent="0.3">
      <c r="B265" s="4">
        <v>44148</v>
      </c>
      <c r="C265" s="5" t="s">
        <v>59</v>
      </c>
      <c r="D265" s="5" t="s">
        <v>60</v>
      </c>
      <c r="E265" s="5" t="s">
        <v>10</v>
      </c>
      <c r="F265" s="6">
        <v>7</v>
      </c>
      <c r="G265" s="7">
        <v>82.99</v>
      </c>
      <c r="H265" s="6">
        <v>580.92999999999995</v>
      </c>
      <c r="I265" s="5" t="s">
        <v>40</v>
      </c>
    </row>
    <row r="266" spans="2:9" ht="14.4" x14ac:dyDescent="0.3">
      <c r="B266" s="4">
        <v>44149</v>
      </c>
      <c r="C266" s="5" t="s">
        <v>38</v>
      </c>
      <c r="D266" s="5" t="s">
        <v>39</v>
      </c>
      <c r="E266" s="5" t="s">
        <v>10</v>
      </c>
      <c r="F266" s="6">
        <v>5</v>
      </c>
      <c r="G266" s="7">
        <v>48.66</v>
      </c>
      <c r="H266" s="6">
        <v>243.3</v>
      </c>
      <c r="I266" s="5" t="s">
        <v>40</v>
      </c>
    </row>
    <row r="267" spans="2:9" ht="14.4" x14ac:dyDescent="0.3">
      <c r="B267" s="4">
        <v>44152</v>
      </c>
      <c r="C267" s="5" t="s">
        <v>45</v>
      </c>
      <c r="D267" s="5" t="s">
        <v>46</v>
      </c>
      <c r="E267" s="5" t="s">
        <v>16</v>
      </c>
      <c r="F267" s="6">
        <v>7</v>
      </c>
      <c r="G267" s="7">
        <v>46.34</v>
      </c>
      <c r="H267" s="6">
        <v>324.38</v>
      </c>
      <c r="I267" s="5" t="s">
        <v>40</v>
      </c>
    </row>
    <row r="268" spans="2:9" ht="14.4" x14ac:dyDescent="0.3">
      <c r="B268" s="4">
        <v>44153</v>
      </c>
      <c r="C268" s="5" t="s">
        <v>47</v>
      </c>
      <c r="D268" s="5" t="s">
        <v>48</v>
      </c>
      <c r="E268" s="5" t="s">
        <v>10</v>
      </c>
      <c r="F268" s="6">
        <v>2</v>
      </c>
      <c r="G268" s="7">
        <v>12.02</v>
      </c>
      <c r="H268" s="6">
        <v>24.04</v>
      </c>
      <c r="I268" s="5" t="s">
        <v>40</v>
      </c>
    </row>
    <row r="269" spans="2:9" ht="14.4" x14ac:dyDescent="0.3">
      <c r="B269" s="4">
        <v>44154</v>
      </c>
      <c r="C269" s="5" t="s">
        <v>61</v>
      </c>
      <c r="D269" s="5" t="s">
        <v>62</v>
      </c>
      <c r="E269" s="5" t="s">
        <v>16</v>
      </c>
      <c r="F269" s="6">
        <v>6</v>
      </c>
      <c r="G269" s="7">
        <v>99.46</v>
      </c>
      <c r="H269" s="6">
        <v>596.76</v>
      </c>
      <c r="I269" s="5" t="s">
        <v>40</v>
      </c>
    </row>
    <row r="270" spans="2:9" ht="14.4" x14ac:dyDescent="0.3">
      <c r="B270" s="4">
        <v>44155</v>
      </c>
      <c r="C270" s="5" t="s">
        <v>63</v>
      </c>
      <c r="D270" s="5" t="s">
        <v>64</v>
      </c>
      <c r="E270" s="5" t="s">
        <v>10</v>
      </c>
      <c r="F270" s="6">
        <v>5</v>
      </c>
      <c r="G270" s="7">
        <v>15.96</v>
      </c>
      <c r="H270" s="6">
        <v>79.8</v>
      </c>
      <c r="I270" s="5" t="s">
        <v>40</v>
      </c>
    </row>
    <row r="271" spans="2:9" ht="14.4" x14ac:dyDescent="0.3">
      <c r="B271" s="4">
        <v>44156</v>
      </c>
      <c r="C271" s="5" t="s">
        <v>49</v>
      </c>
      <c r="D271" s="5" t="s">
        <v>50</v>
      </c>
      <c r="E271" s="5" t="s">
        <v>10</v>
      </c>
      <c r="F271" s="6">
        <v>5</v>
      </c>
      <c r="G271" s="7">
        <v>114.57</v>
      </c>
      <c r="H271" s="6">
        <v>572.85</v>
      </c>
      <c r="I271" s="5" t="s">
        <v>40</v>
      </c>
    </row>
    <row r="272" spans="2:9" ht="14.4" x14ac:dyDescent="0.3">
      <c r="B272" s="4">
        <v>44159</v>
      </c>
      <c r="C272" s="5" t="s">
        <v>12</v>
      </c>
      <c r="D272" s="5" t="s">
        <v>13</v>
      </c>
      <c r="E272" s="5" t="s">
        <v>16</v>
      </c>
      <c r="F272" s="6">
        <v>5</v>
      </c>
      <c r="G272" s="7">
        <v>102.81</v>
      </c>
      <c r="H272" s="6">
        <v>514.04999999999995</v>
      </c>
      <c r="I272" s="5" t="s">
        <v>11</v>
      </c>
    </row>
    <row r="273" spans="2:9" ht="14.4" x14ac:dyDescent="0.3">
      <c r="B273" s="4">
        <v>44160</v>
      </c>
      <c r="C273" s="5" t="s">
        <v>14</v>
      </c>
      <c r="D273" s="5" t="s">
        <v>15</v>
      </c>
      <c r="E273" s="5" t="s">
        <v>16</v>
      </c>
      <c r="F273" s="6">
        <v>2</v>
      </c>
      <c r="G273" s="7">
        <v>131.25</v>
      </c>
      <c r="H273" s="6">
        <v>262.5</v>
      </c>
      <c r="I273" s="5" t="s">
        <v>11</v>
      </c>
    </row>
    <row r="274" spans="2:9" ht="14.4" x14ac:dyDescent="0.3">
      <c r="B274" s="9">
        <v>44161</v>
      </c>
      <c r="C274" s="5" t="s">
        <v>66</v>
      </c>
      <c r="D274" s="5" t="s">
        <v>67</v>
      </c>
      <c r="E274" s="5" t="s">
        <v>10</v>
      </c>
      <c r="F274" s="6">
        <v>7</v>
      </c>
      <c r="G274" s="7">
        <v>113.04</v>
      </c>
      <c r="H274" s="6">
        <v>791.28</v>
      </c>
      <c r="I274" s="5" t="s">
        <v>11</v>
      </c>
    </row>
    <row r="275" spans="2:9" ht="14.4" x14ac:dyDescent="0.3">
      <c r="B275" s="9">
        <v>44163</v>
      </c>
      <c r="C275" s="5" t="s">
        <v>17</v>
      </c>
      <c r="D275" s="5" t="s">
        <v>18</v>
      </c>
      <c r="E275" s="5" t="s">
        <v>10</v>
      </c>
      <c r="F275" s="6">
        <v>8</v>
      </c>
      <c r="G275" s="7">
        <v>42.7</v>
      </c>
      <c r="H275" s="6">
        <v>341.6</v>
      </c>
      <c r="I275" s="5" t="s">
        <v>11</v>
      </c>
    </row>
    <row r="276" spans="2:9" ht="14.4" x14ac:dyDescent="0.3">
      <c r="B276" s="9">
        <v>44166</v>
      </c>
      <c r="C276" s="5" t="s">
        <v>23</v>
      </c>
      <c r="D276" s="5" t="s">
        <v>24</v>
      </c>
      <c r="E276" s="5" t="s">
        <v>16</v>
      </c>
      <c r="F276" s="6">
        <v>4</v>
      </c>
      <c r="G276" s="7">
        <v>352.02</v>
      </c>
      <c r="H276" s="6">
        <v>1408.08</v>
      </c>
      <c r="I276" s="5" t="s">
        <v>11</v>
      </c>
    </row>
    <row r="277" spans="2:9" ht="14.4" x14ac:dyDescent="0.3">
      <c r="B277" s="9">
        <v>44167</v>
      </c>
      <c r="C277" s="5" t="s">
        <v>25</v>
      </c>
      <c r="D277" s="5" t="s">
        <v>26</v>
      </c>
      <c r="E277" s="5" t="s">
        <v>16</v>
      </c>
      <c r="F277" s="6">
        <v>4</v>
      </c>
      <c r="G277" s="7">
        <v>207.88</v>
      </c>
      <c r="H277" s="6">
        <v>831.52</v>
      </c>
      <c r="I277" s="5" t="s">
        <v>11</v>
      </c>
    </row>
    <row r="278" spans="2:9" ht="14.4" x14ac:dyDescent="0.3">
      <c r="B278" s="9">
        <v>44168</v>
      </c>
      <c r="C278" s="5" t="s">
        <v>53</v>
      </c>
      <c r="D278" s="5" t="s">
        <v>54</v>
      </c>
      <c r="E278" s="5" t="s">
        <v>16</v>
      </c>
      <c r="F278" s="6">
        <v>10</v>
      </c>
      <c r="G278" s="7">
        <v>226.56</v>
      </c>
      <c r="H278" s="6">
        <v>2265.6</v>
      </c>
      <c r="I278" s="5" t="s">
        <v>29</v>
      </c>
    </row>
    <row r="279" spans="2:9" ht="14.4" x14ac:dyDescent="0.3">
      <c r="B279" s="9">
        <v>44169</v>
      </c>
      <c r="C279" s="5" t="s">
        <v>55</v>
      </c>
      <c r="D279" s="5" t="s">
        <v>56</v>
      </c>
      <c r="E279" s="5" t="s">
        <v>10</v>
      </c>
      <c r="F279" s="6">
        <v>6</v>
      </c>
      <c r="G279" s="7">
        <v>323.02999999999997</v>
      </c>
      <c r="H279" s="6">
        <v>1938.18</v>
      </c>
      <c r="I279" s="5" t="s">
        <v>29</v>
      </c>
    </row>
    <row r="280" spans="2:9" ht="14.4" x14ac:dyDescent="0.3">
      <c r="B280" s="9">
        <v>44170</v>
      </c>
      <c r="C280" s="5" t="s">
        <v>27</v>
      </c>
      <c r="D280" s="5" t="s">
        <v>28</v>
      </c>
      <c r="E280" s="5" t="s">
        <v>16</v>
      </c>
      <c r="F280" s="6">
        <v>4</v>
      </c>
      <c r="G280" s="7">
        <v>78</v>
      </c>
      <c r="H280" s="6">
        <v>312</v>
      </c>
      <c r="I280" s="5" t="s">
        <v>29</v>
      </c>
    </row>
    <row r="281" spans="2:9" ht="14.4" x14ac:dyDescent="0.3">
      <c r="B281" s="9">
        <v>44173</v>
      </c>
      <c r="C281" s="5" t="s">
        <v>34</v>
      </c>
      <c r="D281" s="5" t="s">
        <v>35</v>
      </c>
      <c r="E281" s="5" t="s">
        <v>10</v>
      </c>
      <c r="F281" s="6">
        <v>6</v>
      </c>
      <c r="G281" s="7">
        <v>68.73</v>
      </c>
      <c r="H281" s="6">
        <v>412.38</v>
      </c>
      <c r="I281" s="5" t="s">
        <v>29</v>
      </c>
    </row>
    <row r="282" spans="2:9" ht="14.4" x14ac:dyDescent="0.3">
      <c r="B282" s="9">
        <v>44174</v>
      </c>
      <c r="C282" s="5" t="s">
        <v>36</v>
      </c>
      <c r="D282" s="5" t="s">
        <v>37</v>
      </c>
      <c r="E282" s="5" t="s">
        <v>16</v>
      </c>
      <c r="F282" s="6">
        <v>7</v>
      </c>
      <c r="G282" s="7">
        <v>42.56</v>
      </c>
      <c r="H282" s="6">
        <v>297.92</v>
      </c>
      <c r="I282" s="5" t="s">
        <v>29</v>
      </c>
    </row>
    <row r="283" spans="2:9" ht="14.4" x14ac:dyDescent="0.3">
      <c r="B283" s="9">
        <v>44175</v>
      </c>
      <c r="C283" s="5" t="s">
        <v>57</v>
      </c>
      <c r="D283" s="5" t="s">
        <v>58</v>
      </c>
      <c r="E283" s="5" t="s">
        <v>16</v>
      </c>
      <c r="F283" s="6">
        <v>1</v>
      </c>
      <c r="G283" s="7">
        <v>112.95</v>
      </c>
      <c r="H283" s="6">
        <v>112.95</v>
      </c>
      <c r="I283" s="5" t="s">
        <v>29</v>
      </c>
    </row>
    <row r="284" spans="2:9" ht="14.4" x14ac:dyDescent="0.3">
      <c r="B284" s="4">
        <v>44176</v>
      </c>
      <c r="C284" s="5" t="s">
        <v>59</v>
      </c>
      <c r="D284" s="5" t="s">
        <v>60</v>
      </c>
      <c r="E284" s="5" t="s">
        <v>16</v>
      </c>
      <c r="F284" s="6">
        <v>2</v>
      </c>
      <c r="G284" s="7">
        <v>80.97</v>
      </c>
      <c r="H284" s="6">
        <v>161.94</v>
      </c>
      <c r="I284" s="5" t="s">
        <v>40</v>
      </c>
    </row>
    <row r="285" spans="2:9" ht="14.4" x14ac:dyDescent="0.3">
      <c r="B285" s="4">
        <v>44177</v>
      </c>
      <c r="C285" s="5" t="s">
        <v>38</v>
      </c>
      <c r="D285" s="5" t="s">
        <v>39</v>
      </c>
      <c r="E285" s="5" t="s">
        <v>10</v>
      </c>
      <c r="F285" s="6">
        <v>1</v>
      </c>
      <c r="G285" s="7">
        <v>58.93</v>
      </c>
      <c r="H285" s="6">
        <v>58.93</v>
      </c>
      <c r="I285" s="5" t="s">
        <v>40</v>
      </c>
    </row>
    <row r="286" spans="2:9" ht="14.4" x14ac:dyDescent="0.3">
      <c r="B286" s="4">
        <v>44180</v>
      </c>
      <c r="C286" s="5" t="s">
        <v>45</v>
      </c>
      <c r="D286" s="5" t="s">
        <v>46</v>
      </c>
      <c r="E286" s="5" t="s">
        <v>10</v>
      </c>
      <c r="F286" s="6">
        <v>8</v>
      </c>
      <c r="G286" s="7">
        <v>45.54</v>
      </c>
      <c r="H286" s="6">
        <v>364.32</v>
      </c>
      <c r="I286" s="5" t="s">
        <v>40</v>
      </c>
    </row>
    <row r="287" spans="2:9" ht="14.4" x14ac:dyDescent="0.3">
      <c r="B287" s="4">
        <v>44181</v>
      </c>
      <c r="C287" s="5" t="s">
        <v>47</v>
      </c>
      <c r="D287" s="5" t="s">
        <v>48</v>
      </c>
      <c r="E287" s="5" t="s">
        <v>10</v>
      </c>
      <c r="F287" s="6">
        <v>5</v>
      </c>
      <c r="G287" s="7">
        <v>12.59</v>
      </c>
      <c r="H287" s="6">
        <v>62.95</v>
      </c>
      <c r="I287" s="5" t="s">
        <v>40</v>
      </c>
    </row>
    <row r="288" spans="2:9" ht="14.4" x14ac:dyDescent="0.3">
      <c r="B288" s="4">
        <v>44182</v>
      </c>
      <c r="C288" s="5" t="s">
        <v>61</v>
      </c>
      <c r="D288" s="5" t="s">
        <v>62</v>
      </c>
      <c r="E288" s="5" t="s">
        <v>16</v>
      </c>
      <c r="F288" s="6">
        <v>2</v>
      </c>
      <c r="G288" s="7">
        <v>111.31</v>
      </c>
      <c r="H288" s="6">
        <v>222.62</v>
      </c>
      <c r="I288" s="5" t="s">
        <v>40</v>
      </c>
    </row>
    <row r="289" spans="2:9" ht="14.4" x14ac:dyDescent="0.3">
      <c r="B289" s="4">
        <v>44183</v>
      </c>
      <c r="C289" s="5" t="s">
        <v>63</v>
      </c>
      <c r="D289" s="5" t="s">
        <v>64</v>
      </c>
      <c r="E289" s="5" t="s">
        <v>16</v>
      </c>
      <c r="F289" s="6">
        <v>3</v>
      </c>
      <c r="G289" s="7">
        <v>17.48</v>
      </c>
      <c r="H289" s="6">
        <v>52.44</v>
      </c>
      <c r="I289" s="5" t="s">
        <v>40</v>
      </c>
    </row>
    <row r="290" spans="2:9" ht="14.4" x14ac:dyDescent="0.3">
      <c r="B290" s="4">
        <v>44184</v>
      </c>
      <c r="C290" s="5" t="s">
        <v>49</v>
      </c>
      <c r="D290" s="5" t="s">
        <v>50</v>
      </c>
      <c r="E290" s="5" t="s">
        <v>16</v>
      </c>
      <c r="F290" s="6">
        <v>5</v>
      </c>
      <c r="G290" s="7">
        <v>119.08</v>
      </c>
      <c r="H290" s="6">
        <v>595.4</v>
      </c>
      <c r="I290" s="5" t="s">
        <v>40</v>
      </c>
    </row>
    <row r="291" spans="2:9" ht="14.4" x14ac:dyDescent="0.3">
      <c r="B291" s="4">
        <v>44187</v>
      </c>
      <c r="C291" s="5" t="s">
        <v>55</v>
      </c>
      <c r="D291" s="5" t="s">
        <v>56</v>
      </c>
      <c r="E291" s="5" t="s">
        <v>10</v>
      </c>
      <c r="F291" s="6">
        <v>1</v>
      </c>
      <c r="G291" s="7">
        <v>306.38</v>
      </c>
      <c r="H291" s="6">
        <v>306.38</v>
      </c>
      <c r="I291" s="5" t="s">
        <v>29</v>
      </c>
    </row>
    <row r="292" spans="2:9" ht="14.4" x14ac:dyDescent="0.3">
      <c r="B292" s="4">
        <v>44188</v>
      </c>
      <c r="C292" s="5" t="s">
        <v>27</v>
      </c>
      <c r="D292" s="5" t="s">
        <v>28</v>
      </c>
      <c r="E292" s="5" t="s">
        <v>10</v>
      </c>
      <c r="F292" s="6">
        <v>1</v>
      </c>
      <c r="G292" s="7">
        <v>78.66</v>
      </c>
      <c r="H292" s="6">
        <v>78.66</v>
      </c>
      <c r="I292" s="5" t="s">
        <v>29</v>
      </c>
    </row>
    <row r="293" spans="2:9" ht="14.4" x14ac:dyDescent="0.3">
      <c r="B293" s="4">
        <v>44189</v>
      </c>
      <c r="C293" s="5" t="s">
        <v>30</v>
      </c>
      <c r="D293" s="5" t="s">
        <v>31</v>
      </c>
      <c r="E293" s="5" t="s">
        <v>10</v>
      </c>
      <c r="F293" s="6">
        <v>3</v>
      </c>
      <c r="G293" s="7">
        <v>57.38</v>
      </c>
      <c r="H293" s="6">
        <v>172.14</v>
      </c>
      <c r="I293" s="5" t="s">
        <v>29</v>
      </c>
    </row>
    <row r="294" spans="2:9" ht="14.4" x14ac:dyDescent="0.3">
      <c r="B294" s="4">
        <v>44190</v>
      </c>
      <c r="C294" s="5" t="s">
        <v>32</v>
      </c>
      <c r="D294" s="5" t="s">
        <v>33</v>
      </c>
      <c r="E294" s="5" t="s">
        <v>16</v>
      </c>
      <c r="F294" s="6">
        <v>3</v>
      </c>
      <c r="G294" s="7">
        <v>164.24</v>
      </c>
      <c r="H294" s="6">
        <v>492.72</v>
      </c>
      <c r="I294" s="5" t="s">
        <v>29</v>
      </c>
    </row>
    <row r="295" spans="2:9" ht="14.4" x14ac:dyDescent="0.3">
      <c r="B295" s="4">
        <v>44194</v>
      </c>
      <c r="C295" s="5" t="s">
        <v>59</v>
      </c>
      <c r="D295" s="5" t="s">
        <v>60</v>
      </c>
      <c r="E295" s="5" t="s">
        <v>16</v>
      </c>
      <c r="F295" s="6">
        <v>9</v>
      </c>
      <c r="G295" s="7">
        <v>87.37</v>
      </c>
      <c r="H295" s="6">
        <v>786.33</v>
      </c>
      <c r="I295" s="5" t="s">
        <v>40</v>
      </c>
    </row>
    <row r="296" spans="2:9" ht="14.4" x14ac:dyDescent="0.3">
      <c r="B296" s="9">
        <v>44195</v>
      </c>
      <c r="C296" s="5" t="s">
        <v>38</v>
      </c>
      <c r="D296" s="5" t="s">
        <v>39</v>
      </c>
      <c r="E296" s="5" t="s">
        <v>10</v>
      </c>
      <c r="F296" s="6">
        <v>1</v>
      </c>
      <c r="G296" s="7">
        <v>60.91</v>
      </c>
      <c r="H296" s="6">
        <v>60.91</v>
      </c>
      <c r="I296" s="5" t="s">
        <v>40</v>
      </c>
    </row>
    <row r="297" spans="2:9" ht="14.4" x14ac:dyDescent="0.3">
      <c r="B297" s="9">
        <v>44196</v>
      </c>
      <c r="C297" s="5" t="s">
        <v>41</v>
      </c>
      <c r="D297" s="5" t="s">
        <v>42</v>
      </c>
      <c r="E297" s="5" t="s">
        <v>10</v>
      </c>
      <c r="F297" s="6">
        <v>5</v>
      </c>
      <c r="G297" s="7">
        <v>35.4</v>
      </c>
      <c r="H297" s="6">
        <v>177</v>
      </c>
      <c r="I297" s="5" t="s">
        <v>40</v>
      </c>
    </row>
    <row r="298" spans="2:9" ht="14.4" x14ac:dyDescent="0.3">
      <c r="B298" s="9">
        <v>44197</v>
      </c>
      <c r="C298" s="5" t="s">
        <v>43</v>
      </c>
      <c r="D298" s="5" t="s">
        <v>44</v>
      </c>
      <c r="E298" s="5" t="s">
        <v>10</v>
      </c>
      <c r="F298" s="6">
        <v>9</v>
      </c>
      <c r="G298" s="7">
        <v>263.70999999999998</v>
      </c>
      <c r="H298" s="6">
        <v>2373.39</v>
      </c>
      <c r="I298" s="5" t="s">
        <v>40</v>
      </c>
    </row>
    <row r="299" spans="2:9" ht="14.4" x14ac:dyDescent="0.3">
      <c r="B299" s="9">
        <v>44201</v>
      </c>
      <c r="C299" s="5" t="s">
        <v>63</v>
      </c>
      <c r="D299" s="5" t="s">
        <v>64</v>
      </c>
      <c r="E299" s="5" t="s">
        <v>10</v>
      </c>
      <c r="F299" s="6">
        <v>10</v>
      </c>
      <c r="G299" s="7">
        <v>16.95</v>
      </c>
      <c r="H299" s="6">
        <v>169.5</v>
      </c>
      <c r="I299" s="5" t="s">
        <v>40</v>
      </c>
    </row>
    <row r="300" spans="2:9" ht="14.4" x14ac:dyDescent="0.3">
      <c r="B300" s="9">
        <v>44202</v>
      </c>
      <c r="C300" s="5" t="s">
        <v>49</v>
      </c>
      <c r="D300" s="5" t="s">
        <v>50</v>
      </c>
      <c r="E300" s="5" t="s">
        <v>16</v>
      </c>
      <c r="F300" s="6">
        <v>5</v>
      </c>
      <c r="G300" s="7">
        <v>125.65</v>
      </c>
      <c r="H300" s="6">
        <v>628.25</v>
      </c>
      <c r="I300" s="5" t="s">
        <v>40</v>
      </c>
    </row>
    <row r="301" spans="2:9" ht="14.4" x14ac:dyDescent="0.3">
      <c r="B301" s="9">
        <v>44203</v>
      </c>
      <c r="C301" s="5" t="s">
        <v>51</v>
      </c>
      <c r="D301" s="5" t="s">
        <v>52</v>
      </c>
      <c r="E301" s="5" t="s">
        <v>10</v>
      </c>
      <c r="F301" s="6">
        <v>2</v>
      </c>
      <c r="G301" s="7">
        <v>18.16</v>
      </c>
      <c r="H301" s="6">
        <v>36.32</v>
      </c>
      <c r="I301" s="5" t="s">
        <v>40</v>
      </c>
    </row>
    <row r="302" spans="2:9" ht="14.4" x14ac:dyDescent="0.3">
      <c r="B302" s="9">
        <v>44204</v>
      </c>
      <c r="C302" s="5" t="s">
        <v>53</v>
      </c>
      <c r="D302" s="5" t="s">
        <v>54</v>
      </c>
      <c r="E302" s="5" t="s">
        <v>68</v>
      </c>
      <c r="F302" s="6">
        <v>-5</v>
      </c>
      <c r="G302" s="7">
        <v>234.02</v>
      </c>
      <c r="H302" s="6">
        <v>-1170.0999999999999</v>
      </c>
      <c r="I302" s="5" t="s">
        <v>29</v>
      </c>
    </row>
    <row r="303" spans="2:9" ht="14.4" x14ac:dyDescent="0.3">
      <c r="B303" s="4">
        <v>44205</v>
      </c>
      <c r="C303" s="5" t="s">
        <v>55</v>
      </c>
      <c r="D303" s="5" t="s">
        <v>56</v>
      </c>
      <c r="E303" s="5" t="s">
        <v>68</v>
      </c>
      <c r="F303" s="6">
        <v>-1</v>
      </c>
      <c r="G303" s="7">
        <v>337.08</v>
      </c>
      <c r="H303" s="6">
        <v>-337.08</v>
      </c>
      <c r="I303" s="5" t="s">
        <v>29</v>
      </c>
    </row>
    <row r="304" spans="2:9" ht="14.4" x14ac:dyDescent="0.3">
      <c r="B304" s="4">
        <v>44208</v>
      </c>
      <c r="C304" s="5" t="s">
        <v>32</v>
      </c>
      <c r="D304" s="5" t="s">
        <v>33</v>
      </c>
      <c r="E304" s="5" t="s">
        <v>68</v>
      </c>
      <c r="F304" s="6">
        <v>-5</v>
      </c>
      <c r="G304" s="7">
        <v>171.37</v>
      </c>
      <c r="H304" s="6">
        <v>-856.85</v>
      </c>
      <c r="I304" s="5" t="s">
        <v>29</v>
      </c>
    </row>
    <row r="305" spans="2:9" ht="14.4" x14ac:dyDescent="0.3">
      <c r="B305" s="4">
        <v>44209</v>
      </c>
      <c r="C305" s="5" t="s">
        <v>34</v>
      </c>
      <c r="D305" s="5" t="s">
        <v>35</v>
      </c>
      <c r="E305" s="5" t="s">
        <v>68</v>
      </c>
      <c r="F305" s="6">
        <v>-3</v>
      </c>
      <c r="G305" s="7">
        <v>73.790000000000006</v>
      </c>
      <c r="H305" s="6">
        <v>-221.37</v>
      </c>
      <c r="I305" s="5" t="s">
        <v>29</v>
      </c>
    </row>
    <row r="306" spans="2:9" ht="14.4" x14ac:dyDescent="0.3">
      <c r="B306" s="4">
        <v>44210</v>
      </c>
      <c r="C306" s="5" t="s">
        <v>36</v>
      </c>
      <c r="D306" s="5" t="s">
        <v>37</v>
      </c>
      <c r="E306" s="5" t="s">
        <v>68</v>
      </c>
      <c r="F306" s="6">
        <v>-5</v>
      </c>
      <c r="G306" s="7">
        <v>36.86</v>
      </c>
      <c r="H306" s="6">
        <v>-184.3</v>
      </c>
      <c r="I306" s="5" t="s">
        <v>29</v>
      </c>
    </row>
    <row r="307" spans="2:9" ht="14.4" x14ac:dyDescent="0.3">
      <c r="B307" s="4">
        <v>44211</v>
      </c>
      <c r="C307" s="5" t="s">
        <v>57</v>
      </c>
      <c r="D307" s="5" t="s">
        <v>58</v>
      </c>
      <c r="E307" s="5" t="s">
        <v>68</v>
      </c>
      <c r="F307" s="6">
        <v>-3</v>
      </c>
      <c r="G307" s="7">
        <v>117.77</v>
      </c>
      <c r="H307" s="6">
        <v>-353.31</v>
      </c>
      <c r="I307" s="5" t="s">
        <v>29</v>
      </c>
    </row>
    <row r="308" spans="2:9" ht="14.4" x14ac:dyDescent="0.3">
      <c r="B308" s="4">
        <v>44212</v>
      </c>
      <c r="C308" s="5" t="s">
        <v>59</v>
      </c>
      <c r="D308" s="5" t="s">
        <v>60</v>
      </c>
      <c r="E308" s="5" t="s">
        <v>68</v>
      </c>
      <c r="F308" s="6">
        <v>-1</v>
      </c>
      <c r="G308" s="7">
        <v>93.7</v>
      </c>
      <c r="H308" s="6">
        <v>-93.7</v>
      </c>
      <c r="I308" s="5" t="s">
        <v>40</v>
      </c>
    </row>
    <row r="309" spans="2:9" ht="14.4" x14ac:dyDescent="0.3">
      <c r="B309" s="4">
        <v>44216</v>
      </c>
      <c r="C309" s="5" t="s">
        <v>45</v>
      </c>
      <c r="D309" s="5" t="s">
        <v>46</v>
      </c>
      <c r="E309" s="5" t="s">
        <v>68</v>
      </c>
      <c r="F309" s="6">
        <v>-5</v>
      </c>
      <c r="G309" s="7">
        <v>52.66</v>
      </c>
      <c r="H309" s="6">
        <v>-263.3</v>
      </c>
      <c r="I309" s="5" t="s">
        <v>40</v>
      </c>
    </row>
    <row r="310" spans="2:9" ht="14.4" x14ac:dyDescent="0.3">
      <c r="B310" s="4">
        <v>44217</v>
      </c>
      <c r="C310" s="5" t="s">
        <v>47</v>
      </c>
      <c r="D310" s="5" t="s">
        <v>48</v>
      </c>
      <c r="E310" s="5" t="s">
        <v>68</v>
      </c>
      <c r="F310" s="6">
        <v>-5</v>
      </c>
      <c r="G310" s="7">
        <v>14.68</v>
      </c>
      <c r="H310" s="6">
        <v>-73.400000000000006</v>
      </c>
      <c r="I310" s="5" t="s">
        <v>40</v>
      </c>
    </row>
    <row r="311" spans="2:9" ht="14.4" x14ac:dyDescent="0.3">
      <c r="B311" s="4">
        <v>44218</v>
      </c>
      <c r="C311" s="5" t="s">
        <v>61</v>
      </c>
      <c r="D311" s="5" t="s">
        <v>62</v>
      </c>
      <c r="E311" s="5" t="s">
        <v>68</v>
      </c>
      <c r="F311" s="6">
        <v>-4</v>
      </c>
      <c r="G311" s="7">
        <v>112.92</v>
      </c>
      <c r="H311" s="6">
        <v>-451.68</v>
      </c>
      <c r="I311" s="5" t="s">
        <v>40</v>
      </c>
    </row>
    <row r="312" spans="2:9" ht="14.4" x14ac:dyDescent="0.3">
      <c r="B312" s="4">
        <v>44219</v>
      </c>
      <c r="C312" s="5" t="s">
        <v>63</v>
      </c>
      <c r="D312" s="5" t="s">
        <v>64</v>
      </c>
      <c r="E312" s="5" t="s">
        <v>68</v>
      </c>
      <c r="F312" s="6">
        <v>-3</v>
      </c>
      <c r="G312" s="7">
        <v>20.97</v>
      </c>
      <c r="H312" s="6">
        <v>-62.91</v>
      </c>
      <c r="I312" s="5" t="s">
        <v>40</v>
      </c>
    </row>
    <row r="313" spans="2:9" ht="13.2" x14ac:dyDescent="0.25">
      <c r="F313" s="1"/>
      <c r="H313" s="1"/>
    </row>
    <row r="314" spans="2:9" ht="13.2" x14ac:dyDescent="0.25">
      <c r="F314" s="1"/>
      <c r="H314" s="1"/>
    </row>
    <row r="315" spans="2:9" ht="13.2" x14ac:dyDescent="0.25">
      <c r="F315" s="1"/>
      <c r="H315" s="1"/>
    </row>
    <row r="316" spans="2:9" ht="13.2" x14ac:dyDescent="0.25">
      <c r="F316" s="1"/>
      <c r="H316" s="1"/>
    </row>
    <row r="317" spans="2:9" ht="13.2" x14ac:dyDescent="0.25">
      <c r="F317" s="1"/>
      <c r="H317" s="1"/>
    </row>
    <row r="318" spans="2:9" ht="13.2" x14ac:dyDescent="0.25">
      <c r="F318" s="1"/>
      <c r="H318" s="1"/>
    </row>
    <row r="319" spans="2:9" ht="13.2" x14ac:dyDescent="0.25">
      <c r="F319" s="1"/>
      <c r="H319" s="1"/>
    </row>
    <row r="320" spans="2:9" ht="13.2" x14ac:dyDescent="0.25">
      <c r="F320" s="1"/>
      <c r="H320" s="1"/>
    </row>
    <row r="321" spans="6:8" ht="13.2" x14ac:dyDescent="0.25">
      <c r="F321" s="1"/>
      <c r="H321" s="1"/>
    </row>
    <row r="322" spans="6:8" ht="13.2" x14ac:dyDescent="0.25">
      <c r="F322" s="1"/>
      <c r="H322" s="1"/>
    </row>
    <row r="323" spans="6:8" ht="13.2" x14ac:dyDescent="0.25">
      <c r="F323" s="1"/>
      <c r="H323" s="1"/>
    </row>
    <row r="324" spans="6:8" ht="13.2" x14ac:dyDescent="0.25">
      <c r="F324" s="1"/>
      <c r="H324" s="1"/>
    </row>
    <row r="325" spans="6:8" ht="13.2" x14ac:dyDescent="0.25">
      <c r="F325" s="1"/>
      <c r="H325" s="1"/>
    </row>
    <row r="326" spans="6:8" ht="13.2" x14ac:dyDescent="0.25">
      <c r="F326" s="1"/>
      <c r="H326" s="1"/>
    </row>
    <row r="327" spans="6:8" ht="13.2" x14ac:dyDescent="0.25">
      <c r="F327" s="1"/>
      <c r="H327" s="1"/>
    </row>
    <row r="328" spans="6:8" ht="13.2" x14ac:dyDescent="0.25">
      <c r="F328" s="1"/>
      <c r="H328" s="1"/>
    </row>
    <row r="329" spans="6:8" ht="13.2" x14ac:dyDescent="0.25">
      <c r="F329" s="1"/>
      <c r="H329" s="1"/>
    </row>
    <row r="330" spans="6:8" ht="13.2" x14ac:dyDescent="0.25">
      <c r="F330" s="1"/>
      <c r="H330" s="1"/>
    </row>
    <row r="331" spans="6:8" ht="13.2" x14ac:dyDescent="0.25">
      <c r="F331" s="1"/>
      <c r="H331" s="1"/>
    </row>
    <row r="332" spans="6:8" ht="13.2" x14ac:dyDescent="0.25">
      <c r="F332" s="1"/>
      <c r="H332" s="1"/>
    </row>
    <row r="333" spans="6:8" ht="13.2" x14ac:dyDescent="0.25">
      <c r="F333" s="1"/>
      <c r="H333" s="1"/>
    </row>
    <row r="334" spans="6:8" ht="13.2" x14ac:dyDescent="0.25">
      <c r="F334" s="1"/>
      <c r="H334" s="1"/>
    </row>
    <row r="335" spans="6:8" ht="13.2" x14ac:dyDescent="0.25">
      <c r="F335" s="1"/>
      <c r="H335" s="1"/>
    </row>
    <row r="336" spans="6:8" ht="13.2" x14ac:dyDescent="0.25">
      <c r="F336" s="1"/>
      <c r="H336" s="1"/>
    </row>
    <row r="337" spans="6:8" ht="13.2" x14ac:dyDescent="0.25">
      <c r="F337" s="1"/>
      <c r="H337" s="1"/>
    </row>
    <row r="338" spans="6:8" ht="13.2" x14ac:dyDescent="0.25">
      <c r="F338" s="1"/>
      <c r="H338" s="1"/>
    </row>
    <row r="339" spans="6:8" ht="13.2" x14ac:dyDescent="0.25">
      <c r="F339" s="1"/>
      <c r="H339" s="1"/>
    </row>
    <row r="340" spans="6:8" ht="13.2" x14ac:dyDescent="0.25">
      <c r="F340" s="1"/>
      <c r="H340" s="1"/>
    </row>
    <row r="341" spans="6:8" ht="13.2" x14ac:dyDescent="0.25">
      <c r="F341" s="1"/>
      <c r="H341" s="1"/>
    </row>
    <row r="342" spans="6:8" ht="13.2" x14ac:dyDescent="0.25">
      <c r="F342" s="1"/>
      <c r="H342" s="1"/>
    </row>
    <row r="343" spans="6:8" ht="13.2" x14ac:dyDescent="0.25">
      <c r="F343" s="1"/>
      <c r="H343" s="1"/>
    </row>
    <row r="344" spans="6:8" ht="13.2" x14ac:dyDescent="0.25">
      <c r="F344" s="1"/>
      <c r="H344" s="1"/>
    </row>
    <row r="345" spans="6:8" ht="13.2" x14ac:dyDescent="0.25">
      <c r="F345" s="1"/>
      <c r="H345" s="1"/>
    </row>
    <row r="346" spans="6:8" ht="13.2" x14ac:dyDescent="0.25">
      <c r="F346" s="1"/>
      <c r="H346" s="1"/>
    </row>
    <row r="347" spans="6:8" ht="13.2" x14ac:dyDescent="0.25">
      <c r="F347" s="1"/>
      <c r="H347" s="1"/>
    </row>
    <row r="348" spans="6:8" ht="13.2" x14ac:dyDescent="0.25">
      <c r="F348" s="1"/>
      <c r="H348" s="1"/>
    </row>
    <row r="349" spans="6:8" ht="13.2" x14ac:dyDescent="0.25">
      <c r="F349" s="1"/>
      <c r="H349" s="1"/>
    </row>
    <row r="350" spans="6:8" ht="13.2" x14ac:dyDescent="0.25">
      <c r="F350" s="1"/>
      <c r="H350" s="1"/>
    </row>
    <row r="351" spans="6:8" ht="13.2" x14ac:dyDescent="0.25">
      <c r="F351" s="1"/>
      <c r="H351" s="1"/>
    </row>
    <row r="352" spans="6:8" ht="13.2" x14ac:dyDescent="0.25">
      <c r="F352" s="1"/>
      <c r="H352" s="1"/>
    </row>
    <row r="353" spans="6:8" ht="13.2" x14ac:dyDescent="0.25">
      <c r="F353" s="1"/>
      <c r="H353" s="1"/>
    </row>
    <row r="354" spans="6:8" ht="13.2" x14ac:dyDescent="0.25">
      <c r="F354" s="1"/>
      <c r="H354" s="1"/>
    </row>
    <row r="355" spans="6:8" ht="13.2" x14ac:dyDescent="0.25">
      <c r="F355" s="1"/>
      <c r="H355" s="1"/>
    </row>
    <row r="356" spans="6:8" ht="13.2" x14ac:dyDescent="0.25">
      <c r="F356" s="1"/>
      <c r="H356" s="1"/>
    </row>
    <row r="357" spans="6:8" ht="13.2" x14ac:dyDescent="0.25">
      <c r="F357" s="1"/>
      <c r="H357" s="1"/>
    </row>
    <row r="358" spans="6:8" ht="13.2" x14ac:dyDescent="0.25">
      <c r="F358" s="1"/>
      <c r="H358" s="1"/>
    </row>
    <row r="359" spans="6:8" ht="13.2" x14ac:dyDescent="0.25">
      <c r="F359" s="1"/>
      <c r="H359" s="1"/>
    </row>
    <row r="360" spans="6:8" ht="13.2" x14ac:dyDescent="0.25">
      <c r="F360" s="1"/>
      <c r="H360" s="1"/>
    </row>
    <row r="361" spans="6:8" ht="13.2" x14ac:dyDescent="0.25">
      <c r="F361" s="1"/>
      <c r="H361" s="1"/>
    </row>
    <row r="362" spans="6:8" ht="13.2" x14ac:dyDescent="0.25">
      <c r="F362" s="1"/>
      <c r="H362" s="1"/>
    </row>
    <row r="363" spans="6:8" ht="13.2" x14ac:dyDescent="0.25">
      <c r="F363" s="1"/>
      <c r="H363" s="1"/>
    </row>
    <row r="364" spans="6:8" ht="13.2" x14ac:dyDescent="0.25">
      <c r="F364" s="1"/>
      <c r="H364" s="1"/>
    </row>
    <row r="365" spans="6:8" ht="13.2" x14ac:dyDescent="0.25">
      <c r="F365" s="1"/>
      <c r="H365" s="1"/>
    </row>
    <row r="366" spans="6:8" ht="13.2" x14ac:dyDescent="0.25">
      <c r="F366" s="1"/>
      <c r="H366" s="1"/>
    </row>
    <row r="367" spans="6:8" ht="13.2" x14ac:dyDescent="0.25">
      <c r="F367" s="1"/>
      <c r="H367" s="1"/>
    </row>
    <row r="368" spans="6:8" ht="13.2" x14ac:dyDescent="0.25">
      <c r="F368" s="1"/>
      <c r="H368" s="1"/>
    </row>
    <row r="369" spans="6:8" ht="13.2" x14ac:dyDescent="0.25">
      <c r="F369" s="1"/>
      <c r="H369" s="1"/>
    </row>
    <row r="370" spans="6:8" ht="13.2" x14ac:dyDescent="0.25">
      <c r="F370" s="1"/>
      <c r="H370" s="1"/>
    </row>
    <row r="371" spans="6:8" ht="13.2" x14ac:dyDescent="0.25">
      <c r="F371" s="1"/>
      <c r="H371" s="1"/>
    </row>
    <row r="372" spans="6:8" ht="13.2" x14ac:dyDescent="0.25">
      <c r="F372" s="1"/>
      <c r="H372" s="1"/>
    </row>
    <row r="373" spans="6:8" ht="13.2" x14ac:dyDescent="0.25">
      <c r="F373" s="1"/>
      <c r="H373" s="1"/>
    </row>
    <row r="374" spans="6:8" ht="13.2" x14ac:dyDescent="0.25">
      <c r="F374" s="1"/>
      <c r="H374" s="1"/>
    </row>
    <row r="375" spans="6:8" ht="13.2" x14ac:dyDescent="0.25">
      <c r="F375" s="1"/>
      <c r="H375" s="1"/>
    </row>
    <row r="376" spans="6:8" ht="13.2" x14ac:dyDescent="0.25">
      <c r="F376" s="1"/>
      <c r="H376" s="1"/>
    </row>
    <row r="377" spans="6:8" ht="13.2" x14ac:dyDescent="0.25">
      <c r="F377" s="1"/>
      <c r="H377" s="1"/>
    </row>
    <row r="378" spans="6:8" ht="13.2" x14ac:dyDescent="0.25">
      <c r="F378" s="1"/>
      <c r="H378" s="1"/>
    </row>
    <row r="379" spans="6:8" ht="13.2" x14ac:dyDescent="0.25">
      <c r="F379" s="1"/>
      <c r="H379" s="1"/>
    </row>
    <row r="380" spans="6:8" ht="13.2" x14ac:dyDescent="0.25">
      <c r="F380" s="1"/>
      <c r="H380" s="1"/>
    </row>
    <row r="381" spans="6:8" ht="13.2" x14ac:dyDescent="0.25">
      <c r="F381" s="1"/>
      <c r="H381" s="1"/>
    </row>
    <row r="382" spans="6:8" ht="13.2" x14ac:dyDescent="0.25">
      <c r="F382" s="1"/>
      <c r="H382" s="1"/>
    </row>
    <row r="383" spans="6:8" ht="13.2" x14ac:dyDescent="0.25">
      <c r="F383" s="1"/>
      <c r="H383" s="1"/>
    </row>
    <row r="384" spans="6:8" ht="13.2" x14ac:dyDescent="0.25">
      <c r="F384" s="1"/>
      <c r="H384" s="1"/>
    </row>
    <row r="385" spans="6:8" ht="13.2" x14ac:dyDescent="0.25">
      <c r="F385" s="1"/>
      <c r="H385" s="1"/>
    </row>
    <row r="386" spans="6:8" ht="13.2" x14ac:dyDescent="0.25">
      <c r="F386" s="1"/>
      <c r="H386" s="1"/>
    </row>
    <row r="387" spans="6:8" ht="13.2" x14ac:dyDescent="0.25">
      <c r="F387" s="1"/>
      <c r="H387" s="1"/>
    </row>
    <row r="388" spans="6:8" ht="13.2" x14ac:dyDescent="0.25">
      <c r="F388" s="1"/>
      <c r="H388" s="1"/>
    </row>
    <row r="389" spans="6:8" ht="13.2" x14ac:dyDescent="0.25">
      <c r="F389" s="1"/>
      <c r="H389" s="1"/>
    </row>
    <row r="390" spans="6:8" ht="13.2" x14ac:dyDescent="0.25">
      <c r="F390" s="1"/>
      <c r="H390" s="1"/>
    </row>
    <row r="391" spans="6:8" ht="13.2" x14ac:dyDescent="0.25">
      <c r="F391" s="1"/>
      <c r="H391" s="1"/>
    </row>
    <row r="392" spans="6:8" ht="13.2" x14ac:dyDescent="0.25">
      <c r="F392" s="1"/>
      <c r="H392" s="1"/>
    </row>
    <row r="393" spans="6:8" ht="13.2" x14ac:dyDescent="0.25">
      <c r="F393" s="1"/>
      <c r="H393" s="1"/>
    </row>
    <row r="394" spans="6:8" ht="13.2" x14ac:dyDescent="0.25">
      <c r="F394" s="1"/>
      <c r="H394" s="1"/>
    </row>
    <row r="395" spans="6:8" ht="13.2" x14ac:dyDescent="0.25">
      <c r="F395" s="1"/>
      <c r="H395" s="1"/>
    </row>
    <row r="396" spans="6:8" ht="13.2" x14ac:dyDescent="0.25">
      <c r="F396" s="1"/>
      <c r="H396" s="1"/>
    </row>
    <row r="397" spans="6:8" ht="13.2" x14ac:dyDescent="0.25">
      <c r="F397" s="1"/>
      <c r="H397" s="1"/>
    </row>
    <row r="398" spans="6:8" ht="13.2" x14ac:dyDescent="0.25">
      <c r="F398" s="1"/>
      <c r="H398" s="1"/>
    </row>
    <row r="399" spans="6:8" ht="13.2" x14ac:dyDescent="0.25">
      <c r="F399" s="1"/>
      <c r="H399" s="1"/>
    </row>
    <row r="400" spans="6:8" ht="13.2" x14ac:dyDescent="0.25">
      <c r="F400" s="1"/>
      <c r="H400" s="1"/>
    </row>
    <row r="401" spans="6:8" ht="13.2" x14ac:dyDescent="0.25">
      <c r="F401" s="1"/>
      <c r="H401" s="1"/>
    </row>
    <row r="402" spans="6:8" ht="13.2" x14ac:dyDescent="0.25">
      <c r="F402" s="1"/>
      <c r="H402" s="1"/>
    </row>
    <row r="403" spans="6:8" ht="13.2" x14ac:dyDescent="0.25">
      <c r="F403" s="1"/>
      <c r="H403" s="1"/>
    </row>
    <row r="404" spans="6:8" ht="13.2" x14ac:dyDescent="0.25">
      <c r="F404" s="1"/>
      <c r="H404" s="1"/>
    </row>
    <row r="405" spans="6:8" ht="13.2" x14ac:dyDescent="0.25">
      <c r="F405" s="1"/>
      <c r="H405" s="1"/>
    </row>
    <row r="406" spans="6:8" ht="13.2" x14ac:dyDescent="0.25">
      <c r="F406" s="1"/>
      <c r="H406" s="1"/>
    </row>
    <row r="407" spans="6:8" ht="13.2" x14ac:dyDescent="0.25">
      <c r="F407" s="1"/>
      <c r="H407" s="1"/>
    </row>
    <row r="408" spans="6:8" ht="13.2" x14ac:dyDescent="0.25">
      <c r="F408" s="1"/>
      <c r="H408" s="1"/>
    </row>
    <row r="409" spans="6:8" ht="13.2" x14ac:dyDescent="0.25">
      <c r="F409" s="1"/>
      <c r="H409" s="1"/>
    </row>
    <row r="410" spans="6:8" ht="13.2" x14ac:dyDescent="0.25">
      <c r="F410" s="1"/>
      <c r="H410" s="1"/>
    </row>
    <row r="411" spans="6:8" ht="13.2" x14ac:dyDescent="0.25">
      <c r="F411" s="1"/>
      <c r="H411" s="1"/>
    </row>
    <row r="412" spans="6:8" ht="13.2" x14ac:dyDescent="0.25">
      <c r="F412" s="1"/>
      <c r="H412" s="1"/>
    </row>
    <row r="413" spans="6:8" ht="13.2" x14ac:dyDescent="0.25">
      <c r="F413" s="1"/>
      <c r="H413" s="1"/>
    </row>
    <row r="414" spans="6:8" ht="13.2" x14ac:dyDescent="0.25">
      <c r="F414" s="1"/>
      <c r="H414" s="1"/>
    </row>
    <row r="415" spans="6:8" ht="13.2" x14ac:dyDescent="0.25">
      <c r="F415" s="1"/>
      <c r="H415" s="1"/>
    </row>
    <row r="416" spans="6:8" ht="13.2" x14ac:dyDescent="0.25">
      <c r="F416" s="1"/>
      <c r="H416" s="1"/>
    </row>
    <row r="417" spans="6:8" ht="13.2" x14ac:dyDescent="0.25">
      <c r="F417" s="1"/>
      <c r="H417" s="1"/>
    </row>
    <row r="418" spans="6:8" ht="13.2" x14ac:dyDescent="0.25">
      <c r="F418" s="1"/>
      <c r="H418" s="1"/>
    </row>
    <row r="419" spans="6:8" ht="13.2" x14ac:dyDescent="0.25">
      <c r="F419" s="1"/>
      <c r="H419" s="1"/>
    </row>
    <row r="420" spans="6:8" ht="13.2" x14ac:dyDescent="0.25">
      <c r="F420" s="1"/>
      <c r="H420" s="1"/>
    </row>
    <row r="421" spans="6:8" ht="13.2" x14ac:dyDescent="0.25">
      <c r="F421" s="1"/>
      <c r="H421" s="1"/>
    </row>
    <row r="422" spans="6:8" ht="13.2" x14ac:dyDescent="0.25">
      <c r="F422" s="1"/>
      <c r="H422" s="1"/>
    </row>
    <row r="423" spans="6:8" ht="13.2" x14ac:dyDescent="0.25">
      <c r="F423" s="1"/>
      <c r="H423" s="1"/>
    </row>
    <row r="424" spans="6:8" ht="13.2" x14ac:dyDescent="0.25">
      <c r="F424" s="1"/>
      <c r="H424" s="1"/>
    </row>
    <row r="425" spans="6:8" ht="13.2" x14ac:dyDescent="0.25">
      <c r="F425" s="1"/>
      <c r="H425" s="1"/>
    </row>
    <row r="426" spans="6:8" ht="13.2" x14ac:dyDescent="0.25">
      <c r="F426" s="1"/>
      <c r="H426" s="1"/>
    </row>
    <row r="427" spans="6:8" ht="13.2" x14ac:dyDescent="0.25">
      <c r="F427" s="1"/>
      <c r="H427" s="1"/>
    </row>
    <row r="428" spans="6:8" ht="13.2" x14ac:dyDescent="0.25">
      <c r="F428" s="1"/>
      <c r="H428" s="1"/>
    </row>
    <row r="429" spans="6:8" ht="13.2" x14ac:dyDescent="0.25">
      <c r="F429" s="1"/>
      <c r="H429" s="1"/>
    </row>
    <row r="430" spans="6:8" ht="13.2" x14ac:dyDescent="0.25">
      <c r="F430" s="1"/>
      <c r="H430" s="1"/>
    </row>
    <row r="431" spans="6:8" ht="13.2" x14ac:dyDescent="0.25">
      <c r="F431" s="1"/>
      <c r="H431" s="1"/>
    </row>
    <row r="432" spans="6:8" ht="13.2" x14ac:dyDescent="0.25">
      <c r="F432" s="1"/>
      <c r="H432" s="1"/>
    </row>
    <row r="433" spans="6:8" ht="13.2" x14ac:dyDescent="0.25">
      <c r="F433" s="1"/>
      <c r="H433" s="1"/>
    </row>
    <row r="434" spans="6:8" ht="13.2" x14ac:dyDescent="0.25">
      <c r="F434" s="1"/>
      <c r="H434" s="1"/>
    </row>
    <row r="435" spans="6:8" ht="13.2" x14ac:dyDescent="0.25">
      <c r="F435" s="1"/>
      <c r="H435" s="1"/>
    </row>
    <row r="436" spans="6:8" ht="13.2" x14ac:dyDescent="0.25">
      <c r="F436" s="1"/>
      <c r="H436" s="1"/>
    </row>
    <row r="437" spans="6:8" ht="13.2" x14ac:dyDescent="0.25">
      <c r="F437" s="1"/>
      <c r="H437" s="1"/>
    </row>
    <row r="438" spans="6:8" ht="13.2" x14ac:dyDescent="0.25">
      <c r="F438" s="1"/>
      <c r="H438" s="1"/>
    </row>
    <row r="439" spans="6:8" ht="13.2" x14ac:dyDescent="0.25">
      <c r="F439" s="1"/>
      <c r="H439" s="1"/>
    </row>
    <row r="440" spans="6:8" ht="13.2" x14ac:dyDescent="0.25">
      <c r="F440" s="1"/>
      <c r="H440" s="1"/>
    </row>
    <row r="441" spans="6:8" ht="13.2" x14ac:dyDescent="0.25">
      <c r="F441" s="1"/>
      <c r="H441" s="1"/>
    </row>
    <row r="442" spans="6:8" ht="13.2" x14ac:dyDescent="0.25">
      <c r="F442" s="1"/>
      <c r="H442" s="1"/>
    </row>
    <row r="443" spans="6:8" ht="13.2" x14ac:dyDescent="0.25">
      <c r="F443" s="1"/>
      <c r="H443" s="1"/>
    </row>
    <row r="444" spans="6:8" ht="13.2" x14ac:dyDescent="0.25">
      <c r="F444" s="1"/>
      <c r="H444" s="1"/>
    </row>
    <row r="445" spans="6:8" ht="13.2" x14ac:dyDescent="0.25">
      <c r="F445" s="1"/>
      <c r="H445" s="1"/>
    </row>
    <row r="446" spans="6:8" ht="13.2" x14ac:dyDescent="0.25">
      <c r="F446" s="1"/>
      <c r="H446" s="1"/>
    </row>
    <row r="447" spans="6:8" ht="13.2" x14ac:dyDescent="0.25">
      <c r="F447" s="1"/>
      <c r="H447" s="1"/>
    </row>
    <row r="448" spans="6:8" ht="13.2" x14ac:dyDescent="0.25">
      <c r="F448" s="1"/>
      <c r="H448" s="1"/>
    </row>
    <row r="449" spans="6:8" ht="13.2" x14ac:dyDescent="0.25">
      <c r="F449" s="1"/>
      <c r="H449" s="1"/>
    </row>
    <row r="450" spans="6:8" ht="13.2" x14ac:dyDescent="0.25">
      <c r="F450" s="1"/>
      <c r="H450" s="1"/>
    </row>
    <row r="451" spans="6:8" ht="13.2" x14ac:dyDescent="0.25">
      <c r="F451" s="1"/>
      <c r="H451" s="1"/>
    </row>
    <row r="452" spans="6:8" ht="13.2" x14ac:dyDescent="0.25">
      <c r="F452" s="1"/>
      <c r="H452" s="1"/>
    </row>
    <row r="453" spans="6:8" ht="13.2" x14ac:dyDescent="0.25">
      <c r="F453" s="1"/>
      <c r="H453" s="1"/>
    </row>
    <row r="454" spans="6:8" ht="13.2" x14ac:dyDescent="0.25">
      <c r="F454" s="1"/>
      <c r="H454" s="1"/>
    </row>
    <row r="455" spans="6:8" ht="13.2" x14ac:dyDescent="0.25">
      <c r="F455" s="1"/>
      <c r="H455" s="1"/>
    </row>
    <row r="456" spans="6:8" ht="13.2" x14ac:dyDescent="0.25">
      <c r="F456" s="1"/>
      <c r="H456" s="1"/>
    </row>
    <row r="457" spans="6:8" ht="13.2" x14ac:dyDescent="0.25">
      <c r="F457" s="1"/>
      <c r="H457" s="1"/>
    </row>
    <row r="458" spans="6:8" ht="13.2" x14ac:dyDescent="0.25">
      <c r="F458" s="1"/>
      <c r="H458" s="1"/>
    </row>
    <row r="459" spans="6:8" ht="13.2" x14ac:dyDescent="0.25">
      <c r="F459" s="1"/>
      <c r="H459" s="1"/>
    </row>
    <row r="460" spans="6:8" ht="13.2" x14ac:dyDescent="0.25">
      <c r="F460" s="1"/>
      <c r="H460" s="1"/>
    </row>
    <row r="461" spans="6:8" ht="13.2" x14ac:dyDescent="0.25">
      <c r="F461" s="1"/>
      <c r="H461" s="1"/>
    </row>
    <row r="462" spans="6:8" ht="13.2" x14ac:dyDescent="0.25">
      <c r="F462" s="1"/>
      <c r="H462" s="1"/>
    </row>
    <row r="463" spans="6:8" ht="13.2" x14ac:dyDescent="0.25">
      <c r="F463" s="1"/>
      <c r="H463" s="1"/>
    </row>
    <row r="464" spans="6:8" ht="13.2" x14ac:dyDescent="0.25">
      <c r="F464" s="1"/>
      <c r="H464" s="1"/>
    </row>
    <row r="465" spans="6:8" ht="13.2" x14ac:dyDescent="0.25">
      <c r="F465" s="1"/>
      <c r="H465" s="1"/>
    </row>
    <row r="466" spans="6:8" ht="13.2" x14ac:dyDescent="0.25">
      <c r="F466" s="1"/>
      <c r="H466" s="1"/>
    </row>
    <row r="467" spans="6:8" ht="13.2" x14ac:dyDescent="0.25">
      <c r="F467" s="1"/>
      <c r="H467" s="1"/>
    </row>
    <row r="468" spans="6:8" ht="13.2" x14ac:dyDescent="0.25">
      <c r="F468" s="1"/>
      <c r="H468" s="1"/>
    </row>
    <row r="469" spans="6:8" ht="13.2" x14ac:dyDescent="0.25">
      <c r="F469" s="1"/>
      <c r="H469" s="1"/>
    </row>
    <row r="470" spans="6:8" ht="13.2" x14ac:dyDescent="0.25">
      <c r="F470" s="1"/>
      <c r="H470" s="1"/>
    </row>
    <row r="471" spans="6:8" ht="13.2" x14ac:dyDescent="0.25">
      <c r="F471" s="1"/>
      <c r="H471" s="1"/>
    </row>
    <row r="472" spans="6:8" ht="13.2" x14ac:dyDescent="0.25">
      <c r="F472" s="1"/>
      <c r="H472" s="1"/>
    </row>
    <row r="473" spans="6:8" ht="13.2" x14ac:dyDescent="0.25">
      <c r="F473" s="1"/>
      <c r="H473" s="1"/>
    </row>
    <row r="474" spans="6:8" ht="13.2" x14ac:dyDescent="0.25">
      <c r="F474" s="1"/>
      <c r="H474" s="1"/>
    </row>
    <row r="475" spans="6:8" ht="13.2" x14ac:dyDescent="0.25">
      <c r="F475" s="1"/>
      <c r="H475" s="1"/>
    </row>
    <row r="476" spans="6:8" ht="13.2" x14ac:dyDescent="0.25">
      <c r="F476" s="1"/>
      <c r="H476" s="1"/>
    </row>
    <row r="477" spans="6:8" ht="13.2" x14ac:dyDescent="0.25">
      <c r="F477" s="1"/>
      <c r="H477" s="1"/>
    </row>
    <row r="478" spans="6:8" ht="13.2" x14ac:dyDescent="0.25">
      <c r="F478" s="1"/>
      <c r="H478" s="1"/>
    </row>
    <row r="479" spans="6:8" ht="13.2" x14ac:dyDescent="0.25">
      <c r="F479" s="1"/>
      <c r="H479" s="1"/>
    </row>
    <row r="480" spans="6:8" ht="13.2" x14ac:dyDescent="0.25">
      <c r="F480" s="1"/>
      <c r="H480" s="1"/>
    </row>
    <row r="481" spans="6:8" ht="13.2" x14ac:dyDescent="0.25">
      <c r="F481" s="1"/>
      <c r="H481" s="1"/>
    </row>
    <row r="482" spans="6:8" ht="13.2" x14ac:dyDescent="0.25">
      <c r="F482" s="1"/>
      <c r="H482" s="1"/>
    </row>
    <row r="483" spans="6:8" ht="13.2" x14ac:dyDescent="0.25">
      <c r="F483" s="1"/>
      <c r="H483" s="1"/>
    </row>
    <row r="484" spans="6:8" ht="13.2" x14ac:dyDescent="0.25">
      <c r="F484" s="1"/>
      <c r="H484" s="1"/>
    </row>
    <row r="485" spans="6:8" ht="13.2" x14ac:dyDescent="0.25">
      <c r="F485" s="1"/>
      <c r="H485" s="1"/>
    </row>
    <row r="486" spans="6:8" ht="13.2" x14ac:dyDescent="0.25">
      <c r="F486" s="1"/>
      <c r="H486" s="1"/>
    </row>
    <row r="487" spans="6:8" ht="13.2" x14ac:dyDescent="0.25">
      <c r="F487" s="1"/>
      <c r="H487" s="1"/>
    </row>
    <row r="488" spans="6:8" ht="13.2" x14ac:dyDescent="0.25">
      <c r="F488" s="1"/>
      <c r="H488" s="1"/>
    </row>
    <row r="489" spans="6:8" ht="13.2" x14ac:dyDescent="0.25">
      <c r="F489" s="1"/>
      <c r="H489" s="1"/>
    </row>
    <row r="490" spans="6:8" ht="13.2" x14ac:dyDescent="0.25">
      <c r="F490" s="1"/>
      <c r="H490" s="1"/>
    </row>
    <row r="491" spans="6:8" ht="13.2" x14ac:dyDescent="0.25">
      <c r="F491" s="1"/>
      <c r="H491" s="1"/>
    </row>
    <row r="492" spans="6:8" ht="13.2" x14ac:dyDescent="0.25">
      <c r="F492" s="1"/>
      <c r="H492" s="1"/>
    </row>
    <row r="493" spans="6:8" ht="13.2" x14ac:dyDescent="0.25">
      <c r="F493" s="1"/>
      <c r="H493" s="1"/>
    </row>
    <row r="494" spans="6:8" ht="13.2" x14ac:dyDescent="0.25">
      <c r="F494" s="1"/>
      <c r="H494" s="1"/>
    </row>
    <row r="495" spans="6:8" ht="13.2" x14ac:dyDescent="0.25">
      <c r="F495" s="1"/>
      <c r="H495" s="1"/>
    </row>
    <row r="496" spans="6:8" ht="13.2" x14ac:dyDescent="0.25">
      <c r="F496" s="1"/>
      <c r="H496" s="1"/>
    </row>
    <row r="497" spans="6:8" ht="13.2" x14ac:dyDescent="0.25">
      <c r="F497" s="1"/>
      <c r="H497" s="1"/>
    </row>
    <row r="498" spans="6:8" ht="13.2" x14ac:dyDescent="0.25">
      <c r="F498" s="1"/>
      <c r="H498" s="1"/>
    </row>
    <row r="499" spans="6:8" ht="13.2" x14ac:dyDescent="0.25">
      <c r="F499" s="1"/>
      <c r="H499" s="1"/>
    </row>
    <row r="500" spans="6:8" ht="13.2" x14ac:dyDescent="0.25">
      <c r="F500" s="1"/>
      <c r="H500" s="1"/>
    </row>
    <row r="501" spans="6:8" ht="13.2" x14ac:dyDescent="0.25">
      <c r="F501" s="1"/>
      <c r="H501" s="1"/>
    </row>
    <row r="502" spans="6:8" ht="13.2" x14ac:dyDescent="0.25">
      <c r="F502" s="1"/>
      <c r="H502" s="1"/>
    </row>
    <row r="503" spans="6:8" ht="13.2" x14ac:dyDescent="0.25">
      <c r="F503" s="1"/>
      <c r="H503" s="1"/>
    </row>
    <row r="504" spans="6:8" ht="13.2" x14ac:dyDescent="0.25">
      <c r="F504" s="1"/>
      <c r="H504" s="1"/>
    </row>
    <row r="505" spans="6:8" ht="13.2" x14ac:dyDescent="0.25">
      <c r="F505" s="1"/>
      <c r="H505" s="1"/>
    </row>
    <row r="506" spans="6:8" ht="13.2" x14ac:dyDescent="0.25">
      <c r="F506" s="1"/>
      <c r="H506" s="1"/>
    </row>
    <row r="507" spans="6:8" ht="13.2" x14ac:dyDescent="0.25">
      <c r="F507" s="1"/>
      <c r="H507" s="1"/>
    </row>
    <row r="508" spans="6:8" ht="13.2" x14ac:dyDescent="0.25">
      <c r="F508" s="1"/>
      <c r="H508" s="1"/>
    </row>
    <row r="509" spans="6:8" ht="13.2" x14ac:dyDescent="0.25">
      <c r="F509" s="1"/>
      <c r="H509" s="1"/>
    </row>
    <row r="510" spans="6:8" ht="13.2" x14ac:dyDescent="0.25">
      <c r="F510" s="1"/>
      <c r="H510" s="1"/>
    </row>
    <row r="511" spans="6:8" ht="13.2" x14ac:dyDescent="0.25">
      <c r="F511" s="1"/>
      <c r="H511" s="1"/>
    </row>
    <row r="512" spans="6:8" ht="13.2" x14ac:dyDescent="0.25">
      <c r="F512" s="1"/>
      <c r="H512" s="1"/>
    </row>
    <row r="513" spans="6:8" ht="13.2" x14ac:dyDescent="0.25">
      <c r="F513" s="1"/>
      <c r="H513" s="1"/>
    </row>
    <row r="514" spans="6:8" ht="13.2" x14ac:dyDescent="0.25">
      <c r="F514" s="1"/>
      <c r="H514" s="1"/>
    </row>
    <row r="515" spans="6:8" ht="13.2" x14ac:dyDescent="0.25">
      <c r="F515" s="1"/>
      <c r="H515" s="1"/>
    </row>
    <row r="516" spans="6:8" ht="13.2" x14ac:dyDescent="0.25">
      <c r="F516" s="1"/>
      <c r="H516" s="1"/>
    </row>
    <row r="517" spans="6:8" ht="13.2" x14ac:dyDescent="0.25">
      <c r="F517" s="1"/>
      <c r="H517" s="1"/>
    </row>
    <row r="518" spans="6:8" ht="13.2" x14ac:dyDescent="0.25">
      <c r="F518" s="1"/>
      <c r="H518" s="1"/>
    </row>
    <row r="519" spans="6:8" ht="13.2" x14ac:dyDescent="0.25">
      <c r="F519" s="1"/>
      <c r="H519" s="1"/>
    </row>
    <row r="520" spans="6:8" ht="13.2" x14ac:dyDescent="0.25">
      <c r="F520" s="1"/>
      <c r="H520" s="1"/>
    </row>
    <row r="521" spans="6:8" ht="13.2" x14ac:dyDescent="0.25">
      <c r="F521" s="1"/>
      <c r="H521" s="1"/>
    </row>
    <row r="522" spans="6:8" ht="13.2" x14ac:dyDescent="0.25">
      <c r="F522" s="1"/>
      <c r="H522" s="1"/>
    </row>
    <row r="523" spans="6:8" ht="13.2" x14ac:dyDescent="0.25">
      <c r="F523" s="1"/>
      <c r="H523" s="1"/>
    </row>
    <row r="524" spans="6:8" ht="13.2" x14ac:dyDescent="0.25">
      <c r="F524" s="1"/>
      <c r="H524" s="1"/>
    </row>
    <row r="525" spans="6:8" ht="13.2" x14ac:dyDescent="0.25">
      <c r="F525" s="1"/>
      <c r="H525" s="1"/>
    </row>
    <row r="526" spans="6:8" ht="13.2" x14ac:dyDescent="0.25">
      <c r="F526" s="1"/>
      <c r="H526" s="1"/>
    </row>
    <row r="527" spans="6:8" ht="13.2" x14ac:dyDescent="0.25">
      <c r="F527" s="1"/>
      <c r="H527" s="1"/>
    </row>
    <row r="528" spans="6:8" ht="13.2" x14ac:dyDescent="0.25">
      <c r="F528" s="1"/>
      <c r="H528" s="1"/>
    </row>
    <row r="529" spans="6:8" ht="13.2" x14ac:dyDescent="0.25">
      <c r="F529" s="1"/>
      <c r="H529" s="1"/>
    </row>
    <row r="530" spans="6:8" ht="13.2" x14ac:dyDescent="0.25">
      <c r="F530" s="1"/>
      <c r="H530" s="1"/>
    </row>
    <row r="531" spans="6:8" ht="13.2" x14ac:dyDescent="0.25">
      <c r="F531" s="1"/>
      <c r="H531" s="1"/>
    </row>
    <row r="532" spans="6:8" ht="13.2" x14ac:dyDescent="0.25">
      <c r="F532" s="1"/>
      <c r="H532" s="1"/>
    </row>
    <row r="533" spans="6:8" ht="13.2" x14ac:dyDescent="0.25">
      <c r="F533" s="1"/>
      <c r="H533" s="1"/>
    </row>
    <row r="534" spans="6:8" ht="13.2" x14ac:dyDescent="0.25">
      <c r="F534" s="1"/>
      <c r="H534" s="1"/>
    </row>
    <row r="535" spans="6:8" ht="13.2" x14ac:dyDescent="0.25">
      <c r="F535" s="1"/>
      <c r="H535" s="1"/>
    </row>
    <row r="536" spans="6:8" ht="13.2" x14ac:dyDescent="0.25">
      <c r="F536" s="1"/>
      <c r="H536" s="1"/>
    </row>
    <row r="537" spans="6:8" ht="13.2" x14ac:dyDescent="0.25">
      <c r="F537" s="1"/>
      <c r="H537" s="1"/>
    </row>
    <row r="538" spans="6:8" ht="13.2" x14ac:dyDescent="0.25">
      <c r="F538" s="1"/>
      <c r="H538" s="1"/>
    </row>
    <row r="539" spans="6:8" ht="13.2" x14ac:dyDescent="0.25">
      <c r="F539" s="1"/>
      <c r="H539" s="1"/>
    </row>
    <row r="540" spans="6:8" ht="13.2" x14ac:dyDescent="0.25">
      <c r="F540" s="1"/>
      <c r="H540" s="1"/>
    </row>
    <row r="541" spans="6:8" ht="13.2" x14ac:dyDescent="0.25">
      <c r="F541" s="1"/>
      <c r="H541" s="1"/>
    </row>
    <row r="542" spans="6:8" ht="13.2" x14ac:dyDescent="0.25">
      <c r="F542" s="1"/>
      <c r="H542" s="1"/>
    </row>
    <row r="543" spans="6:8" ht="13.2" x14ac:dyDescent="0.25">
      <c r="F543" s="1"/>
      <c r="H543" s="1"/>
    </row>
    <row r="544" spans="6:8" ht="13.2" x14ac:dyDescent="0.25">
      <c r="F544" s="1"/>
      <c r="H544" s="1"/>
    </row>
    <row r="545" spans="6:8" ht="13.2" x14ac:dyDescent="0.25">
      <c r="F545" s="1"/>
      <c r="H545" s="1"/>
    </row>
    <row r="546" spans="6:8" ht="13.2" x14ac:dyDescent="0.25">
      <c r="F546" s="1"/>
      <c r="H546" s="1"/>
    </row>
    <row r="547" spans="6:8" ht="13.2" x14ac:dyDescent="0.25">
      <c r="F547" s="1"/>
      <c r="H547" s="1"/>
    </row>
    <row r="548" spans="6:8" ht="13.2" x14ac:dyDescent="0.25">
      <c r="F548" s="1"/>
      <c r="H548" s="1"/>
    </row>
    <row r="549" spans="6:8" ht="13.2" x14ac:dyDescent="0.25">
      <c r="F549" s="1"/>
      <c r="H549" s="1"/>
    </row>
    <row r="550" spans="6:8" ht="13.2" x14ac:dyDescent="0.25">
      <c r="F550" s="1"/>
      <c r="H550" s="1"/>
    </row>
    <row r="551" spans="6:8" ht="13.2" x14ac:dyDescent="0.25">
      <c r="F551" s="1"/>
      <c r="H551" s="1"/>
    </row>
    <row r="552" spans="6:8" ht="13.2" x14ac:dyDescent="0.25">
      <c r="F552" s="1"/>
      <c r="H552" s="1"/>
    </row>
    <row r="553" spans="6:8" ht="13.2" x14ac:dyDescent="0.25">
      <c r="F553" s="1"/>
      <c r="H553" s="1"/>
    </row>
    <row r="554" spans="6:8" ht="13.2" x14ac:dyDescent="0.25">
      <c r="F554" s="1"/>
      <c r="H554" s="1"/>
    </row>
    <row r="555" spans="6:8" ht="13.2" x14ac:dyDescent="0.25">
      <c r="F555" s="1"/>
      <c r="H555" s="1"/>
    </row>
    <row r="556" spans="6:8" ht="13.2" x14ac:dyDescent="0.25">
      <c r="F556" s="1"/>
      <c r="H556" s="1"/>
    </row>
    <row r="557" spans="6:8" ht="13.2" x14ac:dyDescent="0.25">
      <c r="F557" s="1"/>
      <c r="H557" s="1"/>
    </row>
    <row r="558" spans="6:8" ht="13.2" x14ac:dyDescent="0.25">
      <c r="F558" s="1"/>
      <c r="H558" s="1"/>
    </row>
    <row r="559" spans="6:8" ht="13.2" x14ac:dyDescent="0.25">
      <c r="F559" s="1"/>
      <c r="H559" s="1"/>
    </row>
    <row r="560" spans="6:8" ht="13.2" x14ac:dyDescent="0.25">
      <c r="F560" s="1"/>
      <c r="H560" s="1"/>
    </row>
    <row r="561" spans="6:8" ht="13.2" x14ac:dyDescent="0.25">
      <c r="F561" s="1"/>
      <c r="H561" s="1"/>
    </row>
    <row r="562" spans="6:8" ht="13.2" x14ac:dyDescent="0.25">
      <c r="F562" s="1"/>
      <c r="H562" s="1"/>
    </row>
    <row r="563" spans="6:8" ht="13.2" x14ac:dyDescent="0.25">
      <c r="F563" s="1"/>
      <c r="H563" s="1"/>
    </row>
    <row r="564" spans="6:8" ht="13.2" x14ac:dyDescent="0.25">
      <c r="F564" s="1"/>
      <c r="H564" s="1"/>
    </row>
    <row r="565" spans="6:8" ht="13.2" x14ac:dyDescent="0.25">
      <c r="F565" s="1"/>
      <c r="H565" s="1"/>
    </row>
    <row r="566" spans="6:8" ht="13.2" x14ac:dyDescent="0.25">
      <c r="F566" s="1"/>
      <c r="H566" s="1"/>
    </row>
    <row r="567" spans="6:8" ht="13.2" x14ac:dyDescent="0.25">
      <c r="F567" s="1"/>
      <c r="H567" s="1"/>
    </row>
    <row r="568" spans="6:8" ht="13.2" x14ac:dyDescent="0.25">
      <c r="F568" s="1"/>
      <c r="H568" s="1"/>
    </row>
    <row r="569" spans="6:8" ht="13.2" x14ac:dyDescent="0.25">
      <c r="F569" s="1"/>
      <c r="H569" s="1"/>
    </row>
    <row r="570" spans="6:8" ht="13.2" x14ac:dyDescent="0.25">
      <c r="F570" s="1"/>
      <c r="H570" s="1"/>
    </row>
    <row r="571" spans="6:8" ht="13.2" x14ac:dyDescent="0.25">
      <c r="F571" s="1"/>
      <c r="H571" s="1"/>
    </row>
    <row r="572" spans="6:8" ht="13.2" x14ac:dyDescent="0.25">
      <c r="F572" s="1"/>
      <c r="H572" s="1"/>
    </row>
    <row r="573" spans="6:8" ht="13.2" x14ac:dyDescent="0.25">
      <c r="F573" s="1"/>
      <c r="H573" s="1"/>
    </row>
    <row r="574" spans="6:8" ht="13.2" x14ac:dyDescent="0.25">
      <c r="F574" s="1"/>
      <c r="H574" s="1"/>
    </row>
    <row r="575" spans="6:8" ht="13.2" x14ac:dyDescent="0.25">
      <c r="F575" s="1"/>
      <c r="H575" s="1"/>
    </row>
    <row r="576" spans="6:8" ht="13.2" x14ac:dyDescent="0.25">
      <c r="F576" s="1"/>
      <c r="H576" s="1"/>
    </row>
    <row r="577" spans="6:8" ht="13.2" x14ac:dyDescent="0.25">
      <c r="F577" s="1"/>
      <c r="H577" s="1"/>
    </row>
    <row r="578" spans="6:8" ht="13.2" x14ac:dyDescent="0.25">
      <c r="F578" s="1"/>
      <c r="H578" s="1"/>
    </row>
    <row r="579" spans="6:8" ht="13.2" x14ac:dyDescent="0.25">
      <c r="F579" s="1"/>
      <c r="H579" s="1"/>
    </row>
    <row r="580" spans="6:8" ht="13.2" x14ac:dyDescent="0.25">
      <c r="F580" s="1"/>
      <c r="H580" s="1"/>
    </row>
    <row r="581" spans="6:8" ht="13.2" x14ac:dyDescent="0.25">
      <c r="F581" s="1"/>
      <c r="H581" s="1"/>
    </row>
    <row r="582" spans="6:8" ht="13.2" x14ac:dyDescent="0.25">
      <c r="F582" s="1"/>
      <c r="H582" s="1"/>
    </row>
    <row r="583" spans="6:8" ht="13.2" x14ac:dyDescent="0.25">
      <c r="F583" s="1"/>
      <c r="H583" s="1"/>
    </row>
    <row r="584" spans="6:8" ht="13.2" x14ac:dyDescent="0.25">
      <c r="F584" s="1"/>
      <c r="H584" s="1"/>
    </row>
    <row r="585" spans="6:8" ht="13.2" x14ac:dyDescent="0.25">
      <c r="F585" s="1"/>
      <c r="H585" s="1"/>
    </row>
    <row r="586" spans="6:8" ht="13.2" x14ac:dyDescent="0.25">
      <c r="F586" s="1"/>
      <c r="H586" s="1"/>
    </row>
    <row r="587" spans="6:8" ht="13.2" x14ac:dyDescent="0.25">
      <c r="F587" s="1"/>
      <c r="H587" s="1"/>
    </row>
    <row r="588" spans="6:8" ht="13.2" x14ac:dyDescent="0.25">
      <c r="F588" s="1"/>
      <c r="H588" s="1"/>
    </row>
    <row r="589" spans="6:8" ht="13.2" x14ac:dyDescent="0.25">
      <c r="F589" s="1"/>
      <c r="H589" s="1"/>
    </row>
    <row r="590" spans="6:8" ht="13.2" x14ac:dyDescent="0.25">
      <c r="F590" s="1"/>
      <c r="H590" s="1"/>
    </row>
    <row r="591" spans="6:8" ht="13.2" x14ac:dyDescent="0.25">
      <c r="F591" s="1"/>
      <c r="H591" s="1"/>
    </row>
    <row r="592" spans="6:8" ht="13.2" x14ac:dyDescent="0.25">
      <c r="F592" s="1"/>
      <c r="H592" s="1"/>
    </row>
    <row r="593" spans="6:8" ht="13.2" x14ac:dyDescent="0.25">
      <c r="F593" s="1"/>
      <c r="H593" s="1"/>
    </row>
    <row r="594" spans="6:8" ht="13.2" x14ac:dyDescent="0.25">
      <c r="F594" s="1"/>
      <c r="H594" s="1"/>
    </row>
    <row r="595" spans="6:8" ht="13.2" x14ac:dyDescent="0.25">
      <c r="F595" s="1"/>
      <c r="H595" s="1"/>
    </row>
    <row r="596" spans="6:8" ht="13.2" x14ac:dyDescent="0.25">
      <c r="F596" s="1"/>
      <c r="H596" s="1"/>
    </row>
    <row r="597" spans="6:8" ht="13.2" x14ac:dyDescent="0.25">
      <c r="F597" s="1"/>
      <c r="H597" s="1"/>
    </row>
    <row r="598" spans="6:8" ht="13.2" x14ac:dyDescent="0.25">
      <c r="F598" s="1"/>
      <c r="H598" s="1"/>
    </row>
    <row r="599" spans="6:8" ht="13.2" x14ac:dyDescent="0.25">
      <c r="F599" s="1"/>
      <c r="H599" s="1"/>
    </row>
    <row r="600" spans="6:8" ht="13.2" x14ac:dyDescent="0.25">
      <c r="F600" s="1"/>
      <c r="H600" s="1"/>
    </row>
    <row r="601" spans="6:8" ht="13.2" x14ac:dyDescent="0.25">
      <c r="F601" s="1"/>
      <c r="H601" s="1"/>
    </row>
    <row r="602" spans="6:8" ht="13.2" x14ac:dyDescent="0.25">
      <c r="F602" s="1"/>
      <c r="H602" s="1"/>
    </row>
    <row r="603" spans="6:8" ht="13.2" x14ac:dyDescent="0.25">
      <c r="F603" s="1"/>
      <c r="H603" s="1"/>
    </row>
    <row r="604" spans="6:8" ht="13.2" x14ac:dyDescent="0.25">
      <c r="F604" s="1"/>
      <c r="H604" s="1"/>
    </row>
    <row r="605" spans="6:8" ht="13.2" x14ac:dyDescent="0.25">
      <c r="F605" s="1"/>
      <c r="H605" s="1"/>
    </row>
    <row r="606" spans="6:8" ht="13.2" x14ac:dyDescent="0.25">
      <c r="F606" s="1"/>
      <c r="H606" s="1"/>
    </row>
    <row r="607" spans="6:8" ht="13.2" x14ac:dyDescent="0.25">
      <c r="F607" s="1"/>
      <c r="H607" s="1"/>
    </row>
    <row r="608" spans="6:8" ht="13.2" x14ac:dyDescent="0.25">
      <c r="F608" s="1"/>
      <c r="H608" s="1"/>
    </row>
    <row r="609" spans="6:8" ht="13.2" x14ac:dyDescent="0.25">
      <c r="F609" s="1"/>
      <c r="H609" s="1"/>
    </row>
    <row r="610" spans="6:8" ht="13.2" x14ac:dyDescent="0.25">
      <c r="F610" s="1"/>
      <c r="H610" s="1"/>
    </row>
    <row r="611" spans="6:8" ht="13.2" x14ac:dyDescent="0.25">
      <c r="F611" s="1"/>
      <c r="H611" s="1"/>
    </row>
    <row r="612" spans="6:8" ht="13.2" x14ac:dyDescent="0.25">
      <c r="F612" s="1"/>
      <c r="H612" s="1"/>
    </row>
    <row r="613" spans="6:8" ht="13.2" x14ac:dyDescent="0.25">
      <c r="F613" s="1"/>
      <c r="H613" s="1"/>
    </row>
    <row r="614" spans="6:8" ht="13.2" x14ac:dyDescent="0.25">
      <c r="F614" s="1"/>
      <c r="H614" s="1"/>
    </row>
    <row r="615" spans="6:8" ht="13.2" x14ac:dyDescent="0.25">
      <c r="F615" s="1"/>
      <c r="H615" s="1"/>
    </row>
    <row r="616" spans="6:8" ht="13.2" x14ac:dyDescent="0.25">
      <c r="F616" s="1"/>
      <c r="H616" s="1"/>
    </row>
    <row r="617" spans="6:8" ht="13.2" x14ac:dyDescent="0.25">
      <c r="F617" s="1"/>
      <c r="H617" s="1"/>
    </row>
    <row r="618" spans="6:8" ht="13.2" x14ac:dyDescent="0.25">
      <c r="F618" s="1"/>
      <c r="H618" s="1"/>
    </row>
    <row r="619" spans="6:8" ht="13.2" x14ac:dyDescent="0.25">
      <c r="F619" s="1"/>
      <c r="H619" s="1"/>
    </row>
    <row r="620" spans="6:8" ht="13.2" x14ac:dyDescent="0.25">
      <c r="F620" s="1"/>
      <c r="H620" s="1"/>
    </row>
    <row r="621" spans="6:8" ht="13.2" x14ac:dyDescent="0.25">
      <c r="F621" s="1"/>
      <c r="H621" s="1"/>
    </row>
    <row r="622" spans="6:8" ht="13.2" x14ac:dyDescent="0.25">
      <c r="F622" s="1"/>
      <c r="H622" s="1"/>
    </row>
    <row r="623" spans="6:8" ht="13.2" x14ac:dyDescent="0.25">
      <c r="F623" s="1"/>
      <c r="H623" s="1"/>
    </row>
    <row r="624" spans="6:8" ht="13.2" x14ac:dyDescent="0.25">
      <c r="F624" s="1"/>
      <c r="H624" s="1"/>
    </row>
    <row r="625" spans="6:8" ht="13.2" x14ac:dyDescent="0.25">
      <c r="F625" s="1"/>
      <c r="H625" s="1"/>
    </row>
    <row r="626" spans="6:8" ht="13.2" x14ac:dyDescent="0.25">
      <c r="F626" s="1"/>
      <c r="H626" s="1"/>
    </row>
    <row r="627" spans="6:8" ht="13.2" x14ac:dyDescent="0.25">
      <c r="F627" s="1"/>
      <c r="H627" s="1"/>
    </row>
    <row r="628" spans="6:8" ht="13.2" x14ac:dyDescent="0.25">
      <c r="F628" s="1"/>
      <c r="H628" s="1"/>
    </row>
    <row r="629" spans="6:8" ht="13.2" x14ac:dyDescent="0.25">
      <c r="F629" s="1"/>
      <c r="H629" s="1"/>
    </row>
    <row r="630" spans="6:8" ht="13.2" x14ac:dyDescent="0.25">
      <c r="F630" s="1"/>
      <c r="H630" s="1"/>
    </row>
    <row r="631" spans="6:8" ht="13.2" x14ac:dyDescent="0.25">
      <c r="F631" s="1"/>
      <c r="H631" s="1"/>
    </row>
    <row r="632" spans="6:8" ht="13.2" x14ac:dyDescent="0.25">
      <c r="F632" s="1"/>
      <c r="H632" s="1"/>
    </row>
    <row r="633" spans="6:8" ht="13.2" x14ac:dyDescent="0.25">
      <c r="F633" s="1"/>
      <c r="H633" s="1"/>
    </row>
    <row r="634" spans="6:8" ht="13.2" x14ac:dyDescent="0.25">
      <c r="F634" s="1"/>
      <c r="H634" s="1"/>
    </row>
    <row r="635" spans="6:8" ht="13.2" x14ac:dyDescent="0.25">
      <c r="F635" s="1"/>
      <c r="H635" s="1"/>
    </row>
    <row r="636" spans="6:8" ht="13.2" x14ac:dyDescent="0.25">
      <c r="F636" s="1"/>
      <c r="H636" s="1"/>
    </row>
    <row r="637" spans="6:8" ht="13.2" x14ac:dyDescent="0.25">
      <c r="F637" s="1"/>
      <c r="H637" s="1"/>
    </row>
    <row r="638" spans="6:8" ht="13.2" x14ac:dyDescent="0.25">
      <c r="F638" s="1"/>
      <c r="H638" s="1"/>
    </row>
    <row r="639" spans="6:8" ht="13.2" x14ac:dyDescent="0.25">
      <c r="F639" s="1"/>
      <c r="H639" s="1"/>
    </row>
    <row r="640" spans="6:8" ht="13.2" x14ac:dyDescent="0.25">
      <c r="F640" s="1"/>
      <c r="H640" s="1"/>
    </row>
    <row r="641" spans="6:8" ht="13.2" x14ac:dyDescent="0.25">
      <c r="F641" s="1"/>
      <c r="H641" s="1"/>
    </row>
    <row r="642" spans="6:8" ht="13.2" x14ac:dyDescent="0.25">
      <c r="F642" s="1"/>
      <c r="H642" s="1"/>
    </row>
    <row r="643" spans="6:8" ht="13.2" x14ac:dyDescent="0.25">
      <c r="F643" s="1"/>
      <c r="H643" s="1"/>
    </row>
    <row r="644" spans="6:8" ht="13.2" x14ac:dyDescent="0.25">
      <c r="F644" s="1"/>
      <c r="H644" s="1"/>
    </row>
    <row r="645" spans="6:8" ht="13.2" x14ac:dyDescent="0.25">
      <c r="F645" s="1"/>
      <c r="H645" s="1"/>
    </row>
    <row r="646" spans="6:8" ht="13.2" x14ac:dyDescent="0.25">
      <c r="F646" s="1"/>
      <c r="H646" s="1"/>
    </row>
    <row r="647" spans="6:8" ht="13.2" x14ac:dyDescent="0.25">
      <c r="F647" s="1"/>
      <c r="H647" s="1"/>
    </row>
    <row r="648" spans="6:8" ht="13.2" x14ac:dyDescent="0.25">
      <c r="F648" s="1"/>
      <c r="H648" s="1"/>
    </row>
    <row r="649" spans="6:8" ht="13.2" x14ac:dyDescent="0.25">
      <c r="F649" s="1"/>
      <c r="H649" s="1"/>
    </row>
    <row r="650" spans="6:8" ht="13.2" x14ac:dyDescent="0.25">
      <c r="F650" s="1"/>
      <c r="H650" s="1"/>
    </row>
    <row r="651" spans="6:8" ht="13.2" x14ac:dyDescent="0.25">
      <c r="F651" s="1"/>
      <c r="H651" s="1"/>
    </row>
    <row r="652" spans="6:8" ht="13.2" x14ac:dyDescent="0.25">
      <c r="F652" s="1"/>
      <c r="H652" s="1"/>
    </row>
    <row r="653" spans="6:8" ht="13.2" x14ac:dyDescent="0.25">
      <c r="F653" s="1"/>
      <c r="H653" s="1"/>
    </row>
    <row r="654" spans="6:8" ht="13.2" x14ac:dyDescent="0.25">
      <c r="F654" s="1"/>
      <c r="H654" s="1"/>
    </row>
    <row r="655" spans="6:8" ht="13.2" x14ac:dyDescent="0.25">
      <c r="F655" s="1"/>
      <c r="H655" s="1"/>
    </row>
    <row r="656" spans="6:8" ht="13.2" x14ac:dyDescent="0.25">
      <c r="F656" s="1"/>
      <c r="H656" s="1"/>
    </row>
    <row r="657" spans="6:8" ht="13.2" x14ac:dyDescent="0.25">
      <c r="F657" s="1"/>
      <c r="H657" s="1"/>
    </row>
    <row r="658" spans="6:8" ht="13.2" x14ac:dyDescent="0.25">
      <c r="F658" s="1"/>
      <c r="H658" s="1"/>
    </row>
    <row r="659" spans="6:8" ht="13.2" x14ac:dyDescent="0.25">
      <c r="F659" s="1"/>
      <c r="H659" s="1"/>
    </row>
    <row r="660" spans="6:8" ht="13.2" x14ac:dyDescent="0.25">
      <c r="F660" s="1"/>
      <c r="H660" s="1"/>
    </row>
    <row r="661" spans="6:8" ht="13.2" x14ac:dyDescent="0.25">
      <c r="F661" s="1"/>
      <c r="H661" s="1"/>
    </row>
    <row r="662" spans="6:8" ht="13.2" x14ac:dyDescent="0.25">
      <c r="F662" s="1"/>
      <c r="H662" s="1"/>
    </row>
    <row r="663" spans="6:8" ht="13.2" x14ac:dyDescent="0.25">
      <c r="F663" s="1"/>
      <c r="H663" s="1"/>
    </row>
    <row r="664" spans="6:8" ht="13.2" x14ac:dyDescent="0.25">
      <c r="F664" s="1"/>
      <c r="H664" s="1"/>
    </row>
    <row r="665" spans="6:8" ht="13.2" x14ac:dyDescent="0.25">
      <c r="F665" s="1"/>
      <c r="H665" s="1"/>
    </row>
    <row r="666" spans="6:8" ht="13.2" x14ac:dyDescent="0.25">
      <c r="F666" s="1"/>
      <c r="H666" s="1"/>
    </row>
    <row r="667" spans="6:8" ht="13.2" x14ac:dyDescent="0.25">
      <c r="F667" s="1"/>
      <c r="H667" s="1"/>
    </row>
    <row r="668" spans="6:8" ht="13.2" x14ac:dyDescent="0.25">
      <c r="F668" s="1"/>
      <c r="H668" s="1"/>
    </row>
    <row r="669" spans="6:8" ht="13.2" x14ac:dyDescent="0.25">
      <c r="F669" s="1"/>
      <c r="H669" s="1"/>
    </row>
    <row r="670" spans="6:8" ht="13.2" x14ac:dyDescent="0.25">
      <c r="F670" s="1"/>
      <c r="H670" s="1"/>
    </row>
    <row r="671" spans="6:8" ht="13.2" x14ac:dyDescent="0.25">
      <c r="F671" s="1"/>
      <c r="H671" s="1"/>
    </row>
    <row r="672" spans="6:8" ht="13.2" x14ac:dyDescent="0.25">
      <c r="F672" s="1"/>
      <c r="H672" s="1"/>
    </row>
    <row r="673" spans="6:8" ht="13.2" x14ac:dyDescent="0.25">
      <c r="F673" s="1"/>
      <c r="H673" s="1"/>
    </row>
    <row r="674" spans="6:8" ht="13.2" x14ac:dyDescent="0.25">
      <c r="F674" s="1"/>
      <c r="H674" s="1"/>
    </row>
    <row r="675" spans="6:8" ht="13.2" x14ac:dyDescent="0.25">
      <c r="F675" s="1"/>
      <c r="H675" s="1"/>
    </row>
    <row r="676" spans="6:8" ht="13.2" x14ac:dyDescent="0.25">
      <c r="F676" s="1"/>
      <c r="H676" s="1"/>
    </row>
    <row r="677" spans="6:8" ht="13.2" x14ac:dyDescent="0.25">
      <c r="F677" s="1"/>
      <c r="H677" s="1"/>
    </row>
    <row r="678" spans="6:8" ht="13.2" x14ac:dyDescent="0.25">
      <c r="F678" s="1"/>
      <c r="H678" s="1"/>
    </row>
    <row r="679" spans="6:8" ht="13.2" x14ac:dyDescent="0.25">
      <c r="F679" s="1"/>
      <c r="H679" s="1"/>
    </row>
    <row r="680" spans="6:8" ht="13.2" x14ac:dyDescent="0.25">
      <c r="F680" s="1"/>
      <c r="H680" s="1"/>
    </row>
    <row r="681" spans="6:8" ht="13.2" x14ac:dyDescent="0.25">
      <c r="F681" s="1"/>
      <c r="H681" s="1"/>
    </row>
    <row r="682" spans="6:8" ht="13.2" x14ac:dyDescent="0.25">
      <c r="F682" s="1"/>
      <c r="H682" s="1"/>
    </row>
    <row r="683" spans="6:8" ht="13.2" x14ac:dyDescent="0.25">
      <c r="F683" s="1"/>
      <c r="H683" s="1"/>
    </row>
    <row r="684" spans="6:8" ht="13.2" x14ac:dyDescent="0.25">
      <c r="F684" s="1"/>
      <c r="H684" s="1"/>
    </row>
    <row r="685" spans="6:8" ht="13.2" x14ac:dyDescent="0.25">
      <c r="F685" s="1"/>
      <c r="H685" s="1"/>
    </row>
    <row r="686" spans="6:8" ht="13.2" x14ac:dyDescent="0.25">
      <c r="F686" s="1"/>
      <c r="H686" s="1"/>
    </row>
    <row r="687" spans="6:8" ht="13.2" x14ac:dyDescent="0.25">
      <c r="F687" s="1"/>
      <c r="H687" s="1"/>
    </row>
    <row r="688" spans="6:8" ht="13.2" x14ac:dyDescent="0.25">
      <c r="F688" s="1"/>
      <c r="H688" s="1"/>
    </row>
    <row r="689" spans="6:8" ht="13.2" x14ac:dyDescent="0.25">
      <c r="F689" s="1"/>
      <c r="H689" s="1"/>
    </row>
    <row r="690" spans="6:8" ht="13.2" x14ac:dyDescent="0.25">
      <c r="F690" s="1"/>
      <c r="H690" s="1"/>
    </row>
    <row r="691" spans="6:8" ht="13.2" x14ac:dyDescent="0.25">
      <c r="F691" s="1"/>
      <c r="H691" s="1"/>
    </row>
    <row r="692" spans="6:8" ht="13.2" x14ac:dyDescent="0.25">
      <c r="F692" s="1"/>
      <c r="H692" s="1"/>
    </row>
    <row r="693" spans="6:8" ht="13.2" x14ac:dyDescent="0.25">
      <c r="F693" s="1"/>
      <c r="H693" s="1"/>
    </row>
    <row r="694" spans="6:8" ht="13.2" x14ac:dyDescent="0.25">
      <c r="F694" s="1"/>
      <c r="H694" s="1"/>
    </row>
    <row r="695" spans="6:8" ht="13.2" x14ac:dyDescent="0.25">
      <c r="F695" s="1"/>
      <c r="H695" s="1"/>
    </row>
    <row r="696" spans="6:8" ht="13.2" x14ac:dyDescent="0.25">
      <c r="F696" s="1"/>
      <c r="H696" s="1"/>
    </row>
    <row r="697" spans="6:8" ht="13.2" x14ac:dyDescent="0.25">
      <c r="F697" s="1"/>
      <c r="H697" s="1"/>
    </row>
    <row r="698" spans="6:8" ht="13.2" x14ac:dyDescent="0.25">
      <c r="F698" s="1"/>
      <c r="H698" s="1"/>
    </row>
    <row r="699" spans="6:8" ht="13.2" x14ac:dyDescent="0.25">
      <c r="F699" s="1"/>
      <c r="H699" s="1"/>
    </row>
    <row r="700" spans="6:8" ht="13.2" x14ac:dyDescent="0.25">
      <c r="F700" s="1"/>
      <c r="H700" s="1"/>
    </row>
    <row r="701" spans="6:8" ht="13.2" x14ac:dyDescent="0.25">
      <c r="F701" s="1"/>
      <c r="H701" s="1"/>
    </row>
    <row r="702" spans="6:8" ht="13.2" x14ac:dyDescent="0.25">
      <c r="F702" s="1"/>
      <c r="H702" s="1"/>
    </row>
    <row r="703" spans="6:8" ht="13.2" x14ac:dyDescent="0.25">
      <c r="F703" s="1"/>
      <c r="H703" s="1"/>
    </row>
    <row r="704" spans="6:8" ht="13.2" x14ac:dyDescent="0.25">
      <c r="F704" s="1"/>
      <c r="H704" s="1"/>
    </row>
    <row r="705" spans="6:8" ht="13.2" x14ac:dyDescent="0.25">
      <c r="F705" s="1"/>
      <c r="H705" s="1"/>
    </row>
    <row r="706" spans="6:8" ht="13.2" x14ac:dyDescent="0.25">
      <c r="F706" s="1"/>
      <c r="H706" s="1"/>
    </row>
    <row r="707" spans="6:8" ht="13.2" x14ac:dyDescent="0.25">
      <c r="F707" s="1"/>
      <c r="H707" s="1"/>
    </row>
    <row r="708" spans="6:8" ht="13.2" x14ac:dyDescent="0.25">
      <c r="F708" s="1"/>
      <c r="H708" s="1"/>
    </row>
    <row r="709" spans="6:8" ht="13.2" x14ac:dyDescent="0.25">
      <c r="F709" s="1"/>
      <c r="H709" s="1"/>
    </row>
    <row r="710" spans="6:8" ht="13.2" x14ac:dyDescent="0.25">
      <c r="F710" s="1"/>
      <c r="H710" s="1"/>
    </row>
    <row r="711" spans="6:8" ht="13.2" x14ac:dyDescent="0.25">
      <c r="F711" s="1"/>
      <c r="H711" s="1"/>
    </row>
    <row r="712" spans="6:8" ht="13.2" x14ac:dyDescent="0.25">
      <c r="F712" s="1"/>
      <c r="H712" s="1"/>
    </row>
    <row r="713" spans="6:8" ht="13.2" x14ac:dyDescent="0.25">
      <c r="F713" s="1"/>
      <c r="H713" s="1"/>
    </row>
    <row r="714" spans="6:8" ht="13.2" x14ac:dyDescent="0.25">
      <c r="F714" s="1"/>
      <c r="H714" s="1"/>
    </row>
    <row r="715" spans="6:8" ht="13.2" x14ac:dyDescent="0.25">
      <c r="F715" s="1"/>
      <c r="H715" s="1"/>
    </row>
    <row r="716" spans="6:8" ht="13.2" x14ac:dyDescent="0.25">
      <c r="F716" s="1"/>
      <c r="H716" s="1"/>
    </row>
    <row r="717" spans="6:8" ht="13.2" x14ac:dyDescent="0.25">
      <c r="F717" s="1"/>
      <c r="H717" s="1"/>
    </row>
    <row r="718" spans="6:8" ht="13.2" x14ac:dyDescent="0.25">
      <c r="F718" s="1"/>
      <c r="H718" s="1"/>
    </row>
    <row r="719" spans="6:8" ht="13.2" x14ac:dyDescent="0.25">
      <c r="F719" s="1"/>
      <c r="H719" s="1"/>
    </row>
    <row r="720" spans="6:8" ht="13.2" x14ac:dyDescent="0.25">
      <c r="F720" s="1"/>
      <c r="H720" s="1"/>
    </row>
    <row r="721" spans="6:8" ht="13.2" x14ac:dyDescent="0.25">
      <c r="F721" s="1"/>
      <c r="H721" s="1"/>
    </row>
    <row r="722" spans="6:8" ht="13.2" x14ac:dyDescent="0.25">
      <c r="F722" s="1"/>
      <c r="H722" s="1"/>
    </row>
    <row r="723" spans="6:8" ht="13.2" x14ac:dyDescent="0.25">
      <c r="F723" s="1"/>
      <c r="H723" s="1"/>
    </row>
    <row r="724" spans="6:8" ht="13.2" x14ac:dyDescent="0.25">
      <c r="F724" s="1"/>
      <c r="H724" s="1"/>
    </row>
    <row r="725" spans="6:8" ht="13.2" x14ac:dyDescent="0.25">
      <c r="F725" s="1"/>
      <c r="H725" s="1"/>
    </row>
    <row r="726" spans="6:8" ht="13.2" x14ac:dyDescent="0.25">
      <c r="F726" s="1"/>
      <c r="H726" s="1"/>
    </row>
    <row r="727" spans="6:8" ht="13.2" x14ac:dyDescent="0.25">
      <c r="F727" s="1"/>
      <c r="H727" s="1"/>
    </row>
    <row r="728" spans="6:8" ht="13.2" x14ac:dyDescent="0.25">
      <c r="F728" s="1"/>
      <c r="H728" s="1"/>
    </row>
    <row r="729" spans="6:8" ht="13.2" x14ac:dyDescent="0.25">
      <c r="F729" s="1"/>
      <c r="H729" s="1"/>
    </row>
    <row r="730" spans="6:8" ht="13.2" x14ac:dyDescent="0.25">
      <c r="F730" s="1"/>
      <c r="H730" s="1"/>
    </row>
    <row r="731" spans="6:8" ht="13.2" x14ac:dyDescent="0.25">
      <c r="F731" s="1"/>
      <c r="H731" s="1"/>
    </row>
    <row r="732" spans="6:8" ht="13.2" x14ac:dyDescent="0.25">
      <c r="F732" s="1"/>
      <c r="H732" s="1"/>
    </row>
    <row r="733" spans="6:8" ht="13.2" x14ac:dyDescent="0.25">
      <c r="F733" s="1"/>
      <c r="H733" s="1"/>
    </row>
    <row r="734" spans="6:8" ht="13.2" x14ac:dyDescent="0.25">
      <c r="F734" s="1"/>
      <c r="H734" s="1"/>
    </row>
    <row r="735" spans="6:8" ht="13.2" x14ac:dyDescent="0.25">
      <c r="F735" s="1"/>
      <c r="H735" s="1"/>
    </row>
    <row r="736" spans="6:8" ht="13.2" x14ac:dyDescent="0.25">
      <c r="F736" s="1"/>
      <c r="H736" s="1"/>
    </row>
    <row r="737" spans="6:8" ht="13.2" x14ac:dyDescent="0.25">
      <c r="F737" s="1"/>
      <c r="H737" s="1"/>
    </row>
    <row r="738" spans="6:8" ht="13.2" x14ac:dyDescent="0.25">
      <c r="F738" s="1"/>
      <c r="H738" s="1"/>
    </row>
    <row r="739" spans="6:8" ht="13.2" x14ac:dyDescent="0.25">
      <c r="F739" s="1"/>
      <c r="H739" s="1"/>
    </row>
    <row r="740" spans="6:8" ht="13.2" x14ac:dyDescent="0.25">
      <c r="F740" s="1"/>
      <c r="H740" s="1"/>
    </row>
    <row r="741" spans="6:8" ht="13.2" x14ac:dyDescent="0.25">
      <c r="F741" s="1"/>
      <c r="H741" s="1"/>
    </row>
    <row r="742" spans="6:8" ht="13.2" x14ac:dyDescent="0.25">
      <c r="F742" s="1"/>
      <c r="H742" s="1"/>
    </row>
    <row r="743" spans="6:8" ht="13.2" x14ac:dyDescent="0.25">
      <c r="F743" s="1"/>
      <c r="H743" s="1"/>
    </row>
    <row r="744" spans="6:8" ht="13.2" x14ac:dyDescent="0.25">
      <c r="F744" s="1"/>
      <c r="H744" s="1"/>
    </row>
    <row r="745" spans="6:8" ht="13.2" x14ac:dyDescent="0.25">
      <c r="F745" s="1"/>
      <c r="H745" s="1"/>
    </row>
    <row r="746" spans="6:8" ht="13.2" x14ac:dyDescent="0.25">
      <c r="F746" s="1"/>
      <c r="H746" s="1"/>
    </row>
    <row r="747" spans="6:8" ht="13.2" x14ac:dyDescent="0.25">
      <c r="F747" s="1"/>
      <c r="H747" s="1"/>
    </row>
    <row r="748" spans="6:8" ht="13.2" x14ac:dyDescent="0.25">
      <c r="F748" s="1"/>
      <c r="H748" s="1"/>
    </row>
    <row r="749" spans="6:8" ht="13.2" x14ac:dyDescent="0.25">
      <c r="F749" s="1"/>
      <c r="H749" s="1"/>
    </row>
    <row r="750" spans="6:8" ht="13.2" x14ac:dyDescent="0.25">
      <c r="F750" s="1"/>
      <c r="H750" s="1"/>
    </row>
    <row r="751" spans="6:8" ht="13.2" x14ac:dyDescent="0.25">
      <c r="F751" s="1"/>
      <c r="H751" s="1"/>
    </row>
    <row r="752" spans="6:8" ht="13.2" x14ac:dyDescent="0.25">
      <c r="F752" s="1"/>
      <c r="H752" s="1"/>
    </row>
    <row r="753" spans="6:8" ht="13.2" x14ac:dyDescent="0.25">
      <c r="F753" s="1"/>
      <c r="H753" s="1"/>
    </row>
    <row r="754" spans="6:8" ht="13.2" x14ac:dyDescent="0.25">
      <c r="F754" s="1"/>
      <c r="H754" s="1"/>
    </row>
    <row r="755" spans="6:8" ht="13.2" x14ac:dyDescent="0.25">
      <c r="F755" s="1"/>
      <c r="H755" s="1"/>
    </row>
    <row r="756" spans="6:8" ht="13.2" x14ac:dyDescent="0.25">
      <c r="F756" s="1"/>
      <c r="H756" s="1"/>
    </row>
    <row r="757" spans="6:8" ht="13.2" x14ac:dyDescent="0.25">
      <c r="F757" s="1"/>
      <c r="H757" s="1"/>
    </row>
    <row r="758" spans="6:8" ht="13.2" x14ac:dyDescent="0.25">
      <c r="F758" s="1"/>
      <c r="H758" s="1"/>
    </row>
    <row r="759" spans="6:8" ht="13.2" x14ac:dyDescent="0.25">
      <c r="F759" s="1"/>
      <c r="H759" s="1"/>
    </row>
    <row r="760" spans="6:8" ht="13.2" x14ac:dyDescent="0.25">
      <c r="F760" s="1"/>
      <c r="H760" s="1"/>
    </row>
    <row r="761" spans="6:8" ht="13.2" x14ac:dyDescent="0.25">
      <c r="F761" s="1"/>
      <c r="H761" s="1"/>
    </row>
    <row r="762" spans="6:8" ht="13.2" x14ac:dyDescent="0.25">
      <c r="F762" s="1"/>
      <c r="H762" s="1"/>
    </row>
    <row r="763" spans="6:8" ht="13.2" x14ac:dyDescent="0.25">
      <c r="F763" s="1"/>
      <c r="H763" s="1"/>
    </row>
    <row r="764" spans="6:8" ht="13.2" x14ac:dyDescent="0.25">
      <c r="F764" s="1"/>
      <c r="H764" s="1"/>
    </row>
    <row r="765" spans="6:8" ht="13.2" x14ac:dyDescent="0.25">
      <c r="F765" s="1"/>
      <c r="H765" s="1"/>
    </row>
    <row r="766" spans="6:8" ht="13.2" x14ac:dyDescent="0.25">
      <c r="F766" s="1"/>
      <c r="H766" s="1"/>
    </row>
    <row r="767" spans="6:8" ht="13.2" x14ac:dyDescent="0.25">
      <c r="F767" s="1"/>
      <c r="H767" s="1"/>
    </row>
    <row r="768" spans="6:8" ht="13.2" x14ac:dyDescent="0.25">
      <c r="F768" s="1"/>
      <c r="H768" s="1"/>
    </row>
    <row r="769" spans="6:8" ht="13.2" x14ac:dyDescent="0.25">
      <c r="F769" s="1"/>
      <c r="H769" s="1"/>
    </row>
    <row r="770" spans="6:8" ht="13.2" x14ac:dyDescent="0.25">
      <c r="F770" s="1"/>
      <c r="H770" s="1"/>
    </row>
    <row r="771" spans="6:8" ht="13.2" x14ac:dyDescent="0.25">
      <c r="F771" s="1"/>
      <c r="H771" s="1"/>
    </row>
    <row r="772" spans="6:8" ht="13.2" x14ac:dyDescent="0.25">
      <c r="F772" s="1"/>
      <c r="H772" s="1"/>
    </row>
    <row r="773" spans="6:8" ht="13.2" x14ac:dyDescent="0.25">
      <c r="F773" s="1"/>
      <c r="H773" s="1"/>
    </row>
    <row r="774" spans="6:8" ht="13.2" x14ac:dyDescent="0.25">
      <c r="F774" s="1"/>
      <c r="H774" s="1"/>
    </row>
    <row r="775" spans="6:8" ht="13.2" x14ac:dyDescent="0.25">
      <c r="F775" s="1"/>
      <c r="H775" s="1"/>
    </row>
    <row r="776" spans="6:8" ht="13.2" x14ac:dyDescent="0.25">
      <c r="F776" s="1"/>
      <c r="H776" s="1"/>
    </row>
    <row r="777" spans="6:8" ht="13.2" x14ac:dyDescent="0.25">
      <c r="F777" s="1"/>
      <c r="H777" s="1"/>
    </row>
    <row r="778" spans="6:8" ht="13.2" x14ac:dyDescent="0.25">
      <c r="F778" s="1"/>
      <c r="H778" s="1"/>
    </row>
    <row r="779" spans="6:8" ht="13.2" x14ac:dyDescent="0.25">
      <c r="F779" s="1"/>
      <c r="H779" s="1"/>
    </row>
    <row r="780" spans="6:8" ht="13.2" x14ac:dyDescent="0.25">
      <c r="F780" s="1"/>
      <c r="H780" s="1"/>
    </row>
    <row r="781" spans="6:8" ht="13.2" x14ac:dyDescent="0.25">
      <c r="F781" s="1"/>
      <c r="H781" s="1"/>
    </row>
    <row r="782" spans="6:8" ht="13.2" x14ac:dyDescent="0.25">
      <c r="F782" s="1"/>
      <c r="H782" s="1"/>
    </row>
    <row r="783" spans="6:8" ht="13.2" x14ac:dyDescent="0.25">
      <c r="F783" s="1"/>
      <c r="H783" s="1"/>
    </row>
    <row r="784" spans="6:8" ht="13.2" x14ac:dyDescent="0.25">
      <c r="F784" s="1"/>
      <c r="H784" s="1"/>
    </row>
    <row r="785" spans="6:8" ht="13.2" x14ac:dyDescent="0.25">
      <c r="F785" s="1"/>
      <c r="H785" s="1"/>
    </row>
    <row r="786" spans="6:8" ht="13.2" x14ac:dyDescent="0.25">
      <c r="F786" s="1"/>
      <c r="H786" s="1"/>
    </row>
    <row r="787" spans="6:8" ht="13.2" x14ac:dyDescent="0.25">
      <c r="F787" s="1"/>
      <c r="H787" s="1"/>
    </row>
    <row r="788" spans="6:8" ht="13.2" x14ac:dyDescent="0.25">
      <c r="F788" s="1"/>
      <c r="H788" s="1"/>
    </row>
    <row r="789" spans="6:8" ht="13.2" x14ac:dyDescent="0.25">
      <c r="F789" s="1"/>
      <c r="H789" s="1"/>
    </row>
    <row r="790" spans="6:8" ht="13.2" x14ac:dyDescent="0.25">
      <c r="F790" s="1"/>
      <c r="H790" s="1"/>
    </row>
    <row r="791" spans="6:8" ht="13.2" x14ac:dyDescent="0.25">
      <c r="F791" s="1"/>
      <c r="H791" s="1"/>
    </row>
    <row r="792" spans="6:8" ht="13.2" x14ac:dyDescent="0.25">
      <c r="F792" s="1"/>
      <c r="H792" s="1"/>
    </row>
    <row r="793" spans="6:8" ht="13.2" x14ac:dyDescent="0.25">
      <c r="F793" s="1"/>
      <c r="H793" s="1"/>
    </row>
    <row r="794" spans="6:8" ht="13.2" x14ac:dyDescent="0.25">
      <c r="F794" s="1"/>
      <c r="H794" s="1"/>
    </row>
    <row r="795" spans="6:8" ht="13.2" x14ac:dyDescent="0.25">
      <c r="F795" s="1"/>
      <c r="H795" s="1"/>
    </row>
    <row r="796" spans="6:8" ht="13.2" x14ac:dyDescent="0.25">
      <c r="F796" s="1"/>
      <c r="H796" s="1"/>
    </row>
    <row r="797" spans="6:8" ht="13.2" x14ac:dyDescent="0.25">
      <c r="F797" s="1"/>
      <c r="H797" s="1"/>
    </row>
    <row r="798" spans="6:8" ht="13.2" x14ac:dyDescent="0.25">
      <c r="F798" s="1"/>
      <c r="H798" s="1"/>
    </row>
    <row r="799" spans="6:8" ht="13.2" x14ac:dyDescent="0.25">
      <c r="F799" s="1"/>
      <c r="H799" s="1"/>
    </row>
    <row r="800" spans="6:8" ht="13.2" x14ac:dyDescent="0.25">
      <c r="F800" s="1"/>
      <c r="H800" s="1"/>
    </row>
    <row r="801" spans="6:8" ht="13.2" x14ac:dyDescent="0.25">
      <c r="F801" s="1"/>
      <c r="H801" s="1"/>
    </row>
    <row r="802" spans="6:8" ht="13.2" x14ac:dyDescent="0.25">
      <c r="F802" s="1"/>
      <c r="H802" s="1"/>
    </row>
    <row r="803" spans="6:8" ht="13.2" x14ac:dyDescent="0.25">
      <c r="F803" s="1"/>
      <c r="H803" s="1"/>
    </row>
    <row r="804" spans="6:8" ht="13.2" x14ac:dyDescent="0.25">
      <c r="F804" s="1"/>
      <c r="H804" s="1"/>
    </row>
    <row r="805" spans="6:8" ht="13.2" x14ac:dyDescent="0.25">
      <c r="F805" s="1"/>
      <c r="H805" s="1"/>
    </row>
    <row r="806" spans="6:8" ht="13.2" x14ac:dyDescent="0.25">
      <c r="F806" s="1"/>
      <c r="H806" s="1"/>
    </row>
    <row r="807" spans="6:8" ht="13.2" x14ac:dyDescent="0.25">
      <c r="F807" s="1"/>
      <c r="H807" s="1"/>
    </row>
    <row r="808" spans="6:8" ht="13.2" x14ac:dyDescent="0.25">
      <c r="F808" s="1"/>
      <c r="H808" s="1"/>
    </row>
    <row r="809" spans="6:8" ht="13.2" x14ac:dyDescent="0.25">
      <c r="F809" s="1"/>
      <c r="H809" s="1"/>
    </row>
    <row r="810" spans="6:8" ht="13.2" x14ac:dyDescent="0.25">
      <c r="F810" s="1"/>
      <c r="H810" s="1"/>
    </row>
    <row r="811" spans="6:8" ht="13.2" x14ac:dyDescent="0.25">
      <c r="F811" s="1"/>
      <c r="H811" s="1"/>
    </row>
    <row r="812" spans="6:8" ht="13.2" x14ac:dyDescent="0.25">
      <c r="F812" s="1"/>
      <c r="H812" s="1"/>
    </row>
    <row r="813" spans="6:8" ht="13.2" x14ac:dyDescent="0.25">
      <c r="F813" s="1"/>
      <c r="H813" s="1"/>
    </row>
    <row r="814" spans="6:8" ht="13.2" x14ac:dyDescent="0.25">
      <c r="F814" s="1"/>
      <c r="H814" s="1"/>
    </row>
    <row r="815" spans="6:8" ht="13.2" x14ac:dyDescent="0.25">
      <c r="F815" s="1"/>
      <c r="H815" s="1"/>
    </row>
    <row r="816" spans="6:8" ht="13.2" x14ac:dyDescent="0.25">
      <c r="F816" s="1"/>
      <c r="H816" s="1"/>
    </row>
    <row r="817" spans="6:8" ht="13.2" x14ac:dyDescent="0.25">
      <c r="F817" s="1"/>
      <c r="H817" s="1"/>
    </row>
    <row r="818" spans="6:8" ht="13.2" x14ac:dyDescent="0.25">
      <c r="F818" s="1"/>
      <c r="H818" s="1"/>
    </row>
    <row r="819" spans="6:8" ht="13.2" x14ac:dyDescent="0.25">
      <c r="F819" s="1"/>
      <c r="H819" s="1"/>
    </row>
    <row r="820" spans="6:8" ht="13.2" x14ac:dyDescent="0.25">
      <c r="F820" s="1"/>
      <c r="H820" s="1"/>
    </row>
    <row r="821" spans="6:8" ht="13.2" x14ac:dyDescent="0.25">
      <c r="F821" s="1"/>
      <c r="H821" s="1"/>
    </row>
    <row r="822" spans="6:8" ht="13.2" x14ac:dyDescent="0.25">
      <c r="F822" s="1"/>
      <c r="H822" s="1"/>
    </row>
    <row r="823" spans="6:8" ht="13.2" x14ac:dyDescent="0.25">
      <c r="F823" s="1"/>
      <c r="H823" s="1"/>
    </row>
    <row r="824" spans="6:8" ht="13.2" x14ac:dyDescent="0.25">
      <c r="F824" s="1"/>
      <c r="H824" s="1"/>
    </row>
    <row r="825" spans="6:8" ht="13.2" x14ac:dyDescent="0.25">
      <c r="F825" s="1"/>
      <c r="H825" s="1"/>
    </row>
    <row r="826" spans="6:8" ht="13.2" x14ac:dyDescent="0.25">
      <c r="F826" s="1"/>
      <c r="H826" s="1"/>
    </row>
    <row r="827" spans="6:8" ht="13.2" x14ac:dyDescent="0.25">
      <c r="F827" s="1"/>
      <c r="H827" s="1"/>
    </row>
    <row r="828" spans="6:8" ht="13.2" x14ac:dyDescent="0.25">
      <c r="F828" s="1"/>
      <c r="H828" s="1"/>
    </row>
    <row r="829" spans="6:8" ht="13.2" x14ac:dyDescent="0.25">
      <c r="F829" s="1"/>
      <c r="H829" s="1"/>
    </row>
    <row r="830" spans="6:8" ht="13.2" x14ac:dyDescent="0.25">
      <c r="F830" s="1"/>
      <c r="H830" s="1"/>
    </row>
    <row r="831" spans="6:8" ht="13.2" x14ac:dyDescent="0.25">
      <c r="F831" s="1"/>
      <c r="H831" s="1"/>
    </row>
    <row r="832" spans="6:8" ht="13.2" x14ac:dyDescent="0.25">
      <c r="F832" s="1"/>
      <c r="H832" s="1"/>
    </row>
    <row r="833" spans="6:8" ht="13.2" x14ac:dyDescent="0.25">
      <c r="F833" s="1"/>
      <c r="H833" s="1"/>
    </row>
    <row r="834" spans="6:8" ht="13.2" x14ac:dyDescent="0.25">
      <c r="F834" s="1"/>
      <c r="H834" s="1"/>
    </row>
    <row r="835" spans="6:8" ht="13.2" x14ac:dyDescent="0.25">
      <c r="F835" s="1"/>
      <c r="H835" s="1"/>
    </row>
    <row r="836" spans="6:8" ht="13.2" x14ac:dyDescent="0.25">
      <c r="F836" s="1"/>
      <c r="H836" s="1"/>
    </row>
    <row r="837" spans="6:8" ht="13.2" x14ac:dyDescent="0.25">
      <c r="F837" s="1"/>
      <c r="H837" s="1"/>
    </row>
    <row r="838" spans="6:8" ht="13.2" x14ac:dyDescent="0.25">
      <c r="F838" s="1"/>
      <c r="H838" s="1"/>
    </row>
    <row r="839" spans="6:8" ht="13.2" x14ac:dyDescent="0.25">
      <c r="F839" s="1"/>
      <c r="H839" s="1"/>
    </row>
    <row r="840" spans="6:8" ht="13.2" x14ac:dyDescent="0.25">
      <c r="F840" s="1"/>
      <c r="H840" s="1"/>
    </row>
    <row r="841" spans="6:8" ht="13.2" x14ac:dyDescent="0.25">
      <c r="F841" s="1"/>
      <c r="H841" s="1"/>
    </row>
    <row r="842" spans="6:8" ht="13.2" x14ac:dyDescent="0.25">
      <c r="F842" s="1"/>
      <c r="H842" s="1"/>
    </row>
    <row r="843" spans="6:8" ht="13.2" x14ac:dyDescent="0.25">
      <c r="F843" s="1"/>
      <c r="H843" s="1"/>
    </row>
    <row r="844" spans="6:8" ht="13.2" x14ac:dyDescent="0.25">
      <c r="F844" s="1"/>
      <c r="H844" s="1"/>
    </row>
    <row r="845" spans="6:8" ht="13.2" x14ac:dyDescent="0.25">
      <c r="F845" s="1"/>
      <c r="H845" s="1"/>
    </row>
    <row r="846" spans="6:8" ht="13.2" x14ac:dyDescent="0.25">
      <c r="F846" s="1"/>
      <c r="H846" s="1"/>
    </row>
    <row r="847" spans="6:8" ht="13.2" x14ac:dyDescent="0.25">
      <c r="F847" s="1"/>
      <c r="H847" s="1"/>
    </row>
    <row r="848" spans="6:8" ht="13.2" x14ac:dyDescent="0.25">
      <c r="F848" s="1"/>
      <c r="H848" s="1"/>
    </row>
    <row r="849" spans="6:8" ht="13.2" x14ac:dyDescent="0.25">
      <c r="F849" s="1"/>
      <c r="H849" s="1"/>
    </row>
    <row r="850" spans="6:8" ht="13.2" x14ac:dyDescent="0.25">
      <c r="F850" s="1"/>
      <c r="H850" s="1"/>
    </row>
    <row r="851" spans="6:8" ht="13.2" x14ac:dyDescent="0.25">
      <c r="F851" s="1"/>
      <c r="H851" s="1"/>
    </row>
    <row r="852" spans="6:8" ht="13.2" x14ac:dyDescent="0.25">
      <c r="F852" s="1"/>
      <c r="H852" s="1"/>
    </row>
    <row r="853" spans="6:8" ht="13.2" x14ac:dyDescent="0.25">
      <c r="F853" s="1"/>
      <c r="H853" s="1"/>
    </row>
    <row r="854" spans="6:8" ht="13.2" x14ac:dyDescent="0.25">
      <c r="F854" s="1"/>
      <c r="H854" s="1"/>
    </row>
    <row r="855" spans="6:8" ht="13.2" x14ac:dyDescent="0.25">
      <c r="F855" s="1"/>
      <c r="H855" s="1"/>
    </row>
    <row r="856" spans="6:8" ht="13.2" x14ac:dyDescent="0.25">
      <c r="F856" s="1"/>
      <c r="H856" s="1"/>
    </row>
    <row r="857" spans="6:8" ht="13.2" x14ac:dyDescent="0.25">
      <c r="F857" s="1"/>
      <c r="H857" s="1"/>
    </row>
    <row r="858" spans="6:8" ht="13.2" x14ac:dyDescent="0.25">
      <c r="F858" s="1"/>
      <c r="H858" s="1"/>
    </row>
    <row r="859" spans="6:8" ht="13.2" x14ac:dyDescent="0.25">
      <c r="F859" s="1"/>
      <c r="H859" s="1"/>
    </row>
    <row r="860" spans="6:8" ht="13.2" x14ac:dyDescent="0.25">
      <c r="F860" s="1"/>
      <c r="H860" s="1"/>
    </row>
    <row r="861" spans="6:8" ht="13.2" x14ac:dyDescent="0.25">
      <c r="F861" s="1"/>
      <c r="H861" s="1"/>
    </row>
    <row r="862" spans="6:8" ht="13.2" x14ac:dyDescent="0.25">
      <c r="F862" s="1"/>
      <c r="H862" s="1"/>
    </row>
    <row r="863" spans="6:8" ht="13.2" x14ac:dyDescent="0.25">
      <c r="F863" s="1"/>
      <c r="H863" s="1"/>
    </row>
    <row r="864" spans="6:8" ht="13.2" x14ac:dyDescent="0.25">
      <c r="F864" s="1"/>
      <c r="H864" s="1"/>
    </row>
    <row r="865" spans="6:8" ht="13.2" x14ac:dyDescent="0.25">
      <c r="F865" s="1"/>
      <c r="H865" s="1"/>
    </row>
    <row r="866" spans="6:8" ht="13.2" x14ac:dyDescent="0.25">
      <c r="F866" s="1"/>
      <c r="H866" s="1"/>
    </row>
    <row r="867" spans="6:8" ht="13.2" x14ac:dyDescent="0.25">
      <c r="F867" s="1"/>
      <c r="H867" s="1"/>
    </row>
    <row r="868" spans="6:8" ht="13.2" x14ac:dyDescent="0.25">
      <c r="F868" s="1"/>
      <c r="H868" s="1"/>
    </row>
    <row r="869" spans="6:8" ht="13.2" x14ac:dyDescent="0.25">
      <c r="F869" s="1"/>
      <c r="H869" s="1"/>
    </row>
    <row r="870" spans="6:8" ht="13.2" x14ac:dyDescent="0.25">
      <c r="F870" s="1"/>
      <c r="H870" s="1"/>
    </row>
    <row r="871" spans="6:8" ht="13.2" x14ac:dyDescent="0.25">
      <c r="F871" s="1"/>
      <c r="H871" s="1"/>
    </row>
    <row r="872" spans="6:8" ht="13.2" x14ac:dyDescent="0.25">
      <c r="F872" s="1"/>
      <c r="H872" s="1"/>
    </row>
    <row r="873" spans="6:8" ht="13.2" x14ac:dyDescent="0.25">
      <c r="F873" s="1"/>
      <c r="H873" s="1"/>
    </row>
    <row r="874" spans="6:8" ht="13.2" x14ac:dyDescent="0.25">
      <c r="F874" s="1"/>
      <c r="H874" s="1"/>
    </row>
    <row r="875" spans="6:8" ht="13.2" x14ac:dyDescent="0.25">
      <c r="F875" s="1"/>
      <c r="H875" s="1"/>
    </row>
    <row r="876" spans="6:8" ht="13.2" x14ac:dyDescent="0.25">
      <c r="F876" s="1"/>
      <c r="H876" s="1"/>
    </row>
    <row r="877" spans="6:8" ht="13.2" x14ac:dyDescent="0.25">
      <c r="F877" s="1"/>
      <c r="H877" s="1"/>
    </row>
    <row r="878" spans="6:8" ht="13.2" x14ac:dyDescent="0.25">
      <c r="F878" s="1"/>
      <c r="H878" s="1"/>
    </row>
    <row r="879" spans="6:8" ht="13.2" x14ac:dyDescent="0.25">
      <c r="F879" s="1"/>
      <c r="H879" s="1"/>
    </row>
    <row r="880" spans="6:8" ht="13.2" x14ac:dyDescent="0.25">
      <c r="F880" s="1"/>
      <c r="H880" s="1"/>
    </row>
    <row r="881" spans="6:8" ht="13.2" x14ac:dyDescent="0.25">
      <c r="F881" s="1"/>
      <c r="H881" s="1"/>
    </row>
    <row r="882" spans="6:8" ht="13.2" x14ac:dyDescent="0.25">
      <c r="F882" s="1"/>
      <c r="H882" s="1"/>
    </row>
    <row r="883" spans="6:8" ht="13.2" x14ac:dyDescent="0.25">
      <c r="F883" s="1"/>
      <c r="H883" s="1"/>
    </row>
    <row r="884" spans="6:8" ht="13.2" x14ac:dyDescent="0.25">
      <c r="F884" s="1"/>
      <c r="H884" s="1"/>
    </row>
    <row r="885" spans="6:8" ht="13.2" x14ac:dyDescent="0.25">
      <c r="F885" s="1"/>
      <c r="H885" s="1"/>
    </row>
    <row r="886" spans="6:8" ht="13.2" x14ac:dyDescent="0.25">
      <c r="F886" s="1"/>
      <c r="H886" s="1"/>
    </row>
    <row r="887" spans="6:8" ht="13.2" x14ac:dyDescent="0.25">
      <c r="F887" s="1"/>
      <c r="H887" s="1"/>
    </row>
    <row r="888" spans="6:8" ht="13.2" x14ac:dyDescent="0.25">
      <c r="F888" s="1"/>
      <c r="H888" s="1"/>
    </row>
    <row r="889" spans="6:8" ht="13.2" x14ac:dyDescent="0.25">
      <c r="F889" s="1"/>
      <c r="H889" s="1"/>
    </row>
    <row r="890" spans="6:8" ht="13.2" x14ac:dyDescent="0.25">
      <c r="F890" s="1"/>
      <c r="H890" s="1"/>
    </row>
    <row r="891" spans="6:8" ht="13.2" x14ac:dyDescent="0.25">
      <c r="F891" s="1"/>
      <c r="H891" s="1"/>
    </row>
    <row r="892" spans="6:8" ht="13.2" x14ac:dyDescent="0.25">
      <c r="F892" s="1"/>
      <c r="H892" s="1"/>
    </row>
    <row r="893" spans="6:8" ht="13.2" x14ac:dyDescent="0.25">
      <c r="F893" s="1"/>
      <c r="H893" s="1"/>
    </row>
    <row r="894" spans="6:8" ht="13.2" x14ac:dyDescent="0.25">
      <c r="F894" s="1"/>
      <c r="H894" s="1"/>
    </row>
    <row r="895" spans="6:8" ht="13.2" x14ac:dyDescent="0.25">
      <c r="F895" s="1"/>
      <c r="H895" s="1"/>
    </row>
    <row r="896" spans="6:8" ht="13.2" x14ac:dyDescent="0.25">
      <c r="F896" s="1"/>
      <c r="H896" s="1"/>
    </row>
    <row r="897" spans="6:8" ht="13.2" x14ac:dyDescent="0.25">
      <c r="F897" s="1"/>
      <c r="H897" s="1"/>
    </row>
    <row r="898" spans="6:8" ht="13.2" x14ac:dyDescent="0.25">
      <c r="F898" s="1"/>
      <c r="H898" s="1"/>
    </row>
    <row r="899" spans="6:8" ht="13.2" x14ac:dyDescent="0.25">
      <c r="F899" s="1"/>
      <c r="H899" s="1"/>
    </row>
    <row r="900" spans="6:8" ht="13.2" x14ac:dyDescent="0.25">
      <c r="F900" s="1"/>
      <c r="H900" s="1"/>
    </row>
    <row r="901" spans="6:8" ht="13.2" x14ac:dyDescent="0.25">
      <c r="F901" s="1"/>
      <c r="H901" s="1"/>
    </row>
    <row r="902" spans="6:8" ht="13.2" x14ac:dyDescent="0.25">
      <c r="F902" s="1"/>
      <c r="H902" s="1"/>
    </row>
    <row r="903" spans="6:8" ht="13.2" x14ac:dyDescent="0.25">
      <c r="F903" s="1"/>
      <c r="H903" s="1"/>
    </row>
    <row r="904" spans="6:8" ht="13.2" x14ac:dyDescent="0.25">
      <c r="F904" s="1"/>
      <c r="H904" s="1"/>
    </row>
    <row r="905" spans="6:8" ht="13.2" x14ac:dyDescent="0.25">
      <c r="F905" s="1"/>
      <c r="H905" s="1"/>
    </row>
    <row r="906" spans="6:8" ht="13.2" x14ac:dyDescent="0.25">
      <c r="F906" s="1"/>
      <c r="H906" s="1"/>
    </row>
    <row r="907" spans="6:8" ht="13.2" x14ac:dyDescent="0.25">
      <c r="F907" s="1"/>
      <c r="H907" s="1"/>
    </row>
    <row r="908" spans="6:8" ht="13.2" x14ac:dyDescent="0.25">
      <c r="F908" s="1"/>
      <c r="H908" s="1"/>
    </row>
    <row r="909" spans="6:8" ht="13.2" x14ac:dyDescent="0.25">
      <c r="F909" s="1"/>
      <c r="H909" s="1"/>
    </row>
    <row r="910" spans="6:8" ht="13.2" x14ac:dyDescent="0.25">
      <c r="F910" s="1"/>
      <c r="H910" s="1"/>
    </row>
    <row r="911" spans="6:8" ht="13.2" x14ac:dyDescent="0.25">
      <c r="F911" s="1"/>
      <c r="H911" s="1"/>
    </row>
    <row r="912" spans="6:8" ht="13.2" x14ac:dyDescent="0.25">
      <c r="F912" s="1"/>
      <c r="H912" s="1"/>
    </row>
    <row r="913" spans="6:8" ht="13.2" x14ac:dyDescent="0.25">
      <c r="F913" s="1"/>
      <c r="H913" s="1"/>
    </row>
    <row r="914" spans="6:8" ht="13.2" x14ac:dyDescent="0.25">
      <c r="F914" s="1"/>
      <c r="H914" s="1"/>
    </row>
    <row r="915" spans="6:8" ht="13.2" x14ac:dyDescent="0.25">
      <c r="F915" s="1"/>
      <c r="H915" s="1"/>
    </row>
    <row r="916" spans="6:8" ht="13.2" x14ac:dyDescent="0.25">
      <c r="F916" s="1"/>
      <c r="H916" s="1"/>
    </row>
    <row r="917" spans="6:8" ht="13.2" x14ac:dyDescent="0.25">
      <c r="F917" s="1"/>
      <c r="H917" s="1"/>
    </row>
    <row r="918" spans="6:8" ht="13.2" x14ac:dyDescent="0.25">
      <c r="F918" s="1"/>
      <c r="H918" s="1"/>
    </row>
    <row r="919" spans="6:8" ht="13.2" x14ac:dyDescent="0.25">
      <c r="F919" s="1"/>
      <c r="H919" s="1"/>
    </row>
    <row r="920" spans="6:8" ht="13.2" x14ac:dyDescent="0.25">
      <c r="F920" s="1"/>
      <c r="H920" s="1"/>
    </row>
    <row r="921" spans="6:8" ht="13.2" x14ac:dyDescent="0.25">
      <c r="F921" s="1"/>
      <c r="H921" s="1"/>
    </row>
    <row r="922" spans="6:8" ht="13.2" x14ac:dyDescent="0.25">
      <c r="F922" s="1"/>
      <c r="H922" s="1"/>
    </row>
    <row r="923" spans="6:8" ht="13.2" x14ac:dyDescent="0.25">
      <c r="F923" s="1"/>
      <c r="H923" s="1"/>
    </row>
    <row r="924" spans="6:8" ht="13.2" x14ac:dyDescent="0.25">
      <c r="F924" s="1"/>
      <c r="H924" s="1"/>
    </row>
    <row r="925" spans="6:8" ht="13.2" x14ac:dyDescent="0.25">
      <c r="F925" s="1"/>
      <c r="H925" s="1"/>
    </row>
    <row r="926" spans="6:8" ht="13.2" x14ac:dyDescent="0.25">
      <c r="F926" s="1"/>
      <c r="H926" s="1"/>
    </row>
    <row r="927" spans="6:8" ht="13.2" x14ac:dyDescent="0.25">
      <c r="F927" s="1"/>
      <c r="H927" s="1"/>
    </row>
    <row r="928" spans="6:8" ht="13.2" x14ac:dyDescent="0.25">
      <c r="F928" s="1"/>
      <c r="H928" s="1"/>
    </row>
    <row r="929" spans="6:8" ht="13.2" x14ac:dyDescent="0.25">
      <c r="F929" s="1"/>
      <c r="H929" s="1"/>
    </row>
    <row r="930" spans="6:8" ht="13.2" x14ac:dyDescent="0.25">
      <c r="F930" s="1"/>
      <c r="H930" s="1"/>
    </row>
    <row r="931" spans="6:8" ht="13.2" x14ac:dyDescent="0.25">
      <c r="F931" s="1"/>
      <c r="H931" s="1"/>
    </row>
    <row r="932" spans="6:8" ht="13.2" x14ac:dyDescent="0.25">
      <c r="F932" s="1"/>
      <c r="H932" s="1"/>
    </row>
    <row r="933" spans="6:8" ht="13.2" x14ac:dyDescent="0.25">
      <c r="F933" s="1"/>
      <c r="H933" s="1"/>
    </row>
    <row r="934" spans="6:8" ht="13.2" x14ac:dyDescent="0.25">
      <c r="F934" s="1"/>
      <c r="H934" s="1"/>
    </row>
    <row r="935" spans="6:8" ht="13.2" x14ac:dyDescent="0.25">
      <c r="F935" s="1"/>
      <c r="H935" s="1"/>
    </row>
    <row r="936" spans="6:8" ht="13.2" x14ac:dyDescent="0.25">
      <c r="F936" s="1"/>
      <c r="H936" s="1"/>
    </row>
    <row r="937" spans="6:8" ht="13.2" x14ac:dyDescent="0.25">
      <c r="F937" s="1"/>
      <c r="H937" s="1"/>
    </row>
    <row r="938" spans="6:8" ht="13.2" x14ac:dyDescent="0.25">
      <c r="F938" s="1"/>
      <c r="H938" s="1"/>
    </row>
    <row r="939" spans="6:8" ht="13.2" x14ac:dyDescent="0.25">
      <c r="F939" s="1"/>
      <c r="H939" s="1"/>
    </row>
    <row r="940" spans="6:8" ht="13.2" x14ac:dyDescent="0.25">
      <c r="F940" s="1"/>
      <c r="H940" s="1"/>
    </row>
    <row r="941" spans="6:8" ht="13.2" x14ac:dyDescent="0.25">
      <c r="F941" s="1"/>
      <c r="H941" s="1"/>
    </row>
    <row r="942" spans="6:8" ht="13.2" x14ac:dyDescent="0.25">
      <c r="F942" s="1"/>
      <c r="H942" s="1"/>
    </row>
    <row r="943" spans="6:8" ht="13.2" x14ac:dyDescent="0.25">
      <c r="F943" s="1"/>
      <c r="H943" s="1"/>
    </row>
    <row r="944" spans="6:8" ht="13.2" x14ac:dyDescent="0.25">
      <c r="F944" s="1"/>
      <c r="H944" s="1"/>
    </row>
    <row r="945" spans="6:8" ht="13.2" x14ac:dyDescent="0.25">
      <c r="F945" s="1"/>
      <c r="H945" s="1"/>
    </row>
    <row r="946" spans="6:8" ht="13.2" x14ac:dyDescent="0.25">
      <c r="F946" s="1"/>
      <c r="H946" s="1"/>
    </row>
    <row r="947" spans="6:8" ht="13.2" x14ac:dyDescent="0.25">
      <c r="F947" s="1"/>
      <c r="H947" s="1"/>
    </row>
    <row r="948" spans="6:8" ht="13.2" x14ac:dyDescent="0.25">
      <c r="F948" s="1"/>
      <c r="H948" s="1"/>
    </row>
    <row r="949" spans="6:8" ht="13.2" x14ac:dyDescent="0.25">
      <c r="F949" s="1"/>
      <c r="H949" s="1"/>
    </row>
    <row r="950" spans="6:8" ht="13.2" x14ac:dyDescent="0.25">
      <c r="F950" s="1"/>
      <c r="H950" s="1"/>
    </row>
    <row r="951" spans="6:8" ht="13.2" x14ac:dyDescent="0.25">
      <c r="F951" s="1"/>
      <c r="H951" s="1"/>
    </row>
    <row r="952" spans="6:8" ht="13.2" x14ac:dyDescent="0.25">
      <c r="F952" s="1"/>
      <c r="H952" s="1"/>
    </row>
    <row r="953" spans="6:8" ht="13.2" x14ac:dyDescent="0.25">
      <c r="F953" s="1"/>
      <c r="H953" s="1"/>
    </row>
    <row r="954" spans="6:8" ht="13.2" x14ac:dyDescent="0.25">
      <c r="F954" s="1"/>
      <c r="H954" s="1"/>
    </row>
    <row r="955" spans="6:8" ht="13.2" x14ac:dyDescent="0.25">
      <c r="F955" s="1"/>
      <c r="H955" s="1"/>
    </row>
    <row r="956" spans="6:8" ht="13.2" x14ac:dyDescent="0.25">
      <c r="F956" s="1"/>
      <c r="H956" s="1"/>
    </row>
    <row r="957" spans="6:8" ht="13.2" x14ac:dyDescent="0.25">
      <c r="F957" s="1"/>
      <c r="H957" s="1"/>
    </row>
    <row r="958" spans="6:8" ht="13.2" x14ac:dyDescent="0.25">
      <c r="F958" s="1"/>
      <c r="H958" s="1"/>
    </row>
    <row r="959" spans="6:8" ht="13.2" x14ac:dyDescent="0.25">
      <c r="F959" s="1"/>
      <c r="H959" s="1"/>
    </row>
    <row r="960" spans="6:8" ht="13.2" x14ac:dyDescent="0.25">
      <c r="F960" s="1"/>
      <c r="H960" s="1"/>
    </row>
    <row r="961" spans="6:8" ht="13.2" x14ac:dyDescent="0.25">
      <c r="F961" s="1"/>
      <c r="H961" s="1"/>
    </row>
    <row r="962" spans="6:8" ht="13.2" x14ac:dyDescent="0.25">
      <c r="F962" s="1"/>
      <c r="H962" s="1"/>
    </row>
    <row r="963" spans="6:8" ht="13.2" x14ac:dyDescent="0.25">
      <c r="F963" s="1"/>
      <c r="H963" s="1"/>
    </row>
    <row r="964" spans="6:8" ht="13.2" x14ac:dyDescent="0.25">
      <c r="F964" s="1"/>
      <c r="H964" s="1"/>
    </row>
    <row r="965" spans="6:8" ht="13.2" x14ac:dyDescent="0.25">
      <c r="F965" s="1"/>
      <c r="H965" s="1"/>
    </row>
    <row r="966" spans="6:8" ht="13.2" x14ac:dyDescent="0.25">
      <c r="F966" s="1"/>
      <c r="H966" s="1"/>
    </row>
    <row r="967" spans="6:8" ht="13.2" x14ac:dyDescent="0.25">
      <c r="F967" s="1"/>
      <c r="H967" s="1"/>
    </row>
    <row r="968" spans="6:8" ht="13.2" x14ac:dyDescent="0.25">
      <c r="F968" s="1"/>
      <c r="H968" s="1"/>
    </row>
    <row r="969" spans="6:8" ht="13.2" x14ac:dyDescent="0.25">
      <c r="F969" s="1"/>
      <c r="H969" s="1"/>
    </row>
    <row r="970" spans="6:8" ht="13.2" x14ac:dyDescent="0.25">
      <c r="F970" s="1"/>
      <c r="H970" s="1"/>
    </row>
    <row r="971" spans="6:8" ht="13.2" x14ac:dyDescent="0.25">
      <c r="F971" s="1"/>
      <c r="H971" s="1"/>
    </row>
    <row r="972" spans="6:8" ht="13.2" x14ac:dyDescent="0.25">
      <c r="F972" s="1"/>
      <c r="H972" s="1"/>
    </row>
    <row r="973" spans="6:8" ht="13.2" x14ac:dyDescent="0.25">
      <c r="F973" s="1"/>
      <c r="H973" s="1"/>
    </row>
    <row r="974" spans="6:8" ht="13.2" x14ac:dyDescent="0.25">
      <c r="F974" s="1"/>
      <c r="H974" s="1"/>
    </row>
    <row r="975" spans="6:8" ht="13.2" x14ac:dyDescent="0.25">
      <c r="F975" s="1"/>
      <c r="H975" s="1"/>
    </row>
    <row r="976" spans="6:8" ht="13.2" x14ac:dyDescent="0.25">
      <c r="F976" s="1"/>
      <c r="H976" s="1"/>
    </row>
    <row r="977" spans="6:8" ht="13.2" x14ac:dyDescent="0.25">
      <c r="F977" s="1"/>
      <c r="H977" s="1"/>
    </row>
    <row r="978" spans="6:8" ht="13.2" x14ac:dyDescent="0.25">
      <c r="F978" s="1"/>
      <c r="H978" s="1"/>
    </row>
    <row r="979" spans="6:8" ht="13.2" x14ac:dyDescent="0.25">
      <c r="F979" s="1"/>
      <c r="H979" s="1"/>
    </row>
    <row r="980" spans="6:8" ht="13.2" x14ac:dyDescent="0.25">
      <c r="F980" s="1"/>
      <c r="H980" s="1"/>
    </row>
    <row r="981" spans="6:8" ht="13.2" x14ac:dyDescent="0.25">
      <c r="F981" s="1"/>
      <c r="H981" s="1"/>
    </row>
    <row r="982" spans="6:8" ht="13.2" x14ac:dyDescent="0.25">
      <c r="F982" s="1"/>
      <c r="H982" s="1"/>
    </row>
    <row r="983" spans="6:8" ht="13.2" x14ac:dyDescent="0.25">
      <c r="F983" s="1"/>
      <c r="H983" s="1"/>
    </row>
    <row r="984" spans="6:8" ht="13.2" x14ac:dyDescent="0.25">
      <c r="F984" s="1"/>
      <c r="H984" s="1"/>
    </row>
    <row r="985" spans="6:8" ht="13.2" x14ac:dyDescent="0.25">
      <c r="F985" s="1"/>
      <c r="H985" s="1"/>
    </row>
    <row r="986" spans="6:8" ht="13.2" x14ac:dyDescent="0.25">
      <c r="F986" s="1"/>
      <c r="H986" s="1"/>
    </row>
    <row r="987" spans="6:8" ht="13.2" x14ac:dyDescent="0.25">
      <c r="F987" s="1"/>
      <c r="H987" s="1"/>
    </row>
    <row r="988" spans="6:8" ht="13.2" x14ac:dyDescent="0.25">
      <c r="F988" s="1"/>
      <c r="H988" s="1"/>
    </row>
    <row r="989" spans="6:8" ht="13.2" x14ac:dyDescent="0.25">
      <c r="F989" s="1"/>
      <c r="H989" s="1"/>
    </row>
    <row r="990" spans="6:8" ht="13.2" x14ac:dyDescent="0.25">
      <c r="F990" s="1"/>
      <c r="H990" s="1"/>
    </row>
    <row r="991" spans="6:8" ht="13.2" x14ac:dyDescent="0.25">
      <c r="F991" s="1"/>
      <c r="H991" s="1"/>
    </row>
    <row r="992" spans="6:8" ht="13.2" x14ac:dyDescent="0.25">
      <c r="F992" s="1"/>
      <c r="H992" s="1"/>
    </row>
    <row r="993" spans="6:8" ht="13.2" x14ac:dyDescent="0.25">
      <c r="F993" s="1"/>
      <c r="H993" s="1"/>
    </row>
    <row r="994" spans="6:8" ht="13.2" x14ac:dyDescent="0.25">
      <c r="F994" s="1"/>
      <c r="H994" s="1"/>
    </row>
    <row r="995" spans="6:8" ht="13.2" x14ac:dyDescent="0.25">
      <c r="F995" s="1"/>
      <c r="H995" s="1"/>
    </row>
    <row r="996" spans="6:8" ht="13.2" x14ac:dyDescent="0.25">
      <c r="F996" s="1"/>
      <c r="H996" s="1"/>
    </row>
    <row r="997" spans="6:8" ht="13.2" x14ac:dyDescent="0.25">
      <c r="F997" s="1"/>
      <c r="H997" s="1"/>
    </row>
    <row r="998" spans="6:8" ht="13.2" x14ac:dyDescent="0.25">
      <c r="F998" s="1"/>
      <c r="H998" s="1"/>
    </row>
    <row r="999" spans="6:8" ht="13.2" x14ac:dyDescent="0.25">
      <c r="F999" s="1"/>
      <c r="H999" s="1"/>
    </row>
    <row r="1000" spans="6:8" ht="13.2" x14ac:dyDescent="0.25">
      <c r="F1000" s="1"/>
      <c r="H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26"/>
  <sheetViews>
    <sheetView tabSelected="1" workbookViewId="0">
      <selection activeCell="E11" sqref="E11"/>
    </sheetView>
  </sheetViews>
  <sheetFormatPr defaultColWidth="14.44140625" defaultRowHeight="15.75" customHeight="1" x14ac:dyDescent="0.25"/>
  <cols>
    <col min="11" max="11" width="28.5546875" customWidth="1"/>
    <col min="12" max="12" width="21.33203125" customWidth="1"/>
  </cols>
  <sheetData>
    <row r="1" spans="1:12" x14ac:dyDescent="0.25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0" t="s">
        <v>70</v>
      </c>
      <c r="B2" s="10" t="s">
        <v>71</v>
      </c>
      <c r="C2" s="10" t="s">
        <v>72</v>
      </c>
      <c r="D2" s="10" t="s">
        <v>5</v>
      </c>
      <c r="E2" s="10" t="s">
        <v>73</v>
      </c>
      <c r="F2" s="10" t="s">
        <v>74</v>
      </c>
      <c r="G2" s="10" t="s">
        <v>75</v>
      </c>
      <c r="H2" s="10" t="s">
        <v>76</v>
      </c>
      <c r="I2" s="10" t="s">
        <v>77</v>
      </c>
      <c r="J2" s="10" t="s">
        <v>78</v>
      </c>
      <c r="K2" s="10" t="s">
        <v>79</v>
      </c>
      <c r="L2" s="10" t="s">
        <v>7</v>
      </c>
    </row>
    <row r="3" spans="1:12" ht="15.75" customHeight="1" x14ac:dyDescent="0.3">
      <c r="A3" s="5" t="e">
        <f ca="1">MyPortfolio(Transactions!C3:C310,Transactions!F3:F310)</f>
        <v>#NAME?</v>
      </c>
      <c r="B3" s="11">
        <v>38</v>
      </c>
      <c r="C3" s="1">
        <f ca="1">IFERROR(__xludf.DUMMYFUNCTION("AVERAGE.WEIGHTED(FILTER(Transactions!G3:G312,Transactions!C3:C312=A3,Transactions!F3:F312&gt;0),FILTER(Transactions!F3:F312,Transactions!C3:C312=A3,Transactions!F3:F312&gt;0))"),52.9305128205128)</f>
        <v>52.930512820512803</v>
      </c>
      <c r="D3" s="1">
        <f ca="1">IFERROR(__xludf.DUMMYFUNCTION("GOOGLEFINANCE(A3,""Price"")"),93.77)</f>
        <v>93.77</v>
      </c>
      <c r="E3" s="1">
        <f ca="1">IFERROR(__xludf.DUMMYFUNCTION("GOOGLEFINANCE(A3,""Changepct"")/100"),0.012)</f>
        <v>1.2E-2</v>
      </c>
      <c r="F3" s="1">
        <f ca="1">IFERROR(__xludf.DUMMYFUNCTION("GOOGLEFINANCE(A3,""Change"")*B3"),42.18)</f>
        <v>42.18</v>
      </c>
      <c r="G3" s="12">
        <f t="shared" ref="G3:G30" ca="1" si="0">C3*B3</f>
        <v>2011.3594871794865</v>
      </c>
      <c r="H3" s="12">
        <f t="shared" ref="H3:H30" ca="1" si="1">D3*B3</f>
        <v>3563.2599999999998</v>
      </c>
      <c r="I3" s="1">
        <f t="shared" ref="I3:I30" ca="1" si="2">(D3-C3)/C3</f>
        <v>0.77156794830183795</v>
      </c>
      <c r="J3" s="12">
        <f t="shared" ref="J3:J30" ca="1" si="3">H3-G3</f>
        <v>1551.9005128205133</v>
      </c>
      <c r="K3" s="5" t="str">
        <f ca="1">IFERROR(__xludf.DUMMYFUNCTION("UNIQUE(FILTER(Transactions!D3:D312,Transactions!C3:C312=A3))"),"Advanced Micro Devices Inc")</f>
        <v>Advanced Micro Devices Inc</v>
      </c>
      <c r="L3" s="5" t="str">
        <f ca="1">IFERROR(__xludf.DUMMYFUNCTION("UNIQUE(FILTER(Transactions!I3:I312,Transactions!C3:C312=A3))"),"Information Technology")</f>
        <v>Information Technology</v>
      </c>
    </row>
    <row r="4" spans="1:12" ht="15.75" customHeight="1" x14ac:dyDescent="0.3">
      <c r="A4" s="5" t="s">
        <v>12</v>
      </c>
      <c r="B4" s="11">
        <v>46</v>
      </c>
      <c r="C4" s="1">
        <f ca="1">IFERROR(__xludf.DUMMYFUNCTION("AVERAGE.WEIGHTED(FILTER(Transactions!G4:G313,Transactions!C4:C313=A4,Transactions!F4:F313&gt;0),FILTER(Transactions!F4:F313,Transactions!C4:C313=A4,Transactions!F4:F313&gt;0))"),102.4668)</f>
        <v>102.46680000000001</v>
      </c>
      <c r="D4" s="1">
        <f ca="1">IFERROR(__xludf.DUMMYFUNCTION("GOOGLEFINANCE(A4,""Price"")"),101.59)</f>
        <v>101.59</v>
      </c>
      <c r="E4" s="1">
        <f ca="1">IFERROR(__xludf.DUMMYFUNCTION("GOOGLEFINANCE(A4,""Changepct"")/100"),0.0013)</f>
        <v>1.2999999999999999E-3</v>
      </c>
      <c r="F4" s="1">
        <f ca="1">IFERROR(__xludf.DUMMYFUNCTION("GOOGLEFINANCE(A4,""Change"")*B4"),5.98)</f>
        <v>5.98</v>
      </c>
      <c r="G4" s="12">
        <f t="shared" ca="1" si="0"/>
        <v>4713.4728000000005</v>
      </c>
      <c r="H4" s="12">
        <f t="shared" ca="1" si="1"/>
        <v>4673.1400000000003</v>
      </c>
      <c r="I4" s="1">
        <f t="shared" ca="1" si="2"/>
        <v>-8.5569179480573503E-3</v>
      </c>
      <c r="J4" s="12">
        <f t="shared" ca="1" si="3"/>
        <v>-40.332800000000134</v>
      </c>
      <c r="K4" s="5" t="str">
        <f ca="1">IFERROR(__xludf.DUMMYFUNCTION("UNIQUE(FILTER(Transactions!D4:D313,Transactions!C4:C313=A4))"),"Akamai Technologies Inc")</f>
        <v>Akamai Technologies Inc</v>
      </c>
      <c r="L4" s="5" t="str">
        <f ca="1">IFERROR(__xludf.DUMMYFUNCTION("UNIQUE(FILTER(Transactions!I4:I313,Transactions!C4:C313=A4))"),"Information Technology")</f>
        <v>Information Technology</v>
      </c>
    </row>
    <row r="5" spans="1:12" ht="15.75" customHeight="1" x14ac:dyDescent="0.3">
      <c r="A5" s="5" t="s">
        <v>14</v>
      </c>
      <c r="B5" s="11">
        <v>55</v>
      </c>
      <c r="C5" s="1">
        <f ca="1">IFERROR(__xludf.DUMMYFUNCTION("AVERAGE.WEIGHTED(FILTER(Transactions!G5:G314,Transactions!C5:C314=A5,Transactions!F5:F314&gt;0),FILTER(Transactions!F5:F314,Transactions!C5:C314=A5,Transactions!F5:F314&gt;0))"),104.09)</f>
        <v>104.09</v>
      </c>
      <c r="D5" s="1">
        <f ca="1">IFERROR(__xludf.DUMMYFUNCTION("GOOGLEFINANCE(A5,""Price"")"),135.9)</f>
        <v>135.9</v>
      </c>
      <c r="E5" s="1">
        <f ca="1">IFERROR(__xludf.DUMMYFUNCTION("GOOGLEFINANCE(A5,""Changepct"")/100"),0.025)</f>
        <v>2.5000000000000001E-2</v>
      </c>
      <c r="F5" s="1">
        <f ca="1">IFERROR(__xludf.DUMMYFUNCTION("GOOGLEFINANCE(A5,""Change"")*B5"),182.05)</f>
        <v>182.05</v>
      </c>
      <c r="G5" s="12">
        <f t="shared" ca="1" si="0"/>
        <v>5724.95</v>
      </c>
      <c r="H5" s="12">
        <f t="shared" ca="1" si="1"/>
        <v>7474.5</v>
      </c>
      <c r="I5" s="1">
        <f t="shared" ca="1" si="2"/>
        <v>0.3056009222787972</v>
      </c>
      <c r="J5" s="12">
        <f t="shared" ca="1" si="3"/>
        <v>1749.5500000000002</v>
      </c>
      <c r="K5" s="5" t="str">
        <f ca="1">IFERROR(__xludf.DUMMYFUNCTION("UNIQUE(FILTER(Transactions!D5:D314,Transactions!C5:C314=A5))"),"Amphenol Corp")</f>
        <v>Amphenol Corp</v>
      </c>
      <c r="L5" s="5" t="str">
        <f ca="1">IFERROR(__xludf.DUMMYFUNCTION("UNIQUE(FILTER(Transactions!I5:I314,Transactions!C5:C314=A5))"),"Information Technology")</f>
        <v>Information Technology</v>
      </c>
    </row>
    <row r="6" spans="1:12" ht="15.75" customHeight="1" x14ac:dyDescent="0.3">
      <c r="A6" s="5" t="s">
        <v>17</v>
      </c>
      <c r="B6" s="11">
        <v>73</v>
      </c>
      <c r="C6" s="1">
        <f ca="1">IFERROR(__xludf.DUMMYFUNCTION("AVERAGE.WEIGHTED(FILTER(Transactions!G6:G315,Transactions!C6:C315=A6,Transactions!F6:F315&gt;0),FILTER(Transactions!F6:F315,Transactions!C6:C315=A6,Transactions!F6:F315&gt;0))"),44.3080519480519)</f>
        <v>44.308051948051897</v>
      </c>
      <c r="D6" s="1">
        <f ca="1">IFERROR(__xludf.DUMMYFUNCTION("GOOGLEFINANCE(A6,""Price"")"),47.29)</f>
        <v>47.29</v>
      </c>
      <c r="E6" s="1">
        <f ca="1">IFERROR(__xludf.DUMMYFUNCTION("GOOGLEFINANCE(A6,""Changepct"")/100"),-0.00609999999999999)</f>
        <v>-6.09999999999999E-3</v>
      </c>
      <c r="F6" s="1">
        <f ca="1">IFERROR(__xludf.DUMMYFUNCTION("GOOGLEFINANCE(A6,""Change"")*B6"),-21.1699999999999)</f>
        <v>-21.169999999999899</v>
      </c>
      <c r="G6" s="12">
        <f t="shared" ca="1" si="0"/>
        <v>3234.4877922077885</v>
      </c>
      <c r="H6" s="12">
        <f t="shared" ca="1" si="1"/>
        <v>3452.17</v>
      </c>
      <c r="I6" s="1">
        <f t="shared" ca="1" si="2"/>
        <v>6.7300364625468706E-2</v>
      </c>
      <c r="J6" s="12">
        <f t="shared" ca="1" si="3"/>
        <v>217.68220779221156</v>
      </c>
      <c r="K6" s="5" t="str">
        <f ca="1">IFERROR(__xludf.DUMMYFUNCTION("UNIQUE(FILTER(Transactions!D6:D315,Transactions!C6:C315=A6))"),"Cisco Systems")</f>
        <v>Cisco Systems</v>
      </c>
      <c r="L6" s="5" t="str">
        <f ca="1">IFERROR(__xludf.DUMMYFUNCTION("UNIQUE(FILTER(Transactions!I6:I315,Transactions!C6:C315=A6))"),"Information Technology")</f>
        <v>Information Technology</v>
      </c>
    </row>
    <row r="7" spans="1:12" ht="15.75" customHeight="1" x14ac:dyDescent="0.3">
      <c r="A7" s="5" t="s">
        <v>19</v>
      </c>
      <c r="B7" s="11">
        <v>36</v>
      </c>
      <c r="C7" s="1">
        <f ca="1">IFERROR(__xludf.DUMMYFUNCTION("AVERAGE.WEIGHTED(FILTER(Transactions!G7:G316,Transactions!C7:C316=A7,Transactions!F7:F316&gt;0),FILTER(Transactions!F7:F316,Transactions!C7:C316=A7,Transactions!F7:F316&gt;0))"),58.88925)</f>
        <v>58.889249999999997</v>
      </c>
      <c r="D7" s="1">
        <f ca="1">IFERROR(__xludf.DUMMYFUNCTION("GOOGLEFINANCE(A7,""Price"")"),61.81)</f>
        <v>61.81</v>
      </c>
      <c r="E7" s="1">
        <f ca="1">IFERROR(__xludf.DUMMYFUNCTION("GOOGLEFINANCE(A7,""Changepct"")/100"),0.019)</f>
        <v>1.9E-2</v>
      </c>
      <c r="F7" s="1">
        <f ca="1">IFERROR(__xludf.DUMMYFUNCTION("GOOGLEFINANCE(A7,""Change"")*B7"),41.4)</f>
        <v>41.4</v>
      </c>
      <c r="G7" s="12">
        <f t="shared" ca="1" si="0"/>
        <v>2120.0129999999999</v>
      </c>
      <c r="H7" s="12">
        <f t="shared" ca="1" si="1"/>
        <v>2225.16</v>
      </c>
      <c r="I7" s="1">
        <f t="shared" ca="1" si="2"/>
        <v>4.9597337374818078E-2</v>
      </c>
      <c r="J7" s="12">
        <f t="shared" ca="1" si="3"/>
        <v>105.14699999999993</v>
      </c>
      <c r="K7" s="5" t="str">
        <f ca="1">IFERROR(__xludf.DUMMYFUNCTION("UNIQUE(FILTER(Transactions!D7:D316,Transactions!C7:C316=A7))"),"Intel Corp.")</f>
        <v>Intel Corp.</v>
      </c>
      <c r="L7" s="5" t="str">
        <f ca="1">IFERROR(__xludf.DUMMYFUNCTION("UNIQUE(FILTER(Transactions!I7:I316,Transactions!C7:C316=A7))"),"Information Technology")</f>
        <v>Information Technology</v>
      </c>
    </row>
    <row r="8" spans="1:12" ht="15.75" customHeight="1" x14ac:dyDescent="0.3">
      <c r="A8" s="5" t="s">
        <v>21</v>
      </c>
      <c r="B8" s="11">
        <v>43</v>
      </c>
      <c r="C8" s="1">
        <f ca="1">IFERROR(__xludf.DUMMYFUNCTION("AVERAGE.WEIGHTED(FILTER(Transactions!G8:G317,Transactions!C8:C317=A8,Transactions!F8:F317&gt;0),FILTER(Transactions!F8:F317,Transactions!C8:C317=A8,Transactions!F8:F317&gt;0))"),129.223469387755)</f>
        <v>129.22346938775499</v>
      </c>
      <c r="D8" s="1">
        <f ca="1">IFERROR(__xludf.DUMMYFUNCTION("GOOGLEFINANCE(A8,""Price"")"),120.8)</f>
        <v>120.8</v>
      </c>
      <c r="E8" s="1">
        <f ca="1">IFERROR(__xludf.DUMMYFUNCTION("GOOGLEFINANCE(A8,""Changepct"")/100"),-0.0009)</f>
        <v>-8.9999999999999998E-4</v>
      </c>
      <c r="F8" s="1">
        <f ca="1">IFERROR(__xludf.DUMMYFUNCTION("GOOGLEFINANCE(A8,""Change"")*B8"),-4.73)</f>
        <v>-4.7300000000000004</v>
      </c>
      <c r="G8" s="12">
        <f t="shared" ca="1" si="0"/>
        <v>5556.6091836734649</v>
      </c>
      <c r="H8" s="12">
        <f t="shared" ca="1" si="1"/>
        <v>5194.3999999999996</v>
      </c>
      <c r="I8" s="1">
        <f t="shared" ca="1" si="2"/>
        <v>-6.5185290471338989E-2</v>
      </c>
      <c r="J8" s="12">
        <f t="shared" ca="1" si="3"/>
        <v>-362.2091836734653</v>
      </c>
      <c r="K8" s="5" t="str">
        <f ca="1">IFERROR(__xludf.DUMMYFUNCTION("UNIQUE(FILTER(Transactions!D8:D317,Transactions!C8:C317=A8))"),"International Business Machines")</f>
        <v>International Business Machines</v>
      </c>
      <c r="L8" s="5" t="str">
        <f ca="1">IFERROR(__xludf.DUMMYFUNCTION("UNIQUE(FILTER(Transactions!I8:I317,Transactions!C8:C317=A8))"),"Information Technology")</f>
        <v>Information Technology</v>
      </c>
    </row>
    <row r="9" spans="1:12" ht="15.75" customHeight="1" x14ac:dyDescent="0.3">
      <c r="A9" s="5" t="s">
        <v>23</v>
      </c>
      <c r="B9" s="11">
        <v>53</v>
      </c>
      <c r="C9" s="1">
        <f ca="1">IFERROR(__xludf.DUMMYFUNCTION("AVERAGE.WEIGHTED(FILTER(Transactions!G9:G318,Transactions!C9:C318=A9,Transactions!F9:F318&gt;0),FILTER(Transactions!F9:F318,Transactions!C9:C318=A9,Transactions!F9:F318&gt;0))"),292.746363636363)</f>
        <v>292.74636363636301</v>
      </c>
      <c r="D9" s="1">
        <f ca="1">IFERROR(__xludf.DUMMYFUNCTION("GOOGLEFINANCE(A9,""Price"")"),413.99)</f>
        <v>413.99</v>
      </c>
      <c r="E9" s="1">
        <f ca="1">IFERROR(__xludf.DUMMYFUNCTION("GOOGLEFINANCE(A9,""Changepct"")/100"),0.0126)</f>
        <v>1.26E-2</v>
      </c>
      <c r="F9" s="1">
        <f ca="1">IFERROR(__xludf.DUMMYFUNCTION("GOOGLEFINANCE(A9,""Change"")*B9"),274.01)</f>
        <v>274.01</v>
      </c>
      <c r="G9" s="12">
        <f t="shared" ca="1" si="0"/>
        <v>15515.557272727239</v>
      </c>
      <c r="H9" s="12">
        <f t="shared" ca="1" si="1"/>
        <v>21941.47</v>
      </c>
      <c r="I9" s="1">
        <f t="shared" ca="1" si="2"/>
        <v>0.41415932501296804</v>
      </c>
      <c r="J9" s="12">
        <f t="shared" ca="1" si="3"/>
        <v>6425.9127272727619</v>
      </c>
      <c r="K9" s="5" t="str">
        <f ca="1">IFERROR(__xludf.DUMMYFUNCTION("UNIQUE(FILTER(Transactions!D9:D318,Transactions!C9:C318=A9))"),"Intuit Inc.")</f>
        <v>Intuit Inc.</v>
      </c>
      <c r="L9" s="5" t="str">
        <f ca="1">IFERROR(__xludf.DUMMYFUNCTION("UNIQUE(FILTER(Transactions!I9:I318,Transactions!C9:C318=A9))"),"Information Technology")</f>
        <v>Information Technology</v>
      </c>
    </row>
    <row r="10" spans="1:12" ht="15.75" customHeight="1" x14ac:dyDescent="0.3">
      <c r="A10" s="5" t="s">
        <v>25</v>
      </c>
      <c r="B10" s="11">
        <v>80</v>
      </c>
      <c r="C10" s="1">
        <f ca="1">IFERROR(__xludf.DUMMYFUNCTION("AVERAGE.WEIGHTED(FILTER(Transactions!G10:G319,Transactions!C10:C319=A10,Transactions!F10:F319&gt;0),FILTER(Transactions!F10:F319,Transactions!C10:C319=A10,Transactions!F10:F319&gt;0))"),158.286818181818)</f>
        <v>158.28681818181801</v>
      </c>
      <c r="D10" s="1">
        <f ca="1">IFERROR(__xludf.DUMMYFUNCTION("GOOGLEFINANCE(A10,""Price"")"),252.89)</f>
        <v>252.89</v>
      </c>
      <c r="E10" s="1">
        <f ca="1">IFERROR(__xludf.DUMMYFUNCTION("GOOGLEFINANCE(A10,""Changepct"")/100"),0.0127)</f>
        <v>1.2699999999999999E-2</v>
      </c>
      <c r="F10" s="1">
        <f ca="1">IFERROR(__xludf.DUMMYFUNCTION("GOOGLEFINANCE(A10,""Change"")*B10"),252.8)</f>
        <v>252.8</v>
      </c>
      <c r="G10" s="12">
        <f t="shared" ca="1" si="0"/>
        <v>12662.945454545441</v>
      </c>
      <c r="H10" s="12">
        <f t="shared" ca="1" si="1"/>
        <v>20231.199999999997</v>
      </c>
      <c r="I10" s="1">
        <f t="shared" ca="1" si="2"/>
        <v>0.59766936315262165</v>
      </c>
      <c r="J10" s="12">
        <f t="shared" ca="1" si="3"/>
        <v>7568.2545454545561</v>
      </c>
      <c r="K10" s="5" t="str">
        <f ca="1">IFERROR(__xludf.DUMMYFUNCTION("UNIQUE(FILTER(Transactions!D10:D319,Transactions!C10:C319=A10))"),"IPG Photonics Corp.")</f>
        <v>IPG Photonics Corp.</v>
      </c>
      <c r="L10" s="5" t="str">
        <f ca="1">IFERROR(__xludf.DUMMYFUNCTION("UNIQUE(FILTER(Transactions!I10:I319,Transactions!C10:C319=A10))"),"Information Technology")</f>
        <v>Information Technology</v>
      </c>
    </row>
    <row r="11" spans="1:12" ht="15.75" customHeight="1" x14ac:dyDescent="0.3">
      <c r="A11" s="5" t="s">
        <v>27</v>
      </c>
      <c r="B11" s="11">
        <v>59</v>
      </c>
      <c r="C11" s="1">
        <f ca="1">IFERROR(__xludf.DUMMYFUNCTION("AVERAGE.WEIGHTED(FILTER(Transactions!G11:G320,Transactions!C11:C320=A11,Transactions!F11:F320&gt;0),FILTER(Transactions!F11:F320,Transactions!C11:C320=A11,Transactions!F11:F320&gt;0))"),80.6091666666666)</f>
        <v>80.609166666666596</v>
      </c>
      <c r="D11" s="1">
        <f ca="1">IFERROR(__xludf.DUMMYFUNCTION("GOOGLEFINANCE(A11,""Price"")"),78.73)</f>
        <v>78.73</v>
      </c>
      <c r="E11" s="1">
        <f ca="1">IFERROR(__xludf.DUMMYFUNCTION("GOOGLEFINANCE(A11,""Changepct"")/100"),0.0112)</f>
        <v>1.12E-2</v>
      </c>
      <c r="F11" s="1">
        <f ca="1">IFERROR(__xludf.DUMMYFUNCTION("GOOGLEFINANCE(A11,""Change"")*B11"),51.33)</f>
        <v>51.33</v>
      </c>
      <c r="G11" s="12">
        <f t="shared" ca="1" si="0"/>
        <v>4755.9408333333295</v>
      </c>
      <c r="H11" s="12">
        <f t="shared" ca="1" si="1"/>
        <v>4645.0700000000006</v>
      </c>
      <c r="I11" s="1">
        <f t="shared" ca="1" si="2"/>
        <v>-2.3312071621299398E-2</v>
      </c>
      <c r="J11" s="12">
        <f t="shared" ca="1" si="3"/>
        <v>-110.87083333332885</v>
      </c>
      <c r="K11" s="5" t="str">
        <f ca="1">IFERROR(__xludf.DUMMYFUNCTION("UNIQUE(FILTER(Transactions!D11:D320,Transactions!C11:C320=A11))"),"Baxter International Inc.")</f>
        <v>Baxter International Inc.</v>
      </c>
      <c r="L11" s="5" t="str">
        <f ca="1">IFERROR(__xludf.DUMMYFUNCTION("UNIQUE(FILTER(Transactions!I11:I320,Transactions!C11:C320=A11))"),"Health Care")</f>
        <v>Health Care</v>
      </c>
    </row>
    <row r="12" spans="1:12" ht="15.75" customHeight="1" x14ac:dyDescent="0.3">
      <c r="A12" s="5" t="s">
        <v>30</v>
      </c>
      <c r="B12" s="11">
        <v>47</v>
      </c>
      <c r="C12" s="1">
        <f ca="1">IFERROR(__xludf.DUMMYFUNCTION("AVERAGE.WEIGHTED(FILTER(Transactions!G12:G321,Transactions!C12:C321=A12,Transactions!F12:F321&gt;0),FILTER(Transactions!F12:F321,Transactions!C12:C321=A12,Transactions!F12:F321&gt;0))"),66.9227083333333)</f>
        <v>66.922708333333304</v>
      </c>
      <c r="D12" s="1">
        <f ca="1">IFERROR(__xludf.DUMMYFUNCTION("GOOGLEFINANCE(A12,""Price"")"),66.89)</f>
        <v>66.89</v>
      </c>
      <c r="E12" s="1">
        <f ca="1">IFERROR(__xludf.DUMMYFUNCTION("GOOGLEFINANCE(A12,""Changepct"")/100"),-0.0004)</f>
        <v>-4.0000000000000002E-4</v>
      </c>
      <c r="F12" s="1">
        <f ca="1">IFERROR(__xludf.DUMMYFUNCTION("GOOGLEFINANCE(A12,""Change"")*B12"),-1.41)</f>
        <v>-1.41</v>
      </c>
      <c r="G12" s="12">
        <f t="shared" ca="1" si="0"/>
        <v>3145.3672916666651</v>
      </c>
      <c r="H12" s="12">
        <f t="shared" ca="1" si="1"/>
        <v>3143.83</v>
      </c>
      <c r="I12" s="1">
        <f t="shared" ca="1" si="2"/>
        <v>-4.8874790258618395E-4</v>
      </c>
      <c r="J12" s="12">
        <f t="shared" ca="1" si="3"/>
        <v>-1.537291666665169</v>
      </c>
      <c r="K12" s="5" t="str">
        <f ca="1">IFERROR(__xludf.DUMMYFUNCTION("UNIQUE(FILTER(Transactions!D12:D321,Transactions!C12:C321=A12))"),"Gilead Sciences")</f>
        <v>Gilead Sciences</v>
      </c>
      <c r="L12" s="5" t="str">
        <f ca="1">IFERROR(__xludf.DUMMYFUNCTION("UNIQUE(FILTER(Transactions!I12:I321,Transactions!C12:C321=A12))"),"Health Care")</f>
        <v>Health Care</v>
      </c>
    </row>
    <row r="13" spans="1:12" ht="15.75" customHeight="1" x14ac:dyDescent="0.3">
      <c r="A13" s="5" t="s">
        <v>32</v>
      </c>
      <c r="B13" s="11">
        <v>41</v>
      </c>
      <c r="C13" s="1">
        <f ca="1">IFERROR(__xludf.DUMMYFUNCTION("AVERAGE.WEIGHTED(FILTER(Transactions!G13:G322,Transactions!C13:C322=A13,Transactions!F13:F322&gt;0),FILTER(Transactions!F13:F322,Transactions!C13:C322=A13,Transactions!F13:F322&gt;0))"),125.900555555555)</f>
        <v>125.900555555555</v>
      </c>
      <c r="D13" s="1">
        <f ca="1">IFERROR(__xludf.DUMMYFUNCTION("GOOGLEFINANCE(A13,""Price"")"),173.51)</f>
        <v>173.51</v>
      </c>
      <c r="E13" s="1">
        <f ca="1">IFERROR(__xludf.DUMMYFUNCTION("GOOGLEFINANCE(A13,""Changepct"")/100"),-0.0116)</f>
        <v>-1.1599999999999999E-2</v>
      </c>
      <c r="F13" s="1">
        <f ca="1">IFERROR(__xludf.DUMMYFUNCTION("GOOGLEFINANCE(A13,""Change"")*B13"),-83.64)</f>
        <v>-83.64</v>
      </c>
      <c r="G13" s="12">
        <f t="shared" ca="1" si="0"/>
        <v>5161.9227777777551</v>
      </c>
      <c r="H13" s="12">
        <f t="shared" ca="1" si="1"/>
        <v>7113.91</v>
      </c>
      <c r="I13" s="1">
        <f t="shared" ca="1" si="2"/>
        <v>0.37815118634196015</v>
      </c>
      <c r="J13" s="12">
        <f t="shared" ca="1" si="3"/>
        <v>1951.9872222222448</v>
      </c>
      <c r="K13" s="5" t="str">
        <f ca="1">IFERROR(__xludf.DUMMYFUNCTION("UNIQUE(FILTER(Transactions!D13:D322,Transactions!C13:C322=A13))"),"HCA Healthcare")</f>
        <v>HCA Healthcare</v>
      </c>
      <c r="L13" s="5" t="str">
        <f ca="1">IFERROR(__xludf.DUMMYFUNCTION("UNIQUE(FILTER(Transactions!I13:I322,Transactions!C13:C322=A13))"),"Health Care")</f>
        <v>Health Care</v>
      </c>
    </row>
    <row r="14" spans="1:12" ht="15.75" customHeight="1" x14ac:dyDescent="0.3">
      <c r="A14" s="5" t="s">
        <v>34</v>
      </c>
      <c r="B14" s="11">
        <v>58</v>
      </c>
      <c r="C14" s="1">
        <f ca="1">IFERROR(__xludf.DUMMYFUNCTION("AVERAGE.WEIGHTED(FILTER(Transactions!G14:G323,Transactions!C14:C323=A14,Transactions!F14:F323&gt;0),FILTER(Transactions!F14:F323,Transactions!C14:C323=A14,Transactions!F14:F323&gt;0))"),64.7319696969697)</f>
        <v>64.731969696969699</v>
      </c>
      <c r="D14" s="1">
        <f ca="1">IFERROR(__xludf.DUMMYFUNCTION("GOOGLEFINANCE(A14,""Price"")"),69.46)</f>
        <v>69.459999999999994</v>
      </c>
      <c r="E14" s="1">
        <f ca="1">IFERROR(__xludf.DUMMYFUNCTION("GOOGLEFINANCE(A14,""Changepct"")/100"),-0.0023)</f>
        <v>-2.3E-3</v>
      </c>
      <c r="F14" s="1">
        <f ca="1">IFERROR(__xludf.DUMMYFUNCTION("GOOGLEFINANCE(A14,""Change"")*B14"),-9.28)</f>
        <v>-9.2799999999999994</v>
      </c>
      <c r="G14" s="12">
        <f t="shared" ca="1" si="0"/>
        <v>3754.4542424242427</v>
      </c>
      <c r="H14" s="12">
        <f t="shared" ca="1" si="1"/>
        <v>4028.68</v>
      </c>
      <c r="I14" s="1">
        <f t="shared" ca="1" si="2"/>
        <v>7.3040111789640594E-2</v>
      </c>
      <c r="J14" s="12">
        <f t="shared" ca="1" si="3"/>
        <v>274.22575757575714</v>
      </c>
      <c r="K14" s="5" t="str">
        <f ca="1">IFERROR(__xludf.DUMMYFUNCTION("UNIQUE(FILTER(Transactions!D14:D323,Transactions!C14:C323=A14))"),"Henry Schein")</f>
        <v>Henry Schein</v>
      </c>
      <c r="L14" s="5" t="str">
        <f ca="1">IFERROR(__xludf.DUMMYFUNCTION("UNIQUE(FILTER(Transactions!I14:I323,Transactions!C14:C323=A14))"),"Health Care")</f>
        <v>Health Care</v>
      </c>
    </row>
    <row r="15" spans="1:12" ht="15.75" customHeight="1" x14ac:dyDescent="0.3">
      <c r="A15" s="5" t="s">
        <v>36</v>
      </c>
      <c r="B15" s="11">
        <v>67</v>
      </c>
      <c r="C15" s="1">
        <f ca="1">IFERROR(__xludf.DUMMYFUNCTION("AVERAGE.WEIGHTED(FILTER(Transactions!G15:G324,Transactions!C15:C324=A15,Transactions!F15:F324&gt;0),FILTER(Transactions!F15:F324,Transactions!C15:C324=A15,Transactions!F15:F324&gt;0))"),35.32875)</f>
        <v>35.328749999999999</v>
      </c>
      <c r="D15" s="1">
        <f ca="1">IFERROR(__xludf.DUMMYFUNCTION("GOOGLEFINANCE(A15,""Price"")"),34.72)</f>
        <v>34.72</v>
      </c>
      <c r="E15" s="1">
        <f ca="1">IFERROR(__xludf.DUMMYFUNCTION("GOOGLEFINANCE(A15,""Changepct"")/100"),0.0084)</f>
        <v>8.3999999999999995E-3</v>
      </c>
      <c r="F15" s="1">
        <f ca="1">IFERROR(__xludf.DUMMYFUNCTION("GOOGLEFINANCE(A15,""Change"")*B15"),19.43)</f>
        <v>19.43</v>
      </c>
      <c r="G15" s="12">
        <f t="shared" ca="1" si="0"/>
        <v>2367.0262499999999</v>
      </c>
      <c r="H15" s="12">
        <f t="shared" ca="1" si="1"/>
        <v>2326.2399999999998</v>
      </c>
      <c r="I15" s="1">
        <f t="shared" ca="1" si="2"/>
        <v>-1.7231008739341205E-2</v>
      </c>
      <c r="J15" s="12">
        <f t="shared" ca="1" si="3"/>
        <v>-40.786250000000109</v>
      </c>
      <c r="K15" s="5" t="str">
        <f ca="1">IFERROR(__xludf.DUMMYFUNCTION("UNIQUE(FILTER(Transactions!D15:D324,Transactions!C15:C324=A15))"),"Pfizer Inc.")</f>
        <v>Pfizer Inc.</v>
      </c>
      <c r="L15" s="5" t="str">
        <f ca="1">IFERROR(__xludf.DUMMYFUNCTION("UNIQUE(FILTER(Transactions!I15:I324,Transactions!C15:C324=A15))"),"Health Care")</f>
        <v>Health Care</v>
      </c>
    </row>
    <row r="16" spans="1:12" ht="15.75" customHeight="1" x14ac:dyDescent="0.3">
      <c r="A16" s="5" t="s">
        <v>38</v>
      </c>
      <c r="B16" s="11">
        <v>53</v>
      </c>
      <c r="C16" s="1">
        <f ca="1">IFERROR(__xludf.DUMMYFUNCTION("AVERAGE.WEIGHTED(FILTER(Transactions!G16:G325,Transactions!C16:C325=A16,Transactions!F16:F325&gt;0),FILTER(Transactions!F16:F325,Transactions!C16:C325=A16,Transactions!F16:F325&gt;0))"),60.7650943396226)</f>
        <v>60.7650943396226</v>
      </c>
      <c r="D16" s="1">
        <f ca="1">IFERROR(__xludf.DUMMYFUNCTION("GOOGLEFINANCE(A16,""Price"")"),63.63)</f>
        <v>63.63</v>
      </c>
      <c r="E16" s="1">
        <f ca="1">IFERROR(__xludf.DUMMYFUNCTION("GOOGLEFINANCE(A16,""Changepct"")/100"),0.0068)</f>
        <v>6.7999999999999996E-3</v>
      </c>
      <c r="F16" s="1">
        <f ca="1">IFERROR(__xludf.DUMMYFUNCTION("GOOGLEFINANCE(A16,""Change"")*B16"),22.79)</f>
        <v>22.79</v>
      </c>
      <c r="G16" s="12">
        <f t="shared" ca="1" si="0"/>
        <v>3220.5499999999979</v>
      </c>
      <c r="H16" s="12">
        <f t="shared" ca="1" si="1"/>
        <v>3372.3900000000003</v>
      </c>
      <c r="I16" s="1">
        <f t="shared" ca="1" si="2"/>
        <v>4.7147226405428407E-2</v>
      </c>
      <c r="J16" s="12">
        <f t="shared" ca="1" si="3"/>
        <v>151.84000000000242</v>
      </c>
      <c r="K16" s="5" t="str">
        <f ca="1">IFERROR(__xludf.DUMMYFUNCTION("UNIQUE(FILTER(Transactions!D16:D325,Transactions!C16:C325=A16))"),"Citigroup Inc.")</f>
        <v>Citigroup Inc.</v>
      </c>
      <c r="L16" s="5" t="str">
        <f ca="1">IFERROR(__xludf.DUMMYFUNCTION("UNIQUE(FILTER(Transactions!I16:I325,Transactions!C16:C325=A16))"),"Financials")</f>
        <v>Financials</v>
      </c>
    </row>
    <row r="17" spans="1:12" ht="15.75" customHeight="1" x14ac:dyDescent="0.3">
      <c r="A17" s="5" t="s">
        <v>41</v>
      </c>
      <c r="B17" s="11">
        <v>52</v>
      </c>
      <c r="C17" s="1">
        <f ca="1">IFERROR(__xludf.DUMMYFUNCTION("AVERAGE.WEIGHTED(FILTER(Transactions!G17:G326,Transactions!C17:C326=A17,Transactions!F17:F326&gt;0),FILTER(Transactions!F17:F326,Transactions!C17:C326=A17,Transactions!F17:F326&gt;0))"),30.5133333333333)</f>
        <v>30.5133333333333</v>
      </c>
      <c r="D17" s="1">
        <f ca="1">IFERROR(__xludf.DUMMYFUNCTION("GOOGLEFINANCE(A17,""Price"")"),40.52)</f>
        <v>40.520000000000003</v>
      </c>
      <c r="E17" s="1">
        <f ca="1">IFERROR(__xludf.DUMMYFUNCTION("GOOGLEFINANCE(A17,""Changepct"")/100"),0.0138)</f>
        <v>1.38E-2</v>
      </c>
      <c r="F17" s="1">
        <f ca="1">IFERROR(__xludf.DUMMYFUNCTION("GOOGLEFINANCE(A17,""Change"")*B17"),28.6)</f>
        <v>28.6</v>
      </c>
      <c r="G17" s="12">
        <f t="shared" ca="1" si="0"/>
        <v>1586.6933333333316</v>
      </c>
      <c r="H17" s="12">
        <f t="shared" ca="1" si="1"/>
        <v>2107.04</v>
      </c>
      <c r="I17" s="1">
        <f t="shared" ca="1" si="2"/>
        <v>0.32794406816692312</v>
      </c>
      <c r="J17" s="12">
        <f t="shared" ca="1" si="3"/>
        <v>520.3466666666684</v>
      </c>
      <c r="K17" s="5" t="str">
        <f ca="1">IFERROR(__xludf.DUMMYFUNCTION("UNIQUE(FILTER(Transactions!D17:D326,Transactions!C17:C326=A17))"),"Citizens Financial Group")</f>
        <v>Citizens Financial Group</v>
      </c>
      <c r="L17" s="5" t="str">
        <f ca="1">IFERROR(__xludf.DUMMYFUNCTION("UNIQUE(FILTER(Transactions!I17:I326,Transactions!C17:C326=A17))"),"Financials")</f>
        <v>Financials</v>
      </c>
    </row>
    <row r="18" spans="1:12" ht="15.75" customHeight="1" x14ac:dyDescent="0.3">
      <c r="A18" s="5" t="s">
        <v>43</v>
      </c>
      <c r="B18" s="11">
        <v>29</v>
      </c>
      <c r="C18" s="1">
        <f ca="1">IFERROR(__xludf.DUMMYFUNCTION("AVERAGE.WEIGHTED(FILTER(Transactions!G18:G327,Transactions!C18:C327=A18,Transactions!F18:F327&gt;0),FILTER(Transactions!F18:F327,Transactions!C18:C327=A18,Transactions!F18:F327&gt;0))"),226.36794117647)</f>
        <v>226.36794117647</v>
      </c>
      <c r="D18" s="1">
        <f ca="1">IFERROR(__xludf.DUMMYFUNCTION("GOOGLEFINANCE(A18,""Price"")"),306.32)</f>
        <v>306.32</v>
      </c>
      <c r="E18" s="1">
        <f ca="1">IFERROR(__xludf.DUMMYFUNCTION("GOOGLEFINANCE(A18,""Changepct"")/100"),0.0132)</f>
        <v>1.32E-2</v>
      </c>
      <c r="F18" s="1">
        <f ca="1">IFERROR(__xludf.DUMMYFUNCTION("GOOGLEFINANCE(A18,""Change"")*B18"),116)</f>
        <v>116</v>
      </c>
      <c r="G18" s="12">
        <f t="shared" ca="1" si="0"/>
        <v>6564.67029411763</v>
      </c>
      <c r="H18" s="12">
        <f t="shared" ca="1" si="1"/>
        <v>8883.2800000000007</v>
      </c>
      <c r="I18" s="1">
        <f t="shared" ca="1" si="2"/>
        <v>0.35319514948983721</v>
      </c>
      <c r="J18" s="12">
        <f t="shared" ca="1" si="3"/>
        <v>2318.6097058823707</v>
      </c>
      <c r="K18" s="5" t="str">
        <f ca="1">IFERROR(__xludf.DUMMYFUNCTION("UNIQUE(FILTER(Transactions!D18:D327,Transactions!C18:C327=A18))"),"Goldman Sachs Group")</f>
        <v>Goldman Sachs Group</v>
      </c>
      <c r="L18" s="5" t="str">
        <f ca="1">IFERROR(__xludf.DUMMYFUNCTION("UNIQUE(FILTER(Transactions!I18:I327,Transactions!C18:C327=A18))"),"Financials")</f>
        <v>Financials</v>
      </c>
    </row>
    <row r="19" spans="1:12" ht="15.75" customHeight="1" x14ac:dyDescent="0.3">
      <c r="A19" s="5" t="s">
        <v>45</v>
      </c>
      <c r="B19" s="11">
        <v>82</v>
      </c>
      <c r="C19" s="1">
        <f ca="1">IFERROR(__xludf.DUMMYFUNCTION("AVERAGE.WEIGHTED(FILTER(Transactions!G19:G328,Transactions!C19:C328=A19,Transactions!F19:F328&gt;0),FILTER(Transactions!F19:F328,Transactions!C19:C328=A19,Transactions!F19:F328&gt;0))"),45.7561111111111)</f>
        <v>45.756111111111103</v>
      </c>
      <c r="D19" s="1">
        <f ca="1">IFERROR(__xludf.DUMMYFUNCTION("GOOGLEFINANCE(A19,""Price"")"),49.61)</f>
        <v>49.61</v>
      </c>
      <c r="E19" s="1">
        <f ca="1">IFERROR(__xludf.DUMMYFUNCTION("GOOGLEFINANCE(A19,""Changepct"")/100"),-0.0149)</f>
        <v>-1.49E-2</v>
      </c>
      <c r="F19" s="1">
        <f ca="1">IFERROR(__xludf.DUMMYFUNCTION("GOOGLEFINANCE(A19,""Change"")*B19"),-61.5)</f>
        <v>-61.5</v>
      </c>
      <c r="G19" s="12">
        <f t="shared" ca="1" si="0"/>
        <v>3752.0011111111103</v>
      </c>
      <c r="H19" s="12">
        <f t="shared" ca="1" si="1"/>
        <v>4068.02</v>
      </c>
      <c r="I19" s="1">
        <f t="shared" ca="1" si="2"/>
        <v>8.4226757810128755E-2</v>
      </c>
      <c r="J19" s="12">
        <f t="shared" ca="1" si="3"/>
        <v>316.01888888888971</v>
      </c>
      <c r="K19" s="5" t="str">
        <f ca="1">IFERROR(__xludf.DUMMYFUNCTION("UNIQUE(FILTER(Transactions!D19:D328,Transactions!C19:C328=A19))"),"Hartford Financial Svc.Gp.")</f>
        <v>Hartford Financial Svc.Gp.</v>
      </c>
      <c r="L19" s="5" t="str">
        <f ca="1">IFERROR(__xludf.DUMMYFUNCTION("UNIQUE(FILTER(Transactions!I19:I328,Transactions!C19:C328=A19))"),"Financials")</f>
        <v>Financials</v>
      </c>
    </row>
    <row r="20" spans="1:12" ht="15.75" customHeight="1" x14ac:dyDescent="0.3">
      <c r="A20" s="5" t="s">
        <v>47</v>
      </c>
      <c r="B20" s="11">
        <v>77</v>
      </c>
      <c r="C20" s="1">
        <f ca="1">IFERROR(__xludf.DUMMYFUNCTION("AVERAGE.WEIGHTED(FILTER(Transactions!G20:G329,Transactions!C20:C329=A20,Transactions!F20:F329&gt;0),FILTER(Transactions!F20:F329,Transactions!C20:C329=A20,Transactions!F20:F329&gt;0))"),10.572)</f>
        <v>10.571999999999999</v>
      </c>
      <c r="D20" s="1">
        <f ca="1">IFERROR(__xludf.DUMMYFUNCTION("GOOGLEFINANCE(A20,""Price"")"),14.45)</f>
        <v>14.45</v>
      </c>
      <c r="E20" s="1">
        <f ca="1">IFERROR(__xludf.DUMMYFUNCTION("GOOGLEFINANCE(A20,""Changepct"")/100"),0.0098)</f>
        <v>9.7999999999999997E-3</v>
      </c>
      <c r="F20" s="1">
        <f ca="1">IFERROR(__xludf.DUMMYFUNCTION("GOOGLEFINANCE(A20,""Change"")*B20"),10.78)</f>
        <v>10.78</v>
      </c>
      <c r="G20" s="12">
        <f t="shared" ca="1" si="0"/>
        <v>814.04399999999998</v>
      </c>
      <c r="H20" s="12">
        <f t="shared" ca="1" si="1"/>
        <v>1112.6499999999999</v>
      </c>
      <c r="I20" s="1">
        <f t="shared" ca="1" si="2"/>
        <v>0.36681800983730611</v>
      </c>
      <c r="J20" s="12">
        <f t="shared" ca="1" si="3"/>
        <v>298.60599999999988</v>
      </c>
      <c r="K20" s="5" t="str">
        <f ca="1">IFERROR(__xludf.DUMMYFUNCTION("UNIQUE(FILTER(Transactions!D20:D329,Transactions!C20:C329=A20))"),"Huntington Bancshares")</f>
        <v>Huntington Bancshares</v>
      </c>
      <c r="L20" s="5" t="str">
        <f ca="1">IFERROR(__xludf.DUMMYFUNCTION("UNIQUE(FILTER(Transactions!I20:I329,Transactions!C20:C329=A20))"),"Financials")</f>
        <v>Financials</v>
      </c>
    </row>
    <row r="21" spans="1:12" ht="15.75" customHeight="1" x14ac:dyDescent="0.3">
      <c r="A21" s="5" t="s">
        <v>49</v>
      </c>
      <c r="B21" s="11">
        <v>61</v>
      </c>
      <c r="C21" s="1">
        <f ca="1">IFERROR(__xludf.DUMMYFUNCTION("AVERAGE.WEIGHTED(FILTER(Transactions!G21:G330,Transactions!C21:C330=A21,Transactions!F21:F330&gt;0),FILTER(Transactions!F21:F330,Transactions!C21:C330=A21,Transactions!F21:F330&gt;0))"),109.251774193548)</f>
        <v>109.251774193548</v>
      </c>
      <c r="D21" s="1">
        <f ca="1">IFERROR(__xludf.DUMMYFUNCTION("GOOGLEFINANCE(A21,""Price"")"),141.25)</f>
        <v>141.25</v>
      </c>
      <c r="E21" s="1">
        <f ca="1">IFERROR(__xludf.DUMMYFUNCTION("GOOGLEFINANCE(A21,""Changepct"")/100"),0.0141999999999999)</f>
        <v>1.41999999999999E-2</v>
      </c>
      <c r="F21" s="1">
        <f ca="1">IFERROR(__xludf.DUMMYFUNCTION("GOOGLEFINANCE(A21,""Change"")*B21"),120.78)</f>
        <v>120.78</v>
      </c>
      <c r="G21" s="12">
        <f t="shared" ca="1" si="0"/>
        <v>6664.358225806428</v>
      </c>
      <c r="H21" s="12">
        <f t="shared" ca="1" si="1"/>
        <v>8616.25</v>
      </c>
      <c r="I21" s="1">
        <f t="shared" ca="1" si="2"/>
        <v>0.29288518234737915</v>
      </c>
      <c r="J21" s="12">
        <f t="shared" ca="1" si="3"/>
        <v>1951.891774193572</v>
      </c>
      <c r="K21" s="5" t="str">
        <f ca="1">IFERROR(__xludf.DUMMYFUNCTION("UNIQUE(FILTER(Transactions!D21:D330,Transactions!C21:C330=A21))"),"JPMorgan Chase &amp; Co.")</f>
        <v>JPMorgan Chase &amp; Co.</v>
      </c>
      <c r="L21" s="5" t="str">
        <f ca="1">IFERROR(__xludf.DUMMYFUNCTION("UNIQUE(FILTER(Transactions!I21:I330,Transactions!C21:C330=A21))"),"Financials")</f>
        <v>Financials</v>
      </c>
    </row>
    <row r="22" spans="1:12" ht="15.75" customHeight="1" x14ac:dyDescent="0.3">
      <c r="A22" s="5" t="s">
        <v>51</v>
      </c>
      <c r="B22" s="11">
        <v>54</v>
      </c>
      <c r="C22" s="1">
        <f ca="1">IFERROR(__xludf.DUMMYFUNCTION("AVERAGE.WEIGHTED(FILTER(Transactions!G22:G331,Transactions!C22:C331=A22,Transactions!F22:F331&gt;0),FILTER(Transactions!F22:F331,Transactions!C22:C331=A22,Transactions!F22:F331&gt;0))"),14.2327777777777)</f>
        <v>14.2327777777777</v>
      </c>
      <c r="D22" s="1">
        <f ca="1">IFERROR(__xludf.DUMMYFUNCTION("GOOGLEFINANCE(A22,""Price"")"),19.07)</f>
        <v>19.07</v>
      </c>
      <c r="E22" s="1">
        <f ca="1">IFERROR(__xludf.DUMMYFUNCTION("GOOGLEFINANCE(A22,""Changepct"")/100"),0.0127)</f>
        <v>1.2699999999999999E-2</v>
      </c>
      <c r="F22" s="1">
        <f ca="1">IFERROR(__xludf.DUMMYFUNCTION("GOOGLEFINANCE(A22,""Change"")*B22"),12.9599999999999)</f>
        <v>12.9599999999999</v>
      </c>
      <c r="G22" s="12">
        <f t="shared" ca="1" si="0"/>
        <v>768.56999999999584</v>
      </c>
      <c r="H22" s="12">
        <f t="shared" ca="1" si="1"/>
        <v>1029.78</v>
      </c>
      <c r="I22" s="1">
        <f t="shared" ca="1" si="2"/>
        <v>0.33986494398689204</v>
      </c>
      <c r="J22" s="12">
        <f t="shared" ca="1" si="3"/>
        <v>261.21000000000413</v>
      </c>
      <c r="K22" s="5" t="str">
        <f ca="1">IFERROR(__xludf.DUMMYFUNCTION("UNIQUE(FILTER(Transactions!D22:D331,Transactions!C22:C331=A22))"),"KeyCorp")</f>
        <v>KeyCorp</v>
      </c>
      <c r="L22" s="5" t="str">
        <f ca="1">IFERROR(__xludf.DUMMYFUNCTION("UNIQUE(FILTER(Transactions!I22:I331,Transactions!C22:C331=A22))"),"Financials")</f>
        <v>Financials</v>
      </c>
    </row>
    <row r="23" spans="1:12" ht="15.75" customHeight="1" x14ac:dyDescent="0.3">
      <c r="A23" s="5" t="s">
        <v>53</v>
      </c>
      <c r="B23" s="11">
        <v>36</v>
      </c>
      <c r="C23" s="1">
        <f ca="1">IFERROR(__xludf.DUMMYFUNCTION("AVERAGE.WEIGHTED(FILTER(Transactions!G23:G332,Transactions!C23:C332=A23,Transactions!F23:F332&gt;0),FILTER(Transactions!F23:F332,Transactions!C23:C332=A23,Transactions!F23:F332&gt;0))"),226.493658536585)</f>
        <v>226.493658536585</v>
      </c>
      <c r="D23" s="1">
        <f ca="1">IFERROR(__xludf.DUMMYFUNCTION("GOOGLEFINANCE(A23,""Price"")"),237.21)</f>
        <v>237.21</v>
      </c>
      <c r="E23" s="1">
        <f ca="1">IFERROR(__xludf.DUMMYFUNCTION("GOOGLEFINANCE(A23,""Changepct"")/100"),0.0092)</f>
        <v>9.1999999999999998E-3</v>
      </c>
      <c r="F23" s="1">
        <f ca="1">IFERROR(__xludf.DUMMYFUNCTION("GOOGLEFINANCE(A23,""Change"")*B23"),78.12)</f>
        <v>78.12</v>
      </c>
      <c r="G23" s="12">
        <f t="shared" ca="1" si="0"/>
        <v>8153.7717073170597</v>
      </c>
      <c r="H23" s="12">
        <f t="shared" ca="1" si="1"/>
        <v>8539.56</v>
      </c>
      <c r="I23" s="1">
        <f t="shared" ca="1" si="2"/>
        <v>4.731409052533813E-2</v>
      </c>
      <c r="J23" s="12">
        <f t="shared" ca="1" si="3"/>
        <v>385.78829268293975</v>
      </c>
      <c r="K23" s="5" t="str">
        <f ca="1">IFERROR(__xludf.DUMMYFUNCTION("UNIQUE(FILTER(Transactions!D23:D332,Transactions!C23:C332=A23))"),"Amgen Inc.")</f>
        <v>Amgen Inc.</v>
      </c>
      <c r="L23" s="5" t="str">
        <f ca="1">IFERROR(__xludf.DUMMYFUNCTION("UNIQUE(FILTER(Transactions!I23:I332,Transactions!C23:C332=A23))"),"Health Care")</f>
        <v>Health Care</v>
      </c>
    </row>
    <row r="24" spans="1:12" ht="15.75" customHeight="1" x14ac:dyDescent="0.3">
      <c r="A24" s="5" t="s">
        <v>55</v>
      </c>
      <c r="B24" s="11">
        <v>30</v>
      </c>
      <c r="C24" s="1">
        <f ca="1">IFERROR(__xludf.DUMMYFUNCTION("AVERAGE.WEIGHTED(FILTER(Transactions!G24:G333,Transactions!C24:C333=A24,Transactions!F24:F333&gt;0),FILTER(Transactions!F24:F333,Transactions!C24:C333=A24,Transactions!F24:F333&gt;0))"),273.166)</f>
        <v>273.166</v>
      </c>
      <c r="D24" s="1">
        <f ca="1">IFERROR(__xludf.DUMMYFUNCTION("GOOGLEFINANCE(A24,""Price"")"),290.68)</f>
        <v>290.68</v>
      </c>
      <c r="E24" s="1">
        <f ca="1">IFERROR(__xludf.DUMMYFUNCTION("GOOGLEFINANCE(A24,""Changepct"")/100"),-0.0074)</f>
        <v>-7.4000000000000003E-3</v>
      </c>
      <c r="F24" s="1">
        <f ca="1">IFERROR(__xludf.DUMMYFUNCTION("GOOGLEFINANCE(A24,""Change"")*B24"),-64.8)</f>
        <v>-64.8</v>
      </c>
      <c r="G24" s="12">
        <f t="shared" ca="1" si="0"/>
        <v>8194.98</v>
      </c>
      <c r="H24" s="12">
        <f t="shared" ca="1" si="1"/>
        <v>8720.4</v>
      </c>
      <c r="I24" s="1">
        <f t="shared" ca="1" si="2"/>
        <v>6.4114860560977607E-2</v>
      </c>
      <c r="J24" s="12">
        <f t="shared" ca="1" si="3"/>
        <v>525.42000000000007</v>
      </c>
      <c r="K24" s="5" t="str">
        <f ca="1">IFERROR(__xludf.DUMMYFUNCTION("UNIQUE(FILTER(Transactions!D24:D333,Transactions!C24:C333=A24))"),"Anthem")</f>
        <v>Anthem</v>
      </c>
      <c r="L24" s="5" t="str">
        <f ca="1">IFERROR(__xludf.DUMMYFUNCTION("UNIQUE(FILTER(Transactions!I24:I333,Transactions!C24:C333=A24))"),"Health Care")</f>
        <v>Health Care</v>
      </c>
    </row>
    <row r="25" spans="1:12" ht="15.75" customHeight="1" x14ac:dyDescent="0.3">
      <c r="A25" s="12" t="s">
        <v>57</v>
      </c>
      <c r="B25" s="11">
        <v>25</v>
      </c>
      <c r="C25" s="1">
        <f ca="1">IFERROR(__xludf.DUMMYFUNCTION("AVERAGE.WEIGHTED(FILTER(Transactions!G25:G334,Transactions!C25:C334=A25,Transactions!F25:F334&gt;0),FILTER(Transactions!F25:F334,Transactions!C25:C334=A25,Transactions!F25:F334&gt;0))"),101.411785714285)</f>
        <v>101.411785714285</v>
      </c>
      <c r="D25" s="1">
        <f ca="1">IFERROR(__xludf.DUMMYFUNCTION("GOOGLEFINANCE(A25,""Price"")"),119.74)</f>
        <v>119.74</v>
      </c>
      <c r="E25" s="1">
        <f ca="1">IFERROR(__xludf.DUMMYFUNCTION("GOOGLEFINANCE(A25,""Changepct"")/100"),0.0086)</f>
        <v>8.6E-3</v>
      </c>
      <c r="F25" s="1">
        <f ca="1">IFERROR(__xludf.DUMMYFUNCTION("GOOGLEFINANCE(A25,""Change"")*B25"),25.5)</f>
        <v>25.5</v>
      </c>
      <c r="G25" s="12">
        <f t="shared" ca="1" si="0"/>
        <v>2535.2946428571249</v>
      </c>
      <c r="H25" s="12">
        <f t="shared" ca="1" si="1"/>
        <v>2993.5</v>
      </c>
      <c r="I25" s="1">
        <f t="shared" ca="1" si="2"/>
        <v>0.18073061386920489</v>
      </c>
      <c r="J25" s="12">
        <f t="shared" ca="1" si="3"/>
        <v>458.20535714287507</v>
      </c>
      <c r="K25" s="5" t="str">
        <f ca="1">IFERROR(__xludf.DUMMYFUNCTION("UNIQUE(FILTER(Transactions!D25:D334,Transactions!C25:C334=A25))"),"Medtronic plc")</f>
        <v>Medtronic plc</v>
      </c>
      <c r="L25" s="5" t="str">
        <f ca="1">IFERROR(__xludf.DUMMYFUNCTION("UNIQUE(FILTER(Transactions!I25:I334,Transactions!C25:C334=A25))"),"Health Care")</f>
        <v>Health Care</v>
      </c>
    </row>
    <row r="26" spans="1:12" ht="14.4" x14ac:dyDescent="0.3">
      <c r="A26" s="12" t="s">
        <v>59</v>
      </c>
      <c r="B26" s="11">
        <v>29</v>
      </c>
      <c r="C26" s="1">
        <f ca="1">IFERROR(__xludf.DUMMYFUNCTION("AVERAGE.WEIGHTED(FILTER(Transactions!G26:G335,Transactions!C26:C335=A26,Transactions!F26:F335&gt;0),FILTER(Transactions!F26:F335,Transactions!C26:C335=A26,Transactions!F26:F335&gt;0))"),83.5133333333333)</f>
        <v>83.513333333333307</v>
      </c>
      <c r="D26" s="1">
        <f ca="1">IFERROR(__xludf.DUMMYFUNCTION("GOOGLEFINANCE(A26,""Price"")"),92.42)</f>
        <v>92.42</v>
      </c>
      <c r="E26" s="1">
        <f ca="1">IFERROR(__xludf.DUMMYFUNCTION("GOOGLEFINANCE(A26,""Changepct"")/100"),0.0115)</f>
        <v>1.15E-2</v>
      </c>
      <c r="F26" s="1">
        <f ca="1">IFERROR(__xludf.DUMMYFUNCTION("GOOGLEFINANCE(A26,""Change"")*B26"),30.45)</f>
        <v>30.45</v>
      </c>
      <c r="G26" s="12">
        <f t="shared" ca="1" si="0"/>
        <v>2421.8866666666659</v>
      </c>
      <c r="H26" s="12">
        <f t="shared" ca="1" si="1"/>
        <v>2680.18</v>
      </c>
      <c r="I26" s="1">
        <f t="shared" ca="1" si="2"/>
        <v>0.10664963678454575</v>
      </c>
      <c r="J26" s="12">
        <f t="shared" ca="1" si="3"/>
        <v>258.29333333333398</v>
      </c>
      <c r="K26" s="5" t="str">
        <f ca="1">IFERROR(__xludf.DUMMYFUNCTION("UNIQUE(FILTER(Transactions!D26:D335,Transactions!C26:C335=A26))"),"Cincinnati Financial")</f>
        <v>Cincinnati Financial</v>
      </c>
      <c r="L26" s="5" t="str">
        <f ca="1">IFERROR(__xludf.DUMMYFUNCTION("UNIQUE(FILTER(Transactions!I26:I335,Transactions!C26:C335=A26))"),"Financials")</f>
        <v>Financials</v>
      </c>
    </row>
    <row r="27" spans="1:12" ht="14.4" x14ac:dyDescent="0.3">
      <c r="A27" s="12" t="s">
        <v>61</v>
      </c>
      <c r="B27" s="11">
        <v>35</v>
      </c>
      <c r="C27" s="1">
        <f ca="1">IFERROR(__xludf.DUMMYFUNCTION("AVERAGE.WEIGHTED(FILTER(Transactions!G27:G336,Transactions!C27:C336=A27,Transactions!F27:F336&gt;0),FILTER(Transactions!F27:F336,Transactions!C27:C336=A27,Transactions!F27:F336&gt;0))"),97.8217142857142)</f>
        <v>97.821714285714194</v>
      </c>
      <c r="D27" s="1">
        <f ca="1">IFERROR(__xludf.DUMMYFUNCTION("GOOGLEFINANCE(A27,""Price"")"),111.07)</f>
        <v>111.07</v>
      </c>
      <c r="E27" s="1">
        <f ca="1">IFERROR(__xludf.DUMMYFUNCTION("GOOGLEFINANCE(A27,""Changepct"")/100"),-0.0021)</f>
        <v>-2.0999999999999999E-3</v>
      </c>
      <c r="F27" s="1">
        <f ca="1">IFERROR(__xludf.DUMMYFUNCTION("GOOGLEFINANCE(A27,""Change"")*B27"),-8.05)</f>
        <v>-8.0500000000000007</v>
      </c>
      <c r="G27" s="12">
        <f t="shared" ca="1" si="0"/>
        <v>3423.7599999999966</v>
      </c>
      <c r="H27" s="12">
        <f t="shared" ca="1" si="1"/>
        <v>3887.45</v>
      </c>
      <c r="I27" s="1">
        <f t="shared" ca="1" si="2"/>
        <v>0.13543297427389869</v>
      </c>
      <c r="J27" s="12">
        <f t="shared" ca="1" si="3"/>
        <v>463.69000000000324</v>
      </c>
      <c r="K27" s="5" t="str">
        <f ca="1">IFERROR(__xludf.DUMMYFUNCTION("UNIQUE(FILTER(Transactions!D27:D336,Transactions!C27:C336=A27))"),"Intercontinental Exchange")</f>
        <v>Intercontinental Exchange</v>
      </c>
      <c r="L27" s="5" t="str">
        <f ca="1">IFERROR(__xludf.DUMMYFUNCTION("UNIQUE(FILTER(Transactions!I27:I336,Transactions!C27:C336=A27))"),"Financials")</f>
        <v>Financials</v>
      </c>
    </row>
    <row r="28" spans="1:12" ht="14.4" x14ac:dyDescent="0.3">
      <c r="A28" s="12" t="s">
        <v>63</v>
      </c>
      <c r="B28" s="11">
        <v>50</v>
      </c>
      <c r="C28" s="1">
        <f ca="1">IFERROR(__xludf.DUMMYFUNCTION("AVERAGE.WEIGHTED(FILTER(Transactions!G28:G337,Transactions!C28:C337=A28,Transactions!F28:F337&gt;0),FILTER(Transactions!F28:F337,Transactions!C28:C337=A28,Transactions!F28:F337&gt;0))"),12.4611538461538)</f>
        <v>12.461153846153801</v>
      </c>
      <c r="D28" s="1">
        <f ca="1">IFERROR(__xludf.DUMMYFUNCTION("GOOGLEFINANCE(A28,""Price"")"),22.67)</f>
        <v>22.67</v>
      </c>
      <c r="E28" s="1">
        <f ca="1">IFERROR(__xludf.DUMMYFUNCTION("GOOGLEFINANCE(A28,""Changepct"")/100"),0.0105)</f>
        <v>1.0500000000000001E-2</v>
      </c>
      <c r="F28" s="1">
        <f ca="1">IFERROR(__xludf.DUMMYFUNCTION("GOOGLEFINANCE(A28,""Change"")*B28"),12)</f>
        <v>12</v>
      </c>
      <c r="G28" s="12">
        <f t="shared" ca="1" si="0"/>
        <v>623.05769230768999</v>
      </c>
      <c r="H28" s="12">
        <f t="shared" ca="1" si="1"/>
        <v>1133.5</v>
      </c>
      <c r="I28" s="1">
        <f t="shared" ca="1" si="2"/>
        <v>0.81925368066916326</v>
      </c>
      <c r="J28" s="12">
        <f t="shared" ca="1" si="3"/>
        <v>510.44230769231001</v>
      </c>
      <c r="K28" s="5" t="str">
        <f ca="1">IFERROR(__xludf.DUMMYFUNCTION("UNIQUE(FILTER(Transactions!D28:D337,Transactions!C28:C337=A28))"),"Invesco Ltd.")</f>
        <v>Invesco Ltd.</v>
      </c>
      <c r="L28" s="5" t="str">
        <f ca="1">IFERROR(__xludf.DUMMYFUNCTION("UNIQUE(FILTER(Transactions!I28:I337,Transactions!C28:C337=A28))"),"Financials")</f>
        <v>Financials</v>
      </c>
    </row>
    <row r="29" spans="1:12" ht="14.4" x14ac:dyDescent="0.3">
      <c r="A29" s="12" t="s">
        <v>65</v>
      </c>
      <c r="B29" s="11">
        <v>7</v>
      </c>
      <c r="C29" s="1">
        <f ca="1">IFERROR(__xludf.DUMMYFUNCTION("AVERAGE.WEIGHTED(FILTER(Transactions!G29:G338,Transactions!C29:C338=A29,Transactions!F29:F338&gt;0),FILTER(Transactions!F29:F338,Transactions!C29:C338=A29,Transactions!F29:F338&gt;0))"),119.441818181818)</f>
        <v>119.44181818181799</v>
      </c>
      <c r="D29" s="1">
        <f ca="1">IFERROR(__xludf.DUMMYFUNCTION("GOOGLEFINANCE(A29,""Price"")"),155.4)</f>
        <v>155.4</v>
      </c>
      <c r="E29" s="1">
        <f ca="1">IFERROR(__xludf.DUMMYFUNCTION("GOOGLEFINANCE(A29,""Changepct"")/100"),-0.0096)</f>
        <v>-9.5999999999999992E-3</v>
      </c>
      <c r="F29" s="1">
        <f ca="1">IFERROR(__xludf.DUMMYFUNCTION("GOOGLEFINANCE(A29,""Change"")*B29"),-10.57)</f>
        <v>-10.57</v>
      </c>
      <c r="G29" s="12">
        <f t="shared" ca="1" si="0"/>
        <v>836.09272727272594</v>
      </c>
      <c r="H29" s="12">
        <f t="shared" ca="1" si="1"/>
        <v>1087.8</v>
      </c>
      <c r="I29" s="1">
        <f t="shared" ca="1" si="2"/>
        <v>0.30105186245110038</v>
      </c>
      <c r="J29" s="12">
        <f t="shared" ca="1" si="3"/>
        <v>251.70727272727402</v>
      </c>
      <c r="K29" s="5" t="str">
        <f ca="1">IFERROR(__xludf.DUMMYFUNCTION("UNIQUE(FILTER(Transactions!D29:D338,Transactions!C29:C338=A29))"),"CDW")</f>
        <v>CDW</v>
      </c>
      <c r="L29" s="5" t="str">
        <f ca="1">IFERROR(__xludf.DUMMYFUNCTION("UNIQUE(FILTER(Transactions!I29:I338,Transactions!C29:C338=A29))"),"Information Technology")</f>
        <v>Information Technology</v>
      </c>
    </row>
    <row r="30" spans="1:12" ht="14.4" x14ac:dyDescent="0.3">
      <c r="A30" s="12" t="s">
        <v>66</v>
      </c>
      <c r="B30" s="11">
        <v>25</v>
      </c>
      <c r="C30" s="1">
        <f ca="1">IFERROR(__xludf.DUMMYFUNCTION("AVERAGE.WEIGHTED(FILTER(Transactions!G30:G339,Transactions!C30:C339=A30,Transactions!F30:F339&gt;0),FILTER(Transactions!F30:F339,Transactions!C30:C339=A30,Transactions!F30:F339&gt;0))"),103.69448275862)</f>
        <v>103.69448275862</v>
      </c>
      <c r="D30" s="1">
        <f ca="1">IFERROR(__xludf.DUMMYFUNCTION("GOOGLEFINANCE(A30,""Price"")"),145.68)</f>
        <v>145.68</v>
      </c>
      <c r="E30" s="1">
        <f ca="1">IFERROR(__xludf.DUMMYFUNCTION("GOOGLEFINANCE(A30,""Changepct"")/100"),0.0118999999999999)</f>
        <v>1.18999999999999E-2</v>
      </c>
      <c r="F30" s="1">
        <f ca="1">IFERROR(__xludf.DUMMYFUNCTION("GOOGLEFINANCE(A30,""Change"")*B30"),42.75)</f>
        <v>42.75</v>
      </c>
      <c r="G30" s="12">
        <f t="shared" ca="1" si="0"/>
        <v>2592.3620689654999</v>
      </c>
      <c r="H30" s="12">
        <f t="shared" ca="1" si="1"/>
        <v>3642</v>
      </c>
      <c r="I30" s="1">
        <f t="shared" ca="1" si="2"/>
        <v>0.40489634669487568</v>
      </c>
      <c r="J30" s="12">
        <f t="shared" ca="1" si="3"/>
        <v>1049.6379310345001</v>
      </c>
      <c r="K30" s="5" t="str">
        <f ca="1">IFERROR(__xludf.DUMMYFUNCTION("UNIQUE(FILTER(Transactions!D30:D339,Transactions!C30:C339=A30))"),"Cadence Design Systems")</f>
        <v>Cadence Design Systems</v>
      </c>
      <c r="L30" s="5" t="str">
        <f ca="1">IFERROR(__xludf.DUMMYFUNCTION("UNIQUE(FILTER(Transactions!I30:I339,Transactions!C30:C339=A30))"),"Information Technology")</f>
        <v>Information Technology</v>
      </c>
    </row>
    <row r="31" spans="1:12" ht="14.4" x14ac:dyDescent="0.3">
      <c r="B31" s="11"/>
      <c r="C31" s="1"/>
      <c r="D31" s="1"/>
      <c r="E31" s="1"/>
      <c r="F31" s="1"/>
      <c r="I31" s="1"/>
    </row>
    <row r="32" spans="1:12" ht="14.4" x14ac:dyDescent="0.3">
      <c r="B32" s="11"/>
      <c r="C32" s="1"/>
      <c r="D32" s="1"/>
      <c r="E32" s="1"/>
      <c r="F32" s="1"/>
      <c r="I32" s="1"/>
    </row>
    <row r="33" spans="2:9" ht="14.4" x14ac:dyDescent="0.3">
      <c r="B33" s="11"/>
      <c r="C33" s="1"/>
      <c r="D33" s="1"/>
      <c r="E33" s="1"/>
      <c r="F33" s="1"/>
      <c r="I33" s="1"/>
    </row>
    <row r="34" spans="2:9" ht="14.4" x14ac:dyDescent="0.3">
      <c r="B34" s="11"/>
      <c r="C34" s="1"/>
      <c r="D34" s="1"/>
      <c r="E34" s="1"/>
      <c r="F34" s="1"/>
      <c r="I34" s="1"/>
    </row>
    <row r="35" spans="2:9" ht="14.4" x14ac:dyDescent="0.3">
      <c r="B35" s="11"/>
      <c r="C35" s="1"/>
      <c r="D35" s="1"/>
      <c r="E35" s="1"/>
      <c r="F35" s="1"/>
      <c r="I35" s="1"/>
    </row>
    <row r="36" spans="2:9" ht="14.4" x14ac:dyDescent="0.3">
      <c r="B36" s="11"/>
      <c r="C36" s="1"/>
      <c r="D36" s="1"/>
      <c r="E36" s="1"/>
      <c r="F36" s="1"/>
      <c r="I36" s="1"/>
    </row>
    <row r="37" spans="2:9" ht="14.4" x14ac:dyDescent="0.3">
      <c r="B37" s="11"/>
      <c r="C37" s="1"/>
      <c r="D37" s="1"/>
      <c r="E37" s="1"/>
      <c r="F37" s="1"/>
      <c r="I37" s="1"/>
    </row>
    <row r="38" spans="2:9" ht="14.4" x14ac:dyDescent="0.3">
      <c r="B38" s="11"/>
      <c r="C38" s="1"/>
      <c r="D38" s="1"/>
      <c r="E38" s="1"/>
      <c r="F38" s="1"/>
      <c r="I38" s="1"/>
    </row>
    <row r="39" spans="2:9" ht="14.4" x14ac:dyDescent="0.3">
      <c r="B39" s="11"/>
      <c r="C39" s="1"/>
      <c r="D39" s="1"/>
      <c r="E39" s="1"/>
      <c r="F39" s="1"/>
      <c r="I39" s="1"/>
    </row>
    <row r="40" spans="2:9" ht="14.4" x14ac:dyDescent="0.3">
      <c r="B40" s="11"/>
      <c r="C40" s="1"/>
      <c r="D40" s="1"/>
      <c r="E40" s="1"/>
      <c r="F40" s="1"/>
      <c r="I40" s="1"/>
    </row>
    <row r="41" spans="2:9" ht="14.4" x14ac:dyDescent="0.3">
      <c r="B41" s="11"/>
      <c r="C41" s="1"/>
      <c r="D41" s="1"/>
      <c r="E41" s="1"/>
      <c r="F41" s="1"/>
      <c r="I41" s="1"/>
    </row>
    <row r="42" spans="2:9" ht="14.4" x14ac:dyDescent="0.3">
      <c r="B42" s="11"/>
      <c r="C42" s="1"/>
      <c r="D42" s="1"/>
      <c r="E42" s="1"/>
      <c r="F42" s="1"/>
      <c r="I42" s="1"/>
    </row>
    <row r="43" spans="2:9" ht="14.4" x14ac:dyDescent="0.3">
      <c r="B43" s="11"/>
      <c r="C43" s="1"/>
      <c r="D43" s="1"/>
      <c r="E43" s="1"/>
      <c r="F43" s="1"/>
      <c r="I43" s="1"/>
    </row>
    <row r="44" spans="2:9" ht="14.4" x14ac:dyDescent="0.3">
      <c r="B44" s="11"/>
      <c r="C44" s="1"/>
      <c r="D44" s="1"/>
      <c r="E44" s="1"/>
      <c r="F44" s="1"/>
      <c r="I44" s="1"/>
    </row>
    <row r="45" spans="2:9" ht="14.4" x14ac:dyDescent="0.3">
      <c r="B45" s="11"/>
      <c r="C45" s="1"/>
      <c r="D45" s="1"/>
      <c r="E45" s="1"/>
      <c r="F45" s="1"/>
      <c r="I45" s="1"/>
    </row>
    <row r="46" spans="2:9" ht="14.4" x14ac:dyDescent="0.3">
      <c r="B46" s="11"/>
      <c r="C46" s="1"/>
      <c r="D46" s="1"/>
      <c r="E46" s="1"/>
      <c r="F46" s="1"/>
      <c r="I46" s="1"/>
    </row>
    <row r="47" spans="2:9" ht="14.4" x14ac:dyDescent="0.3">
      <c r="B47" s="11"/>
      <c r="C47" s="1"/>
      <c r="D47" s="1"/>
      <c r="E47" s="1"/>
      <c r="F47" s="1"/>
      <c r="I47" s="1"/>
    </row>
    <row r="48" spans="2:9" ht="14.4" x14ac:dyDescent="0.3">
      <c r="B48" s="11"/>
      <c r="C48" s="1"/>
      <c r="D48" s="1"/>
      <c r="E48" s="1"/>
      <c r="F48" s="1"/>
      <c r="I48" s="1"/>
    </row>
    <row r="49" spans="2:9" ht="14.4" x14ac:dyDescent="0.3">
      <c r="B49" s="11"/>
      <c r="C49" s="1"/>
      <c r="D49" s="1"/>
      <c r="E49" s="1"/>
      <c r="F49" s="1"/>
      <c r="I49" s="1"/>
    </row>
    <row r="50" spans="2:9" ht="14.4" x14ac:dyDescent="0.3">
      <c r="B50" s="11"/>
      <c r="C50" s="1"/>
      <c r="D50" s="1"/>
      <c r="E50" s="1"/>
      <c r="F50" s="1"/>
      <c r="I50" s="1"/>
    </row>
    <row r="51" spans="2:9" ht="14.4" x14ac:dyDescent="0.3">
      <c r="B51" s="11"/>
      <c r="C51" s="1"/>
      <c r="D51" s="1"/>
      <c r="E51" s="1"/>
      <c r="F51" s="1"/>
      <c r="I51" s="1"/>
    </row>
    <row r="52" spans="2:9" ht="14.4" x14ac:dyDescent="0.3">
      <c r="B52" s="11"/>
      <c r="C52" s="1"/>
      <c r="D52" s="1"/>
      <c r="E52" s="1"/>
      <c r="F52" s="1"/>
      <c r="I52" s="1"/>
    </row>
    <row r="53" spans="2:9" ht="14.4" x14ac:dyDescent="0.3">
      <c r="B53" s="11"/>
      <c r="C53" s="1"/>
      <c r="D53" s="1"/>
      <c r="E53" s="1"/>
      <c r="F53" s="1"/>
      <c r="G53" s="13"/>
      <c r="I53" s="1"/>
    </row>
    <row r="54" spans="2:9" ht="14.4" x14ac:dyDescent="0.3">
      <c r="B54" s="11"/>
      <c r="C54" s="1"/>
      <c r="D54" s="1"/>
      <c r="E54" s="1"/>
      <c r="F54" s="1"/>
      <c r="G54" s="13"/>
      <c r="I54" s="1"/>
    </row>
    <row r="55" spans="2:9" ht="14.4" x14ac:dyDescent="0.3">
      <c r="B55" s="11"/>
      <c r="C55" s="1"/>
      <c r="D55" s="1"/>
      <c r="E55" s="1"/>
      <c r="F55" s="1"/>
      <c r="I55" s="1"/>
    </row>
    <row r="56" spans="2:9" ht="14.4" x14ac:dyDescent="0.3">
      <c r="B56" s="11"/>
      <c r="C56" s="1"/>
      <c r="D56" s="1"/>
      <c r="E56" s="1"/>
      <c r="F56" s="1"/>
      <c r="I56" s="1"/>
    </row>
    <row r="57" spans="2:9" ht="14.4" x14ac:dyDescent="0.3">
      <c r="B57" s="11"/>
      <c r="C57" s="1"/>
      <c r="D57" s="1"/>
      <c r="E57" s="1"/>
      <c r="F57" s="1"/>
      <c r="I57" s="1"/>
    </row>
    <row r="58" spans="2:9" ht="14.4" x14ac:dyDescent="0.3">
      <c r="B58" s="11"/>
      <c r="C58" s="1"/>
      <c r="D58" s="1"/>
      <c r="E58" s="1"/>
      <c r="F58" s="1"/>
      <c r="G58" s="13"/>
      <c r="I58" s="1"/>
    </row>
    <row r="59" spans="2:9" ht="14.4" x14ac:dyDescent="0.3">
      <c r="B59" s="11"/>
      <c r="C59" s="1"/>
      <c r="D59" s="1"/>
      <c r="E59" s="1"/>
      <c r="F59" s="1"/>
      <c r="I59" s="1"/>
    </row>
    <row r="60" spans="2:9" ht="14.4" x14ac:dyDescent="0.3">
      <c r="B60" s="11"/>
      <c r="C60" s="1"/>
      <c r="D60" s="1"/>
      <c r="E60" s="1"/>
      <c r="F60" s="1"/>
      <c r="I60" s="1"/>
    </row>
    <row r="61" spans="2:9" ht="14.4" x14ac:dyDescent="0.3">
      <c r="B61" s="11"/>
      <c r="C61" s="1"/>
      <c r="D61" s="1"/>
      <c r="E61" s="1"/>
      <c r="F61" s="1"/>
      <c r="I61" s="1"/>
    </row>
    <row r="62" spans="2:9" ht="14.4" x14ac:dyDescent="0.3">
      <c r="B62" s="11"/>
      <c r="C62" s="1"/>
      <c r="D62" s="1"/>
      <c r="E62" s="1"/>
      <c r="F62" s="1"/>
      <c r="I62" s="1"/>
    </row>
    <row r="63" spans="2:9" ht="14.4" x14ac:dyDescent="0.3">
      <c r="B63" s="11"/>
      <c r="C63" s="1"/>
      <c r="D63" s="1"/>
      <c r="E63" s="1"/>
      <c r="F63" s="1"/>
      <c r="I63" s="1"/>
    </row>
    <row r="64" spans="2:9" ht="14.4" x14ac:dyDescent="0.3">
      <c r="B64" s="11"/>
      <c r="C64" s="1"/>
      <c r="D64" s="1"/>
      <c r="E64" s="1"/>
      <c r="F64" s="1"/>
      <c r="I64" s="1"/>
    </row>
    <row r="65" spans="2:9" ht="14.4" x14ac:dyDescent="0.3">
      <c r="B65" s="11"/>
      <c r="C65" s="1"/>
      <c r="D65" s="1"/>
      <c r="E65" s="1"/>
      <c r="F65" s="1"/>
      <c r="I65" s="1"/>
    </row>
    <row r="66" spans="2:9" ht="14.4" x14ac:dyDescent="0.3">
      <c r="B66" s="11"/>
      <c r="C66" s="1"/>
      <c r="D66" s="1"/>
      <c r="E66" s="1"/>
      <c r="F66" s="1"/>
      <c r="I66" s="1"/>
    </row>
    <row r="67" spans="2:9" ht="14.4" x14ac:dyDescent="0.3">
      <c r="B67" s="11"/>
      <c r="C67" s="1"/>
      <c r="D67" s="1"/>
      <c r="E67" s="1"/>
      <c r="F67" s="1"/>
      <c r="I67" s="1"/>
    </row>
    <row r="68" spans="2:9" ht="14.4" x14ac:dyDescent="0.3">
      <c r="B68" s="11"/>
      <c r="C68" s="1"/>
      <c r="D68" s="1"/>
      <c r="E68" s="1"/>
      <c r="F68" s="1"/>
      <c r="I68" s="1"/>
    </row>
    <row r="69" spans="2:9" ht="14.4" x14ac:dyDescent="0.3">
      <c r="B69" s="11"/>
      <c r="C69" s="1"/>
      <c r="D69" s="1"/>
      <c r="E69" s="1"/>
      <c r="F69" s="1"/>
      <c r="I69" s="1"/>
    </row>
    <row r="70" spans="2:9" ht="14.4" x14ac:dyDescent="0.3">
      <c r="B70" s="11"/>
      <c r="C70" s="1"/>
      <c r="D70" s="1"/>
      <c r="E70" s="1"/>
      <c r="F70" s="1"/>
      <c r="I70" s="1"/>
    </row>
    <row r="71" spans="2:9" ht="14.4" x14ac:dyDescent="0.3">
      <c r="B71" s="11"/>
      <c r="C71" s="1"/>
      <c r="D71" s="1"/>
      <c r="E71" s="1"/>
      <c r="F71" s="1"/>
      <c r="I71" s="1"/>
    </row>
    <row r="72" spans="2:9" ht="14.4" x14ac:dyDescent="0.3">
      <c r="B72" s="11"/>
      <c r="C72" s="1"/>
      <c r="D72" s="1"/>
      <c r="E72" s="1"/>
      <c r="F72" s="1"/>
      <c r="I72" s="1"/>
    </row>
    <row r="73" spans="2:9" ht="14.4" x14ac:dyDescent="0.3">
      <c r="B73" s="11"/>
      <c r="C73" s="1"/>
      <c r="D73" s="1"/>
      <c r="E73" s="1"/>
      <c r="F73" s="1"/>
      <c r="G73" s="13"/>
      <c r="I73" s="1"/>
    </row>
    <row r="74" spans="2:9" ht="14.4" x14ac:dyDescent="0.3">
      <c r="B74" s="11"/>
      <c r="C74" s="1"/>
      <c r="D74" s="1"/>
      <c r="E74" s="1"/>
      <c r="F74" s="1"/>
      <c r="I74" s="1"/>
    </row>
    <row r="75" spans="2:9" ht="14.4" x14ac:dyDescent="0.3">
      <c r="B75" s="11"/>
      <c r="C75" s="1"/>
      <c r="D75" s="1"/>
      <c r="E75" s="1"/>
      <c r="F75" s="1"/>
      <c r="I75" s="1"/>
    </row>
    <row r="76" spans="2:9" ht="14.4" x14ac:dyDescent="0.3">
      <c r="B76" s="11"/>
      <c r="C76" s="1"/>
      <c r="D76" s="1"/>
      <c r="E76" s="1"/>
      <c r="F76" s="1"/>
      <c r="I76" s="1"/>
    </row>
    <row r="77" spans="2:9" ht="14.4" x14ac:dyDescent="0.3">
      <c r="B77" s="11"/>
      <c r="C77" s="1"/>
      <c r="D77" s="1"/>
      <c r="E77" s="1"/>
      <c r="F77" s="1"/>
      <c r="I77" s="1"/>
    </row>
    <row r="78" spans="2:9" ht="14.4" x14ac:dyDescent="0.3">
      <c r="B78" s="11"/>
      <c r="C78" s="1"/>
      <c r="D78" s="1"/>
      <c r="E78" s="1"/>
      <c r="F78" s="1"/>
      <c r="I78" s="1"/>
    </row>
    <row r="79" spans="2:9" ht="14.4" x14ac:dyDescent="0.3">
      <c r="B79" s="11"/>
      <c r="C79" s="1"/>
      <c r="D79" s="1"/>
      <c r="E79" s="1"/>
      <c r="F79" s="1"/>
      <c r="I79" s="1"/>
    </row>
    <row r="80" spans="2:9" ht="14.4" x14ac:dyDescent="0.3">
      <c r="B80" s="11"/>
      <c r="C80" s="1"/>
      <c r="D80" s="1"/>
      <c r="E80" s="1"/>
      <c r="F80" s="1"/>
      <c r="I80" s="1"/>
    </row>
    <row r="81" spans="2:9" ht="14.4" x14ac:dyDescent="0.3">
      <c r="B81" s="11"/>
      <c r="C81" s="1"/>
      <c r="D81" s="1"/>
      <c r="E81" s="1"/>
      <c r="F81" s="1"/>
      <c r="I81" s="1"/>
    </row>
    <row r="82" spans="2:9" ht="14.4" x14ac:dyDescent="0.3">
      <c r="B82" s="11"/>
      <c r="C82" s="1"/>
      <c r="D82" s="1"/>
      <c r="E82" s="1"/>
      <c r="F82" s="1"/>
      <c r="I82" s="1"/>
    </row>
    <row r="83" spans="2:9" ht="14.4" x14ac:dyDescent="0.3">
      <c r="B83" s="11"/>
      <c r="C83" s="1"/>
      <c r="D83" s="1"/>
      <c r="E83" s="1"/>
      <c r="F83" s="1"/>
      <c r="I83" s="1"/>
    </row>
    <row r="84" spans="2:9" ht="14.4" x14ac:dyDescent="0.3">
      <c r="B84" s="11"/>
      <c r="C84" s="1"/>
      <c r="D84" s="1"/>
      <c r="E84" s="1"/>
      <c r="F84" s="1"/>
      <c r="I84" s="1"/>
    </row>
    <row r="85" spans="2:9" ht="14.4" x14ac:dyDescent="0.3">
      <c r="B85" s="11"/>
      <c r="C85" s="1"/>
      <c r="D85" s="1"/>
      <c r="E85" s="1"/>
      <c r="F85" s="1"/>
      <c r="I85" s="1"/>
    </row>
    <row r="86" spans="2:9" ht="14.4" x14ac:dyDescent="0.3">
      <c r="B86" s="11"/>
      <c r="C86" s="1"/>
      <c r="D86" s="1"/>
      <c r="E86" s="1"/>
      <c r="F86" s="1"/>
      <c r="G86" s="13"/>
      <c r="I86" s="1"/>
    </row>
    <row r="87" spans="2:9" ht="14.4" x14ac:dyDescent="0.3">
      <c r="B87" s="11"/>
      <c r="C87" s="1"/>
      <c r="D87" s="1"/>
      <c r="E87" s="1"/>
      <c r="F87" s="1"/>
      <c r="G87" s="13"/>
      <c r="I87" s="1"/>
    </row>
    <row r="88" spans="2:9" ht="14.4" x14ac:dyDescent="0.3">
      <c r="B88" s="11"/>
      <c r="C88" s="1"/>
      <c r="D88" s="1"/>
      <c r="E88" s="1"/>
      <c r="F88" s="1"/>
      <c r="I88" s="1"/>
    </row>
    <row r="89" spans="2:9" ht="14.4" x14ac:dyDescent="0.3">
      <c r="B89" s="11"/>
      <c r="C89" s="1"/>
      <c r="D89" s="1"/>
      <c r="E89" s="1"/>
      <c r="F89" s="1"/>
      <c r="I89" s="1"/>
    </row>
    <row r="90" spans="2:9" ht="14.4" x14ac:dyDescent="0.3">
      <c r="B90" s="11"/>
      <c r="C90" s="1"/>
      <c r="D90" s="1"/>
      <c r="E90" s="1"/>
      <c r="F90" s="1"/>
      <c r="I90" s="1"/>
    </row>
    <row r="91" spans="2:9" ht="14.4" x14ac:dyDescent="0.3">
      <c r="B91" s="11"/>
      <c r="C91" s="1"/>
      <c r="D91" s="1"/>
      <c r="E91" s="1"/>
      <c r="F91" s="1"/>
      <c r="I91" s="1"/>
    </row>
    <row r="92" spans="2:9" ht="14.4" x14ac:dyDescent="0.3">
      <c r="B92" s="11"/>
      <c r="C92" s="1"/>
      <c r="D92" s="1"/>
      <c r="E92" s="1"/>
      <c r="F92" s="1"/>
      <c r="I92" s="1"/>
    </row>
    <row r="93" spans="2:9" ht="14.4" x14ac:dyDescent="0.3">
      <c r="B93" s="11"/>
      <c r="C93" s="1"/>
      <c r="D93" s="1"/>
      <c r="E93" s="1"/>
      <c r="F93" s="1"/>
      <c r="I93" s="1"/>
    </row>
    <row r="94" spans="2:9" ht="14.4" x14ac:dyDescent="0.3">
      <c r="B94" s="11"/>
      <c r="C94" s="1"/>
      <c r="D94" s="1"/>
      <c r="E94" s="1"/>
      <c r="F94" s="1"/>
      <c r="I94" s="1"/>
    </row>
    <row r="95" spans="2:9" ht="14.4" x14ac:dyDescent="0.3">
      <c r="B95" s="11"/>
      <c r="C95" s="1"/>
      <c r="D95" s="1"/>
      <c r="E95" s="1"/>
      <c r="F95" s="1"/>
      <c r="I95" s="1"/>
    </row>
    <row r="96" spans="2:9" ht="14.4" x14ac:dyDescent="0.3">
      <c r="B96" s="11"/>
      <c r="C96" s="1"/>
      <c r="D96" s="1"/>
      <c r="E96" s="1"/>
      <c r="F96" s="1"/>
      <c r="I96" s="1"/>
    </row>
    <row r="97" spans="2:9" ht="14.4" x14ac:dyDescent="0.3">
      <c r="B97" s="11"/>
      <c r="C97" s="1"/>
      <c r="D97" s="1"/>
      <c r="E97" s="1"/>
      <c r="F97" s="1"/>
      <c r="I97" s="1"/>
    </row>
    <row r="98" spans="2:9" ht="14.4" x14ac:dyDescent="0.3">
      <c r="B98" s="11"/>
      <c r="C98" s="1"/>
      <c r="D98" s="1"/>
      <c r="E98" s="1"/>
      <c r="F98" s="1"/>
      <c r="I98" s="1"/>
    </row>
    <row r="99" spans="2:9" ht="14.4" x14ac:dyDescent="0.3">
      <c r="B99" s="11"/>
      <c r="C99" s="1"/>
      <c r="D99" s="1"/>
      <c r="E99" s="1"/>
      <c r="F99" s="1"/>
      <c r="I99" s="1"/>
    </row>
    <row r="100" spans="2:9" ht="14.4" x14ac:dyDescent="0.3">
      <c r="B100" s="11"/>
      <c r="C100" s="1"/>
      <c r="D100" s="1"/>
      <c r="E100" s="1"/>
      <c r="F100" s="1"/>
      <c r="I100" s="1"/>
    </row>
    <row r="101" spans="2:9" ht="14.4" x14ac:dyDescent="0.3">
      <c r="B101" s="11"/>
      <c r="C101" s="1"/>
      <c r="D101" s="1"/>
      <c r="E101" s="1"/>
      <c r="F101" s="1"/>
      <c r="I101" s="1"/>
    </row>
    <row r="102" spans="2:9" ht="14.4" x14ac:dyDescent="0.3">
      <c r="B102" s="11"/>
      <c r="C102" s="1"/>
      <c r="D102" s="1"/>
      <c r="E102" s="1"/>
      <c r="F102" s="1"/>
      <c r="I102" s="1"/>
    </row>
    <row r="103" spans="2:9" ht="14.4" x14ac:dyDescent="0.3">
      <c r="B103" s="11"/>
      <c r="C103" s="1"/>
      <c r="D103" s="1"/>
      <c r="E103" s="1"/>
      <c r="F103" s="1"/>
      <c r="I103" s="1"/>
    </row>
    <row r="104" spans="2:9" ht="14.4" x14ac:dyDescent="0.3">
      <c r="B104" s="11"/>
      <c r="C104" s="1"/>
      <c r="D104" s="1"/>
      <c r="E104" s="1"/>
      <c r="F104" s="1"/>
      <c r="I104" s="1"/>
    </row>
    <row r="105" spans="2:9" ht="14.4" x14ac:dyDescent="0.3">
      <c r="B105" s="11"/>
      <c r="C105" s="1"/>
      <c r="D105" s="1"/>
      <c r="E105" s="1"/>
      <c r="F105" s="1"/>
      <c r="I105" s="1"/>
    </row>
    <row r="106" spans="2:9" ht="14.4" x14ac:dyDescent="0.3">
      <c r="B106" s="11"/>
      <c r="C106" s="1"/>
      <c r="D106" s="1"/>
      <c r="E106" s="1"/>
      <c r="F106" s="1"/>
      <c r="I106" s="1"/>
    </row>
    <row r="107" spans="2:9" ht="14.4" x14ac:dyDescent="0.3">
      <c r="B107" s="11"/>
      <c r="C107" s="1"/>
      <c r="D107" s="1"/>
      <c r="E107" s="1"/>
      <c r="F107" s="1"/>
      <c r="I107" s="1"/>
    </row>
    <row r="108" spans="2:9" ht="14.4" x14ac:dyDescent="0.3">
      <c r="B108" s="11"/>
      <c r="C108" s="1"/>
      <c r="D108" s="1"/>
      <c r="E108" s="1"/>
      <c r="F108" s="1"/>
      <c r="I108" s="1"/>
    </row>
    <row r="109" spans="2:9" ht="14.4" x14ac:dyDescent="0.3">
      <c r="B109" s="11"/>
      <c r="C109" s="1"/>
      <c r="D109" s="1"/>
      <c r="E109" s="1"/>
      <c r="F109" s="1"/>
      <c r="I109" s="1"/>
    </row>
    <row r="110" spans="2:9" ht="14.4" x14ac:dyDescent="0.3">
      <c r="B110" s="11"/>
      <c r="C110" s="1"/>
      <c r="D110" s="1"/>
      <c r="E110" s="1"/>
      <c r="F110" s="1"/>
      <c r="I110" s="1"/>
    </row>
    <row r="111" spans="2:9" ht="14.4" x14ac:dyDescent="0.3">
      <c r="B111" s="11"/>
      <c r="C111" s="1"/>
      <c r="D111" s="1"/>
      <c r="E111" s="1"/>
      <c r="F111" s="1"/>
      <c r="I111" s="1"/>
    </row>
    <row r="112" spans="2:9" ht="14.4" x14ac:dyDescent="0.3">
      <c r="B112" s="11"/>
      <c r="C112" s="1"/>
      <c r="D112" s="1"/>
      <c r="E112" s="1"/>
      <c r="F112" s="1"/>
      <c r="I112" s="1"/>
    </row>
    <row r="113" spans="2:9" ht="14.4" x14ac:dyDescent="0.3">
      <c r="B113" s="11"/>
      <c r="C113" s="1"/>
      <c r="D113" s="1"/>
      <c r="E113" s="1"/>
      <c r="F113" s="1"/>
      <c r="I113" s="1"/>
    </row>
    <row r="114" spans="2:9" ht="14.4" x14ac:dyDescent="0.3">
      <c r="B114" s="11"/>
      <c r="C114" s="1"/>
      <c r="D114" s="1"/>
      <c r="E114" s="1"/>
      <c r="F114" s="1"/>
      <c r="I114" s="1"/>
    </row>
    <row r="115" spans="2:9" ht="14.4" x14ac:dyDescent="0.3">
      <c r="B115" s="11"/>
      <c r="C115" s="1"/>
      <c r="D115" s="1"/>
      <c r="E115" s="1"/>
      <c r="F115" s="1"/>
      <c r="I115" s="1"/>
    </row>
    <row r="116" spans="2:9" ht="14.4" x14ac:dyDescent="0.3">
      <c r="B116" s="11"/>
      <c r="C116" s="1"/>
      <c r="D116" s="1"/>
      <c r="E116" s="1"/>
      <c r="F116" s="1"/>
      <c r="I116" s="1"/>
    </row>
    <row r="117" spans="2:9" ht="14.4" x14ac:dyDescent="0.3">
      <c r="B117" s="11"/>
      <c r="C117" s="1"/>
      <c r="D117" s="1"/>
      <c r="E117" s="1"/>
      <c r="F117" s="1"/>
      <c r="I117" s="1"/>
    </row>
    <row r="118" spans="2:9" ht="14.4" x14ac:dyDescent="0.3">
      <c r="B118" s="11"/>
      <c r="C118" s="1"/>
      <c r="D118" s="1"/>
      <c r="E118" s="1"/>
      <c r="F118" s="1"/>
      <c r="I118" s="1"/>
    </row>
    <row r="119" spans="2:9" ht="14.4" x14ac:dyDescent="0.3">
      <c r="B119" s="11"/>
      <c r="C119" s="1"/>
      <c r="D119" s="1"/>
      <c r="E119" s="1"/>
      <c r="F119" s="1"/>
      <c r="I119" s="1"/>
    </row>
    <row r="120" spans="2:9" ht="14.4" x14ac:dyDescent="0.3">
      <c r="B120" s="11"/>
      <c r="C120" s="1"/>
      <c r="D120" s="1"/>
      <c r="E120" s="1"/>
      <c r="F120" s="1"/>
      <c r="I120" s="1"/>
    </row>
    <row r="121" spans="2:9" ht="14.4" x14ac:dyDescent="0.3">
      <c r="B121" s="11"/>
      <c r="C121" s="1"/>
      <c r="D121" s="1"/>
      <c r="E121" s="1"/>
      <c r="F121" s="1"/>
      <c r="I121" s="1"/>
    </row>
    <row r="122" spans="2:9" ht="14.4" x14ac:dyDescent="0.3">
      <c r="B122" s="11"/>
      <c r="C122" s="1"/>
      <c r="D122" s="1"/>
      <c r="E122" s="1"/>
      <c r="F122" s="1"/>
      <c r="I122" s="1"/>
    </row>
    <row r="123" spans="2:9" ht="14.4" x14ac:dyDescent="0.3">
      <c r="B123" s="11"/>
      <c r="C123" s="1"/>
      <c r="D123" s="1"/>
      <c r="E123" s="1"/>
      <c r="F123" s="1"/>
      <c r="I123" s="1"/>
    </row>
    <row r="124" spans="2:9" ht="14.4" x14ac:dyDescent="0.3">
      <c r="B124" s="11"/>
      <c r="C124" s="1"/>
      <c r="D124" s="1"/>
      <c r="E124" s="1"/>
      <c r="F124" s="1"/>
      <c r="I124" s="1"/>
    </row>
    <row r="125" spans="2:9" ht="14.4" x14ac:dyDescent="0.3">
      <c r="B125" s="11"/>
      <c r="C125" s="1"/>
      <c r="D125" s="1"/>
      <c r="E125" s="1"/>
      <c r="F125" s="1"/>
      <c r="I125" s="1"/>
    </row>
    <row r="126" spans="2:9" ht="14.4" x14ac:dyDescent="0.3">
      <c r="B126" s="11"/>
      <c r="C126" s="1"/>
      <c r="D126" s="1"/>
      <c r="E126" s="1"/>
      <c r="F126" s="1"/>
      <c r="I126" s="1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saulo valdivia valdivia</cp:lastModifiedBy>
  <dcterms:modified xsi:type="dcterms:W3CDTF">2021-02-13T12:17:16Z</dcterms:modified>
</cp:coreProperties>
</file>