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840" yWindow="0" windowWidth="25600" windowHeight="14560" activeTab="3"/>
  </bookViews>
  <sheets>
    <sheet name="Pricing" sheetId="2" r:id="rId1"/>
    <sheet name="Calibration" sheetId="5" r:id="rId2"/>
    <sheet name="CDS pricing" sheetId="6" r:id="rId3"/>
    <sheet name="CDS pricing_Q5" sheetId="7" r:id="rId4"/>
  </sheets>
  <externalReferences>
    <externalReference r:id="rId5"/>
  </externalReferences>
  <definedNames>
    <definedName name="h" localSheetId="1">Calibration!$C$2</definedName>
    <definedName name="h">Pricing!$C$2</definedName>
    <definedName name="N" localSheetId="2">'CDS pricing'!$B$2</definedName>
    <definedName name="N" localSheetId="3">'CDS pricing_Q5'!$B$2</definedName>
    <definedName name="N">'CDS pricing'!$B$2</definedName>
    <definedName name="qd">'[1]Zero coupon bond with recovery'!$B$6</definedName>
    <definedName name="qu">'[1]Zero coupon bond with recovery'!$B$5</definedName>
    <definedName name="rf" localSheetId="1">Calibration!$F$2</definedName>
    <definedName name="rf" localSheetId="2">Pricing!$F$2</definedName>
    <definedName name="rf" localSheetId="3">Pricing!$F$2</definedName>
    <definedName name="rf">Pricing!$F$2</definedName>
    <definedName name="S" localSheetId="3">'CDS pricing_Q5'!$B$1</definedName>
    <definedName name="S">'CDS pricing'!$B$1</definedName>
    <definedName name="solver_adj" localSheetId="1" hidden="1">Calibration!$A$6,Calibration!$A$8,Calibration!$A$10,Calibration!$A$12,Calibration!$A$14</definedName>
    <definedName name="solver_adj" localSheetId="2" hidden="1">'CDS pricing'!$B$1</definedName>
    <definedName name="solver_adj" localSheetId="3" hidden="1">'CDS pricing_Q5'!$B$1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Calibration!$A$6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Calibration!$J$21</definedName>
    <definedName name="solver_opt" localSheetId="2" hidden="1">'CDS pricing'!$H$18</definedName>
    <definedName name="solver_opt" localSheetId="3" hidden="1">'CDS pricing_Q5'!$H$18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3</definedName>
    <definedName name="solver_rhs1" localSheetId="1" hidden="1">0.0001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3</definedName>
    <definedName name="solver_typ" localSheetId="3" hidden="1">3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7" l="1"/>
  <c r="J9" i="7"/>
  <c r="J10" i="7"/>
  <c r="J11" i="7"/>
  <c r="J12" i="7"/>
  <c r="J13" i="7"/>
  <c r="J14" i="7"/>
  <c r="I8" i="7"/>
  <c r="I9" i="7"/>
  <c r="I10" i="7"/>
  <c r="I11" i="7"/>
  <c r="I12" i="7"/>
  <c r="I13" i="7"/>
  <c r="I14" i="7"/>
  <c r="B8" i="7"/>
  <c r="B9" i="7"/>
  <c r="B10" i="7"/>
  <c r="B11" i="7"/>
  <c r="B12" i="7"/>
  <c r="B13" i="7"/>
  <c r="B14" i="7"/>
  <c r="D8" i="7"/>
  <c r="D9" i="7"/>
  <c r="D10" i="7"/>
  <c r="D11" i="7"/>
  <c r="D12" i="7"/>
  <c r="D13" i="7"/>
  <c r="D14" i="7"/>
  <c r="D7" i="7"/>
  <c r="F8" i="7"/>
  <c r="F9" i="7"/>
  <c r="F10" i="7"/>
  <c r="F11" i="7"/>
  <c r="F12" i="7"/>
  <c r="F13" i="7"/>
  <c r="F14" i="7"/>
  <c r="E8" i="7"/>
  <c r="E9" i="7"/>
  <c r="E10" i="7"/>
  <c r="E11" i="7"/>
  <c r="E12" i="7"/>
  <c r="E13" i="7"/>
  <c r="E14" i="7"/>
  <c r="H8" i="7"/>
  <c r="H9" i="7"/>
  <c r="H10" i="7"/>
  <c r="H11" i="7"/>
  <c r="H12" i="7"/>
  <c r="H13" i="7"/>
  <c r="H14" i="7"/>
  <c r="H7" i="7"/>
  <c r="K7" i="7"/>
  <c r="B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H17" i="7"/>
  <c r="E7" i="7"/>
  <c r="F7" i="7"/>
  <c r="G7" i="7"/>
  <c r="G8" i="7"/>
  <c r="G9" i="7"/>
  <c r="G10" i="7"/>
  <c r="G11" i="7"/>
  <c r="G12" i="7"/>
  <c r="G13" i="7"/>
  <c r="G14" i="7"/>
  <c r="I7" i="7"/>
  <c r="J7" i="7"/>
  <c r="H16" i="7"/>
  <c r="H18" i="7"/>
  <c r="C7" i="5"/>
  <c r="A7" i="5"/>
  <c r="D8" i="5"/>
  <c r="C8" i="5"/>
  <c r="D9" i="5"/>
  <c r="C9" i="5"/>
  <c r="A9" i="5"/>
  <c r="D10" i="5"/>
  <c r="C10" i="5"/>
  <c r="D11" i="5"/>
  <c r="C11" i="5"/>
  <c r="A11" i="5"/>
  <c r="D12" i="5"/>
  <c r="C12" i="5"/>
  <c r="D13" i="5"/>
  <c r="C13" i="5"/>
  <c r="A13" i="5"/>
  <c r="D14" i="5"/>
  <c r="C14" i="5"/>
  <c r="D15" i="5"/>
  <c r="C15" i="5"/>
  <c r="A15" i="5"/>
  <c r="D16" i="5"/>
  <c r="C7" i="2"/>
  <c r="A7" i="2"/>
  <c r="D8" i="2"/>
  <c r="C8" i="2"/>
  <c r="A8" i="2"/>
  <c r="D9" i="2"/>
  <c r="C9" i="2"/>
  <c r="A9" i="2"/>
  <c r="D10" i="2"/>
  <c r="C10" i="2"/>
  <c r="A10" i="2"/>
  <c r="D11" i="2"/>
  <c r="C11" i="2"/>
  <c r="A11" i="2"/>
  <c r="D12" i="2"/>
  <c r="C12" i="2"/>
  <c r="A12" i="2"/>
  <c r="D13" i="2"/>
  <c r="C13" i="2"/>
  <c r="A13" i="2"/>
  <c r="D14" i="2"/>
  <c r="C14" i="2"/>
  <c r="A14" i="2"/>
  <c r="D15" i="2"/>
  <c r="C15" i="2"/>
  <c r="A15" i="2"/>
  <c r="D16" i="2"/>
  <c r="E16" i="5"/>
  <c r="E15" i="5"/>
  <c r="E14" i="5"/>
  <c r="E13" i="5"/>
  <c r="E12" i="5"/>
  <c r="E11" i="5"/>
  <c r="V11" i="5"/>
  <c r="E10" i="5"/>
  <c r="E9" i="5"/>
  <c r="V9" i="5"/>
  <c r="E8" i="5"/>
  <c r="E7" i="5"/>
  <c r="D7" i="5"/>
  <c r="P7" i="5"/>
  <c r="AH9" i="5"/>
  <c r="AB10" i="5"/>
  <c r="AH10" i="5"/>
  <c r="AB9" i="5"/>
  <c r="P10" i="5"/>
  <c r="AH11" i="5"/>
  <c r="P9" i="5"/>
  <c r="AB8" i="5"/>
  <c r="J8" i="5"/>
  <c r="P8" i="5"/>
  <c r="AH8" i="5"/>
  <c r="V8" i="5"/>
  <c r="V7" i="5"/>
  <c r="AB7" i="5"/>
  <c r="AB12" i="5"/>
  <c r="J7" i="5"/>
  <c r="AH7" i="5"/>
  <c r="AB11" i="5"/>
  <c r="V10" i="5"/>
  <c r="J18" i="5"/>
  <c r="P18" i="5"/>
  <c r="AB13" i="5"/>
  <c r="AH13" i="5"/>
  <c r="AH12" i="5"/>
  <c r="V12" i="5"/>
  <c r="V18" i="5"/>
  <c r="E7" i="2"/>
  <c r="D7" i="2"/>
  <c r="J7" i="2"/>
  <c r="E8" i="2"/>
  <c r="J8" i="2"/>
  <c r="J18" i="2"/>
  <c r="J19" i="5"/>
  <c r="J20" i="5"/>
  <c r="AH14" i="5"/>
  <c r="AB14" i="5"/>
  <c r="AB18" i="5"/>
  <c r="P7" i="2"/>
  <c r="P8" i="2"/>
  <c r="E9" i="2"/>
  <c r="P9" i="2"/>
  <c r="E10" i="2"/>
  <c r="P10" i="2"/>
  <c r="P18" i="2"/>
  <c r="P19" i="5"/>
  <c r="P20" i="5"/>
  <c r="C16" i="5"/>
  <c r="AH16" i="5"/>
  <c r="AH15" i="5"/>
  <c r="AH18" i="5"/>
  <c r="V7" i="2"/>
  <c r="V8" i="2"/>
  <c r="V9" i="2"/>
  <c r="V10" i="2"/>
  <c r="E11" i="2"/>
  <c r="V11" i="2"/>
  <c r="E12" i="2"/>
  <c r="V12" i="2"/>
  <c r="V18" i="2"/>
  <c r="V19" i="5"/>
  <c r="V20" i="5"/>
  <c r="AB7" i="2"/>
  <c r="AB8" i="2"/>
  <c r="AB9" i="2"/>
  <c r="AB10" i="2"/>
  <c r="AB11" i="2"/>
  <c r="AB12" i="2"/>
  <c r="E13" i="2"/>
  <c r="AB13" i="2"/>
  <c r="E14" i="2"/>
  <c r="AB14" i="2"/>
  <c r="AB18" i="2"/>
  <c r="AB19" i="5"/>
  <c r="AB20" i="5"/>
  <c r="AH7" i="2"/>
  <c r="AH8" i="2"/>
  <c r="AH9" i="2"/>
  <c r="AH10" i="2"/>
  <c r="AH11" i="2"/>
  <c r="AH12" i="2"/>
  <c r="AH13" i="2"/>
  <c r="AH14" i="2"/>
  <c r="E15" i="2"/>
  <c r="AH15" i="2"/>
  <c r="E16" i="2"/>
  <c r="C16" i="2"/>
  <c r="AH16" i="2"/>
  <c r="AH18" i="2"/>
  <c r="AH19" i="5"/>
  <c r="AH20" i="5"/>
  <c r="J21" i="5"/>
  <c r="C6" i="6"/>
  <c r="B7" i="6"/>
  <c r="C7" i="6"/>
  <c r="D7" i="6"/>
  <c r="E7" i="6"/>
  <c r="F7" i="6"/>
  <c r="G7" i="6"/>
  <c r="H7" i="6"/>
  <c r="I7" i="6"/>
  <c r="J7" i="6"/>
  <c r="B8" i="6"/>
  <c r="C8" i="6"/>
  <c r="E8" i="6"/>
  <c r="B9" i="6"/>
  <c r="C9" i="6"/>
  <c r="E9" i="6"/>
  <c r="B10" i="6"/>
  <c r="C10" i="6"/>
  <c r="E10" i="6"/>
  <c r="B11" i="6"/>
  <c r="C11" i="6"/>
  <c r="E11" i="6"/>
  <c r="B12" i="6"/>
  <c r="C12" i="6"/>
  <c r="E12" i="6"/>
  <c r="B13" i="6"/>
  <c r="C13" i="6"/>
  <c r="E13" i="6"/>
  <c r="B14" i="6"/>
  <c r="C14" i="6"/>
  <c r="E14" i="6"/>
  <c r="D8" i="6"/>
  <c r="F8" i="6"/>
  <c r="G8" i="6"/>
  <c r="H8" i="6"/>
  <c r="K7" i="6"/>
  <c r="L7" i="6"/>
  <c r="K8" i="6"/>
  <c r="L8" i="6"/>
  <c r="I8" i="6"/>
  <c r="J8" i="6"/>
  <c r="D9" i="6"/>
  <c r="H9" i="6"/>
  <c r="K9" i="6"/>
  <c r="L9" i="6"/>
  <c r="I9" i="6"/>
  <c r="J9" i="6"/>
  <c r="D10" i="6"/>
  <c r="H10" i="6"/>
  <c r="F9" i="6"/>
  <c r="G9" i="6"/>
  <c r="I10" i="6"/>
  <c r="J10" i="6"/>
  <c r="K10" i="6"/>
  <c r="L10" i="6"/>
  <c r="F10" i="6"/>
  <c r="G10" i="6"/>
  <c r="D11" i="6"/>
  <c r="H11" i="6"/>
  <c r="F11" i="6"/>
  <c r="G11" i="6"/>
  <c r="D12" i="6"/>
  <c r="H12" i="6"/>
  <c r="I11" i="6"/>
  <c r="J11" i="6"/>
  <c r="K11" i="6"/>
  <c r="L11" i="6"/>
  <c r="K12" i="6"/>
  <c r="L12" i="6"/>
  <c r="I12" i="6"/>
  <c r="J12" i="6"/>
  <c r="D13" i="6"/>
  <c r="H13" i="6"/>
  <c r="F12" i="6"/>
  <c r="G12" i="6"/>
  <c r="K13" i="6"/>
  <c r="L13" i="6"/>
  <c r="I13" i="6"/>
  <c r="J13" i="6"/>
  <c r="D14" i="6"/>
  <c r="F14" i="6"/>
  <c r="G14" i="6"/>
  <c r="H14" i="6"/>
  <c r="F13" i="6"/>
  <c r="G13" i="6"/>
  <c r="I14" i="6"/>
  <c r="J14" i="6"/>
  <c r="H16" i="6"/>
  <c r="K14" i="6"/>
  <c r="L14" i="6"/>
  <c r="H17" i="6"/>
  <c r="H18" i="6"/>
  <c r="A16" i="2"/>
</calcChain>
</file>

<file path=xl/sharedStrings.xml><?xml version="1.0" encoding="utf-8"?>
<sst xmlns="http://schemas.openxmlformats.org/spreadsheetml/2006/main" count="121" uniqueCount="42">
  <si>
    <t>Interest rate</t>
  </si>
  <si>
    <t>Price</t>
  </si>
  <si>
    <t>Hazard rate</t>
  </si>
  <si>
    <t>Survival probability</t>
  </si>
  <si>
    <t>Discount rate</t>
  </si>
  <si>
    <t>Error</t>
  </si>
  <si>
    <t>Month</t>
  </si>
  <si>
    <t>Discount</t>
  </si>
  <si>
    <t xml:space="preserve">Spread </t>
  </si>
  <si>
    <t>Principal</t>
  </si>
  <si>
    <t>Recovery</t>
  </si>
  <si>
    <t>Fixed payment</t>
  </si>
  <si>
    <t>Survival probability (%)</t>
  </si>
  <si>
    <t>Default Prob. (%)</t>
  </si>
  <si>
    <t>Premium Leg</t>
  </si>
  <si>
    <t>Protection Leg</t>
  </si>
  <si>
    <t>Value</t>
  </si>
  <si>
    <t>Discounted Expected value</t>
  </si>
  <si>
    <t xml:space="preserve">Coupon+Face </t>
  </si>
  <si>
    <t>d(0,t)*(p(t)*c + (1-p(t))*R)</t>
  </si>
  <si>
    <t>Time</t>
  </si>
  <si>
    <t>Default probabilty</t>
  </si>
  <si>
    <t>5yr bond: c=10%, R=20%</t>
  </si>
  <si>
    <t xml:space="preserve">3yr bond: c = 5%, R= 50% </t>
  </si>
  <si>
    <t xml:space="preserve">1yr bond: c = 5%, R= 10% </t>
  </si>
  <si>
    <t xml:space="preserve">2yr bond: c = 8%, R= 25% </t>
  </si>
  <si>
    <t xml:space="preserve">4yr bond: c = 5%, R=10% </t>
  </si>
  <si>
    <t>Model Price</t>
  </si>
  <si>
    <t>True Price</t>
  </si>
  <si>
    <t>Sum Error</t>
  </si>
  <si>
    <t xml:space="preserve">Interest </t>
  </si>
  <si>
    <t xml:space="preserve">2yr bond: c = 2%, R= 25% </t>
  </si>
  <si>
    <t>Expected value of premium (ExD)</t>
  </si>
  <si>
    <t>PV of premium (NxFxB)</t>
  </si>
  <si>
    <t>Accrued interest (E/2xG)</t>
  </si>
  <si>
    <t>PV of accrued interest (NxIxB)</t>
  </si>
  <si>
    <t>Expected Protection payment (1-R)H</t>
  </si>
  <si>
    <t>PV of expected protection payment (NxKxB)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</si>
  <si>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</si>
  <si>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</si>
  <si>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q(</t>
    </r>
    <r>
      <rPr>
        <b/>
        <sz val="11"/>
        <color theme="3"/>
        <rFont val="Calibri"/>
        <family val="2"/>
        <scheme val="minor"/>
      </rPr>
      <t>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</si>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</sst>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71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1" fillId="0" borderId="0" xfId="0" applyFont="1" applyBorder="1"/>
    <xf numFmtId="2" fontId="0" fillId="2" borderId="1" xfId="0" applyNumberFormat="1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3" fontId="0" fillId="2" borderId="1" xfId="0" applyNumberFormat="1" applyFill="1" applyBorder="1"/>
    <xf numFmtId="2" fontId="1" fillId="0" borderId="0" xfId="0" applyNumberFormat="1" applyFont="1" applyBorder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applyNumberFormat="1" applyFont="1" applyBorder="1" applyAlignment="1">
      <alignment wrapText="1"/>
    </xf>
    <xf numFmtId="2" fontId="0" fillId="4" borderId="0" xfId="0" applyNumberFormat="1" applyFill="1"/>
    <xf numFmtId="165" fontId="0" fillId="0" borderId="0" xfId="0" applyNumberFormat="1"/>
    <xf numFmtId="165" fontId="1" fillId="0" borderId="0" xfId="0" applyNumberFormat="1" applyFont="1" applyBorder="1" applyAlignment="1">
      <alignment wrapText="1"/>
    </xf>
    <xf numFmtId="166" fontId="0" fillId="0" borderId="0" xfId="0" applyNumberFormat="1"/>
    <xf numFmtId="166" fontId="0" fillId="3" borderId="0" xfId="0" applyNumberFormat="1" applyFill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ExcelSpreadsheets/Assignment6_c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Zero coupon bond with recovery"/>
      <sheetName val="Pricing"/>
      <sheetName val="Calibration"/>
      <sheetName val="CDS pricing"/>
      <sheetName val="Sheet2"/>
      <sheetName val="Sheet3"/>
    </sheetNames>
    <sheetDataSet>
      <sheetData sheetId="0">
        <row r="5">
          <cell r="B5">
            <v>0.5</v>
          </cell>
        </row>
        <row r="6">
          <cell r="B6">
            <v>0.5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8"/>
  <sheetViews>
    <sheetView zoomScale="125" zoomScaleNormal="125" zoomScalePageLayoutView="125" workbookViewId="0">
      <selection activeCell="A11" sqref="A11"/>
    </sheetView>
  </sheetViews>
  <sheetFormatPr baseColWidth="10" defaultColWidth="8.83203125" defaultRowHeight="14" x14ac:dyDescent="0"/>
  <cols>
    <col min="1" max="1" width="17.5" customWidth="1"/>
    <col min="2" max="2" width="8.5" customWidth="1"/>
    <col min="3" max="3" width="10.6640625" style="1" customWidth="1"/>
    <col min="4" max="4" width="15.5" style="1" customWidth="1"/>
    <col min="5" max="5" width="8.5" style="1" customWidth="1"/>
    <col min="6" max="6" width="8.83203125" style="1"/>
    <col min="8" max="8" width="15.33203125" customWidth="1"/>
    <col min="9" max="9" width="11" customWidth="1"/>
    <col min="10" max="10" width="8.83203125" style="1"/>
    <col min="14" max="14" width="15.33203125" customWidth="1"/>
    <col min="15" max="15" width="11" customWidth="1"/>
    <col min="16" max="16" width="8.83203125" style="1"/>
  </cols>
  <sheetData>
    <row r="2" spans="1:36" s="13" customFormat="1" ht="28">
      <c r="B2" s="9"/>
      <c r="C2" s="14"/>
      <c r="D2" s="14"/>
      <c r="E2" s="17" t="s">
        <v>0</v>
      </c>
      <c r="F2" s="14">
        <v>0.05</v>
      </c>
      <c r="J2" s="14"/>
      <c r="P2" s="14"/>
    </row>
    <row r="3" spans="1:36" s="15" customFormat="1" ht="42">
      <c r="C3" s="16"/>
      <c r="D3" s="16"/>
      <c r="E3" s="16"/>
      <c r="F3" s="16"/>
      <c r="H3" s="15" t="s">
        <v>24</v>
      </c>
      <c r="J3" s="16"/>
      <c r="N3" s="15" t="s">
        <v>31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s="13" customFormat="1" ht="56">
      <c r="A4" s="9" t="s">
        <v>2</v>
      </c>
      <c r="B4" s="9" t="s">
        <v>20</v>
      </c>
      <c r="C4" s="9" t="s">
        <v>3</v>
      </c>
      <c r="D4" s="9" t="s">
        <v>21</v>
      </c>
      <c r="E4" s="17" t="s">
        <v>4</v>
      </c>
      <c r="F4" s="14"/>
      <c r="H4" s="9" t="s">
        <v>18</v>
      </c>
      <c r="I4" s="9" t="s">
        <v>10</v>
      </c>
      <c r="J4" s="9" t="s">
        <v>17</v>
      </c>
      <c r="K4" s="9"/>
      <c r="L4" s="9"/>
      <c r="M4" s="9"/>
      <c r="N4" s="9" t="s">
        <v>18</v>
      </c>
      <c r="O4" s="9" t="s">
        <v>10</v>
      </c>
      <c r="P4" s="9" t="s">
        <v>17</v>
      </c>
      <c r="Q4" s="9"/>
      <c r="R4" s="9"/>
      <c r="S4" s="9"/>
      <c r="T4" s="9" t="s">
        <v>18</v>
      </c>
      <c r="U4" s="9" t="s">
        <v>10</v>
      </c>
      <c r="V4" s="9" t="s">
        <v>17</v>
      </c>
      <c r="W4" s="9"/>
      <c r="X4" s="9"/>
      <c r="Y4" s="9"/>
      <c r="Z4" s="9" t="s">
        <v>18</v>
      </c>
      <c r="AA4" s="9" t="s">
        <v>10</v>
      </c>
      <c r="AB4" s="9" t="s">
        <v>17</v>
      </c>
      <c r="AC4" s="9"/>
      <c r="AD4" s="9"/>
      <c r="AE4" s="9"/>
      <c r="AF4" s="9" t="s">
        <v>18</v>
      </c>
      <c r="AG4" s="9" t="s">
        <v>10</v>
      </c>
      <c r="AH4" s="9" t="s">
        <v>17</v>
      </c>
      <c r="AI4" s="9"/>
      <c r="AJ4" s="9"/>
    </row>
    <row r="5" spans="1:36">
      <c r="J5" s="7" t="s">
        <v>41</v>
      </c>
      <c r="K5" s="7"/>
      <c r="L5" s="7"/>
      <c r="M5" s="7"/>
      <c r="P5" s="7" t="s">
        <v>41</v>
      </c>
      <c r="Q5" s="7"/>
      <c r="R5" s="7"/>
      <c r="S5" s="7"/>
      <c r="V5" s="7" t="s">
        <v>41</v>
      </c>
      <c r="W5" s="7"/>
      <c r="X5" s="7"/>
      <c r="Y5" s="7"/>
      <c r="AB5" s="7" t="s">
        <v>41</v>
      </c>
      <c r="AC5" s="7"/>
      <c r="AD5" s="7"/>
      <c r="AE5" s="7"/>
      <c r="AH5" s="7" t="s">
        <v>41</v>
      </c>
      <c r="AI5" s="7"/>
      <c r="AJ5" s="7"/>
    </row>
    <row r="6" spans="1:36">
      <c r="A6">
        <v>0.02</v>
      </c>
      <c r="B6">
        <v>0</v>
      </c>
      <c r="C6" s="1">
        <v>1</v>
      </c>
      <c r="E6" s="1">
        <v>1</v>
      </c>
      <c r="V6" s="1"/>
      <c r="AB6" s="1"/>
    </row>
    <row r="7" spans="1:36">
      <c r="A7">
        <f>A6</f>
        <v>0.02</v>
      </c>
      <c r="B7">
        <v>6</v>
      </c>
      <c r="C7" s="1">
        <f>C6*(1-A6)</f>
        <v>0.98</v>
      </c>
      <c r="D7" s="21">
        <f>C6*A6</f>
        <v>0.02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4.9756097560975618</v>
      </c>
      <c r="N7">
        <v>2</v>
      </c>
      <c r="O7">
        <v>25</v>
      </c>
      <c r="P7" s="1">
        <f>$E7*(N7*$C7+O7*$D7)</f>
        <v>2.4000000000000004</v>
      </c>
      <c r="T7">
        <v>5</v>
      </c>
      <c r="U7">
        <v>50</v>
      </c>
      <c r="V7" s="1">
        <f>$E7*(T7*$C7+U7*$D7)</f>
        <v>5.7560975609756104</v>
      </c>
      <c r="Z7">
        <v>5</v>
      </c>
      <c r="AA7">
        <v>10</v>
      </c>
      <c r="AB7" s="1">
        <f>$E7*(Z7*$C7+AA7*$D7)</f>
        <v>4.9756097560975618</v>
      </c>
      <c r="AF7">
        <v>10</v>
      </c>
      <c r="AG7">
        <v>20</v>
      </c>
      <c r="AH7" s="1">
        <f>$E7*(AF7*$C7+AG7*$D7)</f>
        <v>9.9512195121951237</v>
      </c>
    </row>
    <row r="8" spans="1:36">
      <c r="A8">
        <f t="shared" ref="A8:A16" si="1">A7</f>
        <v>0.02</v>
      </c>
      <c r="B8">
        <v>12</v>
      </c>
      <c r="C8" s="1">
        <f t="shared" ref="C8:C16" si="2">C7*(1-A7)</f>
        <v>0.96039999999999992</v>
      </c>
      <c r="D8" s="21">
        <f t="shared" ref="D8:D16" si="3">C7*A7</f>
        <v>1.9599999999999999E-2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96.16942296252229</v>
      </c>
      <c r="N8">
        <v>2</v>
      </c>
      <c r="O8">
        <v>25</v>
      </c>
      <c r="P8" s="1">
        <f>$E8*(N8*$C8+O8*$D8)</f>
        <v>2.2946341463414637</v>
      </c>
      <c r="T8">
        <v>5</v>
      </c>
      <c r="U8">
        <v>50</v>
      </c>
      <c r="V8" s="1">
        <f t="shared" ref="V8:V12" si="4">$E8*(T8*$C8+U8*$D8)</f>
        <v>5.5033908387864372</v>
      </c>
      <c r="Z8">
        <v>5</v>
      </c>
      <c r="AA8">
        <v>10</v>
      </c>
      <c r="AB8" s="1">
        <f t="shared" ref="AB8:AB14" si="5">$E8*(Z8*$C8+AA8*$D8)</f>
        <v>4.7571683521713259</v>
      </c>
      <c r="AF8">
        <v>10</v>
      </c>
      <c r="AG8">
        <v>20</v>
      </c>
      <c r="AH8" s="1">
        <f t="shared" ref="AH8:AH16" si="6">$E8*(AF8*$C8+AG8*$D8)</f>
        <v>9.5143367043426519</v>
      </c>
    </row>
    <row r="9" spans="1:36">
      <c r="A9">
        <f t="shared" si="1"/>
        <v>0.02</v>
      </c>
      <c r="B9">
        <v>18</v>
      </c>
      <c r="C9" s="1">
        <f t="shared" si="2"/>
        <v>0.94119199999999992</v>
      </c>
      <c r="D9" s="21">
        <f t="shared" si="3"/>
        <v>1.9207999999999999E-2</v>
      </c>
      <c r="E9" s="1">
        <f t="shared" si="0"/>
        <v>0.92859941091974885</v>
      </c>
      <c r="N9">
        <v>2</v>
      </c>
      <c r="O9">
        <v>25</v>
      </c>
      <c r="P9" s="1">
        <f t="shared" ref="P9:P10" si="7">$E9*(N9*$C9+O9*$D9)</f>
        <v>2.193894110648424</v>
      </c>
      <c r="T9">
        <v>5</v>
      </c>
      <c r="U9">
        <v>50</v>
      </c>
      <c r="V9" s="1">
        <f t="shared" si="4"/>
        <v>5.2617785580592269</v>
      </c>
      <c r="Z9">
        <v>5</v>
      </c>
      <c r="AA9">
        <v>10</v>
      </c>
      <c r="AB9" s="1">
        <f t="shared" si="5"/>
        <v>4.5483170586613655</v>
      </c>
      <c r="AF9">
        <v>10</v>
      </c>
      <c r="AG9">
        <v>20</v>
      </c>
      <c r="AH9" s="1">
        <f t="shared" si="6"/>
        <v>9.096634117322731</v>
      </c>
    </row>
    <row r="10" spans="1:36">
      <c r="A10">
        <f t="shared" si="1"/>
        <v>0.02</v>
      </c>
      <c r="B10">
        <v>24</v>
      </c>
      <c r="C10" s="1">
        <f t="shared" si="2"/>
        <v>0.92236815999999988</v>
      </c>
      <c r="D10" s="21">
        <f t="shared" si="3"/>
        <v>1.8823839999999998E-2</v>
      </c>
      <c r="E10" s="1">
        <f t="shared" si="0"/>
        <v>0.90595064479975507</v>
      </c>
      <c r="N10">
        <v>102</v>
      </c>
      <c r="O10">
        <v>25</v>
      </c>
      <c r="P10" s="1">
        <f t="shared" si="7"/>
        <v>85.659579737706068</v>
      </c>
      <c r="T10">
        <v>5</v>
      </c>
      <c r="U10">
        <v>50</v>
      </c>
      <c r="V10" s="1">
        <f t="shared" si="4"/>
        <v>5.0307736457541887</v>
      </c>
      <c r="Z10">
        <v>5</v>
      </c>
      <c r="AA10">
        <v>10</v>
      </c>
      <c r="AB10" s="1">
        <f t="shared" si="5"/>
        <v>4.3486348463298921</v>
      </c>
      <c r="AF10">
        <v>10</v>
      </c>
      <c r="AG10">
        <v>20</v>
      </c>
      <c r="AH10" s="1">
        <f t="shared" si="6"/>
        <v>8.6972696926597841</v>
      </c>
    </row>
    <row r="11" spans="1:36">
      <c r="A11">
        <f t="shared" si="1"/>
        <v>0.02</v>
      </c>
      <c r="B11">
        <v>30</v>
      </c>
      <c r="C11" s="1">
        <f t="shared" si="2"/>
        <v>0.90392079679999982</v>
      </c>
      <c r="D11" s="21">
        <f t="shared" si="3"/>
        <v>1.8447363199999997E-2</v>
      </c>
      <c r="E11" s="1">
        <f t="shared" si="0"/>
        <v>0.88385428760951712</v>
      </c>
      <c r="T11">
        <v>5</v>
      </c>
      <c r="U11">
        <v>50</v>
      </c>
      <c r="V11" s="1">
        <f t="shared" si="4"/>
        <v>4.8099104125259551</v>
      </c>
      <c r="Z11">
        <v>5</v>
      </c>
      <c r="AA11">
        <v>10</v>
      </c>
      <c r="AB11" s="1">
        <f t="shared" si="5"/>
        <v>4.1577191701495542</v>
      </c>
      <c r="AF11">
        <v>10</v>
      </c>
      <c r="AG11">
        <v>20</v>
      </c>
      <c r="AH11" s="1">
        <f t="shared" si="6"/>
        <v>8.3154383402991083</v>
      </c>
    </row>
    <row r="12" spans="1:36">
      <c r="A12">
        <f t="shared" si="1"/>
        <v>0.02</v>
      </c>
      <c r="B12">
        <v>36</v>
      </c>
      <c r="C12" s="1">
        <f t="shared" si="2"/>
        <v>0.8858423808639998</v>
      </c>
      <c r="D12" s="21">
        <f t="shared" si="3"/>
        <v>1.8078415935999997E-2</v>
      </c>
      <c r="E12" s="1">
        <f t="shared" si="0"/>
        <v>0.86229686596050459</v>
      </c>
      <c r="T12">
        <v>105</v>
      </c>
      <c r="U12">
        <v>50</v>
      </c>
      <c r="V12" s="1">
        <f t="shared" si="4"/>
        <v>80.984654489329117</v>
      </c>
      <c r="Z12">
        <v>5</v>
      </c>
      <c r="AA12">
        <v>10</v>
      </c>
      <c r="AB12" s="1">
        <f t="shared" si="5"/>
        <v>3.9751851578015258</v>
      </c>
      <c r="AF12">
        <v>10</v>
      </c>
      <c r="AG12">
        <v>20</v>
      </c>
      <c r="AH12" s="1">
        <f t="shared" si="6"/>
        <v>7.9503703156030516</v>
      </c>
    </row>
    <row r="13" spans="1:36">
      <c r="A13">
        <f t="shared" si="1"/>
        <v>0.02</v>
      </c>
      <c r="B13">
        <v>42</v>
      </c>
      <c r="C13" s="1">
        <f t="shared" si="2"/>
        <v>0.86812553324671982</v>
      </c>
      <c r="D13" s="21">
        <f t="shared" si="3"/>
        <v>1.7716847617279995E-2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5"/>
        <v>3.8006648338004836</v>
      </c>
      <c r="AF13">
        <v>10</v>
      </c>
      <c r="AG13">
        <v>20</v>
      </c>
      <c r="AH13" s="1">
        <f t="shared" si="6"/>
        <v>7.6013296676009672</v>
      </c>
    </row>
    <row r="14" spans="1:36">
      <c r="A14">
        <f t="shared" si="1"/>
        <v>0.02</v>
      </c>
      <c r="B14">
        <v>48</v>
      </c>
      <c r="C14" s="1">
        <f t="shared" si="2"/>
        <v>0.85076302258178538</v>
      </c>
      <c r="D14" s="21">
        <f t="shared" si="3"/>
        <v>1.7362510664934397E-2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5"/>
        <v>73.459889713540548</v>
      </c>
      <c r="AF14">
        <v>10</v>
      </c>
      <c r="AG14">
        <v>20</v>
      </c>
      <c r="AH14" s="1">
        <f t="shared" si="6"/>
        <v>7.2676127553648273</v>
      </c>
    </row>
    <row r="15" spans="1:36">
      <c r="A15">
        <f t="shared" si="1"/>
        <v>0.02</v>
      </c>
      <c r="B15">
        <v>54</v>
      </c>
      <c r="C15" s="1">
        <f t="shared" si="2"/>
        <v>0.83374776213014967</v>
      </c>
      <c r="D15" s="21">
        <f t="shared" si="3"/>
        <v>1.7015260451635709E-2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6"/>
        <v>6.9485468295195432</v>
      </c>
    </row>
    <row r="16" spans="1:36">
      <c r="A16">
        <f t="shared" si="1"/>
        <v>0.02</v>
      </c>
      <c r="B16">
        <v>60</v>
      </c>
      <c r="C16" s="1">
        <f t="shared" si="2"/>
        <v>0.81707280688754669</v>
      </c>
      <c r="D16" s="21">
        <f t="shared" si="3"/>
        <v>1.6674955242602995E-2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6"/>
        <v>70.473085759438959</v>
      </c>
    </row>
    <row r="17" spans="9:34">
      <c r="V17" s="1"/>
      <c r="AB17" s="1"/>
    </row>
    <row r="18" spans="9:34">
      <c r="I18" s="6" t="s">
        <v>1</v>
      </c>
      <c r="J18" s="1">
        <f>SUM(J7:J16)</f>
        <v>101.14503271861986</v>
      </c>
      <c r="O18" s="6" t="s">
        <v>1</v>
      </c>
      <c r="P18" s="1">
        <f>SUM(P7:P16)</f>
        <v>92.548107994695954</v>
      </c>
      <c r="U18" s="6" t="s">
        <v>1</v>
      </c>
      <c r="V18" s="1">
        <f>SUM(V7:V16)</f>
        <v>107.34660550543053</v>
      </c>
      <c r="AA18" s="6" t="s">
        <v>1</v>
      </c>
      <c r="AB18" s="1">
        <f>SUM(AB7:AB16)</f>
        <v>104.02318888855226</v>
      </c>
      <c r="AG18" s="6" t="s">
        <v>1</v>
      </c>
      <c r="AH18" s="1">
        <f>SUM(AH7:AH16)</f>
        <v>145.81584369434674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1"/>
  <sheetViews>
    <sheetView zoomScale="125" zoomScaleNormal="125" zoomScalePageLayoutView="125" workbookViewId="0">
      <selection activeCell="A16" sqref="A16"/>
    </sheetView>
  </sheetViews>
  <sheetFormatPr baseColWidth="10" defaultColWidth="8.83203125" defaultRowHeight="14" x14ac:dyDescent="0"/>
  <cols>
    <col min="1" max="1" width="12" style="1" customWidth="1"/>
    <col min="2" max="2" width="8.5" customWidth="1"/>
    <col min="3" max="4" width="12.5" style="1" customWidth="1"/>
    <col min="5" max="5" width="11.1640625" style="1" customWidth="1"/>
    <col min="6" max="6" width="8.83203125" style="1"/>
    <col min="8" max="8" width="15.33203125" customWidth="1"/>
    <col min="9" max="9" width="11.6640625" customWidth="1"/>
    <col min="10" max="10" width="8.83203125" style="1"/>
    <col min="14" max="14" width="15.33203125" customWidth="1"/>
    <col min="15" max="15" width="11" customWidth="1"/>
    <col min="16" max="16" width="8.83203125" style="1"/>
    <col min="21" max="21" width="13.1640625" customWidth="1"/>
    <col min="26" max="26" width="14.1640625" customWidth="1"/>
    <col min="27" max="27" width="11.6640625" customWidth="1"/>
    <col min="32" max="32" width="14" customWidth="1"/>
    <col min="33" max="33" width="12.1640625" customWidth="1"/>
  </cols>
  <sheetData>
    <row r="2" spans="1:36">
      <c r="B2" s="7"/>
      <c r="E2" s="12" t="s">
        <v>0</v>
      </c>
      <c r="F2" s="1">
        <v>0.05</v>
      </c>
    </row>
    <row r="3" spans="1:36" s="15" customFormat="1" ht="42">
      <c r="A3" s="16"/>
      <c r="C3" s="16"/>
      <c r="D3" s="16"/>
      <c r="E3" s="16"/>
      <c r="F3" s="16"/>
      <c r="H3" s="15" t="s">
        <v>24</v>
      </c>
      <c r="J3" s="16"/>
      <c r="N3" s="15" t="s">
        <v>25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>
      <c r="A4" s="12" t="s">
        <v>2</v>
      </c>
      <c r="B4" s="7" t="s">
        <v>20</v>
      </c>
      <c r="C4" s="7" t="s">
        <v>3</v>
      </c>
      <c r="D4" s="7" t="s">
        <v>21</v>
      </c>
      <c r="E4" s="12" t="s">
        <v>4</v>
      </c>
      <c r="H4" s="7" t="s">
        <v>18</v>
      </c>
      <c r="I4" s="7" t="s">
        <v>10</v>
      </c>
      <c r="J4" s="7" t="s">
        <v>17</v>
      </c>
      <c r="K4" s="7"/>
      <c r="L4" s="7"/>
      <c r="M4" s="7"/>
      <c r="N4" s="7" t="s">
        <v>18</v>
      </c>
      <c r="O4" s="7" t="s">
        <v>10</v>
      </c>
      <c r="P4" s="7" t="s">
        <v>17</v>
      </c>
      <c r="Q4" s="7"/>
      <c r="R4" s="7"/>
      <c r="S4" s="7"/>
      <c r="T4" s="7" t="s">
        <v>18</v>
      </c>
      <c r="U4" s="7" t="s">
        <v>10</v>
      </c>
      <c r="V4" s="7" t="s">
        <v>17</v>
      </c>
      <c r="W4" s="7"/>
      <c r="X4" s="7"/>
      <c r="Y4" s="7"/>
      <c r="Z4" s="7" t="s">
        <v>18</v>
      </c>
      <c r="AA4" s="7" t="s">
        <v>10</v>
      </c>
      <c r="AB4" s="7" t="s">
        <v>17</v>
      </c>
      <c r="AC4" s="7"/>
      <c r="AD4" s="7"/>
      <c r="AE4" s="7"/>
      <c r="AF4" s="7" t="s">
        <v>18</v>
      </c>
      <c r="AG4" s="7" t="s">
        <v>10</v>
      </c>
      <c r="AH4" s="7" t="s">
        <v>17</v>
      </c>
      <c r="AI4" s="7"/>
      <c r="AJ4" s="7"/>
    </row>
    <row r="5" spans="1:36">
      <c r="J5" s="7" t="s">
        <v>38</v>
      </c>
      <c r="K5" s="7"/>
      <c r="L5" s="7"/>
      <c r="M5" s="7"/>
      <c r="P5" s="7" t="s">
        <v>39</v>
      </c>
      <c r="Q5" s="7"/>
      <c r="R5" s="7"/>
      <c r="S5" s="7"/>
      <c r="V5" s="7" t="s">
        <v>19</v>
      </c>
      <c r="W5" s="7"/>
      <c r="X5" s="7"/>
      <c r="Y5" s="7"/>
      <c r="AB5" s="7" t="s">
        <v>40</v>
      </c>
      <c r="AC5" s="7"/>
      <c r="AD5" s="7"/>
      <c r="AE5" s="7"/>
      <c r="AH5" s="7" t="s">
        <v>41</v>
      </c>
      <c r="AI5" s="7"/>
      <c r="AJ5" s="7"/>
    </row>
    <row r="6" spans="1:36">
      <c r="A6" s="22">
        <v>2.014057304019802E-2</v>
      </c>
      <c r="B6">
        <v>0</v>
      </c>
      <c r="C6" s="1">
        <v>1</v>
      </c>
      <c r="E6" s="1">
        <v>1</v>
      </c>
      <c r="V6" s="1"/>
      <c r="AB6" s="1"/>
    </row>
    <row r="7" spans="1:36">
      <c r="A7" s="21">
        <f>A6</f>
        <v>2.014057304019802E-2</v>
      </c>
      <c r="B7">
        <v>6</v>
      </c>
      <c r="C7" s="1">
        <f>C6*(1-A6)</f>
        <v>0.97985942695980199</v>
      </c>
      <c r="D7" s="21">
        <f>C6*A6</f>
        <v>2.014057304019802E-2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4.976295478244869</v>
      </c>
      <c r="N7">
        <v>2</v>
      </c>
      <c r="O7">
        <v>25</v>
      </c>
      <c r="P7" s="1">
        <f>$E7*(N7*$C7+O7*$D7)</f>
        <v>2.4031543218776146</v>
      </c>
      <c r="T7">
        <v>5</v>
      </c>
      <c r="U7">
        <v>50</v>
      </c>
      <c r="V7" s="1">
        <f>$E7*(T7*$C7+U7*$D7)</f>
        <v>5.7622690603013771</v>
      </c>
      <c r="Z7">
        <v>5</v>
      </c>
      <c r="AA7">
        <v>10</v>
      </c>
      <c r="AB7" s="1">
        <f>$E7*(Z7*$C7+AA7*$D7)</f>
        <v>4.976295478244869</v>
      </c>
      <c r="AF7">
        <v>10</v>
      </c>
      <c r="AG7">
        <v>20</v>
      </c>
      <c r="AH7" s="1">
        <f>$E7*(AF7*$C7+AG7*$D7)</f>
        <v>9.9525909564897379</v>
      </c>
    </row>
    <row r="8" spans="1:36">
      <c r="A8" s="22">
        <v>1.9443103338662979E-2</v>
      </c>
      <c r="B8">
        <v>12</v>
      </c>
      <c r="C8" s="1">
        <f t="shared" ref="C8:C16" si="1">C7*(1-A7)</f>
        <v>0.96012449660199151</v>
      </c>
      <c r="D8" s="21">
        <f t="shared" ref="D8:D16" si="2">C7*A7</f>
        <v>1.973493035781047E-2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96.14317329854822</v>
      </c>
      <c r="N8">
        <v>2</v>
      </c>
      <c r="O8">
        <v>25</v>
      </c>
      <c r="P8" s="1">
        <f>$E8*(N8*$C8+O8*$D8)</f>
        <v>2.2973204065668007</v>
      </c>
      <c r="T8">
        <v>5</v>
      </c>
      <c r="U8">
        <v>50</v>
      </c>
      <c r="V8" s="1">
        <f t="shared" ref="V8:V12" si="3">$E8*(T8*$C8+U8*$D8)</f>
        <v>5.5085011311366872</v>
      </c>
      <c r="Z8">
        <v>5</v>
      </c>
      <c r="AA8">
        <v>10</v>
      </c>
      <c r="AB8" s="1">
        <f t="shared" ref="AB8:AB14" si="4">$E8*(Z8*$C8+AA8*$D8)</f>
        <v>4.7571414982396796</v>
      </c>
      <c r="AF8">
        <v>10</v>
      </c>
      <c r="AG8">
        <v>20</v>
      </c>
      <c r="AH8" s="1">
        <f t="shared" ref="AH8:AH16" si="5">$E8*(AF8*$C8+AG8*$D8)</f>
        <v>9.5142829964793592</v>
      </c>
    </row>
    <row r="9" spans="1:36">
      <c r="A9" s="21">
        <f>A8</f>
        <v>1.9443103338662979E-2</v>
      </c>
      <c r="B9">
        <v>18</v>
      </c>
      <c r="C9" s="1">
        <f t="shared" si="1"/>
        <v>0.94145669679657729</v>
      </c>
      <c r="D9" s="21">
        <f t="shared" si="2"/>
        <v>1.8667799805414293E-2</v>
      </c>
      <c r="E9" s="1">
        <f t="shared" si="0"/>
        <v>0.92859941091974885</v>
      </c>
      <c r="N9">
        <v>2</v>
      </c>
      <c r="O9">
        <v>25</v>
      </c>
      <c r="P9" s="1">
        <f t="shared" ref="P9:P10" si="6">$E9*(N9*$C9+O9*$D9)</f>
        <v>2.1818449656653964</v>
      </c>
      <c r="T9">
        <v>5</v>
      </c>
      <c r="U9">
        <v>50</v>
      </c>
      <c r="V9" s="1">
        <f t="shared" si="3"/>
        <v>5.2379260653825463</v>
      </c>
      <c r="Z9">
        <v>5</v>
      </c>
      <c r="AA9">
        <v>10</v>
      </c>
      <c r="AB9" s="1">
        <f t="shared" si="4"/>
        <v>4.5445297492835257</v>
      </c>
      <c r="AF9">
        <v>10</v>
      </c>
      <c r="AG9">
        <v>20</v>
      </c>
      <c r="AH9" s="1">
        <f t="shared" si="5"/>
        <v>9.0890594985670514</v>
      </c>
    </row>
    <row r="10" spans="1:36">
      <c r="A10" s="22">
        <v>1.9976518871469267E-2</v>
      </c>
      <c r="B10">
        <v>24</v>
      </c>
      <c r="C10" s="1">
        <f t="shared" si="1"/>
        <v>0.92315185695188517</v>
      </c>
      <c r="D10" s="21">
        <f t="shared" si="2"/>
        <v>1.8304839844692153E-2</v>
      </c>
      <c r="E10" s="1">
        <f t="shared" si="0"/>
        <v>0.90595064479975507</v>
      </c>
      <c r="N10">
        <v>102</v>
      </c>
      <c r="O10">
        <v>25</v>
      </c>
      <c r="P10" s="1">
        <f t="shared" si="6"/>
        <v>85.720244081978834</v>
      </c>
      <c r="T10">
        <v>5</v>
      </c>
      <c r="U10">
        <v>50</v>
      </c>
      <c r="V10" s="1">
        <f t="shared" si="3"/>
        <v>5.0108141732810125</v>
      </c>
      <c r="Z10">
        <v>5</v>
      </c>
      <c r="AA10">
        <v>10</v>
      </c>
      <c r="AB10" s="1">
        <f t="shared" si="4"/>
        <v>4.3474829148708087</v>
      </c>
      <c r="AF10">
        <v>10</v>
      </c>
      <c r="AG10">
        <v>20</v>
      </c>
      <c r="AH10" s="1">
        <f t="shared" si="5"/>
        <v>8.6949658297416175</v>
      </c>
    </row>
    <row r="11" spans="1:36">
      <c r="A11" s="21">
        <f>A10</f>
        <v>1.9976518871469267E-2</v>
      </c>
      <c r="B11">
        <v>30</v>
      </c>
      <c r="C11" s="1">
        <f t="shared" si="1"/>
        <v>0.90471049646025403</v>
      </c>
      <c r="D11" s="21">
        <f t="shared" si="2"/>
        <v>1.8441360491631233E-2</v>
      </c>
      <c r="E11" s="1">
        <f t="shared" si="0"/>
        <v>0.88385428760951712</v>
      </c>
      <c r="T11">
        <v>5</v>
      </c>
      <c r="U11">
        <v>50</v>
      </c>
      <c r="V11" s="1">
        <f t="shared" si="3"/>
        <v>4.8131350337027037</v>
      </c>
      <c r="Z11">
        <v>5</v>
      </c>
      <c r="AA11">
        <v>10</v>
      </c>
      <c r="AB11" s="1">
        <f t="shared" si="4"/>
        <v>4.1611560121074627</v>
      </c>
      <c r="AF11">
        <v>10</v>
      </c>
      <c r="AG11">
        <v>20</v>
      </c>
      <c r="AH11" s="1">
        <f t="shared" si="5"/>
        <v>8.3223120242149253</v>
      </c>
    </row>
    <row r="12" spans="1:36">
      <c r="A12" s="22">
        <v>2.0123673396117106E-2</v>
      </c>
      <c r="B12">
        <v>36</v>
      </c>
      <c r="C12" s="1">
        <f t="shared" si="1"/>
        <v>0.88663753015449942</v>
      </c>
      <c r="D12" s="21">
        <f t="shared" si="2"/>
        <v>1.8072966305754595E-2</v>
      </c>
      <c r="E12" s="1">
        <f t="shared" si="0"/>
        <v>0.86229686596050459</v>
      </c>
      <c r="T12">
        <v>105</v>
      </c>
      <c r="U12">
        <v>50</v>
      </c>
      <c r="V12" s="1">
        <f t="shared" si="3"/>
        <v>81.056413277197748</v>
      </c>
      <c r="Z12">
        <v>5</v>
      </c>
      <c r="AA12">
        <v>10</v>
      </c>
      <c r="AB12" s="1">
        <f t="shared" si="4"/>
        <v>3.9785664395165563</v>
      </c>
      <c r="AF12">
        <v>10</v>
      </c>
      <c r="AG12">
        <v>20</v>
      </c>
      <c r="AH12" s="1">
        <f t="shared" si="5"/>
        <v>7.9571328790331126</v>
      </c>
    </row>
    <row r="13" spans="1:36">
      <c r="A13" s="21">
        <f>A12</f>
        <v>2.0123673396117106E-2</v>
      </c>
      <c r="B13">
        <v>42</v>
      </c>
      <c r="C13" s="1">
        <f t="shared" si="1"/>
        <v>0.86879512607693032</v>
      </c>
      <c r="D13" s="21">
        <f t="shared" si="2"/>
        <v>1.7842404077569079E-2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4"/>
        <v>3.8045376224998826</v>
      </c>
      <c r="AF13">
        <v>10</v>
      </c>
      <c r="AG13">
        <v>20</v>
      </c>
      <c r="AH13" s="1">
        <f t="shared" si="5"/>
        <v>7.6090752449997652</v>
      </c>
    </row>
    <row r="14" spans="1:36">
      <c r="A14" s="22">
        <v>1.9475644903174275E-2</v>
      </c>
      <c r="B14">
        <v>48</v>
      </c>
      <c r="C14" s="1">
        <f t="shared" si="1"/>
        <v>0.85131177671161984</v>
      </c>
      <c r="D14" s="21">
        <f t="shared" si="2"/>
        <v>1.7483349365310531E-2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4"/>
        <v>73.508172240409621</v>
      </c>
      <c r="AF14">
        <v>10</v>
      </c>
      <c r="AG14">
        <v>20</v>
      </c>
      <c r="AH14" s="1">
        <f t="shared" si="5"/>
        <v>7.2741001950467439</v>
      </c>
    </row>
    <row r="15" spans="1:36">
      <c r="A15" s="21">
        <f>A14</f>
        <v>1.9475644903174275E-2</v>
      </c>
      <c r="B15">
        <v>54</v>
      </c>
      <c r="C15" s="1">
        <f t="shared" si="1"/>
        <v>0.83473193084649389</v>
      </c>
      <c r="D15" s="21">
        <f t="shared" si="2"/>
        <v>1.6579845865125897E-2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5"/>
        <v>6.9494543713880432</v>
      </c>
    </row>
    <row r="16" spans="1:36">
      <c r="A16" s="22">
        <v>1.7479162988672775E-2</v>
      </c>
      <c r="B16">
        <v>60</v>
      </c>
      <c r="C16" s="1">
        <f t="shared" si="1"/>
        <v>0.8184749881719865</v>
      </c>
      <c r="D16" s="21">
        <f t="shared" si="2"/>
        <v>1.6256942674507339E-2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5"/>
        <v>70.587046740053751</v>
      </c>
    </row>
    <row r="17" spans="9:34">
      <c r="V17" s="1"/>
      <c r="AB17" s="1"/>
    </row>
    <row r="18" spans="9:34">
      <c r="I18" s="6" t="s">
        <v>27</v>
      </c>
      <c r="J18" s="1">
        <f>SUM(J7:J16)</f>
        <v>101.11946877679308</v>
      </c>
      <c r="O18" s="6" t="s">
        <v>27</v>
      </c>
      <c r="P18" s="1">
        <f>SUM(P7:P16)</f>
        <v>92.602563776088644</v>
      </c>
      <c r="U18" s="6" t="s">
        <v>27</v>
      </c>
      <c r="V18" s="1">
        <f>SUM(V7:V16)</f>
        <v>107.38905874100207</v>
      </c>
      <c r="AA18" s="6" t="s">
        <v>27</v>
      </c>
      <c r="AB18" s="1">
        <f>SUM(AB7:AB16)</f>
        <v>104.0778819551724</v>
      </c>
      <c r="AG18" s="6" t="s">
        <v>27</v>
      </c>
      <c r="AH18" s="1">
        <f>SUM(AH7:AH16)</f>
        <v>145.9500207360141</v>
      </c>
    </row>
    <row r="19" spans="9:34">
      <c r="I19" s="6" t="s">
        <v>28</v>
      </c>
      <c r="J19" s="1">
        <f ca="1">Pricing!J18+0.1*RAND()</f>
        <v>101.16868008802096</v>
      </c>
      <c r="O19" s="6" t="s">
        <v>28</v>
      </c>
      <c r="P19" s="1">
        <f ca="1">Pricing!P18+0.1*RAND()</f>
        <v>92.585389814463795</v>
      </c>
      <c r="U19" s="6" t="s">
        <v>28</v>
      </c>
      <c r="V19" s="1">
        <f ca="1">Pricing!V18+0.1*RAND()</f>
        <v>107.43042180232733</v>
      </c>
      <c r="AA19" s="6" t="s">
        <v>28</v>
      </c>
      <c r="AB19" s="1">
        <f ca="1">Pricing!AB18+0.1*RAND()</f>
        <v>104.10757592382168</v>
      </c>
      <c r="AG19" s="6" t="s">
        <v>28</v>
      </c>
      <c r="AH19" s="1">
        <f ca="1">Pricing!AH18+0.1*RAND()</f>
        <v>145.86824581346269</v>
      </c>
    </row>
    <row r="20" spans="9:34">
      <c r="I20" s="6" t="s">
        <v>5</v>
      </c>
      <c r="J20" s="1">
        <f ca="1">(J18-J19)^2</f>
        <v>2.4217531527671397E-3</v>
      </c>
      <c r="O20" s="6" t="s">
        <v>5</v>
      </c>
      <c r="P20" s="1">
        <f ca="1">(P18-P19)^2</f>
        <v>2.9494495789177729E-4</v>
      </c>
      <c r="U20" s="6" t="s">
        <v>5</v>
      </c>
      <c r="V20" s="1">
        <f ca="1">(V18-V19)^2</f>
        <v>1.7109028421969273E-3</v>
      </c>
      <c r="AA20" s="6" t="s">
        <v>5</v>
      </c>
      <c r="AB20" s="1">
        <f ca="1">(AB18-AB19)^2</f>
        <v>8.8173177414462662E-4</v>
      </c>
      <c r="AG20" s="6" t="s">
        <v>5</v>
      </c>
      <c r="AH20" s="1">
        <f ca="1">(AH18-AH19)^2</f>
        <v>6.6871379582880419E-3</v>
      </c>
    </row>
    <row r="21" spans="9:34">
      <c r="I21" s="6" t="s">
        <v>29</v>
      </c>
      <c r="J21" s="18">
        <f ca="1">J20+P20+V20+AB20+AH20</f>
        <v>1.1996470685288512E-2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25" zoomScaleNormal="125" zoomScalePageLayoutView="125" workbookViewId="0">
      <selection activeCell="L18" sqref="L18"/>
    </sheetView>
  </sheetViews>
  <sheetFormatPr baseColWidth="10" defaultColWidth="8.83203125" defaultRowHeight="14" x14ac:dyDescent="0"/>
  <cols>
    <col min="1" max="1" width="12.33203125" customWidth="1"/>
    <col min="2" max="2" width="11.83203125" style="1" customWidth="1"/>
    <col min="3" max="3" width="9.5" style="19" customWidth="1"/>
    <col min="4" max="5" width="10.5" customWidth="1"/>
    <col min="7" max="7" width="8.83203125" style="4"/>
    <col min="8" max="8" width="11.5" customWidth="1"/>
    <col min="10" max="10" width="9.6640625" customWidth="1"/>
    <col min="11" max="11" width="10.33203125" customWidth="1"/>
    <col min="12" max="12" width="10" customWidth="1"/>
  </cols>
  <sheetData>
    <row r="1" spans="1:12">
      <c r="A1" s="7" t="s">
        <v>8</v>
      </c>
      <c r="B1" s="8">
        <v>218.88953946553033</v>
      </c>
      <c r="C1"/>
    </row>
    <row r="2" spans="1:12">
      <c r="A2" s="7" t="s">
        <v>9</v>
      </c>
      <c r="B2" s="11">
        <v>1000000</v>
      </c>
      <c r="C2"/>
    </row>
    <row r="3" spans="1:12" ht="30" customHeight="1">
      <c r="A3" s="7" t="s">
        <v>10</v>
      </c>
      <c r="B3" s="8">
        <v>0.45</v>
      </c>
      <c r="C3"/>
    </row>
    <row r="4" spans="1:12" ht="30" customHeight="1">
      <c r="A4" s="7" t="s">
        <v>30</v>
      </c>
      <c r="B4" s="8">
        <v>0.01</v>
      </c>
      <c r="C4"/>
    </row>
    <row r="5" spans="1:12" s="2" customFormat="1" ht="81" customHeight="1">
      <c r="A5" s="9" t="s">
        <v>6</v>
      </c>
      <c r="B5" s="9" t="s">
        <v>7</v>
      </c>
      <c r="C5" s="20" t="s">
        <v>2</v>
      </c>
      <c r="D5" s="9" t="s">
        <v>12</v>
      </c>
      <c r="E5" s="9" t="s">
        <v>11</v>
      </c>
      <c r="F5" s="9" t="s">
        <v>32</v>
      </c>
      <c r="G5" s="9" t="s">
        <v>33</v>
      </c>
      <c r="H5" s="9" t="s">
        <v>13</v>
      </c>
      <c r="I5" s="9" t="s">
        <v>34</v>
      </c>
      <c r="J5" s="9" t="s">
        <v>35</v>
      </c>
      <c r="K5" s="9" t="s">
        <v>36</v>
      </c>
      <c r="L5" s="9" t="s">
        <v>37</v>
      </c>
    </row>
    <row r="6" spans="1:12">
      <c r="A6">
        <v>0</v>
      </c>
      <c r="B6" s="1">
        <v>1</v>
      </c>
      <c r="C6" s="19">
        <f>Calibration!$A$6/2</f>
        <v>1.007028652009901E-2</v>
      </c>
      <c r="D6" s="3">
        <v>100</v>
      </c>
      <c r="E6" s="3"/>
      <c r="F6" s="1"/>
      <c r="H6" s="3"/>
    </row>
    <row r="7" spans="1:12">
      <c r="A7">
        <v>3</v>
      </c>
      <c r="B7" s="1">
        <f t="shared" ref="B7:B14" si="0">1/(1+$B$4/4)^(A7/3)</f>
        <v>0.99750623441396513</v>
      </c>
      <c r="C7" s="19">
        <f>Calibration!$A$6/2</f>
        <v>1.007028652009901E-2</v>
      </c>
      <c r="D7" s="3">
        <f t="shared" ref="D7:D14" si="1">D6*(1-C6)</f>
        <v>98.992971347990107</v>
      </c>
      <c r="E7" s="3">
        <f t="shared" ref="E7:E14" si="2">$B$1/4</f>
        <v>54.722384866382583</v>
      </c>
      <c r="F7" s="1">
        <f t="shared" ref="F7:F14" si="3">E7*D7/100</f>
        <v>54.171314771714989</v>
      </c>
      <c r="G7" s="4">
        <f t="shared" ref="G7:G14" si="4">F7*B7*N*0.0001</f>
        <v>5403.6224211187027</v>
      </c>
      <c r="H7" s="3">
        <f t="shared" ref="H7:H14" si="5">D6*C6</f>
        <v>1.007028652009901</v>
      </c>
      <c r="I7" s="1">
        <f t="shared" ref="I7:I14" si="6">E7/2*H7/100</f>
        <v>0.2755350473338013</v>
      </c>
      <c r="J7" s="5">
        <f t="shared" ref="J7:J14" si="7">I7*B7*N*0.0001</f>
        <v>27.484792751501381</v>
      </c>
      <c r="K7" s="21">
        <f t="shared" ref="K7:K14" si="8">(1-$B$3)*H7/100</f>
        <v>5.5386575860544565E-3</v>
      </c>
      <c r="L7" s="5">
        <f t="shared" ref="L7:L14" si="9">K7*B7*N</f>
        <v>5524.8454723735231</v>
      </c>
    </row>
    <row r="8" spans="1:12">
      <c r="A8">
        <v>6</v>
      </c>
      <c r="B8" s="1">
        <f t="shared" si="0"/>
        <v>0.99501868769472834</v>
      </c>
      <c r="C8" s="19">
        <f>Calibration!$A$6/2</f>
        <v>1.007028652009901E-2</v>
      </c>
      <c r="D8" s="3">
        <f t="shared" si="1"/>
        <v>97.996083763039891</v>
      </c>
      <c r="E8" s="3">
        <f t="shared" si="2"/>
        <v>54.722384866382583</v>
      </c>
      <c r="F8" s="1">
        <f t="shared" si="3"/>
        <v>53.625794110793343</v>
      </c>
      <c r="G8" s="4">
        <f t="shared" si="4"/>
        <v>5335.8667282709284</v>
      </c>
      <c r="H8" s="3">
        <f t="shared" si="5"/>
        <v>0.99688758495021235</v>
      </c>
      <c r="I8" s="1">
        <f t="shared" si="6"/>
        <v>0.27276033046082093</v>
      </c>
      <c r="J8" s="5">
        <f t="shared" si="7"/>
        <v>27.140162607030646</v>
      </c>
      <c r="K8" s="21">
        <f t="shared" si="8"/>
        <v>5.4828817172261676E-3</v>
      </c>
      <c r="L8" s="5">
        <f t="shared" si="9"/>
        <v>5455.5697710597997</v>
      </c>
    </row>
    <row r="9" spans="1:12">
      <c r="A9">
        <v>9</v>
      </c>
      <c r="B9" s="1">
        <f t="shared" si="0"/>
        <v>0.99253734433389373</v>
      </c>
      <c r="C9" s="19">
        <f>Calibration!$A$6/2</f>
        <v>1.007028652009901E-2</v>
      </c>
      <c r="D9" s="3">
        <f t="shared" si="1"/>
        <v>97.009235121698453</v>
      </c>
      <c r="E9" s="3">
        <f t="shared" si="2"/>
        <v>54.722384866382583</v>
      </c>
      <c r="F9" s="1">
        <f t="shared" si="3"/>
        <v>53.085766999229811</v>
      </c>
      <c r="G9" s="4">
        <f t="shared" si="4"/>
        <v>5268.9606199343407</v>
      </c>
      <c r="H9" s="3">
        <f t="shared" si="5"/>
        <v>0.98684864134143413</v>
      </c>
      <c r="I9" s="1">
        <f t="shared" si="6"/>
        <v>0.27001355578176356</v>
      </c>
      <c r="J9" s="5">
        <f t="shared" si="7"/>
        <v>26.799853758978326</v>
      </c>
      <c r="K9" s="21">
        <f t="shared" si="8"/>
        <v>5.4276675273778885E-3</v>
      </c>
      <c r="L9" s="5">
        <f t="shared" si="9"/>
        <v>5387.1627135509607</v>
      </c>
    </row>
    <row r="10" spans="1:12">
      <c r="A10">
        <v>12</v>
      </c>
      <c r="B10" s="1">
        <f t="shared" si="0"/>
        <v>0.99006218886173936</v>
      </c>
      <c r="C10" s="19">
        <f>Calibration!$A$8/2</f>
        <v>9.7215516693314897E-3</v>
      </c>
      <c r="D10" s="3">
        <f t="shared" si="1"/>
        <v>96.032324328927302</v>
      </c>
      <c r="E10" s="3">
        <f t="shared" si="2"/>
        <v>54.722384866382583</v>
      </c>
      <c r="F10" s="1">
        <f t="shared" si="3"/>
        <v>52.551178115408355</v>
      </c>
      <c r="G10" s="4">
        <f t="shared" si="4"/>
        <v>5202.8934432204333</v>
      </c>
      <c r="H10" s="3">
        <f t="shared" si="5"/>
        <v>0.97691079277115545</v>
      </c>
      <c r="I10" s="1">
        <f t="shared" si="6"/>
        <v>0.26729444191073043</v>
      </c>
      <c r="J10" s="5">
        <f t="shared" si="7"/>
        <v>26.46381202287148</v>
      </c>
      <c r="K10" s="21">
        <f t="shared" si="8"/>
        <v>5.3730093602413556E-3</v>
      </c>
      <c r="L10" s="5">
        <f t="shared" si="9"/>
        <v>5319.61340797517</v>
      </c>
    </row>
    <row r="11" spans="1:12">
      <c r="A11">
        <v>15</v>
      </c>
      <c r="B11" s="1">
        <f t="shared" si="0"/>
        <v>0.98759320584712151</v>
      </c>
      <c r="C11" s="19">
        <f>Calibration!$A$8/2</f>
        <v>9.7215516693314897E-3</v>
      </c>
      <c r="D11" s="3">
        <f t="shared" si="1"/>
        <v>95.098741126037638</v>
      </c>
      <c r="E11" s="3">
        <f t="shared" si="2"/>
        <v>54.722384866382583</v>
      </c>
      <c r="F11" s="1">
        <f t="shared" si="3"/>
        <v>52.040299122075169</v>
      </c>
      <c r="G11" s="4">
        <f t="shared" si="4"/>
        <v>5139.4645843213366</v>
      </c>
      <c r="H11" s="3">
        <f t="shared" si="5"/>
        <v>0.93358320288966623</v>
      </c>
      <c r="I11" s="1">
        <f t="shared" si="6"/>
        <v>0.25543949666659227</v>
      </c>
      <c r="J11" s="5">
        <f t="shared" si="7"/>
        <v>25.227031141293502</v>
      </c>
      <c r="K11" s="21">
        <f t="shared" si="8"/>
        <v>5.1347076158931651E-3</v>
      </c>
      <c r="L11" s="5">
        <f t="shared" si="9"/>
        <v>5071.0023554675618</v>
      </c>
    </row>
    <row r="12" spans="1:12">
      <c r="A12">
        <v>18</v>
      </c>
      <c r="B12" s="1">
        <f t="shared" si="0"/>
        <v>0.98513037989737828</v>
      </c>
      <c r="C12" s="19">
        <f>Calibration!$A$8/2</f>
        <v>9.7215516693314897E-3</v>
      </c>
      <c r="D12" s="3">
        <f t="shared" si="1"/>
        <v>94.174233800492473</v>
      </c>
      <c r="E12" s="3">
        <f t="shared" si="2"/>
        <v>54.722384866382583</v>
      </c>
      <c r="F12" s="1">
        <f t="shared" si="3"/>
        <v>51.534386665272443</v>
      </c>
      <c r="G12" s="4">
        <f t="shared" si="4"/>
        <v>5076.8089913338235</v>
      </c>
      <c r="H12" s="3">
        <f t="shared" si="5"/>
        <v>0.92450732554515436</v>
      </c>
      <c r="I12" s="1">
        <f t="shared" si="6"/>
        <v>0.25295622840135995</v>
      </c>
      <c r="J12" s="5">
        <f t="shared" si="7"/>
        <v>24.919486538243973</v>
      </c>
      <c r="K12" s="21">
        <f t="shared" si="8"/>
        <v>5.084790290498349E-3</v>
      </c>
      <c r="L12" s="5">
        <f t="shared" si="9"/>
        <v>5009.1813905771387</v>
      </c>
    </row>
    <row r="13" spans="1:12">
      <c r="A13">
        <v>21</v>
      </c>
      <c r="B13" s="1">
        <f t="shared" si="0"/>
        <v>0.98267369565823282</v>
      </c>
      <c r="C13" s="19">
        <f>Calibration!$A$8/2</f>
        <v>9.7215516693314897E-3</v>
      </c>
      <c r="D13" s="3">
        <f t="shared" si="1"/>
        <v>93.258714120681276</v>
      </c>
      <c r="E13" s="3">
        <f t="shared" si="2"/>
        <v>54.722384866382583</v>
      </c>
      <c r="F13" s="1">
        <f t="shared" si="3"/>
        <v>51.033392462558687</v>
      </c>
      <c r="G13" s="4">
        <f t="shared" si="4"/>
        <v>5014.9172373159554</v>
      </c>
      <c r="H13" s="3">
        <f t="shared" si="5"/>
        <v>0.91551967981119164</v>
      </c>
      <c r="I13" s="1">
        <f t="shared" si="6"/>
        <v>0.25049710135687692</v>
      </c>
      <c r="J13" s="5">
        <f t="shared" si="7"/>
        <v>24.615691234203716</v>
      </c>
      <c r="K13" s="21">
        <f t="shared" si="8"/>
        <v>5.0353582389615547E-3</v>
      </c>
      <c r="L13" s="5">
        <f t="shared" si="9"/>
        <v>4948.1140896434817</v>
      </c>
    </row>
    <row r="14" spans="1:12">
      <c r="A14">
        <v>24</v>
      </c>
      <c r="B14" s="1">
        <f t="shared" si="0"/>
        <v>0.98022313781369852</v>
      </c>
      <c r="C14" s="19">
        <f>Calibration!$A$9/2</f>
        <v>9.7215516693314897E-3</v>
      </c>
      <c r="D14" s="3">
        <f t="shared" si="1"/>
        <v>92.35209471274166</v>
      </c>
      <c r="E14" s="3">
        <f t="shared" si="2"/>
        <v>54.722384866382583</v>
      </c>
      <c r="F14" s="1">
        <f t="shared" si="3"/>
        <v>50.537268700872659</v>
      </c>
      <c r="G14" s="4">
        <f t="shared" si="4"/>
        <v>4953.7800102503415</v>
      </c>
      <c r="H14" s="3">
        <f t="shared" si="5"/>
        <v>0.90661940793961726</v>
      </c>
      <c r="I14" s="1">
        <f t="shared" si="6"/>
        <v>0.24806188084301822</v>
      </c>
      <c r="J14" s="5">
        <f t="shared" si="7"/>
        <v>24.315599521191114</v>
      </c>
      <c r="K14" s="21">
        <f t="shared" si="8"/>
        <v>4.9864067436678951E-3</v>
      </c>
      <c r="L14" s="5">
        <f t="shared" si="9"/>
        <v>4887.791264693531</v>
      </c>
    </row>
    <row r="16" spans="1:12">
      <c r="F16" s="10" t="s">
        <v>14</v>
      </c>
      <c r="H16" s="5">
        <f>SUM(G7:G14)+SUM(J7:J14)</f>
        <v>41603.280465341173</v>
      </c>
    </row>
    <row r="17" spans="6:8">
      <c r="F17" s="10" t="s">
        <v>15</v>
      </c>
      <c r="H17" s="5">
        <f>SUM(L7:L14)</f>
        <v>41603.280465341166</v>
      </c>
    </row>
    <row r="18" spans="6:8">
      <c r="F18" s="10" t="s">
        <v>16</v>
      </c>
      <c r="H18" s="5">
        <f>H17-H16</f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25" zoomScaleNormal="125" zoomScalePageLayoutView="125" workbookViewId="0">
      <selection activeCell="H16" sqref="H16"/>
    </sheetView>
  </sheetViews>
  <sheetFormatPr baseColWidth="10" defaultColWidth="8.83203125" defaultRowHeight="14" x14ac:dyDescent="0"/>
  <cols>
    <col min="1" max="1" width="12.33203125" customWidth="1"/>
    <col min="2" max="2" width="11.83203125" style="1" customWidth="1"/>
    <col min="3" max="3" width="12.5" style="19" customWidth="1"/>
    <col min="4" max="5" width="10.5" customWidth="1"/>
    <col min="7" max="7" width="8.83203125" style="4"/>
    <col min="8" max="8" width="11.5" customWidth="1"/>
    <col min="10" max="10" width="9.6640625" customWidth="1"/>
    <col min="11" max="11" width="10.33203125" customWidth="1"/>
    <col min="12" max="12" width="10" customWidth="1"/>
  </cols>
  <sheetData>
    <row r="1" spans="1:12">
      <c r="A1" s="7" t="s">
        <v>8</v>
      </c>
      <c r="B1" s="8">
        <v>218.88953946553033</v>
      </c>
      <c r="C1"/>
    </row>
    <row r="2" spans="1:12">
      <c r="A2" s="7" t="s">
        <v>9</v>
      </c>
      <c r="B2" s="11">
        <v>10000000</v>
      </c>
      <c r="C2"/>
    </row>
    <row r="3" spans="1:12" ht="30" customHeight="1">
      <c r="A3" s="7" t="s">
        <v>10</v>
      </c>
      <c r="B3" s="8">
        <v>0.25</v>
      </c>
      <c r="C3"/>
    </row>
    <row r="4" spans="1:12" ht="30" customHeight="1">
      <c r="A4" s="7" t="s">
        <v>30</v>
      </c>
      <c r="B4" s="8">
        <v>0.05</v>
      </c>
      <c r="C4"/>
    </row>
    <row r="5" spans="1:12" s="2" customFormat="1" ht="81" customHeight="1">
      <c r="A5" s="9" t="s">
        <v>6</v>
      </c>
      <c r="B5" s="9" t="s">
        <v>7</v>
      </c>
      <c r="C5" s="20" t="s">
        <v>2</v>
      </c>
      <c r="D5" s="9" t="s">
        <v>12</v>
      </c>
      <c r="E5" s="9" t="s">
        <v>11</v>
      </c>
      <c r="F5" s="9" t="s">
        <v>32</v>
      </c>
      <c r="G5" s="9" t="s">
        <v>33</v>
      </c>
      <c r="H5" s="9" t="s">
        <v>13</v>
      </c>
      <c r="I5" s="9" t="s">
        <v>34</v>
      </c>
      <c r="J5" s="9" t="s">
        <v>35</v>
      </c>
      <c r="K5" s="9" t="s">
        <v>36</v>
      </c>
      <c r="L5" s="9" t="s">
        <v>37</v>
      </c>
    </row>
    <row r="6" spans="1:12">
      <c r="A6">
        <v>0</v>
      </c>
      <c r="B6" s="21">
        <v>1</v>
      </c>
      <c r="C6" s="19">
        <v>0.01</v>
      </c>
      <c r="D6" s="19">
        <v>100</v>
      </c>
      <c r="E6" s="3"/>
      <c r="F6" s="1"/>
      <c r="H6" s="3"/>
    </row>
    <row r="7" spans="1:12">
      <c r="A7">
        <v>3</v>
      </c>
      <c r="B7" s="21">
        <f t="shared" ref="B7:B14" si="0">1/(1+$B$4/4)^(A7/3)</f>
        <v>0.98765432098765438</v>
      </c>
      <c r="C7" s="19">
        <v>0.01</v>
      </c>
      <c r="D7" s="19">
        <f t="shared" ref="D7:D14" si="1">D6*(1-C6)</f>
        <v>99</v>
      </c>
      <c r="E7" s="19">
        <f t="shared" ref="E7:E14" si="2">$B$1/4</f>
        <v>54.722384866382583</v>
      </c>
      <c r="F7" s="19">
        <f t="shared" ref="F7:F14" si="3">E7*D7/100</f>
        <v>54.175161017718757</v>
      </c>
      <c r="G7" s="4">
        <f t="shared" ref="G7:G14" si="4">F7*B7*N*0.0001</f>
        <v>53506.331869351867</v>
      </c>
      <c r="H7" s="19">
        <f t="shared" ref="H7:H14" si="5">D6*C6</f>
        <v>1</v>
      </c>
      <c r="I7" s="21">
        <f t="shared" ref="I7:I14" si="6">E7/2*H7/100</f>
        <v>0.27361192433191289</v>
      </c>
      <c r="J7" s="23">
        <f t="shared" ref="J7:J14" si="7">I7*B7*N*0.0001</f>
        <v>270.23399934016089</v>
      </c>
      <c r="K7" s="21">
        <f t="shared" ref="K7:K14" si="8">(1-$B$3)*H7/100</f>
        <v>7.4999999999999997E-3</v>
      </c>
      <c r="L7" s="5">
        <f t="shared" ref="L7:L14" si="9">K7*B7*N</f>
        <v>74074.074074074073</v>
      </c>
    </row>
    <row r="8" spans="1:12">
      <c r="A8">
        <v>6</v>
      </c>
      <c r="B8" s="21">
        <f t="shared" si="0"/>
        <v>0.97546105776558456</v>
      </c>
      <c r="C8" s="19">
        <v>0.01</v>
      </c>
      <c r="D8" s="19">
        <f t="shared" si="1"/>
        <v>98.01</v>
      </c>
      <c r="E8" s="19">
        <f t="shared" si="2"/>
        <v>54.722384866382583</v>
      </c>
      <c r="F8" s="19">
        <f t="shared" si="3"/>
        <v>53.633409407541578</v>
      </c>
      <c r="G8" s="4">
        <f t="shared" si="4"/>
        <v>52317.302272255169</v>
      </c>
      <c r="H8" s="19">
        <f t="shared" si="5"/>
        <v>0.99</v>
      </c>
      <c r="I8" s="21">
        <f t="shared" si="6"/>
        <v>0.27087580508859377</v>
      </c>
      <c r="J8" s="23">
        <f t="shared" si="7"/>
        <v>264.22879935482399</v>
      </c>
      <c r="K8" s="21">
        <f t="shared" si="8"/>
        <v>7.4249999999999993E-3</v>
      </c>
      <c r="L8" s="5">
        <f t="shared" si="9"/>
        <v>72427.983539094654</v>
      </c>
    </row>
    <row r="9" spans="1:12">
      <c r="A9">
        <v>9</v>
      </c>
      <c r="B9" s="21">
        <f t="shared" si="0"/>
        <v>0.96341832865736754</v>
      </c>
      <c r="C9" s="19">
        <v>0.01</v>
      </c>
      <c r="D9" s="19">
        <f t="shared" si="1"/>
        <v>97.029899999999998</v>
      </c>
      <c r="E9" s="19">
        <f t="shared" si="2"/>
        <v>54.722384866382583</v>
      </c>
      <c r="F9" s="19">
        <f t="shared" si="3"/>
        <v>53.097075313466156</v>
      </c>
      <c r="G9" s="4">
        <f t="shared" si="4"/>
        <v>51154.695555093938</v>
      </c>
      <c r="H9" s="19">
        <f t="shared" si="5"/>
        <v>0.98010000000000008</v>
      </c>
      <c r="I9" s="21">
        <f t="shared" si="6"/>
        <v>0.26816704703770788</v>
      </c>
      <c r="J9" s="23">
        <f t="shared" si="7"/>
        <v>258.35704825805016</v>
      </c>
      <c r="K9" s="21">
        <f t="shared" si="8"/>
        <v>7.3507500000000005E-3</v>
      </c>
      <c r="L9" s="5">
        <f t="shared" si="9"/>
        <v>70818.472793781446</v>
      </c>
    </row>
    <row r="10" spans="1:12">
      <c r="A10">
        <v>12</v>
      </c>
      <c r="B10" s="21">
        <f t="shared" si="0"/>
        <v>0.9515242752171531</v>
      </c>
      <c r="C10" s="19">
        <v>0.01</v>
      </c>
      <c r="D10" s="19">
        <f t="shared" si="1"/>
        <v>96.059601000000001</v>
      </c>
      <c r="E10" s="19">
        <f t="shared" si="2"/>
        <v>54.722384866382583</v>
      </c>
      <c r="F10" s="19">
        <f t="shared" si="3"/>
        <v>52.566104560331496</v>
      </c>
      <c r="G10" s="4">
        <f t="shared" si="4"/>
        <v>50017.924542758512</v>
      </c>
      <c r="H10" s="19">
        <f t="shared" si="5"/>
        <v>0.97029900000000002</v>
      </c>
      <c r="I10" s="21">
        <f t="shared" si="6"/>
        <v>0.26548537656733079</v>
      </c>
      <c r="J10" s="23">
        <f t="shared" si="7"/>
        <v>252.61578051898238</v>
      </c>
      <c r="K10" s="21">
        <f t="shared" si="8"/>
        <v>7.2772425000000003E-3</v>
      </c>
      <c r="L10" s="5">
        <f t="shared" si="9"/>
        <v>69244.728953919635</v>
      </c>
    </row>
    <row r="11" spans="1:12">
      <c r="A11">
        <v>15</v>
      </c>
      <c r="B11" s="21">
        <f t="shared" si="0"/>
        <v>0.93977706194286736</v>
      </c>
      <c r="C11" s="19">
        <v>0.01</v>
      </c>
      <c r="D11" s="19">
        <f t="shared" si="1"/>
        <v>95.099004989999997</v>
      </c>
      <c r="E11" s="19">
        <f t="shared" si="2"/>
        <v>54.722384866382583</v>
      </c>
      <c r="F11" s="19">
        <f t="shared" si="3"/>
        <v>52.040443514728175</v>
      </c>
      <c r="G11" s="4">
        <f t="shared" si="4"/>
        <v>48906.41510847499</v>
      </c>
      <c r="H11" s="19">
        <f t="shared" si="5"/>
        <v>0.96059601000000006</v>
      </c>
      <c r="I11" s="21">
        <f t="shared" si="6"/>
        <v>0.26283052280165747</v>
      </c>
      <c r="J11" s="23">
        <f t="shared" si="7"/>
        <v>247.00209650744949</v>
      </c>
      <c r="K11" s="21">
        <f t="shared" si="8"/>
        <v>7.2044700750000003E-3</v>
      </c>
      <c r="L11" s="5">
        <f t="shared" si="9"/>
        <v>67705.957199388096</v>
      </c>
    </row>
    <row r="12" spans="1:12">
      <c r="A12">
        <v>18</v>
      </c>
      <c r="B12" s="21">
        <f t="shared" si="0"/>
        <v>0.92817487599295534</v>
      </c>
      <c r="C12" s="19">
        <v>0.01</v>
      </c>
      <c r="D12" s="19">
        <f t="shared" si="1"/>
        <v>94.148014940099998</v>
      </c>
      <c r="E12" s="19">
        <f t="shared" si="2"/>
        <v>54.722384866382583</v>
      </c>
      <c r="F12" s="19">
        <f t="shared" si="3"/>
        <v>51.52003907958089</v>
      </c>
      <c r="G12" s="4">
        <f t="shared" si="4"/>
        <v>47819.60588384221</v>
      </c>
      <c r="H12" s="19">
        <f t="shared" si="5"/>
        <v>0.95099004990000002</v>
      </c>
      <c r="I12" s="21">
        <f t="shared" si="6"/>
        <v>0.26020221757364093</v>
      </c>
      <c r="J12" s="23">
        <f t="shared" si="7"/>
        <v>241.51316102950616</v>
      </c>
      <c r="K12" s="21">
        <f t="shared" si="8"/>
        <v>7.1324253742500003E-3</v>
      </c>
      <c r="L12" s="5">
        <f t="shared" si="9"/>
        <v>66201.380372735017</v>
      </c>
    </row>
    <row r="13" spans="1:12">
      <c r="A13">
        <v>21</v>
      </c>
      <c r="B13" s="21">
        <f t="shared" si="0"/>
        <v>0.91671592690662274</v>
      </c>
      <c r="C13" s="19">
        <v>0.01</v>
      </c>
      <c r="D13" s="19">
        <f t="shared" si="1"/>
        <v>93.206534790698996</v>
      </c>
      <c r="E13" s="19">
        <f t="shared" si="2"/>
        <v>54.722384866382583</v>
      </c>
      <c r="F13" s="19">
        <f t="shared" si="3"/>
        <v>51.004838688785085</v>
      </c>
      <c r="G13" s="4">
        <f t="shared" si="4"/>
        <v>46756.947975312396</v>
      </c>
      <c r="H13" s="19">
        <f t="shared" si="5"/>
        <v>0.941480149401</v>
      </c>
      <c r="I13" s="21">
        <f t="shared" si="6"/>
        <v>0.25760019539790446</v>
      </c>
      <c r="J13" s="23">
        <f t="shared" si="7"/>
        <v>236.14620189551712</v>
      </c>
      <c r="K13" s="21">
        <f t="shared" si="8"/>
        <v>7.0611011205075E-3</v>
      </c>
      <c r="L13" s="5">
        <f t="shared" si="9"/>
        <v>64730.238586674248</v>
      </c>
    </row>
    <row r="14" spans="1:12">
      <c r="A14">
        <v>24</v>
      </c>
      <c r="B14" s="21">
        <f t="shared" si="0"/>
        <v>0.90539844632752842</v>
      </c>
      <c r="C14" s="19">
        <v>0.01</v>
      </c>
      <c r="D14" s="19">
        <f t="shared" si="1"/>
        <v>92.274469442792011</v>
      </c>
      <c r="E14" s="19">
        <f t="shared" si="2"/>
        <v>54.722384866382583</v>
      </c>
      <c r="F14" s="19">
        <f t="shared" si="3"/>
        <v>50.49479030189724</v>
      </c>
      <c r="G14" s="4">
        <f t="shared" si="4"/>
        <v>45717.904686972113</v>
      </c>
      <c r="H14" s="19">
        <f t="shared" si="5"/>
        <v>0.93206534790699003</v>
      </c>
      <c r="I14" s="21">
        <f t="shared" si="6"/>
        <v>0.25502419344392541</v>
      </c>
      <c r="J14" s="23">
        <f t="shared" si="7"/>
        <v>230.89850852006117</v>
      </c>
      <c r="K14" s="21">
        <f t="shared" si="8"/>
        <v>6.990490109302425E-3</v>
      </c>
      <c r="L14" s="5">
        <f t="shared" si="9"/>
        <v>63291.7888403037</v>
      </c>
    </row>
    <row r="16" spans="1:12">
      <c r="F16" s="10" t="s">
        <v>14</v>
      </c>
      <c r="H16" s="5">
        <f>SUM(G7:G14)+SUM(J7:J14)</f>
        <v>398198.1234894857</v>
      </c>
    </row>
    <row r="17" spans="6:8">
      <c r="F17" s="10" t="s">
        <v>15</v>
      </c>
      <c r="H17" s="5">
        <f>SUM(L7:L14)</f>
        <v>548494.6243599708</v>
      </c>
    </row>
    <row r="18" spans="6:8">
      <c r="F18" s="10" t="s">
        <v>16</v>
      </c>
      <c r="H18" s="5">
        <f>H17-H16</f>
        <v>150296.50087048509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Pricing</vt:lpstr>
      <vt:lpstr>Calibration</vt:lpstr>
      <vt:lpstr>CDS pricing</vt:lpstr>
      <vt:lpstr>CDS pricing_Q5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QIANG</cp:lastModifiedBy>
  <dcterms:created xsi:type="dcterms:W3CDTF">2013-03-23T18:19:58Z</dcterms:created>
  <dcterms:modified xsi:type="dcterms:W3CDTF">2018-12-05T15:18:47Z</dcterms:modified>
</cp:coreProperties>
</file>