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worksheet+xml" PartName="/xl/worksheets/sheet3.xml"/>
  <Override ContentType="application/vnd.openxmlformats-officedocument.spreadsheetml.pivotCacheRecords+xml" PartName="/xl/pivotCache/pivotCacheRecords2.xml"/>
  <Override ContentType="application/vnd.openxmlformats-officedocument.spreadsheetml.pivotCacheDefinition+xml" PartName="/xl/pivotCache/pivotCacheDefinition2.xml"/>
  <Override ContentType="application/vnd.openxmlformats-officedocument.spreadsheetml.pivotTable+xml" PartName="/xl/pivotTables/pivot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9" autoFilterDateGrouping="1" firstSheet="0" minimized="0" showHorizontalScroll="1" showSheetTabs="1" showVerticalScroll="1" tabRatio="600" visibility="visible" windowHeight="19584" windowWidth="30168" xWindow="-108" yWindow="-108"/>
  </bookViews>
  <sheets>
    <sheet name="TeamMetrics" sheetId="1" state="visible" r:id="rId1"/>
    <sheet name="Projects" sheetId="2" state="hidden" r:id="rId2"/>
    <sheet name="tmpData" sheetId="3" state="hidden" r:id="rId3"/>
    <sheet name="01.03.23" sheetId="4" state="visible" r:id="rId4"/>
    <sheet name="12.19.22" sheetId="5" state="visible" r:id="rId5"/>
    <sheet name="12.12.22" sheetId="6" state="visible" r:id="rId6"/>
    <sheet name="12.05.22" sheetId="7" state="visible" r:id="rId7"/>
    <sheet name="11.28.22" sheetId="8" state="visible" r:id="rId8"/>
    <sheet name="HowTo" sheetId="9" state="visible" r:id="rId9"/>
    <sheet name="Stories" sheetId="10" state="visible" r:id="rId10"/>
    <sheet name="Releases" sheetId="11" state="visible" r:id="rId11"/>
  </sheets>
  <definedNames>
    <definedName hidden="1" name="_xlcn.WorksheetConnection_StoriesAS1">Stories!#REF!</definedName>
  </definedNames>
  <calcPr calcId="191028" fullCalcOnLoad="1"/>
  <pivotCaches>
    <pivotCache cacheId="10" r:id="rId12"/>
    <pivotCache cacheId="5" r:id="rId13"/>
  </pivotCaches>
</workbook>
</file>

<file path=xl/styles.xml><?xml version="1.0" encoding="utf-8"?>
<styleSheet xmlns="http://schemas.openxmlformats.org/spreadsheetml/2006/main">
  <numFmts count="3">
    <numFmt formatCode="0.0" numFmtId="164"/>
    <numFmt formatCode="mm/dd/yy;@" numFmtId="165"/>
    <numFmt formatCode="mm/dd/yyyy" numFmtId="166"/>
  </numFmts>
  <fonts count="18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sz val="12"/>
      <scheme val="minor"/>
    </font>
    <font>
      <name val="Calibri"/>
      <family val="2"/>
      <color rgb="FF000000"/>
      <sz val="12"/>
    </font>
    <font>
      <name val="Calibri"/>
      <color rgb="FF000000"/>
      <sz val="12"/>
    </font>
    <font>
      <name val="Calibri"/>
      <b val="1"/>
      <sz val="14"/>
    </font>
    <font>
      <name val="Calibri"/>
      <charset val="1"/>
      <color rgb="FF000000"/>
      <sz val="12"/>
    </font>
    <font>
      <name val="Calibri"/>
      <family val="2"/>
      <i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charset val="1"/>
      <i val="1"/>
      <color rgb="FF000000"/>
      <sz val="12"/>
    </font>
    <font>
      <name val="Calibri"/>
      <b val="1"/>
      <color rgb="FF000000"/>
      <sz val="12"/>
    </font>
    <font>
      <name val="Calibri"/>
      <charset val="1"/>
      <family val="2"/>
      <color rgb="FF000000"/>
      <sz val="11"/>
    </font>
    <font>
      <name val="Calibri"/>
      <color rgb="FF000000"/>
      <sz val="11"/>
    </font>
    <font>
      <name val="Arial"/>
      <color rgb="FF1D1C1D"/>
      <sz val="11.5"/>
    </font>
    <font>
      <name val="Calibri"/>
      <charset val="1"/>
      <color rgb="FF000000"/>
      <sz val="1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A3A3A3"/>
      </left>
      <right/>
      <top style="medium">
        <color rgb="FFA3A3A3"/>
      </top>
      <bottom style="medium">
        <color rgb="FFA3A3A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A3A3A3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A3A3A3"/>
      </left>
      <right style="medium">
        <color rgb="FFA3A3A3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borderId="0" fillId="0" fontId="0" numFmtId="0"/>
    <xf borderId="0" fillId="0" fontId="2" numFmtId="0"/>
  </cellStyleXfs>
  <cellXfs count="75">
    <xf borderId="0" fillId="0" fontId="0" numFmtId="0" pivotButton="0" quotePrefix="0" xfId="0"/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164" pivotButton="0" quotePrefix="0" xfId="0"/>
    <xf applyAlignment="1" borderId="0" fillId="0" fontId="3" numFmtId="0" pivotButton="0" quotePrefix="0" xfId="0">
      <alignment vertical="center"/>
    </xf>
    <xf borderId="0" fillId="0" fontId="3" numFmtId="0" pivotButton="0" quotePrefix="0" xfId="0"/>
    <xf applyAlignment="1" borderId="0" fillId="0" fontId="0" numFmtId="0" pivotButton="0" quotePrefix="0" xfId="0">
      <alignment vertical="center"/>
    </xf>
    <xf applyAlignment="1" borderId="1" fillId="0" fontId="1" numFmtId="0" pivotButton="0" quotePrefix="0" xfId="0">
      <alignment vertical="center" wrapText="1"/>
    </xf>
    <xf applyAlignment="1" borderId="1" fillId="0" fontId="0" numFmtId="0" pivotButton="0" quotePrefix="0" xfId="0">
      <alignment horizontal="left" vertical="center" wrapText="1"/>
    </xf>
    <xf borderId="0" fillId="0" fontId="2" numFmtId="0" pivotButton="0" quotePrefix="0" xfId="1"/>
    <xf applyAlignment="1" borderId="1" fillId="0" fontId="0" numFmtId="0" pivotButton="0" quotePrefix="0" xfId="0">
      <alignment vertical="center" wrapText="1"/>
    </xf>
    <xf applyAlignment="1" borderId="1" fillId="2" fontId="0" numFmtId="0" pivotButton="0" quotePrefix="0" xfId="0">
      <alignment vertical="center" wrapText="1"/>
    </xf>
    <xf applyAlignment="1" borderId="1" fillId="0" fontId="0" numFmtId="14" pivotButton="0" quotePrefix="0" xfId="0">
      <alignment vertical="center" wrapText="1"/>
    </xf>
    <xf applyAlignment="1" borderId="1" fillId="0" fontId="0" numFmtId="14" pivotButton="0" quotePrefix="0" xfId="0">
      <alignment horizontal="left" vertical="center" wrapText="1"/>
    </xf>
    <xf applyAlignment="1" borderId="0" fillId="0" fontId="0" numFmtId="0" pivotButton="0" quotePrefix="0" xfId="0">
      <alignment horizontal="left" vertical="center"/>
    </xf>
    <xf applyAlignment="1" borderId="0" fillId="0" fontId="0" numFmtId="14" pivotButton="0" quotePrefix="0" xfId="0">
      <alignment horizontal="left"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165" pivotButton="0" quotePrefix="0" xfId="0">
      <alignment horizontal="left" vertical="center" wrapText="1"/>
    </xf>
    <xf applyAlignment="1" borderId="1" fillId="0" fontId="0" numFmtId="166" pivotButton="0" quotePrefix="0" xfId="0">
      <alignment horizontal="left" vertical="center" wrapText="1"/>
    </xf>
    <xf applyAlignment="1" borderId="1" fillId="4" fontId="4" numFmtId="0" pivotButton="0" quotePrefix="0" xfId="0">
      <alignment vertical="center" wrapText="1"/>
    </xf>
    <xf borderId="0" fillId="0" fontId="1" numFmtId="0" pivotButton="0" quotePrefix="0" xfId="0"/>
    <xf applyAlignment="1" borderId="0" fillId="0" fontId="0" numFmtId="0" pivotButton="0" quotePrefix="0" xfId="0">
      <alignment wrapText="1"/>
    </xf>
    <xf borderId="0" fillId="0" fontId="5" numFmtId="0" pivotButton="0" quotePrefix="0" xfId="0"/>
    <xf applyAlignment="1" borderId="1" fillId="2" fontId="0" numFmtId="14" pivotButton="0" quotePrefix="0" xfId="0">
      <alignment horizontal="left" vertical="center" wrapText="1"/>
    </xf>
    <xf applyAlignment="1" borderId="1" fillId="2" fontId="0" numFmtId="0" pivotButton="0" quotePrefix="0" xfId="0">
      <alignment horizontal="left" vertical="center" wrapText="1"/>
    </xf>
    <xf applyAlignment="1" borderId="0" fillId="2" fontId="0" numFmtId="0" pivotButton="0" quotePrefix="0" xfId="0">
      <alignment wrapText="1"/>
    </xf>
    <xf applyAlignment="1" borderId="2" fillId="0" fontId="1" numFmtId="0" pivotButton="0" quotePrefix="0" xfId="0">
      <alignment horizontal="center" vertical="center"/>
    </xf>
    <xf applyAlignment="1" borderId="3" fillId="0" fontId="1" numFmtId="0" pivotButton="0" quotePrefix="0" xfId="0">
      <alignment vertical="center" wrapText="1"/>
    </xf>
    <xf applyAlignment="1" borderId="0" fillId="0" fontId="0" numFmtId="0" pivotButton="0" quotePrefix="0" xfId="0">
      <alignment vertical="center" wrapText="1"/>
    </xf>
    <xf applyAlignment="1" borderId="0" fillId="0" fontId="0" numFmtId="14" pivotButton="0" quotePrefix="0" xfId="0">
      <alignment vertical="center" wrapText="1"/>
    </xf>
    <xf applyAlignment="1" borderId="1" fillId="0" fontId="0" numFmtId="0" pivotButton="0" quotePrefix="1" xfId="0">
      <alignment vertical="center" wrapText="1"/>
    </xf>
    <xf applyAlignment="1" borderId="1" fillId="4" fontId="0" numFmtId="0" pivotButton="0" quotePrefix="0" xfId="0">
      <alignment vertical="center" wrapText="1"/>
    </xf>
    <xf borderId="0" fillId="0" fontId="0" numFmtId="14" pivotButton="0" quotePrefix="0" xfId="0"/>
    <xf applyAlignment="1" borderId="3" fillId="0" fontId="0" numFmtId="0" pivotButton="0" quotePrefix="0" xfId="0">
      <alignment horizontal="left" vertical="center" wrapText="1"/>
    </xf>
    <xf applyAlignment="1" borderId="4" fillId="0" fontId="1" numFmtId="0" pivotButton="0" quotePrefix="0" xfId="0">
      <alignment horizontal="center" vertical="center"/>
    </xf>
    <xf applyAlignment="1" borderId="1" fillId="3" fontId="0" numFmtId="0" pivotButton="0" quotePrefix="0" xfId="0">
      <alignment vertical="center" wrapText="1"/>
    </xf>
    <xf applyAlignment="1" borderId="1" fillId="0" fontId="6" numFmtId="0" pivotButton="0" quotePrefix="0" xfId="0">
      <alignment wrapText="1"/>
    </xf>
    <xf applyAlignment="1" borderId="5" fillId="0" fontId="6" numFmtId="0" pivotButton="0" quotePrefix="0" xfId="0">
      <alignment wrapText="1"/>
    </xf>
    <xf borderId="6" fillId="0" fontId="6" numFmtId="0" pivotButton="0" quotePrefix="0" xfId="0"/>
    <xf applyAlignment="1" borderId="7" fillId="0" fontId="6" numFmtId="0" pivotButton="0" quotePrefix="0" xfId="0">
      <alignment wrapText="1"/>
    </xf>
    <xf applyAlignment="1" borderId="6" fillId="0" fontId="6" numFmtId="0" pivotButton="0" quotePrefix="0" xfId="0">
      <alignment wrapText="1"/>
    </xf>
    <xf applyAlignment="1" borderId="8" fillId="0" fontId="6" numFmtId="0" pivotButton="0" quotePrefix="0" xfId="0">
      <alignment wrapText="1"/>
    </xf>
    <xf applyAlignment="1" borderId="9" fillId="0" fontId="6" numFmtId="0" pivotButton="0" quotePrefix="0" xfId="0">
      <alignment wrapText="1"/>
    </xf>
    <xf borderId="0" fillId="0" fontId="7" numFmtId="0" pivotButton="0" quotePrefix="0" xfId="0"/>
    <xf applyAlignment="1" borderId="0" fillId="0" fontId="8" numFmtId="0" pivotButton="0" quotePrefix="0" xfId="0">
      <alignment wrapText="1"/>
    </xf>
    <xf borderId="10" fillId="0" fontId="1" numFmtId="14" pivotButton="0" quotePrefix="0" xfId="0"/>
    <xf borderId="0" fillId="5" fontId="1" numFmtId="0" pivotButton="0" quotePrefix="0" xfId="0"/>
    <xf borderId="0" fillId="0" fontId="0" numFmtId="9" pivotButton="0" quotePrefix="0" xfId="0"/>
    <xf borderId="0" fillId="0" fontId="9" numFmtId="0" pivotButton="0" quotePrefix="0" xfId="0"/>
    <xf applyAlignment="1" borderId="0" fillId="0" fontId="9" numFmtId="0" pivotButton="0" quotePrefix="1" xfId="0">
      <alignment horizontal="left" indent="2"/>
    </xf>
    <xf borderId="0" fillId="5" fontId="10" numFmtId="0" pivotButton="0" quotePrefix="0" xfId="0"/>
    <xf borderId="0" fillId="5" fontId="0" numFmtId="0" pivotButton="0" quotePrefix="0" xfId="0"/>
    <xf applyAlignment="1" borderId="0" fillId="0" fontId="0" numFmtId="0" pivotButton="0" quotePrefix="0" xfId="0">
      <alignment horizontal="left" indent="2"/>
    </xf>
    <xf applyAlignment="1" borderId="0" fillId="0" fontId="11" numFmtId="0" pivotButton="0" quotePrefix="1" xfId="0">
      <alignment horizontal="left" indent="1"/>
    </xf>
    <xf applyAlignment="1" borderId="0" fillId="0" fontId="6" numFmtId="0" pivotButton="0" quotePrefix="0" xfId="0">
      <alignment horizontal="left"/>
    </xf>
    <xf applyAlignment="1" borderId="0" fillId="0" fontId="6" numFmtId="0" pivotButton="0" quotePrefix="1" xfId="0">
      <alignment horizontal="left"/>
    </xf>
    <xf borderId="0" fillId="0" fontId="6" numFmtId="0" pivotButton="0" quotePrefix="0" xfId="0"/>
    <xf applyAlignment="1" borderId="0" fillId="0" fontId="0" numFmtId="0" pivotButton="0" quotePrefix="0" xfId="0">
      <alignment horizontal="left" indent="2" wrapText="1"/>
    </xf>
    <xf applyAlignment="1" borderId="0" fillId="0" fontId="6" numFmtId="0" pivotButton="0" quotePrefix="0" xfId="0">
      <alignment wrapText="1"/>
    </xf>
    <xf applyAlignment="1" borderId="11" fillId="0" fontId="13" numFmtId="0" pivotButton="0" quotePrefix="0" xfId="0">
      <alignment vertical="center" wrapText="1"/>
    </xf>
    <xf applyAlignment="1" borderId="11" fillId="0" fontId="1" numFmtId="0" pivotButton="0" quotePrefix="0" xfId="0">
      <alignment vertical="center" wrapText="1"/>
    </xf>
    <xf applyAlignment="1" borderId="11" fillId="0" fontId="0" numFmtId="166" pivotButton="0" quotePrefix="0" xfId="0">
      <alignment horizontal="left" vertical="center" wrapText="1"/>
    </xf>
    <xf applyAlignment="1" borderId="11" fillId="0" fontId="0" numFmtId="0" pivotButton="0" quotePrefix="0" xfId="0">
      <alignment horizontal="left" vertical="center" wrapText="1"/>
    </xf>
    <xf applyAlignment="1" borderId="11" fillId="0" fontId="16" numFmtId="0" pivotButton="0" quotePrefix="0" xfId="0">
      <alignment vertical="center" wrapText="1"/>
    </xf>
    <xf applyAlignment="1" borderId="11" fillId="0" fontId="0" numFmtId="0" pivotButton="0" quotePrefix="0" xfId="0">
      <alignment vertical="center" wrapText="1"/>
    </xf>
    <xf applyAlignment="1" borderId="11" fillId="3" fontId="0" numFmtId="0" pivotButton="0" quotePrefix="0" xfId="0">
      <alignment vertical="center" wrapText="1"/>
    </xf>
    <xf applyAlignment="1" borderId="11" fillId="0" fontId="0" numFmtId="14" pivotButton="0" quotePrefix="0" xfId="0">
      <alignment vertical="center" wrapText="1"/>
    </xf>
    <xf applyAlignment="1" borderId="11" fillId="0" fontId="6" numFmtId="0" pivotButton="0" quotePrefix="0" xfId="0">
      <alignment wrapText="1"/>
    </xf>
    <xf applyAlignment="1" borderId="11" fillId="2" fontId="0" numFmtId="0" pivotButton="0" quotePrefix="0" xfId="0">
      <alignment vertical="center" wrapText="1"/>
    </xf>
    <xf applyAlignment="1" borderId="11" fillId="0" fontId="0" numFmtId="0" pivotButton="0" quotePrefix="1" xfId="0">
      <alignment vertical="center" wrapText="1"/>
    </xf>
    <xf applyAlignment="1" borderId="11" fillId="0" fontId="1" numFmtId="0" pivotButton="0" quotePrefix="0" xfId="0">
      <alignment horizontal="center" vertical="center" wrapText="1"/>
    </xf>
    <xf applyAlignment="1" borderId="11" fillId="0" fontId="0" numFmtId="14" pivotButton="0" quotePrefix="0" xfId="0">
      <alignment horizontal="left" vertical="center" wrapText="1"/>
    </xf>
    <xf borderId="11" fillId="0" fontId="6" numFmtId="0" pivotButton="0" quotePrefix="0" xfId="0"/>
    <xf borderId="0" fillId="0" fontId="0" numFmtId="0" pivotButton="0" quotePrefix="0" xfId="0"/>
    <xf borderId="0" fillId="0" fontId="17" numFmtId="0" pivotButton="0" quotePrefix="0" xfId="0"/>
  </cellXfs>
  <cellStyles count="2">
    <cellStyle builtinId="0" name="Normal" xfId="0"/>
    <cellStyle builtinId="8" name="Hyperlink" xfId="1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pivotCache/pivotCacheDefinition1.xml" Type="http://schemas.openxmlformats.org/officeDocument/2006/relationships/pivotCacheDefinition" /><Relationship Id="rId13" Target="/xl/pivotCache/pivotCacheDefinition2.xml" Type="http://schemas.openxmlformats.org/officeDocument/2006/relationships/pivotCacheDefinition" /><Relationship Id="rId14" Target="styles.xml" Type="http://schemas.openxmlformats.org/officeDocument/2006/relationships/styles" /><Relationship Id="rId15" Target="theme/theme1.xml" Type="http://schemas.openxmlformats.org/officeDocument/2006/relationships/theme" 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 /></Relationships>
</file>

<file path=xl/pivotCache/_rels/pivotCacheDefinition2.xml.rels><Relationships xmlns="http://schemas.openxmlformats.org/package/2006/relationships"><Relationship Id="rId1" Target="/xl/pivotCache/pivotCacheRecords1.xml" Type="http://schemas.openxmlformats.org/officeDocument/2006/relationships/pivotCacheRecords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8" minRefreshableVersion="3" recordCount="835" refreshOnLoad="1" refreshedBy="Gregory Lee" refreshedDate="44929.37005960648" refreshedVersion="8" r:id="rId1">
  <cacheSource type="worksheet">
    <worksheetSource ref="A1:L1048576" sheet="Stories"/>
  </cacheSource>
  <cacheFields count="12">
    <cacheField databaseField="1" hierarchy="0" level="0" name="Id" numFmtId="0" sqlType="0" uniqueList="1">
      <sharedItems containsBlank="1" count="0"/>
    </cacheField>
    <cacheField databaseField="1" hierarchy="0" level="0" name="Name" numFmtId="0" sqlType="0" uniqueList="1">
      <sharedItems containsBlank="1" count="0"/>
    </cacheField>
    <cacheField databaseField="1" hierarchy="0" level="0" name="IssueType" numFmtId="0" sqlType="0" uniqueList="1">
      <sharedItems containsBlank="1" count="0"/>
    </cacheField>
    <cacheField databaseField="1" hierarchy="0" level="0" name="Project" numFmtId="0" sqlType="0" uniqueList="1">
      <sharedItems containsBlank="1" count="23">
        <s v="Servicing: BC Next"/>
        <s v="BC Digital - 1:1:1"/>
        <s v="Bridgecrest Experimentation"/>
        <s v="BC Digital - Ongoing Fixes and Enhancements"/>
        <m/>
        <s u="1" v="SilverRock Website"/>
        <s u="1" v="COVID Support"/>
        <s u="1" v="Account Servicing"/>
        <s u="1" v="Real-Time Finance Approval Cert"/>
        <s u="1" v="Servicing - Ongoing Fixes and Enhancements"/>
        <s u="1" v="Online Icebox"/>
        <s u="1" v="Bridgecrest Analytics"/>
        <s u="1" v="Phase 1: DTM Responsive"/>
        <s u="1" v="Phase 2: DTM Responsive"/>
        <s u="1" v="Payments 2.0"/>
        <s u="1" v="DriveTime Email Campaign Redesign"/>
        <s u="1" v="Project Salmon"/>
        <s u="1" v="Systematic Underwriting"/>
        <s u="1" v="Online: Ongoing Fixes &amp; Enhancements"/>
        <s u="1" v="Online: DT Mobile App"/>
        <s u="1" v="Ongoing Motion GPS App Enhancements"/>
        <s u="1" v="Online: Ongoing Experiments"/>
        <s u="1" v="Online: Mobile Redesign"/>
      </sharedItems>
    </cacheField>
    <cacheField databaseField="1" hierarchy="0" level="0" name="Team" numFmtId="0" sqlType="0" uniqueList="1">
      <sharedItems containsBlank="1" count="4">
        <s v="BC Digital Drakon"/>
        <s v="BC Digital Comet"/>
        <s v="BC Digital Wyvern"/>
        <m/>
      </sharedItems>
    </cacheField>
    <cacheField databaseField="1" hierarchy="0" level="0" name="Week" numFmtId="0" sqlType="0" uniqueList="1">
      <sharedItems containsBlank="1" count="0"/>
    </cacheField>
    <cacheField databaseField="1" hierarchy="0" level="0" name="Developer" numFmtId="0" sqlType="0" uniqueList="1">
      <sharedItems containsBlank="1" count="0"/>
    </cacheField>
    <cacheField databaseField="1" hierarchy="0" level="0" name="Feature" numFmtId="0" sqlType="0" uniqueList="1">
      <sharedItems containsBlank="1" count="660">
        <s v="[BC NEXT] Bug Fixes/Enhancements for July"/>
        <s v="[BC NEXT] Phase 3: Account Settings/My Profile"/>
        <s v="[BC NEXT][WEB] Phase 3: Homepage"/>
        <s v="[BC Next] 90% Rule Implementation"/>
        <s v="[BC NEXT][WEB] Phase 3: Dashboard"/>
        <s v="[BC NEXT] Prior to Launch Tech Investment"/>
        <s v="[BC NEXT] Regression Testing &amp; App Bug Fixes"/>
        <s v="[BC NEXT] Bug Fixes/Enhancements for June Release"/>
        <s v="[BC NEXT] Bug Fixes for April App Release"/>
        <s v="[BC NEXT] Bug Fixes/Enhancements for August"/>
        <s v="[BC NEXT][WEB] Phase 3: Account Settings"/>
        <s v="[SSP][EXP] Payoff Quote Survey"/>
        <s v="[BC NEXT]Phase 3: Manage Modifications Page"/>
        <s v="[BC NEXT] Paymentus Quick Access Page"/>
        <s v="[BC NEXT] Force App Update"/>
        <s v="null"/>
        <s v="[BC NEXT]Phase 3: Payoff Quote"/>
        <s v="[BC NEXT]Phase 3: Customer Support Center"/>
        <s v="[BC NEXT]Phase 3: Payment Plan (PTC)"/>
        <s v="[BC NEXT][WEB] Phase 3: Technical Backend Setup"/>
        <s v="[BC NEXT][WEB]Phase 3: Auth0 Website Integration"/>
        <s v="[BC NEXT][WEB] Phase 3: Payment Options"/>
        <s v="[BC NEXT][WEB] Phase 3: ACH One Time Payment"/>
        <s v="[BC NEXT][WEB] Phase 3: AutoPay Enrollment"/>
        <s v="[BC NEXT][WEB] Adaptive MFA in Auth0"/>
        <s v="[BC NEXT] Phase 3: Web - AP Past Due"/>
        <s v="[BC NEXT] Impersonation"/>
        <s v="[BC NEXT] Phased Rollout"/>
        <s v="[BC NEXT][WEB] Phase 3: Misc Pages"/>
        <s v="[BC NEXT][WEB] Phase 3: Login Pages"/>
        <s v="[BC NEXT]Phase 3: Manage Modifications and Plan to Cure Banners"/>
        <s v="Register Email Deep Linking"/>
        <s v="[BC NEXT] Mobile App Pilot - App Dev"/>
        <s v="[BC NEXT] App Launch Communications"/>
        <s v="[BC NEXT] Push Notifications Research"/>
        <s v="[BC NEXT] TWT Widget"/>
        <s v="[BC NEXT] Introduce Smart App Banner to BC Next"/>
        <s v="App/Web Launch Communications"/>
        <s v="[BC] 2022 Tax Time Communication (Emails and SSP)"/>
        <s v="[COMMUNICATIONS][Phase 2] Charged off Emails and Texts"/>
        <s v="[COMMUNICATIONS][Phase 3] PCO Emails and Texts"/>
        <s v="[BC NEXT] BC Next Automation Tests"/>
        <s v="[BC NEXT] Research Seamless Login"/>
        <s v="Expose Extension and Payment Frequency for BC Next to consume"/>
        <s v="[PLATFORM][Phase 1] Expose CO accounts to BC Next"/>
        <s v="[BC NEXT] Persist 'No Thanks' Selection"/>
        <s v="Google Analytics 4"/>
        <s v="Redirect registration emails triggered from our Dev/Test environment"/>
        <s v="MFA Enhancements"/>
        <s v="Expose PTC for BC Next to consume"/>
        <s v="[PLATFORM][Phase 2] Charged Off Self Service Experience"/>
        <s v="1:1:1 Phase 1 - Technical Research"/>
        <s v="[COMMUNICATIONS] TWT Widget and Campaigns in Genesys"/>
        <s v="Trigger Based Message Text"/>
        <s v="[COMMUNICATIONS] Automate Clear Charge Off Emails"/>
        <s v="Redesign Extension and Payment Frequency Communication Experience"/>
        <s v="[COMMUNICATIONS] Bridgecrest as Servicer clarity"/>
        <s v="[COMMUNICATIONS] Automate Analytics Semi-Monthly OWT"/>
        <s v="[BC NEXT][EXP] Account Balance"/>
        <s v="CSO Email Multivariate Testing Phase 1"/>
        <s v="CSO Email Multivariate Testing Phase 2"/>
        <s v="[BC NEXT] Nice To Have Tech Investment"/>
        <s v="[BC NEXT] Bug Fixes/Enhancements for September"/>
        <s v="[BC NEXT] Bug Fixes/Enhancements for November"/>
        <s v="[BC NEXT] Payment Authorization Updates"/>
        <s v="[COMMUNICATIONS] Update Assigned for Repo Texts"/>
        <s v="[COMMUNICATIONS] Mini Miranda"/>
        <s v="Communications Tech Investment"/>
        <s v="[COMMUNICATIONS] CSO Update"/>
        <s v="[COMMUNICATIONS] Charge Off Test"/>
        <s v="KM2Outage"/>
        <s v="[COMMUNICATIONS] Privacy Policy"/>
        <s v="Duplicate Payment Outage"/>
        <s v="[COMMUNICATIONS] Update Payoff Quote with California disclaimer"/>
        <s v="[COMMUNICATIONS] 2023 Tax Communications"/>
        <s v="[COMMUNICATIONS] DC 5 in 7 Regulation"/>
        <s v="[PLATFORM] Research Fullstory vs. Datadog"/>
        <s v="[PLATFORM] Implement Fullstory"/>
        <s v="Platform Tech Investment"/>
        <m/>
        <s u="1" v="[ANDROID APP] Update the Icons and Feature Graphic in Play Store"/>
        <s u="1" v="[BC][Email] Clear Credit - Add 90 DPD"/>
        <s u="1" v="CDN Integration - Cloudflare"/>
        <s u="1" v="[DTM][STORE OPENING] Colorado Springs 6/11/21"/>
        <s u="1" v="Fix pipeline as .js/ .css/ .img are not clearing cache"/>
        <s u="1" v="[Mobile] Update Make/Series/Model/Trim Logic"/>
        <s u="1" v="[Mobile] Facebook Pixel: Add Lead events to mobile"/>
        <s u="1" v="[CONTACT US] Repairs &amp; Theft: Updates to Verbiage and CTA"/>
        <s u="1" v="Update SAV, Chat, and Call Icons on .NET VDP"/>
        <s u="1" v="[COVID][BC][EMAIL] 30/60 Day Clear Credit Campaign - Total Amount"/>
        <s u="1" v="Site Compliance Updates Phase 2"/>
        <s u="1" v="Upgrade to Newest Version of AdWords API"/>
        <s u="1" v="[Desktop] Remove Bad Credit Verbiage (3 of 3)"/>
        <s u="1" v="Mobile R1: Footer"/>
        <s u="1" v="[BC NEXT] Phase 2: App - AutoPay Enrollment"/>
        <s u="1" v="[BC][Email] Charge-Off Paymentus Notification"/>
        <s u="1" v="[Mobile] Update Make/Model Filter Scroll"/>
        <s u="1" v="[BC][Email]CCR/CCO - Pilot Groups Update"/>
        <s u="1" v="Online Changes for Inventory DB split"/>
        <s u="1" v="[PROD][Footer] Create E2E for Instagram icon"/>
        <s u="1" v="[EXP] Mobile PPC Round 3.0"/>
        <s u="1" v="[BC][COVID] Updates to the Coronavirus Response Page"/>
        <s u="1" v="[Salmon KBB] Build process to Identify DT Select Vehicles for Online to Consume"/>
        <s u="1" v="DTM Style-guide Updates [Part 1]"/>
        <s u="1" v="[DTM][ANALYTICS] Research and Implement Analytic Bug Fixes"/>
        <s u="1" v="[Mobile] Increase Size of &quot;Use my current location&quot; on Mobile Advanced Search Page"/>
        <s u="1" v="[Mobile] DMP: Salesforce Data Management Platform"/>
        <s u="1" v="[BC][EMAIL] Resume Repo - Active Emails"/>
        <s u="1" v="[Mobile] Filter by Nationwide"/>
        <s u="1" v="[EXP] Mobile Down Payment Savings Homepage"/>
        <s u="1" v="[COVID][BC][EMAIL] Week 1: Educational"/>
        <s u="1" v="[COVID][BC][EMAIL] Week 1: Email 2"/>
        <s u="1" v="[BC NEXT] Phase 2: App - Feature Flag Platform"/>
        <s u="1" v="[BC][Email] PCO Offer v Voluntary Surrender"/>
        <s u="1" v="[DTM] Deploy DDP content changes"/>
        <s u="1" v="[BC][EMAIL][DB] Add Audience for Paymentus Event Emails"/>
        <s u="1" v="Desktop Phase 1: Implement SUAC and Trade CTA's on Main Pages"/>
        <s u="1" v="[VSR] Display Vehicles for Users Outside 250 Miles of Nearest Dealership"/>
        <s u="1" v="[BC][Email] Charged Off Clear Repo Resume DC"/>
        <s u="1" v="[Desktop] Remove Referrals Page from Products and Programs"/>
        <s u="1" v="[EXP] Red Dot Notification on Hamburger+GA Web-X"/>
        <s u="1" v="Mobile: Implement SUAC and Trade CTA's throughout the Site"/>
        <s u="1" v="Mobile: Enhance Photo Gallery Swipe Functionality"/>
        <s u="1" v="R1 UAT: DSR SEO Routes"/>
        <s u="1" v="[EXP] DESKTOP Condensed Homepage"/>
        <s u="1" v="[DTM] Breadcrumbs for Responsive Pages"/>
        <s u="1" v="Mobile: Gracefully Handle Vehicle Safety Ratings when Unavailable"/>
        <s u="1" v="Mobile: Enhance CTA Button Appearance Across Site"/>
        <s u="1" v="Accuranker Integration"/>
        <s u="1" v="[BC NEXT] Phase 2: Retrieve Customer Account Info"/>
        <s u="1" v="[BC NEXT] Phase 2: App - Legal Pages"/>
        <s u="1" v="Responsive: DDP Proof of Concept"/>
        <s u="1" v="[BC][EMAIL] Email Redesign Phase 2: Autopay"/>
        <s u="1" v="[Mobile] Removing Pre-render for Paid Search, DDP, VFT Entrances"/>
        <s u="1" v="[BC NEXT] POC Automation Tests"/>
        <s u="1" v="[Sonar Text Pull] Automate Sonar Data Pull"/>
        <s u="1" v="[MotionGPS] Migrate MotionGPS to Spireon GoldStar Connect"/>
        <s u="1" v="[DTM][EXP][VSF] Payment Frequency Test on Approval Certificate"/>
        <s u="1" v="Mobile R1: Hamburger Menu Visual Indicator"/>
        <s u="1" v="[EXP] Replace App Cert Dials With Content"/>
        <s u="1" v="[TAX SEASON] 2020 Tax Season Prep"/>
        <s u="1" v="Fix for PPC Query Parameters Case Sensitivity"/>
        <s u="1" v="[DTM] Update NPMRC November 2020"/>
        <s u="1" v="[BC][EMAIL] OctoberLDM CCO/CCR email sends"/>
        <s u="1" v="[EXP] DESKTOP: Car Loans Landing Page"/>
        <s u="1" v="[Mobile] Update Key Feature Presentation on VSR when a Vehicle Doesn't Have Any Displayed"/>
        <s u="1" v="[Mobile] Switch Mobile Site to Linux Node"/>
        <s u="1" v="[DESKTOP][Site Speed]First Input Delay (FID)"/>
        <s u="1" v="[BC][PAYMENTUS] Experiment for WU to Paymentus Transition, Logged in Experience"/>
        <s u="1" v="[BC NEXT] Bug Fixes/Enhancements for October"/>
        <s u="1" v="[BC] 2022 FAQ Tax Communication"/>
        <s u="1" v="[DTM] Update SilverRock URL References"/>
        <s u="1" v="Mobile R1: SEO Routes - VSR &amp; DSR"/>
        <s u="1" v="[LEADS] Repoint the endpoint for Leads API"/>
        <s u="1" v="[PROD] Pre-Filtered VSR Library Incompatible Browser Bug"/>
        <s u="1" v="[BC NEXT] Splash for Outages"/>
        <s u="1" v="[DTM] Update Policy Documents on Drivetime.com"/>
        <s u="1" v="[Desktop] Support Up to 40 Photos (Required changes based on Inventory and Performance tuning)"/>
        <s u="1" v="Mobile R1: Dealership Search Results (&quot;DSR&quot;)"/>
        <s u="1" v="[Text] Automatically Text Broken Appointments"/>
        <s u="1" v="[EXP] Phone Number Test on Vehicle Path"/>
        <s u="1" v="[BC][ANALYTICS] Analytics Clean-up Requests"/>
        <s u="1" v="[COVID Rollback] Remove Banners &amp; Inserts"/>
        <s u="1" v="[Mobile] Permanent Re-Directs &amp; Link to Mobile site from Desktop"/>
        <s u="1" v="Update Closure Store Counts on Website"/>
        <s u="1" v="Fix Automated Sonar Text Campaigns and Notify IDT when Campaigns are Launching"/>
        <s u="1" v="Update Desktop VDP Spacing"/>
        <s u="1" v="[BC NEXT] Smart App Banner"/>
        <s u="1" v="[BC NEXT] Foundation 3"/>
        <s u="1" v="[VSR Desktop and .NET]: Implement KBB Price Advisor"/>
        <s u="1" v="[BC][SSP] Remove hours of operation from /coronavirus-response"/>
        <s u="1" v="Mobile R1: Vehicle Search Results (VSR)"/>
        <s u="1" v="[BC] Enable MMS"/>
        <s u="1" v="Dealer Detail: [Desktop] Online Review Link Re-Point to TrustPilot"/>
        <s u="1" v="[BC][EXPERIMENT] Implement Winner of Mobile BC Homepage Experiment"/>
        <s u="1" v="[Mobile] Support Up to 40 Photos (Required changes based on Inventory and Performance tuning)"/>
        <s u="1" v="[DTM][PROD] Fix See Dealership Inventory button on DDP"/>
        <s u="1" v="R1 UAT: DDP"/>
        <s u="1" v="[EXP] DESKTOP Sell Us a Car Landing Page - Nav+CTAs"/>
        <s u="1" v="[DTM] Update Proper Capitalization Logic Across the Site"/>
        <s u="1" v="[BC] Analytic Event Work on SSP"/>
        <s u="1" v="[Sonar Text] Automate Appointment Reminder Text Messages"/>
        <s u="1" v="R1 UAT: GA1"/>
        <s u="1" v="[EXPERIMENTATION] Implement Winner of DESKTOP GA1 Disclosure"/>
        <s u="1" v="[EXP-CODE] Implement Winner of SUV Homepage Personalization Experiment"/>
        <s u="1" v="R1 UAT: GA2"/>
        <s u="1" v="Hide &quot;New Price&quot; on VSR in IL"/>
        <s u="1" v="Fix Spikes in Azure Search Errors"/>
        <s u="1" v="CCR/CCO: October Updates"/>
        <s u="1" v="[BC][EMAIL] October Early CCO/CCR email sends"/>
        <s u="1" v="[BC][EMAIL] September LDM CCO/CCR email sends"/>
        <s u="1" v="[BC NEXT]Phase 3: Customer Support"/>
        <s u="1" v="[BC][CCPA] Update &quot;Do not sell my info&quot; URL on SSP"/>
        <s u="1" v="[BC NEXT] Code Base Foundation Research"/>
        <s u="1" v="[DTM] Update FAQs, Error Approval Certificate and GA2 Disclaimer"/>
        <s u="1" v="[BC NEXT] Stitching"/>
        <s u="1" v="[EXP] Show Different Sort Order on VSR Landing"/>
        <s u="1" v="Desktop Site Cleanup (Grammatical errors, Footer Changes, Meta tag clean-up)"/>
        <s u="1" v="[COVID][DT] Ability to show &quot;By Appointment Only&quot;"/>
        <s u="1" v="[DTM] VFT meta description is displaying %VAR_REGION%"/>
        <s u="1" v="[DTM] New Schedule Display for SAV, DSR and DDP"/>
        <s u="1" v="Mobile R1: Performance Enhancements (Site Rendering, AOT)"/>
        <s u="1" v="[MOBILE] On email fields use the email keyboard"/>
        <s u="1" v="[DTM] Log Full Original URL On Redirect"/>
        <s u="1" v="[SSP] Plan to Cure verbiage change"/>
        <s u="1" v="[Mobile][Site Speed] First Contentful Paint (FCP), First Paint (FP)"/>
        <s u="1" v="Implement Buy From Public Content Online"/>
        <s u="1" v="[BC NEXT] Phase 2: App - Splashpage"/>
        <s u="1" v="[Desktop] Update Verbiage for Back to Results"/>
        <s u="1" v="[MOBILE] SAV Generic, Dealership and Vehicle Paths Updates"/>
        <s u="1" v="Desktop Chat Clean Up"/>
        <s u="1" v="[DTM] Header, Footer and BoldChat"/>
        <s u="1" v="[SEO] Site Index Optimizations"/>
        <s u="1" v="[BC][SSP] Update FAQs"/>
        <s u="1" v="DT.com Redundancy"/>
        <s u="1" v="[Mobile][Site Speed] Supplemental Performance Metrics (DTFCP, Connection Speed, GA sampling)"/>
        <s u="1" v="[DTM] Update DT Select to DT Plus"/>
        <s u="1" v="2020 Angular and Node Upgrades"/>
        <s u="1" v="[BC] Make Phone Numbers Clickable on Mobile"/>
        <s u="1" v="[EXP] Mobile Homepage H1 + App Download Buttons"/>
        <s u="1" v="[BC][EMAIL] Implement OneTime Payment and AutoPay changes into code"/>
        <s u="1" v="[SILVERROCK] Phase 1: Header and Footer"/>
        <s u="1" v="[BC NEXT] Phase 2: App - Components"/>
        <s u="1" v="[DTM][COVID] Remove/Replace IDT Phone Numbers"/>
        <s u="1" v="[Mobile] Zero Results Messaging"/>
        <s u="1" v="[SILVERROCK] Phase 1: Implement SVG Service"/>
        <s u="1" v="[Mobile &amp; Desktop] Homepage Only: Implement Rel=Alternates for Mobile/Desktop for Home Page"/>
        <s u="1" v="Mobile: Update DOB Fields to be Selectors"/>
        <s u="1" v="Desktop Clean Up Items"/>
        <s u="1" v="[DT][COVID] Add Back Phone Number to Header on DTM"/>
        <s u="1" v="[BC NOW] Analytics Foundational Work on SSP"/>
        <s u="1" v="[Mobile] Bitmasking for Make/Model/Series"/>
        <s u="1" v="FullStory Integration on DT.com"/>
        <s u="1" v="ADA Compliance Level A (2019)"/>
        <s u="1" v="Mobile R1: Create 301 Redirects"/>
        <s u="1" v="[DTM] Vehicle Search Results"/>
        <s u="1" v="[EXP] Search Vehicles/Search Cars Verbiage Experiment"/>
        <s u="1" v="[EXP] Homepage H1"/>
        <s u="1" v="[DTM] Vehicle Details Page"/>
        <s u="1" v="[Desktop] Update &quot;Low Mileage&quot; Feature Functionality"/>
        <s u="1" v="[Desktop] Add Registered Trademark to AutoCheck"/>
        <s u="1" v="[BC NEXT] SSP Pending Payments Disclaimer Text Updates"/>
        <s u="1" v="Lead Injection Errors"/>
        <s u="1" v="[BC][EXP] Mobile Homepage CTA Test"/>
        <s u="1" v="[EXP-OPT] PPC Personalization - Bad Credit Dealer"/>
        <s u="1" v="[EXP-CODE] Implement Winner of Used Trucks/Cheap Trucks Homepage Personalization Experiment"/>
        <s u="1" v="[Advice Center] Mobile Footer Change for Advice Center"/>
        <s u="1" v="[MOBILE] Bitmask for Filter state in VSR"/>
        <s u="1" v="[EXP] Step-by-Step Approval Path"/>
        <s u="1" v="[BC][SSP]COVID Response Page Update"/>
        <s u="1" v="[EXP] Homepage CTA Test"/>
        <s u="1" v="[BC][Email] Tax Time Emails (2021)"/>
        <s u="1" v="R1 UAT: Homepage"/>
        <s u="1" v="[EXP] MOBILE VSR &quot;Sort By&quot; Menu Experiment"/>
        <s u="1" v="[BC NEXT] Phase 2: Analytics Fixes"/>
        <s u="1" v="[DTM] UAT Items"/>
        <s u="1" v="Mobile R1: Dealership Detail"/>
        <s u="1" v="[Desktop] Update Key Feature Presentation on VSR when a Vehicle Doesn't Have Any Displayed"/>
        <s u="1" v="BC: Implement Experimentation Platform"/>
        <s u="1" v="[MOBILE] Back Button Functionality and Design"/>
        <s u="1" v="Mobile R1:Fixed Bar Updates"/>
        <s u="1" v="[Mobile] Global Component Audit and Cleanup for Site Speed"/>
        <s u="1" v="Mobile R1: Contact Us (Customer Service)"/>
        <s u="1" v="[BC][Email] Collections - NSF &amp; Decline Separation: Phase 3a"/>
        <s u="1" v="[BC][PAYMENTUS] Debit Card Wallet Management"/>
        <s u="1" v="[Mobile &amp; Desktop] Rel=Alternates: VSR, DSR, DDP:"/>
        <s u="1" v="Reformat DDP Page Title To Include City, St, Zip"/>
        <s u="1" v="[MOBILE] [VSR] Filter Vehicle Results by Distance"/>
        <s u="1" v="[EMAIL] UPgrade Email Templates"/>
        <s u="1" v="[Mobile] Lazy Load Images on Mobile"/>
        <s u="1" v="[Analytics] Desktop Site Event Restructure"/>
        <s u="1" v="[DTM][EXP] Implement the winner of the Vehicle Location experiment on VSR"/>
        <s u="1" v="[BC NEXT] Agent Visibility to BCNEXT App Events"/>
        <s u="1" v="[Email] Remove BBB, Facebook, ConsumerAffairs from Reviews on DT Co-Branded BC/SR Thank you Email"/>
        <s u="1" v="R1 UAT: Customer Service"/>
        <s u="1" v="[PLATFORM] Charged Off Self Service Experience"/>
        <s u="1" v="RETAIL - SuperHot Second Pass Text - Prod Fix"/>
        <s u="1" v="[EXP] Promote the app on our mobile site"/>
        <s u="1" v="[KBB ICO] Provide Customers the ability to get a Trade-In Value using Instant Cash Offer (&quot;ICO&quot;)"/>
        <s u="1" v="[BC NEXT] App alerts"/>
        <s u="1" v="[BC][PAYMENTUS] Post-Experiment Implementation"/>
        <s u="1" v="[EXP-CODE] Implement Winner of First Time Car Buyer Personalization Experiment"/>
        <s u="1" v="Implement On Page Chat on .NET Mobile"/>
        <s u="1" v="[Mobile &amp; Desktop] Non-Lead Marketing Attribution"/>
        <s u="1" v="[BC][PAYMENTUS] Paymentus UAT and Rollout"/>
        <s u="1" v="Sonar Reporting API for Dealership Pilot"/>
        <s u="1" v="[Mobile] Default Expand Make/Model Filter Section"/>
        <s u="1" v="[COVID][BC][EMAIL] Week 2_Email 1: Money Drop (Email #3)"/>
        <s u="1" v="[BC][EMAIL] Email Redesign Phase 1: OneTime Payment"/>
        <s u="1" v="[BC][PAYMENTUS] WU-to-Paymentus Takeover Email"/>
        <s u="1" v="Mobile R1: Implement KBB and DriveTime Select"/>
        <s u="1" v="[BC][EMAIL][DB] Email Redesign Phase 3 Audience Work"/>
        <s u="1" v="[DTM][EXP] Updated Disclaimers Experiment"/>
        <s u="1" v="[Mobile] Better Connectivity Loss Experience"/>
        <s u="1" v="[DTM] Advanced Search Pages"/>
        <s u="1" v="[PROD][MOBILE] Improve GA1 Zip Validation UX"/>
        <s u="1" v="[Mobile] Site Speed Enhancements (Prerenders, DT Package, Output Cache, Lazy Loading Modules, etc...)"/>
        <s u="1" v="[EXP] Mobile Sell Us a Car Landing Page - Nav+CTAs"/>
        <s u="1" v="[DTM] Need DTM to recognize return users"/>
        <s u="1" v="Implement Optimizely Full Stack"/>
        <s u="1" v="[DTM][DDP] Update dealership specific content with new dealership names"/>
        <s u="1" v="[EXP] Implement Buy Here Pay Here Winner"/>
        <s u="1" v="[Mobile &amp; Desktop] Sitewide Brand Updates for Commercials"/>
        <s u="1" v="[Mobile] Update Open Graph on Facebook"/>
        <s u="1" v="[PROD][IOS] Broken DSR Map Experience"/>
        <s u="1" v="[BC NEXT] Seamless Login"/>
        <s u="1" v="[Servicing DB Split] Online Changes for Servicing DB Split"/>
        <s u="1" v="[Google Adwords] Pull Additional Placement Performance Data"/>
        <s u="1" v="[Desktop] Update &quot;What to Bring for a Test Drive&quot; on printout"/>
        <s u="1" v="Update TCPA Consent Verbiage to Link to Affiliates"/>
        <s u="1" v="PROD Bugs on VSR"/>
        <s u="1" v="Store Closure - West Covina"/>
        <s u="1" v="[DTM][EXP] Implement winner of Homepage CTA Experiment"/>
        <s u="1" v="Update Failover Site"/>
        <s u="1" v="[BC] Address SSP Outage caused by Port Exhaustion"/>
        <s u="1" v="[BC NOW] Analytics Updates for BEP"/>
        <s u="1" v="[BC][EMAIL] Email Redesign Phase 3: No Pay/Collections Based Templates"/>
        <s u="1" v="[BC][NEXT] Foundation 1"/>
        <s u="1" v="[BC NEXT] Phase 2: Payment Options"/>
        <s u="1" v="[EMAIL] Display Down on GA2 Transactional"/>
        <s u="1" v="[BC NEXT] [Dashboard] (1 of 2) Account Summary + AutoPay Prompt + Scaffolding"/>
        <s u="1" v="Break Out App Testing in the CI/CD Pipeline"/>
        <s u="1" v="[Mobile VFT] Create Mobile Equivalent Versions of Desktop VFTs"/>
        <s u="1" v="[EXP-CODE] Implement &quot;Search Cars&quot; as Winner"/>
        <s u="1" v="[EXP] Restart Experiments Post Tax Season"/>
        <s u="1" v="Down Pymt Disclaimer Static Page"/>
        <s u="1" v="[Mobile VFT] H1s, rel-alts, 301s"/>
        <s u="1" v="[EXP-OPT] PPC Personalization - Bad Credit/Poor Credit"/>
        <s u="1" v="[Desktop] Add KBB ICO on Homepage and VSR"/>
        <s u="1" v="[Email] Email Template Update"/>
        <s u="1" v="[STORE RELO] Test Redbird Store Relo"/>
        <s u="1" v="[DTM] Post Responsive Environment Clean-up"/>
        <s u="1" v="[Mobile &amp; Desktop] Add KBB ICO to Approval Cert"/>
        <s u="1" v="[PROD-VFT] Content on Topic Roll Up Reverted"/>
        <s u="1" v="Mobile: Scroll-able Modals for Privacy &amp; Terms"/>
        <s u="1" v="[BC][EMAIL] Early November CCO/CCR emails"/>
        <s u="1" v="[Nurture Engine] Email Job Stability &amp; Alerting"/>
        <s u="1" v="[BC][NEXT] Foundation 2"/>
        <s u="1" v="Desktop to .NET Mobile Re-Directs"/>
        <s u="1" v="[EXP-OPT] PPC Personalization - Car Loans"/>
        <s u="1" v="[BC NEXT] Phase 2: App - No Accounts"/>
        <s u="1" v="[COVID][BC][EMAIL] Stimulus Email #4"/>
        <s u="1" v="[EMAIL] Transactional Quality Email"/>
        <s u="1" v="[Email] Update Inventory Counts, Dealership Counts and URLs on Emails"/>
        <s u="1" v="[EXP] Implement &quot;No Credit&quot; Homepage for PPC"/>
        <s u="1" v="[DESKTOP] Make All GA CTAs Consistent After Approval"/>
        <s u="1" v="[BC][SSP] COVID Response Page Update"/>
        <s u="1" v="[3rd Party Vehicle Feeds] Update Vehicle Overlay Image"/>
        <s u="1" v="[DTM] Screen Resolution Zoomed"/>
        <s u="1" v="[CF] Post Cloudflare GO-Live Clean Up"/>
        <s u="1" v="[EXP] DESKTOP: Hide the Back Button on VDP"/>
        <s u="1" v="[DTM][EXP] CRI Approval Certificate Experiment"/>
        <s u="1" v="[DTM] Update content on DDP to account for new dealership names"/>
        <s u="1" v="[Email] Appointment Suite"/>
        <s u="1" v="Mobile R1: Breadcrumbs"/>
        <s u="1" v="[FULLSTORY] Post Deployment Cleanup and Testing"/>
        <s u="1" v="[DTM] TEST Store Hours Changes"/>
        <s u="1" v="[DTM P2] Reviews Page"/>
        <s u="1" v="[Desktop] Add KBB ICO on Dealership Details Page"/>
        <s u="1" v="[EXP-OPT] PPC Personalization - Bad Credit Loans"/>
        <s u="1" v="[Mobile] VDP: Add about AutoCheck read more section"/>
        <s u="1" v="[EXP] Remove Score Dials from Approval Certificate"/>
        <s u="1" v="[APP] Update Homepage H1 on Android and iOS App"/>
        <s u="1" v="[EXP-CODE] Implement VDP Round 2 Winner"/>
        <s u="1" v="[MARKETING] - Update Email Nurture To Soft Delete"/>
        <s u="1" v="[DT][EMAIL] Update Dealership Name in Nurture emails for name change"/>
        <s u="1" v="[BC][EMAIL] Performing Charge-Off"/>
        <s u="1" v="Mobile R1: Analytics Configuration/Review"/>
        <s u="1" v="[E-MAIL TEMPLATES] Quality Leads Template w/ MJML"/>
        <s u="1" v="[COVID][BC] Content Updates to /coronavirus-response"/>
        <s u="1" v="R1 UAT: VSR"/>
        <s u="1" v="Restore pageview AI event"/>
        <s u="1" v="[DTM][Sitewide] Remove everything related to Credit Rank and Vantage Score"/>
        <s u="1" v="Catch Missing Google Search Console data"/>
        <s u="1" v="[DTM] Move lookup terms found/not found events to client from server"/>
        <s u="1" v="[PLATFORM] PCO eligibility and plan options"/>
        <s u="1" v="[Desktop] Update Best Seller List and Sort Logic"/>
        <s u="1" v="[DT][EMAIL] Update image on promo and non-promo Leadless Attribution email templates"/>
        <s u="1" v="[Desktop] Remove Bad Credit Verbiage (2 of 3)"/>
        <s u="1" v="[BC NEXT][Manage Payments] (1 of 3) Phase 2: App - Manage Payments"/>
        <s u="1" v="[DTM] GetFeedback Digital POC"/>
        <s u="1" v="[BC] Two-way Text Widget Expansion on SSP"/>
        <s u="1" v="[LEADLESS ATTRIBUTION] Find Solution to Get Away From iframe"/>
        <s u="1" v="[MOBILE] Streamline Global Components"/>
        <s u="1" v="[BC][EMAIL] Turn on AutoPay Email Experience"/>
        <s u="1" v="[Desktop] Update Make/Series/Model/Trim Logic"/>
        <s u="1" v="[BC NEXT] [Dashboard] (2 of 2) Phase 2: App - Payment History"/>
        <s u="1" v="[DTM][PROD][BUG] Remove extra space on &quot;Read More&quot; paragraphs"/>
        <s u="1" v="[BC][EMAIL] Email Redesign Phase 4: Back on Track"/>
        <s u="1" v="[Mobile] Update Sold and Layaway Banner Verbiage"/>
        <s u="1" v="[KBB] Build Mobile KBB ICO Process on DT.com"/>
        <s u="1" v="[COVID][BC] Add page to SSP /coronavirus-response"/>
        <s u="1" v="[COVID][BC] Enhancements to /coronavirus-response"/>
        <s u="1" v="Fix Analytic Events Firing on VSR Alerts"/>
        <s u="1" v="[Mobile &amp; Desktop DMP] Collect Hash on Emails entered on Websites"/>
        <s u="1" v="[BC][EXP] Clean up Launch Darkly Analytics"/>
        <s u="1" v="[Mobile] Lead and Source Tracking (formerly PPC)"/>
        <s u="1" v="[DT] 2021 Tax Season Emails"/>
        <s u="1" v="[EXP] Make Current Address Field Collapsible"/>
        <s u="1" v="[EXP-OPT] PPC Personalization - No Credit Check"/>
        <s u="1" v="[EXP] Mobile Homepage With KBB Genius Tool"/>
        <s u="1" v="[Salmon KBB] Enable KBB Widget for Texas Dealerships"/>
        <s u="1" v="[COVID][BC][EMAIL] Insert COVID Message into Existing Email Templates"/>
        <s u="1" v="[Desktop] Show Reserved Vehicles Online"/>
        <s u="1" v="[BC] Add routename and subroutename on all pageview analytics"/>
        <s u="1" v="[DTM P2] SUAC/TUAC"/>
        <s u="1" v="[Mobile] Show Reserved Vehicles Online"/>
        <s u="1" v="[PROD] Redirect on VFT and DSR routes for states that do not have a dealership or have deprecated content"/>
        <s u="1" v="[Desktop] Update Best Sellers list"/>
        <s u="1" v="[BC NEXT] Phase 3: Account Settings"/>
        <s u="1" v="R1 UAT: SAV Confirmation (generic, vehicle, dealership)"/>
        <s u="1" v="Deprecate unused svgs from the code"/>
        <s u="1" v="Update Vehicle Filters to be Consistent between Desktop and Mobile"/>
        <s u="1" v="[BC][EMAIL] Paymentus Notify Chargeoff email send"/>
        <s u="1" v="[EXP] Implement Winner of Mobile SUAC/TUAC"/>
        <s u="1" v="Deficiency Collection Tax Time Email Communication"/>
        <s u="1" v="[EXP] Competitor Paid Search Landings"/>
        <s u="1" v="Update Footer to State &quot;Blog&quot; instead of &quot;Under the Hood&quot;"/>
        <s u="1" v="Redesign Modification Qualify Email"/>
        <s u="1" v="[BC][EMAIL] Email redesign clean up"/>
        <s u="1" v="Remove Bad Credit Verbiage (Desktop, Mobile, Microsites) 1 of 3"/>
        <s u="1" v="[Salmon]: Lead Vehicle Visibility (Desktop &amp; .NET Mobile]"/>
        <s u="1" v="[COVID][BC][EMAIL] Stimulus Email #5"/>
        <s u="1" v="Change VSR Default Sort"/>
        <s u="1" v="[PROD] BoldChat Launching from Rogue Pixel"/>
        <s u="1" v="[BC] Upcoming Maintenance Pop-up"/>
        <s u="1" v="[VDP Desktop and .NET Mobile]: Implement KBB Price Advisor Widget"/>
        <s u="1" v="[BC][Email] Charged Off Clear Repo Resume IL"/>
        <s u="1" v="[PROD] Advice Center 404s When Adding Comment"/>
        <s u="1" v="[Mobile] Add KBB ICO on Dealership Details Page"/>
        <s u="1" v="[DTM] Adjust logic to include dealership open and close time"/>
        <s u="1" v="[Mobile] Add price disclaimer to DDP &amp; VDP"/>
        <s u="1" v="[PROD BUG] Selected Dealership persists when navigating to generic VSR with filters set"/>
        <s u="1" v="[BC][Email]Stimulus (Round 2)"/>
        <s u="1" v="[Mobile &amp; Desktop] Update VSR Filters (Year, Mileage, Price) for Salmon Inventory Strategy"/>
        <s u="1" v="[COVID][BC] Meta Description on Coronavirus Page"/>
        <s u="1" v="[EXP] Finance Shopper PPC 2.0"/>
        <s u="1" v="[Mobile] Progressive AppCert Loading"/>
        <s u="1" v="[DTM] Plaid Integration"/>
        <s u="1" v="[BC][Email] Collections Email Pilot: Next Steps"/>
        <s u="1" v="[PROD][BUG][VDP] &quot;Coming Soon&quot; place holder for vehicle image does not load properly"/>
        <s u="1" v="Mobile R1: Mobile Geolocation Logic"/>
        <s u="1" v="Angular Upgrade"/>
        <s u="1" v="[BC][PAYMENTUS] Notice to Text to Pay"/>
        <s u="1" v="Two-Way-Text Online Pilot"/>
        <s u="1" v="Mobile R1 - SEO Global Catch All"/>
        <s u="1" v="[COMMUNICATIONS] Research Genesys"/>
        <s u="1" v="[BC][Email] Charged off Strategy Email: PCO &amp; Voluntary Surrenders"/>
        <s u="1" v="[EXP] DESKTOP: BHPH Landing Page"/>
        <s u="1" v="[BC][EMAIL] BC-Carvana Cobranded"/>
        <s u="1" v="[Desktop] Dealer Group Referral Program (PARTNER)"/>
        <s u="1" v="[Email] Charged Off Clear Repo MD"/>
        <s u="1" v="Inject KBB Price Advisor in DeskIt Comment"/>
        <s u="1" v="[DTM] Incrementalvehiclepageviews API request is 404ing in feat branches and test"/>
        <s u="1" v="[EXP] Banners on VSR"/>
        <s u="1" v="[PROD] Chattanooga Store Relocation"/>
        <s u="1" v="R1 UAT: Approval Cert"/>
        <s u="1" v="[BC] Update Hero Image"/>
        <s u="1" v="Google Chrome Cookie Attribute Change"/>
        <s u="1" v="[DTM][EXP] Vehicle Location Placement on Mobile VSR"/>
        <s u="1" v="[BC][PAYMENTUS] Updates to bridgecrest.com for Paymentus"/>
        <s u="1" v="[Mobile] Search Results for vehicles goes to SAV (user cannot access vehicle details)"/>
        <s u="1" v="[PPC] Add Model &amp; Trim for new Inventory"/>
        <s u="1" v="[ANALYTICS] Pass ClientID Through the Ispot Pixel"/>
        <s u="1" v="Automate Super Hot 2nd Pass Text Campaign"/>
        <s u="1" v="[PROD] iOS &amp; App Map Bugs"/>
        <s u="1" v="[Desktop] Permanent Re-Directs"/>
        <s u="1" v="Add Vehicle Trim Levels to Display"/>
        <s u="1" v="[DTM][STORE OPENING] Reno opening 5/21/21"/>
        <s u="1" v="[EXP] Switch to native SPA Function in Optimizely"/>
        <s u="1" v="[EXP] IMPLEMENT Winner of Car Loans &amp; BHPH PPC Experiments"/>
        <s u="1" v="[EXP] Implement Winners of VSR Banners and CTA Experiments"/>
        <s u="1" v="Google Search Console performance data API connection"/>
        <s u="1" v="[Mobile] Change SEO VSR Sort"/>
        <s u="1" v="[Desktop][Site Speed] First Contentful Paint (FCP)"/>
        <s u="1" v="DESKTOP: Change Default VSR Sort on DT Select"/>
        <s u="1" v="Mobile R1: Sitemap and Robots"/>
        <s u="1" v="[EXP] Add CTA to VSR Cards"/>
        <s u="1" v="[Desktop] Account for Additional Photo Count"/>
        <s u="1" v="[EXP] CTA on GA2"/>
        <s u="1" v="[COVID][BC][EMAIL] Charge-off Early Awareness"/>
        <s u="1" v="[Desktop] Update Sold and Layaway Banner Verbiage"/>
        <s u="1" v="[Desktop] Show Sold Vehicles Online"/>
        <s u="1" v="Mobile R1: SAV"/>
        <s u="1" v="[Mobile] Clear Filters on Site Entrance"/>
        <s u="1" v="Remove Lead Form from VDP AutoCheck Display"/>
        <s u="1" v="[DTM] Containerizing Pre-Work"/>
        <s u="1" v="Vehicle Feed for Facebook"/>
        <s u="1" v="R1.5 UAT Clean-up Items"/>
        <s u="1" v="[EXP] DESKTOP Move Phone to GA2"/>
        <s u="1" v="[BC][PAYMENTUS] Light Auth"/>
        <s u="1" v="[Desktop] DMP: Salesforce Data Management Platform"/>
        <s u="1" v="[Mobile] Make/Model Counts based on Filter Changes"/>
        <s u="1" v="[DTM] Homepage"/>
        <s u="1" v="Remove DMP From Site Load"/>
        <s u="1" v="[PROD] Fix vehicle 6-pack zip truncating issue"/>
        <s u="1" v="Drive Type (PC18006A)"/>
        <s u="1" v="[App] Update iOS SDK for DriveTime App"/>
        <s u="1" v="[PROD] Fix Blank MPG format on VDP"/>
        <s u="1" v="[EXP] Add Previous Address Field to GA2"/>
        <s u="1" v="[Email] DT Co-Branded BC/SR Thank-you Email"/>
        <s u="1" v="[STORE OPENING] Test Athens, GA Store Opening"/>
        <s u="1" v="[DT][EMAIL] Stimulus Round 2 Email Campaign"/>
        <s u="1" v="[TEST] Chattanooga Store Relocation"/>
        <s u="1" v="[DTM] Optimizely Implementation Updates"/>
        <s u="1" v="[Mobile &amp; Desktop] Price Disclaimer Update"/>
        <s u="1" v="Remove Outside Dependency for bridgecrest.com build pipeline"/>
        <s u="1" v="[EXP] Inventory Mix - Adjust % of Core Vehicles"/>
        <s u="1" v="[BC][EMAIL] Remove Feature Flag and Deprecate Socketlabs"/>
        <s u="1" v="[iOS APP] App Specific Homepage and iOS Static Menu"/>
        <s u="1" v="R1 UAT: VDP"/>
        <s u="1" v="Fix URL Stripping on VSR Landing"/>
        <s u="1" v="[BC NEXT][Account Settings] App Menu + Account Settings"/>
        <s u="1" v="[DTM] VFT Articles"/>
        <s u="1" v="[Mobile &amp; Desktop] Body Type Filters (Correct vehicles marked as Sedans and Fix Mobile Body Type Filter)"/>
        <s u="1" v="[BC][Email] Move all 30 CCR to Total Amount"/>
        <s u="1" v="[EXP] Deprecate Optimizely Web X"/>
        <s u="1" v="[Mobile] Misc Prerender Changes (Aug 2018)"/>
        <s u="1" v="[Mobile]: Experian AutoCheck &quot;1 Owner&quot; &quot;No Accidents&quot; on VDP"/>
        <s u="1" v="Tax Season Upgrade Email Audience Build"/>
        <s u="1" v="[DTM][EXP] Add &quot;The Zebra&quot; variation to Insurance Comparison Experiment"/>
        <s u="1" v="[Desktop] Allow VSR and DSR Pages to be Indexed by Bots"/>
        <s u="1" v="[ANALYTICS] Implement the Google Floodlight Tag"/>
        <s u="1" v="[BC][EMAIL] December Early CCO/CCR email sends"/>
        <s u="1" v="[EXP] Add Process Video to App Cert"/>
        <s u="1" v="Update VDP Highlighted Vehicle Features (reprioritize and make consistent)"/>
        <s u="1" v="[SILVERROCK] Phase 1: Infrastructure"/>
        <s u="1" v="[BC][EMAIL] Separate Clear Credit Reporting and Clear Charge Off Email sends"/>
        <s u="1" v="Log Additional AI Metrics for Responsive"/>
        <s u="1" v="[BC NEXT] App Builds - DevOps work"/>
        <s u="1" v="[BC] Tech Investment"/>
        <s u="1" v="NACHA Required Change, March 2022"/>
        <s u="1" v="[JAMS] Online Changes to Point to updated SharedDimensions"/>
        <s u="1" v="[EXP][DTM] Insurance Comparison Experiment on App Cert"/>
        <s u="1" v="1:1:1 Phase 1 - POC"/>
        <s u="1" v="Make Vehicle Features Consistent between Mobile and Desktop site"/>
        <s u="1" v="[EXP] VDP Round 4 + Reserve Verbiage"/>
        <s u="1" v="[BC][EMAIL] Charge-off Resuming Repo Notice"/>
        <s u="1" v="Mobile: Allow Users to Zoom/Enlarge Vehicle Photos"/>
        <s u="1" v="[DTM] Update FMP alerts to look at Homepage FMP vs Total FMP"/>
        <s u="1" v="[BC][EMAIL] December LDM CCO/CCR email sends"/>
        <s u="1" v="[BC][EMAIL] November LDM CCO/CCR email sends"/>
        <s u="1" v="Site Brand and Verbiage Updates"/>
        <s u="1" v="[DTM] DeepCrawl Data Integration"/>
        <s u="1" v="[PLATFORM] Expose CO accounts to BC Next"/>
        <s u="1" v="[Desktop &amp; Mobile] Remove Google+ Links from our websites"/>
        <s u="1" v="[DTM][PLAID] Implement OAuth into the Plaid integration on DTM"/>
        <s u="1" v="Update Credit Consent Disclaimer"/>
        <s u="1" v="R1 UAT: Global (Nav, Header, Footer, etc.)"/>
        <s u="1" v="[Mobile/Desktop] Speed up Responsive VFT Pages"/>
        <s u="1" v="[DTM][CCPA] Update the Request More Info link"/>
        <s u="1" v="[Mobile][Site Speed] Desktop to Mobile Redirects"/>
        <s u="1" v="[EXP] GA1/GA2 Verbiage + See Financing Options CTAs"/>
        <s u="1" v="[Desktop] Approval Path Page Enhancements (Prior to GA2 Experiments)"/>
        <s u="1" v="[BC][EMAIL] Email Redesign Prep Work"/>
        <s u="1" v="Automate Clear Charge Off Emails"/>
        <s u="1" v="[BC NEXT] Phase 2: App - ACH One Time Payment"/>
        <s u="1" v="Desktop: [AutoCheck] Implement 1 Owner, 0 Accidents on VDP"/>
        <s u="1" v="Email Bug Fixes"/>
        <s u="1" v="[Mobile] Remove Bad Credit Verbiage (3 of 3)"/>
        <s u="1" v="[EXP] Step-by-Step GA 2.0"/>
        <s u="1" v="[BC][Email] CCR Updates October 2020"/>
        <s u="1" v="[Prod][BUG] Converting DTM-Button-Old to new DTM-Button component"/>
        <s u="1" v="[Email] Update Price Disclaimer"/>
        <s u="1" v="Mobile: Desktop to Mobile Redirect Logic"/>
        <s u="1" v="[COVID][BC] SSP Enhancements - Modal, Banner"/>
        <s u="1" v="[EXP] Remove High Tier Vehicles From Site"/>
        <s u="1" v="[Salmon] Allow Users to Filter by Leather on Desktop"/>
        <s u="1" v="Mobile R1.5: Add Vehicle Trim Levels to Display on VSR and VDP"/>
        <s u="1" v="[DTM][PLAID] Update verbiage in Plaid Success modal"/>
        <s u="1" v="[APP] Android App text issues"/>
        <s u="1" v="[BC][Email] Collections Email Pilot: Next Steps - Delinquent Payment Reminder"/>
        <s u="1" v="[EXP] Add Indicator to Applied Filters"/>
        <s u="1" v="[Mobile][Site Speed] Track First Meaningful Paint (FMP)"/>
        <s u="1" v="Motion GPS: Multiple Email Address Error Handling"/>
        <s u="1" v="Modularized Framework"/>
        <s u="1" v="Update AutoCheck Call to Enable Mobile View"/>
        <s u="1" v="[Mobile &amp; Desktop] AI Logging for Azure Search"/>
        <s u="1" v="[MOTIONGPS] Android App GeoFence Fix"/>
        <s u="1" v="[SILVERROCK] Phase 1: Homepage"/>
        <s u="1" v="[Email] Compress Email Template Code"/>
        <s u="1" v="[DTM] Dealer Search Results"/>
        <s u="1" v="[Desktop] Online Updates for OLTP Split"/>
        <s u="1" v="[PROD]Campaign ID/Google Ad Words Prod Issue"/>
        <s u="1" v="[DT][COVID][EMAIL] COVID Insert on 3 DT Templates"/>
        <s u="1" v="CCPA Updates"/>
        <s u="1" v="[EXP-OPT] PPC Personalization - Buy Here Pay Here"/>
        <s u="1" v="[EXP] Add a Down Payment Variation to Vehicle PPC Personalization"/>
        <s u="1" v="[BC NEXT][Manage Payments] (3 of 3) Phase 2: App - Manage Debit Cards"/>
        <s u="1" v="[DTM] Backend SEO Enhancements"/>
        <s u="1" v="[DTM] AI Data &amp; Analytic Events"/>
        <s u="1" v="Mobile R1: Approval Path/Certificate"/>
        <s u="1" v="[Mobile] Show Sold Vehicles Online"/>
        <s u="1" v="[BC][EMAIL] Update file generation stored procedures to multiple schedules per file"/>
        <s u="1" v="[COVID][DT][EXP] Appointment Banner + Hero Text on Homepage"/>
        <s u="1" v="[DTM][PROD BUG] Fix Styling Bug on Vehicle Summary Card"/>
        <s u="1" v="[BC NEXT] App Builds"/>
        <s u="1" v="[EXP] DESKTOP: Above the Fold Homepage Rework"/>
        <s u="1" v="[Mobile] Enhance Loading State on Page Load"/>
        <s u="1" v="[Mobile] Add KBB ICO on Homepage and VSR"/>
        <s u="1" v="[DT][EMAIL] Credit Loosening 2020"/>
        <s u="1" v="[ANALYTICS] JAMS job that updates Accuranker tables is not populating"/>
        <s u="1" v="[EXP] Mobile Homepage for Return Users"/>
        <s u="1" v="[Salmon] Update VSR Sort to Show DriveTime Select Vehicles First"/>
        <s u="1" v="[Mobile] Add KBB ICO to Hamburger Menu"/>
        <s u="1" v="[EXP] DESKTOP Vehicle Shopper Homepage Personalization"/>
        <s u="1" v="[BC][EMAIL} Early December CCO Emails"/>
        <s u="1" v="[DTM] Additional 2021 Tax Season Email"/>
        <s u="1" v="[EXP] GA1/GA2 Verbiage Round 1.5"/>
        <s u="1" v="[Desktop] Search Results for vehicles goes to SAV (user cannot access vehicle details)"/>
        <s u="1" v="[Advice Center] Desktop Header/Footer Updates for Advice Center"/>
        <s u="1" v="[Alerting] Website Fail-Safe for New Make/Model/Series to Inventory"/>
        <s u="1" v="[BC][Email] Clear Credit Reporting Reduced Delinquency Templates"/>
        <s u="1" v="E2E Initiative - ADO Cleanup"/>
        <s u="1" v="[BC][EMAIL] Email Redesign Phase 1: Welcome Email"/>
        <s u="1" v="[MOBILE] Phase 1: Pagination for Default VSR"/>
        <s u="1" v="[DTM][EXP] Implement Winner of Disclaimers Experiment"/>
        <s u="1" v="R1 UAT: DSR"/>
        <s u="1" v="[DTM][COMPLIANCE] Update the downpayment comparison disclaimer"/>
        <s u="1" v="Incorporate Time Stamp into Socketlabs Appointment Reminder Emails"/>
        <s u="1" v="Mobile R1: Vehicle Detail"/>
        <s u="1" v="[BC][PAYMENTUS] Debit Card Wallet Management - Delete Function"/>
        <s u="1" v="[EXP] VDP Phase 3 &quot;Frankie&quot;"/>
        <s u="1" v="[DTM] Advice Center Header/Footer"/>
        <s u="1" v="[DTM] Store Closure - NW Freeway"/>
        <s u="1" v="[SITE SPEED] Amp POC with Google"/>
        <s u="1" v="[EXP-OPT] PPC Personalization - No Credit"/>
        <s u="1" v="[EXP] MOBILE Move Phone Number to GA2"/>
        <s u="1" v="[BC] Hamburger Menu Bug"/>
        <s u="1" v="[Tax Season] 2020 Tax Season Emails"/>
        <s u="1" v="[DTM] Link to COVID Precautions"/>
        <s u="1" v="PPC Data Feed Import (Car Gurus)"/>
        <s u="1" v="[DTM] Phase 1 Post Deployment Swarm"/>
        <s u="1" v="[BC NEXT] Mobile App Pilot - DE"/>
        <s u="1" v="[BC][EMAIL] Deadline Debit/ACH email send"/>
        <s u="1" v="[PLATFORM][Phase 3] PCO eligibility and plan options"/>
        <s u="1" v="[Mobile] Update &quot;Low Mileage&quot; Feature Logic"/>
        <s u="1" v="[BC NEXT] Phase 2:  Login"/>
        <s u="1" v="[DTM][GFD] Update Inventory Survey Questions"/>
        <s u="1" v="[DESKTOP] Change Location Logic for Down Payment, Inventory and Dealerships"/>
        <s u="1" v="R1 UAT: SAV (generic, vehicle, dealership)"/>
        <s u="1" v="[Mobile]: Pre-Filtered VSR Tech Work"/>
        <s u="1" v="[PROD] DTM Update for Dealership Redirects to go to Redis"/>
        <s u="1" v="[Mobile][Site Speed]First Input Delay (FID), Cloaking"/>
        <s u="1" v="Optimizely Full Stack POC Integration"/>
        <s u="1" v="Lead Targeting for Marketing"/>
        <s u="1" v="[PROD] Instagram link on DTM and in marketing emails broken"/>
        <s u="1" v="[DTM] Support Desktop Paths on DTM"/>
        <s u="1" v="[SEO] Update Third Party Vehicle Listings to use links to VDP and DDP"/>
        <s u="1" v="[PROD] Redirect on VFT and DSR routes for Little Rock"/>
        <s u="1" v="[EXP] Full Stack POC: Step-by-Step Approval Path"/>
        <s u="1" v="[BC NEXT][Manage Payments] (2 of 3) Phase 2: App - Manage Bank Account"/>
        <s u="1" v="Mobile R1: Implement Bold Chat on Node Mobile (VSR, Customer Service, VDP, Hamburger Menu)"/>
        <s u="1" v="[DESKTOP] Update SEO routes to display vehicles when there is zero inventory"/>
        <s u="1" v="[BC][EMAIL] Clear Credit - Last Day of Month"/>
        <s u="1" v="[DTM] SAV Step 1, 2 and Confirmation"/>
        <s u="1" v="[Desktop] Use Memcache to reduce load on Redis"/>
        <s u="1" v="[SSP][PAYMENTUS] Post Debit Card Wallet Go Live Clean Up"/>
        <s u="1" v="[BC][EMAIL] Clear Charge Off - Last Chance"/>
        <s u="1" v="[BC][EMAIL] C07 - Early Settlement Offer"/>
      </sharedItems>
    </cacheField>
    <cacheField databaseField="1" hierarchy="0" level="0" name="ModifiedCycleTime" numFmtId="0" sqlType="0" uniqueList="1">
      <sharedItems containsBlank="1" containsInteger="1" containsNumber="1" containsString="0" count="0" maxValue="56" minValue="0"/>
    </cacheField>
    <cacheField databaseField="1" hierarchy="0" level="0" name="CycleTime" numFmtId="0" sqlType="0" uniqueList="1">
      <sharedItems containsBlank="1" containsNumber="1" containsString="0" count="0" maxValue="134.9286111111111" minValue="0"/>
    </cacheField>
    <cacheField databaseField="1" hierarchy="0" level="0" name="Release" numFmtId="0" sqlType="0" uniqueList="1">
      <sharedItems containsBlank="1" count="0"/>
    </cacheField>
    <cacheField databaseField="1" hierarchy="0" level="0" name="AssociatedUserStory" numFmtId="0" sqlType="0" uniqueList="1">
      <sharedItems containsBlank="1" count="0"/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createdVersion="8" minRefreshableVersion="3" recordCount="835" refreshOnLoad="1" refreshedBy="Gregory Lee" refreshedDate="44929.37005925926" refreshedVersion="8" r:id="rId1">
  <cacheSource type="worksheet">
    <worksheetSource ref="A1:L1048576" sheet="Stories"/>
  </cacheSource>
  <cacheFields count="12">
    <cacheField databaseField="1" hierarchy="0" level="0" name="Id" numFmtId="0" sqlType="0" uniqueList="1">
      <sharedItems containsBlank="1" count="0"/>
    </cacheField>
    <cacheField databaseField="1" hierarchy="0" level="0" name="Name" numFmtId="0" sqlType="0" uniqueList="1">
      <sharedItems containsBlank="1" count="0"/>
    </cacheField>
    <cacheField databaseField="1" hierarchy="0" level="0" name="IssueType" numFmtId="0" sqlType="0" uniqueList="1">
      <sharedItems containsBlank="1" count="0"/>
    </cacheField>
    <cacheField databaseField="1" hierarchy="0" level="0" name="Project" numFmtId="0" sqlType="0" uniqueList="1">
      <sharedItems containsBlank="1" count="0"/>
    </cacheField>
    <cacheField databaseField="1" hierarchy="0" level="0" name="Team" numFmtId="0" sqlType="0" uniqueList="1">
      <sharedItems containsBlank="1" count="4">
        <s v="BC Digital Drakon"/>
        <s v="BC Digital Comet"/>
        <s v="BC Digital Wyvern"/>
        <m/>
      </sharedItems>
    </cacheField>
    <cacheField databaseField="1" hierarchy="0" level="0" name="Week" numFmtId="0" sqlType="0" uniqueList="1">
      <sharedItems containsBlank="1" count="0"/>
    </cacheField>
    <cacheField databaseField="1" hierarchy="0" level="0" name="Developer" numFmtId="0" sqlType="0" uniqueList="1">
      <sharedItems containsBlank="1" count="0"/>
    </cacheField>
    <cacheField databaseField="1" hierarchy="0" level="0" name="Feature" numFmtId="0" sqlType="0" uniqueList="1">
      <sharedItems containsBlank="1" count="128">
        <s v="[BC NEXT] Bug Fixes/Enhancements for July"/>
        <s v="[BC NEXT] Phase 3: Account Settings/My Profile"/>
        <s v="[BC NEXT][WEB] Phase 3: Homepage"/>
        <s v="[BC Next] 90% Rule Implementation"/>
        <s v="[BC NEXT][WEB] Phase 3: Dashboard"/>
        <s v="[BC NEXT] Prior to Launch Tech Investment"/>
        <s v="[BC NEXT] Regression Testing &amp; App Bug Fixes"/>
        <s v="[BC NEXT] Bug Fixes/Enhancements for June Release"/>
        <s v="[BC NEXT] Bug Fixes for April App Release"/>
        <s v="[BC NEXT] Bug Fixes/Enhancements for August"/>
        <s v="[BC NEXT][WEB] Phase 3: Account Settings"/>
        <s v="[SSP][EXP] Payoff Quote Survey"/>
        <s v="[BC NEXT]Phase 3: Manage Modifications Page"/>
        <s v="[BC NEXT] Paymentus Quick Access Page"/>
        <s v="[BC NEXT] Force App Update"/>
        <s v="null"/>
        <s v="[BC NEXT]Phase 3: Payoff Quote"/>
        <s v="[BC NEXT]Phase 3: Customer Support Center"/>
        <s v="[BC NEXT]Phase 3: Payment Plan (PTC)"/>
        <s v="[BC NEXT][WEB] Phase 3: Technical Backend Setup"/>
        <s v="[BC NEXT][WEB]Phase 3: Auth0 Website Integration"/>
        <s v="[BC NEXT][WEB] Phase 3: Payment Options"/>
        <s v="[BC NEXT][WEB] Phase 3: ACH One Time Payment"/>
        <s v="[BC NEXT][WEB] Phase 3: AutoPay Enrollment"/>
        <s v="[BC NEXT][WEB] Adaptive MFA in Auth0"/>
        <s v="[BC NEXT] Phase 3: Web - AP Past Due"/>
        <s v="[BC NEXT] Impersonation"/>
        <s v="[BC NEXT] Phased Rollout"/>
        <s v="[BC NEXT][WEB] Phase 3: Misc Pages"/>
        <s v="[BC NEXT][WEB] Phase 3: Login Pages"/>
        <s v="[BC NEXT]Phase 3: Manage Modifications and Plan to Cure Banners"/>
        <s v="Register Email Deep Linking"/>
        <s v="[BC NEXT] Mobile App Pilot - App Dev"/>
        <s v="[BC NEXT] App Launch Communications"/>
        <s v="[BC NEXT] Push Notifications Research"/>
        <s v="[BC NEXT] TWT Widget"/>
        <s v="[BC NEXT] Introduce Smart App Banner to BC Next"/>
        <s v="App/Web Launch Communications"/>
        <s v="[BC] 2022 Tax Time Communication (Emails and SSP)"/>
        <s v="[COMMUNICATIONS][Phase 2] Charged off Emails and Texts"/>
        <s v="[COMMUNICATIONS][Phase 3] PCO Emails and Texts"/>
        <s v="[BC NEXT] BC Next Automation Tests"/>
        <s v="[BC NEXT] Research Seamless Login"/>
        <s v="Expose Extension and Payment Frequency for BC Next to consume"/>
        <s v="[PLATFORM][Phase 1] Expose CO accounts to BC Next"/>
        <s v="[BC NEXT] Persist 'No Thanks' Selection"/>
        <s v="Google Analytics 4"/>
        <s v="Redirect registration emails triggered from our Dev/Test environment"/>
        <s v="MFA Enhancements"/>
        <s v="Expose PTC for BC Next to consume"/>
        <s v="[PLATFORM][Phase 2] Charged Off Self Service Experience"/>
        <s v="1:1:1 Phase 1 - Technical Research"/>
        <s v="[COMMUNICATIONS] TWT Widget and Campaigns in Genesys"/>
        <s v="Trigger Based Message Text"/>
        <s v="[COMMUNICATIONS] Automate Clear Charge Off Emails"/>
        <s v="Redesign Extension and Payment Frequency Communication Experience"/>
        <s v="[COMMUNICATIONS] Bridgecrest as Servicer clarity"/>
        <s v="[COMMUNICATIONS] Automate Analytics Semi-Monthly OWT"/>
        <s v="[BC NEXT][EXP] Account Balance"/>
        <s v="CSO Email Multivariate Testing Phase 1"/>
        <s v="CSO Email Multivariate Testing Phase 2"/>
        <s v="[BC NEXT] Nice To Have Tech Investment"/>
        <s v="[BC NEXT] Bug Fixes/Enhancements for September"/>
        <s v="[BC NEXT] Bug Fixes/Enhancements for November"/>
        <s v="[BC NEXT] Payment Authorization Updates"/>
        <s v="[COMMUNICATIONS] Update Assigned for Repo Texts"/>
        <s v="[COMMUNICATIONS] Mini Miranda"/>
        <s v="Communications Tech Investment"/>
        <s v="[COMMUNICATIONS] CSO Update"/>
        <s v="[COMMUNICATIONS] Charge Off Test"/>
        <s v="KM2Outage"/>
        <s v="[COMMUNICATIONS] Privacy Policy"/>
        <s v="Duplicate Payment Outage"/>
        <s v="[COMMUNICATIONS] Update Payoff Quote with California disclaimer"/>
        <s v="[COMMUNICATIONS] 2023 Tax Communications"/>
        <s v="[COMMUNICATIONS] DC 5 in 7 Regulation"/>
        <s v="[PLATFORM] Research Fullstory vs. Datadog"/>
        <s v="[PLATFORM] Implement Fullstory"/>
        <s v="Platform Tech Investment"/>
        <m/>
        <s u="1" v="[BC NEXT] Phase 2: App - No Accounts"/>
        <s u="1" v="[BC NEXT] Phase 2: Payment Options"/>
        <s u="1" v="[BC NEXT] SSP Pending Payments Disclaimer Text Updates"/>
        <s u="1" v="[BC NEXT] Agent Visibility to BCNEXT App Events"/>
        <s u="1" v="[PLATFORM] Charged Off Self Service Experience"/>
        <s u="1" v="[BC NEXT] Stitching"/>
        <s u="1" v="[BC NEXT][Manage Payments] (3 of 3) Phase 2: App - Manage Debit Cards"/>
        <s u="1" v="[BC NEXT] App Builds"/>
        <s u="1" v="[BC NEXT] Seamless Login"/>
        <s u="1" v="Automate Clear Charge Off Emails"/>
        <s u="1" v="BC: Implement Experimentation Platform"/>
        <s u="1" v="[BC NEXT] [Dashboard] (1 of 2) Account Summary + AutoPay Prompt + Scaffolding"/>
        <s u="1" v="[BC NEXT][Manage Payments] (2 of 3) Phase 2: App - Manage Bank Account"/>
        <s u="1" v="[BC][NEXT] Foundation 1"/>
        <s u="1" v="[BC NEXT][Account Settings] App Menu + Account Settings"/>
        <s u="1" v="[PLATFORM] PCO eligibility and plan options"/>
        <s u="1" v="[BC][EXP] Clean up Launch Darkly Analytics"/>
        <s u="1" v="[BC NEXT] Phase 2:  Login"/>
        <s u="1" v="[BC] Analytic Event Work on SSP"/>
        <s u="1" v="[BC NEXT] App alerts"/>
        <s u="1" v="[BC][NEXT] Foundation 2"/>
        <s u="1" v="[BC NEXT] Phase 2: App - Feature Flag Platform"/>
        <s u="1" v="[BC NEXT] Phase 2: Retrieve Customer Account Info"/>
        <s u="1" v="[BC NEXT] Phase 2: App - Legal Pages"/>
        <s u="1" v="[BC NEXT] Foundation 3"/>
        <s u="1" v="[BC NEXT][Manage Payments] (1 of 3) Phase 2: App - Manage Payments"/>
        <s u="1" v="[BC NEXT] Phase 2: App - AutoPay Enrollment"/>
        <s u="1" v="[BC NEXT] Mobile App Pilot - DE"/>
        <s u="1" v="[BC] Two-way Text Widget Expansion on SSP"/>
        <s u="1" v="[PLATFORM] Expose CO accounts to BC Next"/>
        <s u="1" v="CCR/CCO: October Updates"/>
        <s u="1" v="[BC NEXT] App Builds - DevOps work"/>
        <s u="1" v="[BC NEXT] Phase 2: App - ACH One Time Payment"/>
        <s u="1" v="[BC][EXP] Mobile Homepage CTA Test"/>
        <s u="1" v="[BC NEXT] Phase 2: App - Splashpage"/>
        <s u="1" v="[BC NEXT] Splash for Outages"/>
        <s u="1" v="[PLATFORM][Phase 3] PCO eligibility and plan options"/>
        <s u="1" v="[BC NOW] Analytics Updates for BEP"/>
        <s u="1" v="[BC NEXT] POC Automation Tests"/>
        <s u="1" v="[BC NEXT] [Dashboard] (2 of 2) Phase 2: App - Payment History"/>
        <s u="1" v="[BC NEXT] Phase 2: Analytics Fixes"/>
        <s u="1" v="[BC NEXT] Phase 3: Account Settings"/>
        <s u="1" v="[COMMUNICATIONS] Research Genesys"/>
        <s u="1" v="[BC NEXT]Phase 3: Customer Support"/>
        <s u="1" v="[BC NEXT] Bug Fixes/Enhancements for October"/>
        <s u="1" v="[BC NEXT] Code Base Foundation Research"/>
        <s u="1" v="[BC NOW] Analytics Foundational Work on SSP"/>
        <s u="1" v="[BC NEXT] Phase 2: App - Components"/>
      </sharedItems>
    </cacheField>
    <cacheField databaseField="1" hierarchy="0" level="0" name="ModifiedCycleTime" numFmtId="0" sqlType="0" uniqueList="1">
      <sharedItems containsBlank="1" containsInteger="1" containsNumber="1" containsString="0" count="0" maxValue="56" minValue="0"/>
    </cacheField>
    <cacheField databaseField="1" hierarchy="0" level="0" name="CycleTime" numFmtId="0" sqlType="0" uniqueList="1">
      <sharedItems containsBlank="1" containsNumber="1" containsString="0" count="0" maxValue="134.9286111111111" minValue="0"/>
    </cacheField>
    <cacheField databaseField="1" hierarchy="0" level="0" name="Release" numFmtId="0" sqlType="0" uniqueList="1">
      <sharedItems containsBlank="1" count="0"/>
    </cacheField>
    <cacheField databaseField="1" hierarchy="0" level="0" name="AssociatedUserStory" numFmtId="0" sqlType="0" uniqueList="1">
      <sharedItems containsBlank="1" count="0"/>
    </cacheField>
  </cacheFields>
</pivotCacheDefinition>
</file>

<file path=xl/pivotCache/pivotCacheRecords1.xml><?xml version="1.0" encoding="utf-8"?>
<pivotCacheRecords xmlns="http://schemas.openxmlformats.org/spreadsheetml/2006/main" count="835">
  <r>
    <s v="133021"/>
    <s v="[BC NEXT][APP] User seeing black screen after downloading the app"/>
    <s v="UserStory"/>
    <x v="0"/>
    <x v="0"/>
    <s v="29"/>
    <m/>
    <x v="0"/>
    <n v="1"/>
    <n v="50.12478009259259"/>
    <s v="135225"/>
    <m/>
  </r>
  <r>
    <s v="139151"/>
    <s v="[BC NEXT] My Profile - Create Email Address Modals"/>
    <s v="UserStory"/>
    <x v="0"/>
    <x v="0"/>
    <s v="47"/>
    <s v="Shyam Senthil Nathan"/>
    <x v="1"/>
    <n v="1"/>
    <n v="26.1574074074074"/>
    <s v="144897"/>
    <m/>
  </r>
  <r>
    <s v="140057"/>
    <s v="[BC NEXT] My Profile - Create Call Window Preferences Mutations"/>
    <s v="UserStory"/>
    <x v="0"/>
    <x v="0"/>
    <m/>
    <m/>
    <x v="1"/>
    <m/>
    <m/>
    <m/>
    <m/>
  </r>
  <r>
    <s v="140689"/>
    <s v="[BC NEXT] My Profile - Create Auth0 Login Email Update Mutation"/>
    <s v="UserStory"/>
    <x v="0"/>
    <x v="0"/>
    <m/>
    <m/>
    <x v="1"/>
    <m/>
    <m/>
    <m/>
    <m/>
  </r>
  <r>
    <s v="141568"/>
    <s v="[BC NEXT] My Profile - Create Call Preferences Page"/>
    <s v="UserStory"/>
    <x v="0"/>
    <x v="0"/>
    <m/>
    <s v="Yokeshwaran Lokanathan"/>
    <x v="1"/>
    <m/>
    <m/>
    <m/>
    <m/>
  </r>
  <r>
    <s v="125437"/>
    <s v="[BC NEXT] Homepage - ADA Compliance"/>
    <s v="UserStory"/>
    <x v="0"/>
    <x v="0"/>
    <s v="08"/>
    <s v="Abbas Shamshi"/>
    <x v="2"/>
    <n v="6"/>
    <n v="24.27043981481481"/>
    <s v="127782"/>
    <m/>
  </r>
  <r>
    <s v="126339"/>
    <s v="[BC NEXT] Dashboard: 90% Rule"/>
    <s v="UserStory"/>
    <x v="0"/>
    <x v="0"/>
    <s v="06"/>
    <s v="Pete Wesselius"/>
    <x v="3"/>
    <n v="0"/>
    <n v="17.31501157407407"/>
    <s v="126506"/>
    <m/>
  </r>
  <r>
    <s v="126371"/>
    <s v="[BC NEXT][Web] Dashboard - Top Nav"/>
    <s v="UserStory"/>
    <x v="0"/>
    <x v="0"/>
    <s v="07"/>
    <s v="Joseph Kranak"/>
    <x v="4"/>
    <n v="4"/>
    <n v="14.15354166666667"/>
    <s v="127093"/>
    <m/>
  </r>
  <r>
    <s v="126374"/>
    <s v="[BC NEXT][Web] Dashboard - Account Summary"/>
    <s v="UserStory"/>
    <x v="0"/>
    <x v="0"/>
    <s v="12"/>
    <s v="Chirag Khandhar"/>
    <x v="4"/>
    <n v="11"/>
    <n v="34.97856481481481"/>
    <m/>
    <m/>
  </r>
  <r>
    <s v="126380"/>
    <s v="[BC NEXT][Web] Dashboard - Banners UI"/>
    <s v="UserStory"/>
    <x v="0"/>
    <x v="0"/>
    <s v="08"/>
    <s v="Chirag Khandhar"/>
    <x v="4"/>
    <n v="5"/>
    <n v="17.30171296296296"/>
    <m/>
    <m/>
  </r>
  <r>
    <s v="126386"/>
    <s v="[BC NEXT][Web] Dashboard - Recent Activity"/>
    <s v="UserStory"/>
    <x v="0"/>
    <x v="0"/>
    <s v="09"/>
    <s v="Joseph Kranak"/>
    <x v="4"/>
    <n v="2"/>
    <n v="20.15010416666667"/>
    <m/>
    <m/>
  </r>
  <r>
    <s v="126536"/>
    <s v="[BC NEXT][Web] Dashboard - Banner Logic"/>
    <s v="UserStory"/>
    <x v="0"/>
    <x v="0"/>
    <s v="08"/>
    <s v="Shyam Senthil Nathan"/>
    <x v="4"/>
    <n v="5"/>
    <n v="18.28605324074074"/>
    <m/>
    <m/>
  </r>
  <r>
    <s v="126557"/>
    <s v="[BC NEXT] Dashboard: Amount Due and Due Date Updates"/>
    <s v="UserStory"/>
    <x v="0"/>
    <x v="0"/>
    <s v="06"/>
    <s v="Yokeshwaran Lokanathan"/>
    <x v="5"/>
    <n v="0"/>
    <n v="9.574652777777777"/>
    <s v="126506"/>
    <m/>
  </r>
  <r>
    <s v="126834"/>
    <s v="[BC NEXT][WEB] Dropdown Component Update"/>
    <s v="UserStory"/>
    <x v="0"/>
    <x v="0"/>
    <s v="13"/>
    <s v="Shyam Senthil Nathan"/>
    <x v="4"/>
    <n v="8"/>
    <n v="43.04510416666667"/>
    <m/>
    <m/>
  </r>
  <r>
    <s v="126954"/>
    <s v="[BC NEXT] OTP: 90% Rule"/>
    <s v="UserStory"/>
    <x v="0"/>
    <x v="0"/>
    <s v="06"/>
    <s v="Yokeshwaran Lokanathan"/>
    <x v="3"/>
    <n v="0"/>
    <n v="2.569918981481481"/>
    <s v="126506"/>
    <m/>
  </r>
  <r>
    <s v="127001"/>
    <s v="[BC NEXT][Web] Dashboard - Side Nav"/>
    <s v="UserStory"/>
    <x v="0"/>
    <x v="0"/>
    <s v="10"/>
    <s v="Abbas Shamshi"/>
    <x v="4"/>
    <n v="8"/>
    <n v="15.0133912037037"/>
    <s v="128241"/>
    <m/>
  </r>
  <r>
    <s v="127170"/>
    <s v="[BC NEXT][Web] Keep User Logged In After Page Refresh"/>
    <s v="UserStory"/>
    <x v="0"/>
    <x v="0"/>
    <s v="10"/>
    <s v="Yokeshwaran Lokanathan"/>
    <x v="2"/>
    <n v="2"/>
    <n v="16.14922453703704"/>
    <s v="128241"/>
    <m/>
  </r>
  <r>
    <s v="127450"/>
    <s v="[BC NEXT][APP] MoneyGram link not working as expected"/>
    <s v="UserStory"/>
    <x v="0"/>
    <x v="0"/>
    <s v="26"/>
    <s v="Antonio Posada and Shyam Senthil Nathan"/>
    <x v="0"/>
    <n v="5"/>
    <n v="20.30810185185185"/>
    <s v="134694"/>
    <m/>
  </r>
  <r>
    <s v="127609"/>
    <s v="[BC NEXT][DASHBOARD] Add unit tests and fix final bugs for app launch"/>
    <s v="UserStory"/>
    <x v="0"/>
    <x v="0"/>
    <s v="07"/>
    <s v="Connor Golobich and Yokeshwaran Lokanathan and Pete Wesselius"/>
    <x v="6"/>
    <n v="0"/>
    <n v="0.1656365740740741"/>
    <s v="127658"/>
    <m/>
  </r>
  <r>
    <s v="128225"/>
    <s v="[BC NEXT] Maintain one global selected vehicle"/>
    <s v="UserStory"/>
    <x v="0"/>
    <x v="0"/>
    <s v="17"/>
    <s v="Shyam Senthil Nathan"/>
    <x v="7"/>
    <n v="3"/>
    <n v="27.23298611111111"/>
    <s v="130431"/>
    <m/>
  </r>
  <r>
    <s v="128556"/>
    <s v="[BC NEXT] Customer data clearing page refreshes/duplication to new tab/redirects"/>
    <s v="UserStory"/>
    <x v="0"/>
    <x v="0"/>
    <s v="20"/>
    <s v="Shyam Senthil Nathan"/>
    <x v="7"/>
    <n v="17"/>
    <n v="28.97296296296296"/>
    <s v="131389"/>
    <m/>
  </r>
  <r>
    <s v="128611"/>
    <s v="[BC NEXT] Add route based feature flags to control app access"/>
    <s v="UserStory"/>
    <x v="0"/>
    <x v="0"/>
    <s v="13"/>
    <s v="Shyam Senthil Nathan"/>
    <x v="8"/>
    <n v="2"/>
    <n v="8.444108796296296"/>
    <s v="129428"/>
    <m/>
  </r>
  <r>
    <s v="129035"/>
    <s v="Seeing Issue Processing page when session times out first time and user logs back in"/>
    <s v="UserStory"/>
    <x v="0"/>
    <x v="0"/>
    <s v="30"/>
    <s v="Pete Wesselius"/>
    <x v="9"/>
    <n v="1"/>
    <n v="106.0593287037037"/>
    <m/>
    <m/>
  </r>
  <r>
    <s v="129329"/>
    <s v="[BC NEXT][WEB] Account Settings - Manage Payments"/>
    <s v="UserStory"/>
    <x v="0"/>
    <x v="0"/>
    <s v="22"/>
    <s v="Yokeshwaran Lokanathan"/>
    <x v="10"/>
    <n v="4"/>
    <n v="39.37425925925925"/>
    <s v="133005"/>
    <m/>
  </r>
  <r>
    <s v="129450"/>
    <s v="[BC NEXT][WEB] Account Settings - Manage Debit Card and Manage Bank Accounts Modals"/>
    <s v="UserStory"/>
    <x v="0"/>
    <x v="0"/>
    <s v="25"/>
    <s v="Abbas Shamshi and Pete Wesselius"/>
    <x v="10"/>
    <n v="6"/>
    <n v="56.23140046296296"/>
    <s v="134248"/>
    <m/>
  </r>
  <r>
    <s v="129533"/>
    <s v="[BC NEXT][WEB] Account Settings - Accounts Settings"/>
    <s v="UserStory"/>
    <x v="0"/>
    <x v="0"/>
    <s v="22"/>
    <s v="Joseph Kranak"/>
    <x v="10"/>
    <n v="2"/>
    <n v="28.85519675925926"/>
    <s v="133076"/>
    <m/>
  </r>
  <r>
    <s v="129667"/>
    <s v="[SSP][EXP] Payoff Quote Survey"/>
    <s v="UserStory"/>
    <x v="0"/>
    <x v="0"/>
    <s v="20"/>
    <s v="Connor Golobich"/>
    <x v="11"/>
    <n v="3"/>
    <n v="28.19167824074074"/>
    <s v="132143"/>
    <m/>
  </r>
  <r>
    <s v="133891"/>
    <s v="[BC NEXT] Ionic Upgrade - Modals"/>
    <s v="UserStory"/>
    <x v="0"/>
    <x v="0"/>
    <s v="32"/>
    <s v="Abbas Shamshi"/>
    <x v="9"/>
    <n v="7"/>
    <n v="43.79290509259259"/>
    <s v="137348"/>
    <m/>
  </r>
  <r>
    <s v="134409"/>
    <s v="[BC NEXT] Manage Mods - Manage Modifications Page New Mod Section"/>
    <s v="UserStory"/>
    <x v="0"/>
    <x v="0"/>
    <s v="31"/>
    <s v="Yokeshwaran Lokanathan"/>
    <x v="12"/>
    <n v="6"/>
    <n v="21.92913194444444"/>
    <s v="136946"/>
    <m/>
  </r>
  <r>
    <s v="134469"/>
    <s v="[BC NEXT] Manage Mods - Manage Modifications Completed Modifications Section"/>
    <s v="UserStory"/>
    <x v="0"/>
    <x v="0"/>
    <s v="34"/>
    <s v="Antonio Posada"/>
    <x v="12"/>
    <n v="1"/>
    <n v="41.87325231481481"/>
    <s v="136946"/>
    <m/>
  </r>
  <r>
    <s v="134939"/>
    <s v="[BC NEXT] Redirect after login not working when hitting direct routes"/>
    <s v="UserStory"/>
    <x v="0"/>
    <x v="0"/>
    <s v="31"/>
    <s v="Yokeshwaran Lokanathan"/>
    <x v="9"/>
    <n v="19"/>
    <n v="26.22917824074074"/>
    <s v="136925"/>
    <m/>
  </r>
  <r>
    <s v="135428"/>
    <s v="[BC NEXT] Paymentus Quick Access - Login Page UI"/>
    <s v="UserStory"/>
    <x v="0"/>
    <x v="0"/>
    <s v="32"/>
    <s v="Chirag Khandhar"/>
    <x v="13"/>
    <n v="1"/>
    <n v="13.07752314814815"/>
    <s v="138993"/>
    <m/>
  </r>
  <r>
    <s v="135468"/>
    <s v="[BC NEXT] App Update Modal"/>
    <s v="UserStory"/>
    <x v="0"/>
    <x v="0"/>
    <s v="34"/>
    <s v="Connor Golobich"/>
    <x v="14"/>
    <n v="3"/>
    <n v="33.18545138888889"/>
    <s v="138158"/>
    <m/>
  </r>
  <r>
    <s v="135618"/>
    <s v="[BC NEXT] Paymentus Quick Access - Login Logic"/>
    <s v="UserStory"/>
    <x v="0"/>
    <x v="0"/>
    <s v="36"/>
    <s v="Yokeshwaran Lokanathan"/>
    <x v="13"/>
    <n v="5"/>
    <n v="29.29069444444444"/>
    <s v="138993"/>
    <m/>
  </r>
  <r>
    <s v="136983"/>
    <s v="[BC NEXT][RESEARCH] Account Settings - Understand backend connections"/>
    <s v="UserStory"/>
    <x v="0"/>
    <x v="0"/>
    <s v="36"/>
    <s v="Pete Wesselius"/>
    <x v="1"/>
    <n v="0"/>
    <n v="28.06665509259259"/>
    <m/>
    <m/>
  </r>
  <r>
    <s v="138513"/>
    <s v="[BC NEXT] UI fixes"/>
    <s v="UserStory"/>
    <x v="0"/>
    <x v="0"/>
    <s v="37"/>
    <s v="Chirag Khandhar"/>
    <x v="15"/>
    <n v="6"/>
    <n v="19.97923611111111"/>
    <s v="139500"/>
    <m/>
  </r>
  <r>
    <s v="138798"/>
    <s v="[BC NEXT] Payoff Quote - Payoff Quote Page"/>
    <s v="UserStory"/>
    <x v="0"/>
    <x v="0"/>
    <s v="42"/>
    <s v="Chirag Khandhar"/>
    <x v="16"/>
    <n v="3"/>
    <n v="24.36258101851852"/>
    <s v="141476"/>
    <m/>
  </r>
  <r>
    <s v="138825"/>
    <s v="[BC NEXT] Payoff Quote - Payoff Today OTP Updates"/>
    <s v="UserStory"/>
    <x v="0"/>
    <x v="0"/>
    <s v="42"/>
    <s v="Yokeshwaran Lokanathan and Pete Wesselius"/>
    <x v="16"/>
    <n v="0"/>
    <n v="24.28986111111111"/>
    <s v="141476"/>
    <m/>
  </r>
  <r>
    <s v="138961"/>
    <s v="[BC NEXT] My Profile - Create My Address UI on My Profile Page"/>
    <s v="UserStory"/>
    <x v="0"/>
    <x v="0"/>
    <s v="46"/>
    <s v="Yokeshwaran Lokanathan"/>
    <x v="1"/>
    <n v="12"/>
    <n v="41.23458333333333"/>
    <s v="144279"/>
    <m/>
  </r>
  <r>
    <s v="138989"/>
    <s v="[BC NEXT] My Profile - Create Address Modals"/>
    <s v="UserStory"/>
    <x v="0"/>
    <x v="0"/>
    <m/>
    <s v="Antonio Posada"/>
    <x v="1"/>
    <m/>
    <n v="57.66025349042361"/>
    <m/>
    <m/>
  </r>
  <r>
    <s v="139149"/>
    <s v="[BC NEXT] My Profile - Create Phone Number Modals"/>
    <s v="UserStory"/>
    <x v="0"/>
    <x v="0"/>
    <s v="46"/>
    <s v="Chirag Khandhar"/>
    <x v="1"/>
    <n v="6"/>
    <n v="24.1880787037037"/>
    <s v="144410"/>
    <m/>
  </r>
  <r>
    <s v="139405"/>
    <s v="[BC NEXT] My Profile - Create My Vehicles and My Email Addresses UI on My Profile Page"/>
    <s v="UserStory"/>
    <x v="0"/>
    <x v="0"/>
    <s v="46"/>
    <s v="Pete Wesselius"/>
    <x v="1"/>
    <n v="2"/>
    <n v="36.23829861111111"/>
    <s v="144279"/>
    <m/>
  </r>
  <r>
    <s v="139413"/>
    <s v="[BC NEXT] My Profile - Create Delete Modals"/>
    <s v="UserStory"/>
    <x v="0"/>
    <x v="0"/>
    <s v="46"/>
    <s v="Abbas Shamshi"/>
    <x v="1"/>
    <n v="0"/>
    <n v="26.94497685185185"/>
    <s v="144279"/>
    <m/>
  </r>
  <r>
    <s v="139436"/>
    <s v="[BC NEXT] My Profile - Connect Address Modals Logic"/>
    <s v="UserStory"/>
    <x v="0"/>
    <x v="0"/>
    <m/>
    <m/>
    <x v="1"/>
    <m/>
    <m/>
    <m/>
    <m/>
  </r>
  <r>
    <s v="139437"/>
    <s v="[BC NEXT] My Profile - Create Address Mutations"/>
    <s v="UserStory"/>
    <x v="0"/>
    <x v="0"/>
    <m/>
    <s v="Connor Golobich"/>
    <x v="1"/>
    <m/>
    <n v="7.954061360793981"/>
    <m/>
    <m/>
  </r>
  <r>
    <s v="139439"/>
    <s v="[BC NEXT] My Profile - Connect Phone Number Modals Logic"/>
    <s v="UserStory"/>
    <x v="0"/>
    <x v="0"/>
    <m/>
    <m/>
    <x v="1"/>
    <m/>
    <m/>
    <m/>
    <m/>
  </r>
  <r>
    <s v="139441"/>
    <s v="[BC NEXT] My Profile - Connect Call Preferences Page Logic"/>
    <s v="UserStory"/>
    <x v="0"/>
    <x v="0"/>
    <m/>
    <m/>
    <x v="1"/>
    <m/>
    <m/>
    <m/>
    <m/>
  </r>
  <r>
    <s v="139442"/>
    <s v="[BC NEXT] My Profile - Email Address Modals Logic"/>
    <s v="UserStory"/>
    <x v="0"/>
    <x v="0"/>
    <m/>
    <m/>
    <x v="1"/>
    <m/>
    <m/>
    <m/>
    <m/>
  </r>
  <r>
    <s v="139730"/>
    <s v="[BC NEXT] My Profile - Create Phone Number Mutations"/>
    <s v="UserStory"/>
    <x v="0"/>
    <x v="0"/>
    <m/>
    <s v="Yokeshwaran Lokanathan"/>
    <x v="1"/>
    <m/>
    <m/>
    <m/>
    <m/>
  </r>
  <r>
    <s v="139732"/>
    <s v="[BC NEXT] My Profile - Create Email Address Mutations"/>
    <s v="UserStory"/>
    <x v="0"/>
    <x v="0"/>
    <m/>
    <m/>
    <x v="1"/>
    <m/>
    <m/>
    <m/>
    <m/>
  </r>
  <r>
    <s v="140305"/>
    <s v="[BC NEXT] Customer Support Center - Create Customer Support Center landing page"/>
    <s v="UserStory"/>
    <x v="0"/>
    <x v="0"/>
    <s v="50"/>
    <s v="Abbas Shamshi"/>
    <x v="17"/>
    <n v="2"/>
    <n v="25.59097222222222"/>
    <s v="146568"/>
    <m/>
  </r>
  <r>
    <s v="140331"/>
    <s v="[BC NEXT] Customer Support Center - Create My Bridgecrest Account page"/>
    <s v="UserStory"/>
    <x v="0"/>
    <x v="0"/>
    <m/>
    <s v="Abbas Shamshi"/>
    <x v="17"/>
    <m/>
    <n v="13.98139933532523"/>
    <m/>
    <m/>
  </r>
  <r>
    <s v="140351"/>
    <s v="[BC NEXT] Customer Support Center - Create Search component"/>
    <s v="UserStory"/>
    <x v="0"/>
    <x v="0"/>
    <m/>
    <m/>
    <x v="17"/>
    <m/>
    <m/>
    <m/>
    <m/>
  </r>
  <r>
    <s v="140431"/>
    <s v="[BC NEXT] Manage Mods - Connect logic from API"/>
    <s v="UserStory"/>
    <x v="0"/>
    <x v="0"/>
    <s v="45"/>
    <s v="Joseph Kranak"/>
    <x v="12"/>
    <n v="3"/>
    <n v="32.55596064814814"/>
    <s v="143326"/>
    <m/>
  </r>
  <r>
    <s v="140507"/>
    <s v="[BC NEXT] Customer Support Center - Document Request section UI in My Profile"/>
    <s v="UserStory"/>
    <x v="0"/>
    <x v="0"/>
    <m/>
    <m/>
    <x v="17"/>
    <m/>
    <m/>
    <m/>
    <m/>
  </r>
  <r>
    <s v="140704"/>
    <s v="[BC NEXT] Manage Mods - Connect DocuSign and retrieve completed mods logic"/>
    <s v="UserStory"/>
    <x v="0"/>
    <x v="0"/>
    <s v="46"/>
    <s v="Connor Golobich"/>
    <x v="12"/>
    <n v="5"/>
    <n v="35.21525462962963"/>
    <s v="144073"/>
    <m/>
  </r>
  <r>
    <s v="141437"/>
    <s v="[BC NEXT] Plan to Cure - Active Payment Plan Summary Card"/>
    <s v="UserStory"/>
    <x v="0"/>
    <x v="0"/>
    <s v="50"/>
    <s v="Yokeshwaran Lokanathan"/>
    <x v="18"/>
    <n v="11"/>
    <n v="34.23311342592592"/>
    <s v="145791"/>
    <m/>
  </r>
  <r>
    <s v="141876"/>
    <s v="[BC NEXT] Plan to Cure - Active Payment Plan Details Card"/>
    <s v="UserStory"/>
    <x v="0"/>
    <x v="0"/>
    <s v="50"/>
    <s v="Michael Wang"/>
    <x v="18"/>
    <n v="11"/>
    <n v="32.12848379629629"/>
    <s v="145791"/>
    <m/>
  </r>
  <r>
    <s v="141889"/>
    <s v="[BC NEXT] Plan to Cure - Payment Plan History Page"/>
    <s v="UserStory"/>
    <x v="0"/>
    <x v="0"/>
    <s v="51"/>
    <s v="Yokeshwaran Lokanathan"/>
    <x v="18"/>
    <n v="5"/>
    <n v="21.26195601851852"/>
    <s v="146744"/>
    <m/>
  </r>
  <r>
    <s v="141946"/>
    <s v="[BC NEXT] Plan to Cure - Update Manage Payments to include PTC"/>
    <s v="UserStory"/>
    <x v="0"/>
    <x v="0"/>
    <s v="50"/>
    <s v="Shyam Senthil Nathan and Abbas Shamshi"/>
    <x v="18"/>
    <n v="13"/>
    <n v="24.23708333333333"/>
    <s v="145791"/>
    <m/>
  </r>
  <r>
    <s v="142001"/>
    <s v="[BC NEXT] Plan to Cure - Payment Plan Cancellation Modals"/>
    <s v="UserStory"/>
    <x v="0"/>
    <x v="0"/>
    <s v="51"/>
    <s v="Pete Wesselius"/>
    <x v="18"/>
    <n v="0"/>
    <n v="22.25833333333333"/>
    <s v="146744"/>
    <m/>
  </r>
  <r>
    <s v="125161"/>
    <s v="[BC NEXT][WEB BACKEND][RESEARCH] Research and POC for redirects between SSP and BC Next"/>
    <s v="UserStory"/>
    <x v="0"/>
    <x v="0"/>
    <s v="02"/>
    <s v="Connor Golobich"/>
    <x v="19"/>
    <n v="0"/>
    <n v="1.968032407407407"/>
    <m/>
    <m/>
  </r>
  <r>
    <s v="125180"/>
    <s v="[BC NEXT][WEB] Homepage - Learn More CTAs"/>
    <s v="UserStory"/>
    <x v="0"/>
    <x v="0"/>
    <s v="05"/>
    <s v="Abbas Shamshi"/>
    <x v="2"/>
    <n v="4"/>
    <n v="17.0462037037037"/>
    <s v="126633"/>
    <m/>
  </r>
  <r>
    <s v="125530"/>
    <s v="[BC NEXT] Dashboard - Fees Paid in Full"/>
    <s v="UserStory"/>
    <x v="0"/>
    <x v="0"/>
    <s v="02"/>
    <s v="Yokeshwaran Lokanathan"/>
    <x v="5"/>
    <n v="0"/>
    <n v="3.216805555555555"/>
    <s v="125462"/>
    <m/>
  </r>
  <r>
    <s v="125686"/>
    <s v="[BC NEXT][OBSERVATION][2] AutoPay - Pending Payment Modal Cancel Button"/>
    <s v="UserStory"/>
    <x v="0"/>
    <x v="0"/>
    <s v="08"/>
    <s v="Antonio Posada"/>
    <x v="5"/>
    <n v="6"/>
    <n v="28.22208333333333"/>
    <s v="127782"/>
    <m/>
  </r>
  <r>
    <s v="126072"/>
    <s v="[BC NEXT][RESEARCH] Feature Flag Not Updating"/>
    <s v="UserStory"/>
    <x v="0"/>
    <x v="0"/>
    <s v="04"/>
    <s v="Pete Wesselius"/>
    <x v="5"/>
    <n v="0"/>
    <n v="6.337997685185185"/>
    <m/>
    <m/>
  </r>
  <r>
    <s v="126073"/>
    <s v="[BC NEXT][WEB BACKEND] Redirect Between Subdomain and Primary"/>
    <s v="UserStory"/>
    <x v="0"/>
    <x v="0"/>
    <s v="10"/>
    <s v="Connor Golobich"/>
    <x v="19"/>
    <n v="2"/>
    <n v="29.27748842592592"/>
    <s v="128244"/>
    <m/>
  </r>
  <r>
    <s v="126074"/>
    <s v="[BC NEXT][WEB BACKEND] Search Engine Optimization - Robots.txt and SiteMap"/>
    <s v="UserStory"/>
    <x v="0"/>
    <x v="0"/>
    <s v="11"/>
    <s v="Pete Wesselius"/>
    <x v="19"/>
    <n v="0"/>
    <n v="36.15490740740741"/>
    <m/>
    <m/>
  </r>
  <r>
    <s v="126240"/>
    <s v="[BC NEXT] Handle Routing Through Login"/>
    <s v="UserStory"/>
    <x v="0"/>
    <x v="0"/>
    <s v="08"/>
    <s v="Connor Golobich"/>
    <x v="20"/>
    <n v="5"/>
    <n v="25.24355324074074"/>
    <s v="127674"/>
    <m/>
  </r>
  <r>
    <s v="126376"/>
    <s v="[BC NEXT][Web] Dashboard - Customer Service/Payoff Quote"/>
    <s v="UserStory"/>
    <x v="0"/>
    <x v="0"/>
    <s v="08"/>
    <s v="Namratha Chilukuri"/>
    <x v="4"/>
    <n v="3"/>
    <n v="12.07537037037037"/>
    <m/>
    <m/>
  </r>
  <r>
    <s v="126415"/>
    <s v="[BC NEXT] Homepage - Update Button Component"/>
    <s v="UserStory"/>
    <x v="0"/>
    <x v="0"/>
    <s v="06"/>
    <s v="Chirag Khandhar"/>
    <x v="2"/>
    <n v="7"/>
    <n v="10.68351851851852"/>
    <s v="126881"/>
    <m/>
  </r>
  <r>
    <s v="126492"/>
    <s v="[BC NEXT] Dashboard Enhancements"/>
    <s v="UserStory"/>
    <x v="0"/>
    <x v="0"/>
    <s v="13"/>
    <s v="Connor Golobich"/>
    <x v="4"/>
    <n v="16"/>
    <n v="37.52298611111111"/>
    <s v="129029"/>
    <m/>
  </r>
  <r>
    <s v="126530"/>
    <s v="[BC NEXT][WEB] Dashboard - Add Vehicle Dropdown"/>
    <s v="UserStory"/>
    <x v="0"/>
    <x v="0"/>
    <s v="13"/>
    <s v="Jesse McMahon"/>
    <x v="4"/>
    <n v="3"/>
    <n v="27.12028935185185"/>
    <m/>
    <m/>
  </r>
  <r>
    <s v="126542"/>
    <s v="[BC NEXT] Payment Options Page Enhancements - Non Logged In User"/>
    <s v="UserStory"/>
    <x v="0"/>
    <x v="0"/>
    <s v="07"/>
    <s v="Chirag Khandhar"/>
    <x v="2"/>
    <n v="7"/>
    <n v="16.91871527777778"/>
    <s v="127093"/>
    <m/>
  </r>
  <r>
    <s v="126910"/>
    <s v="[BC NEXT][OBSERVATIONS][2] Update Account Registration/EmailVerify Page UI to match comps"/>
    <s v="UserStory"/>
    <x v="0"/>
    <x v="0"/>
    <s v="10"/>
    <s v="Antonio Posada"/>
    <x v="6"/>
    <n v="2"/>
    <n v="18.8918287037037"/>
    <s v="128241"/>
    <m/>
  </r>
  <r>
    <s v="126963"/>
    <s v="[BC NEXT][WEB] Payment Options - Payment Cards"/>
    <s v="UserStory"/>
    <x v="0"/>
    <x v="0"/>
    <s v="19"/>
    <s v="Chirag Khandhar"/>
    <x v="21"/>
    <n v="5"/>
    <n v="19.90601851851852"/>
    <s v="131615"/>
    <m/>
  </r>
  <r>
    <s v="126964"/>
    <s v="[BC NEXT][WEB] Payment Options - More Payment Options"/>
    <s v="UserStory"/>
    <x v="0"/>
    <x v="0"/>
    <s v="24"/>
    <s v="Yokeshwaran Lokanathan"/>
    <x v="21"/>
    <n v="28"/>
    <n v="60.19204861111111"/>
    <s v="132448"/>
    <m/>
  </r>
  <r>
    <s v="127177"/>
    <s v="[BC NEXT][Web] Dashboard - ADA - Footer/Banners/Payoff Quote"/>
    <s v="UserStory"/>
    <x v="0"/>
    <x v="0"/>
    <s v="09"/>
    <s v="Joseph Kranak"/>
    <x v="4"/>
    <n v="7"/>
    <n v="9.088020833333333"/>
    <m/>
    <m/>
  </r>
  <r>
    <s v="127564"/>
    <s v="[BC NEXT][WEB] Homepage Pixel Perfect"/>
    <s v="UserStory"/>
    <x v="0"/>
    <x v="0"/>
    <s v="10"/>
    <s v="Jesse McMahon"/>
    <x v="2"/>
    <n v="7"/>
    <n v="15.02006944444444"/>
    <s v="128278"/>
    <m/>
  </r>
  <r>
    <s v="127574"/>
    <s v="[BC NEXT][WEB] Dashboard Pixel Perfect"/>
    <s v="UserStory"/>
    <x v="0"/>
    <x v="0"/>
    <s v="13"/>
    <s v="Joseph Kranak"/>
    <x v="4"/>
    <n v="0"/>
    <n v="18.20792824074074"/>
    <s v="129522"/>
    <m/>
  </r>
  <r>
    <s v="127701"/>
    <s v="[BC NEXT][WEB] OTP - Step 1: Account Summary Card"/>
    <s v="UserStory"/>
    <x v="0"/>
    <x v="0"/>
    <s v="17"/>
    <s v="Antonio Posada"/>
    <x v="22"/>
    <n v="3"/>
    <n v="42.00329861111111"/>
    <s v="130431"/>
    <m/>
  </r>
  <r>
    <s v="127766"/>
    <s v="[BC  NEXT] Clean up Auth0 bypass logic"/>
    <s v="UserStory"/>
    <x v="0"/>
    <x v="0"/>
    <s v="13"/>
    <s v="Pete Wesselius"/>
    <x v="8"/>
    <n v="11"/>
    <n v="32.51497685185185"/>
    <s v="129029"/>
    <m/>
  </r>
  <r>
    <s v="127921"/>
    <s v="[BC NEXT][WEB] OTP - Step Indicator, Bottom Links, Footer"/>
    <s v="UserStory"/>
    <x v="0"/>
    <x v="0"/>
    <s v="13"/>
    <s v="Joseph Kranak"/>
    <x v="22"/>
    <n v="8"/>
    <n v="28.48253472222222"/>
    <s v="129428"/>
    <m/>
  </r>
  <r>
    <s v="127931"/>
    <s v="[BC NEXT][WEB] OTP - Modals"/>
    <s v="UserStory"/>
    <x v="0"/>
    <x v="0"/>
    <s v="11"/>
    <s v="Abbas Shamshi"/>
    <x v="22"/>
    <n v="5"/>
    <n v="12.79777777777778"/>
    <m/>
    <m/>
  </r>
  <r>
    <s v="127945"/>
    <s v="[BC NEXT][WEB] AutoPay - Select Account Page and Footer"/>
    <s v="UserStory"/>
    <x v="0"/>
    <x v="0"/>
    <s v="16"/>
    <s v="Yokeshwaran Lokanathan"/>
    <x v="23"/>
    <n v="1"/>
    <n v="21.54020833333333"/>
    <s v="131354"/>
    <m/>
  </r>
  <r>
    <s v="127947"/>
    <s v="[BC NEXT][WEB] AutoPay - Step 1: Account Summary Card"/>
    <s v="UserStory"/>
    <x v="0"/>
    <x v="0"/>
    <s v="17"/>
    <s v="Joseph Kranak"/>
    <x v="23"/>
    <n v="5"/>
    <n v="31.80099537037037"/>
    <s v="131354"/>
    <m/>
  </r>
  <r>
    <s v="127960"/>
    <s v="[BC NEXT][WEB] AutoPay - Step Indicator and Step 1 Acknowledgement Box"/>
    <s v="UserStory"/>
    <x v="0"/>
    <x v="0"/>
    <s v="16"/>
    <s v="Chirag Khandhar"/>
    <x v="23"/>
    <n v="1"/>
    <n v="23.16153935185185"/>
    <s v="131354"/>
    <m/>
  </r>
  <r>
    <s v="127963"/>
    <s v="[BC NEXT][WEB] AutoPay - Step 2: Entire Page"/>
    <s v="UserStory"/>
    <x v="0"/>
    <x v="0"/>
    <s v="16"/>
    <s v="Jesse McMahon"/>
    <x v="23"/>
    <n v="8"/>
    <n v="25.53914351851852"/>
    <s v="131354"/>
    <m/>
  </r>
  <r>
    <s v="127976"/>
    <s v="[BC NEXT] Fix Login Loop on Android"/>
    <s v="UserStory"/>
    <x v="0"/>
    <x v="0"/>
    <s v="14"/>
    <s v="Pete Wesselius"/>
    <x v="8"/>
    <n v="1"/>
    <n v="27.97141203703704"/>
    <s v="129660"/>
    <m/>
  </r>
  <r>
    <s v="127980"/>
    <s v="[BC NEXT][RESEARCH] Understand how Auth0 Adaptive MFA Impacts Code"/>
    <s v="UserStory"/>
    <x v="0"/>
    <x v="0"/>
    <s v="23"/>
    <m/>
    <x v="24"/>
    <n v="0"/>
    <n v="5.787037037037037e-05"/>
    <m/>
    <m/>
  </r>
  <r>
    <s v="127981"/>
    <s v="[BC NEXT] Research the space below top nav on Android issue"/>
    <s v="UserStory"/>
    <x v="0"/>
    <x v="0"/>
    <s v="13"/>
    <s v="Yokeshwaran Lokanathan"/>
    <x v="8"/>
    <n v="6"/>
    <n v="18.58457175925926"/>
    <s v="129294"/>
    <m/>
  </r>
  <r>
    <s v="128024"/>
    <s v="[BC NEXT] OTP - Fix 'Other Amount' field to account for pending payments"/>
    <s v="UserStory"/>
    <x v="0"/>
    <x v="0"/>
    <s v="13"/>
    <s v="Yokeshwaran Lokanathan"/>
    <x v="8"/>
    <n v="2"/>
    <n v="9.544270833333332"/>
    <s v="129428"/>
    <m/>
  </r>
  <r>
    <s v="128269"/>
    <s v="[BC NEXT][WEB] Deploy Robots.txt and SiteMap"/>
    <s v="UserStory"/>
    <x v="0"/>
    <x v="0"/>
    <s v="33"/>
    <s v="Pete Wesselius"/>
    <x v="9"/>
    <n v="6"/>
    <n v="9.279155092592593"/>
    <s v="137715"/>
    <m/>
  </r>
  <r>
    <s v="128314"/>
    <s v="[BC NEXT][WEB] Dashboard - Hide links in Top/Side Nav for No Accounts Found Experience"/>
    <s v="UserStory"/>
    <x v="0"/>
    <x v="0"/>
    <s v="16"/>
    <s v="Abbas Shamshi"/>
    <x v="4"/>
    <n v="4"/>
    <n v="31.18899305555555"/>
    <s v="130138"/>
    <m/>
  </r>
  <r>
    <s v="128593"/>
    <s v="[BC NEXT][WEB] APPD - Step 1: OTP"/>
    <s v="UserStory"/>
    <x v="0"/>
    <x v="0"/>
    <s v="19"/>
    <s v="Abbas Shamshi"/>
    <x v="25"/>
    <n v="5"/>
    <n v="13.67516203703704"/>
    <m/>
    <m/>
  </r>
  <r>
    <s v="128613"/>
    <s v="[BC NEXT][WEB] APPD - Step 2: AutoPay Enrollment"/>
    <s v="UserStory"/>
    <x v="0"/>
    <x v="0"/>
    <s v="19"/>
    <s v="Joseph Kranak"/>
    <x v="25"/>
    <n v="8"/>
    <n v="26.00592592592593"/>
    <m/>
    <m/>
  </r>
  <r>
    <s v="128672"/>
    <s v="[BC NEXT][WEB] APPD - Step 3: Review"/>
    <s v="UserStory"/>
    <x v="0"/>
    <x v="0"/>
    <s v="17"/>
    <s v="Chirag Khandhar"/>
    <x v="25"/>
    <n v="5"/>
    <n v="16.24719907407408"/>
    <m/>
    <m/>
  </r>
  <r>
    <s v="128916"/>
    <s v="Ability to choose which Old or New Admin Portal login page"/>
    <s v="UserStory"/>
    <x v="0"/>
    <x v="0"/>
    <s v="20"/>
    <s v="Connor Golobich"/>
    <x v="26"/>
    <n v="4"/>
    <n v="24.19351851851852"/>
    <s v="132143"/>
    <m/>
  </r>
  <r>
    <s v="129134"/>
    <s v="[BC NEXT][BUG] OTP - Issue persisting data when navigating between fields"/>
    <s v="UserStory"/>
    <x v="0"/>
    <x v="0"/>
    <s v="24"/>
    <s v="Joseph Kranak"/>
    <x v="0"/>
    <n v="4"/>
    <n v="8.229849537037037"/>
    <s v="133957"/>
    <m/>
  </r>
  <r>
    <s v="129324"/>
    <s v="[BC NEXT][WEB] Account Settings - Manage Debit Cards"/>
    <s v="UserStory"/>
    <x v="0"/>
    <x v="0"/>
    <s v="19"/>
    <s v="Abbas Shamshi"/>
    <x v="10"/>
    <n v="6"/>
    <n v="19.95084490740741"/>
    <s v="131615"/>
    <m/>
  </r>
  <r>
    <s v="129328"/>
    <s v="[BC NEXT][WEB] Account Settings - Manage Bank Accounts"/>
    <s v="UserStory"/>
    <x v="0"/>
    <x v="0"/>
    <s v="19"/>
    <s v="Antonio Posada"/>
    <x v="10"/>
    <n v="5"/>
    <n v="20.99159722222222"/>
    <s v="131615"/>
    <m/>
  </r>
  <r>
    <s v="129551"/>
    <s v="[BC NEXT][WEB] Create experiment in Launch Darkly to control percentage rollout of new site"/>
    <s v="UserStory"/>
    <x v="0"/>
    <x v="0"/>
    <s v="26"/>
    <s v="Roxanne  Ross"/>
    <x v="27"/>
    <n v="0"/>
    <n v="4.97954861111111"/>
    <m/>
    <m/>
  </r>
  <r>
    <s v="129647"/>
    <s v="[BC NEXT][WEB][RESEARCH] Remove Pre-Login Page from Web"/>
    <s v="UserStory"/>
    <x v="0"/>
    <x v="0"/>
    <s v="23"/>
    <s v="Yokeshwaran Lokanathan"/>
    <x v="7"/>
    <n v="0"/>
    <n v="21.18974537037037"/>
    <m/>
    <m/>
  </r>
  <r>
    <s v="129716"/>
    <s v="[BC NEXT][WEB] Logout Modals"/>
    <s v="UserStory"/>
    <x v="0"/>
    <x v="0"/>
    <s v="19"/>
    <s v="Abbas Shamshi"/>
    <x v="28"/>
    <n v="1"/>
    <n v="8.042407407407406"/>
    <s v="132045"/>
    <m/>
  </r>
  <r>
    <s v="129816"/>
    <s v="[BC NEXT][WEB] Create logged in Homepage experience"/>
    <s v="UserStory"/>
    <x v="0"/>
    <x v="0"/>
    <s v="26"/>
    <s v="Antonio Posada"/>
    <x v="7"/>
    <n v="9"/>
    <n v="15.07787037037037"/>
    <s v="135384"/>
    <m/>
  </r>
  <r>
    <s v="130037"/>
    <s v="[BC NEXT][AUTOPAY] Bypass Select Account page when user has only 1 account"/>
    <s v="UserStory"/>
    <x v="0"/>
    <x v="0"/>
    <s v="24"/>
    <s v="Antonio Posada"/>
    <x v="0"/>
    <n v="2"/>
    <n v="17.07384259259259"/>
    <s v="134034"/>
    <m/>
  </r>
  <r>
    <s v="130102"/>
    <s v="[BC NEXT][WEB] AutoPay Pixel Perfect"/>
    <s v="UserStory"/>
    <x v="0"/>
    <x v="0"/>
    <s v="18"/>
    <s v="Joseph Kranak"/>
    <x v="23"/>
    <n v="4"/>
    <n v="11.14549768518518"/>
    <s v="131354"/>
    <m/>
  </r>
  <r>
    <s v="130157"/>
    <s v="[BC NEXT][WEB] AutoPay Past Due Pixel Perfect"/>
    <s v="UserStory"/>
    <x v="0"/>
    <x v="0"/>
    <s v="24"/>
    <s v="Shyam Senthil Nathan"/>
    <x v="25"/>
    <n v="26"/>
    <n v="39.16517361111111"/>
    <s v="132448"/>
    <m/>
  </r>
  <r>
    <s v="130412"/>
    <s v="[BC NEXT][WEB] OTP Pixel Perfect"/>
    <s v="UserStory"/>
    <x v="0"/>
    <x v="0"/>
    <s v="24"/>
    <s v="Antonio Posada"/>
    <x v="22"/>
    <n v="27"/>
    <n v="48.8009375"/>
    <s v="132448"/>
    <m/>
  </r>
  <r>
    <s v="130414"/>
    <s v="[BC NEXT][WEB] Login Pages - Account Lookup"/>
    <s v="UserStory"/>
    <x v="0"/>
    <x v="0"/>
    <s v="21"/>
    <s v="Chirag Khandhar"/>
    <x v="29"/>
    <n v="5"/>
    <n v="20.16615740740741"/>
    <s v="132710"/>
    <m/>
  </r>
  <r>
    <s v="130767"/>
    <s v="[BC NEXT][WEB] Legal Pages - Privacy Policy and Terms of Use"/>
    <s v="UserStory"/>
    <x v="0"/>
    <x v="0"/>
    <s v="22"/>
    <s v="Abbas Shamshi"/>
    <x v="28"/>
    <n v="5"/>
    <n v="13.12527777777778"/>
    <s v="133005"/>
    <m/>
  </r>
  <r>
    <s v="130826"/>
    <s v="[BC NEXT][WEB] Open link in new tab"/>
    <s v="UserStory"/>
    <x v="0"/>
    <x v="0"/>
    <s v="24"/>
    <s v="Shyam Senthil Nathan"/>
    <x v="7"/>
    <n v="8"/>
    <n v="24.39236111111111"/>
    <s v="134034"/>
    <m/>
  </r>
  <r>
    <s v="130962"/>
    <s v="[BC NEXT] PTC - Update Pending Payments Modal to reflect payment plan"/>
    <s v="UserStory"/>
    <x v="0"/>
    <x v="0"/>
    <s v="24"/>
    <s v="Shyam Senthil Nathan"/>
    <x v="30"/>
    <n v="4"/>
    <n v="11.29446759259259"/>
    <s v="133957"/>
    <m/>
  </r>
  <r>
    <s v="131617"/>
    <s v="[BC NEXT] AutoPay - Other Amount showing as required incorrectly"/>
    <s v="UserStory"/>
    <x v="0"/>
    <x v="0"/>
    <s v="23"/>
    <s v="Joseph Kranak"/>
    <x v="7"/>
    <n v="1"/>
    <n v="19.05012731481482"/>
    <s v="133564"/>
    <m/>
  </r>
  <r>
    <s v="132164"/>
    <s v="[BC NEXT][WEB] Skip to Content not always working correctly"/>
    <s v="UserStory"/>
    <x v="0"/>
    <x v="0"/>
    <s v="24"/>
    <s v="Abbas Shamshi"/>
    <x v="0"/>
    <n v="1"/>
    <n v="11.22612268518519"/>
    <s v="133957"/>
    <m/>
  </r>
  <r>
    <s v="132197"/>
    <s v="[BC NEXT][WEB] Top Nav links loading slowly when logged in"/>
    <s v="UserStory"/>
    <x v="0"/>
    <x v="0"/>
    <s v="26"/>
    <s v="Shyam Senthil Nathan"/>
    <x v="0"/>
    <n v="2"/>
    <n v="7.844849537037037"/>
    <s v="135384"/>
    <m/>
  </r>
  <r>
    <s v="132214"/>
    <s v="[BCNEXT][WEB] Dashboard - Add print option to Dashboard"/>
    <s v="UserStory"/>
    <x v="0"/>
    <x v="0"/>
    <s v="25"/>
    <s v="Chirag Khandhar"/>
    <x v="7"/>
    <n v="6"/>
    <n v="20.18417824074074"/>
    <s v="134248"/>
    <m/>
  </r>
  <r>
    <s v="133210"/>
    <s v="[BC NEXT][RESEARCH] Mods - How do we connect to DocuSign"/>
    <s v="UserStory"/>
    <x v="0"/>
    <x v="0"/>
    <s v="24"/>
    <s v="Connor Golobich"/>
    <x v="12"/>
    <n v="0"/>
    <n v="4.199421296296296"/>
    <m/>
    <m/>
  </r>
  <r>
    <s v="133537"/>
    <s v="[BC NEXT][WEB] Bypass/Hide Pre-Login Page from Web"/>
    <s v="UserStory"/>
    <x v="0"/>
    <x v="0"/>
    <s v="31"/>
    <s v="Yokeshwaran Lokanathan"/>
    <x v="9"/>
    <n v="25"/>
    <n v="42.94203703703703"/>
    <s v="136925"/>
    <m/>
  </r>
  <r>
    <s v="133565"/>
    <s v="[BC NEXT][WEB] Update When Outage Modal Displayed"/>
    <s v="UserStory"/>
    <x v="0"/>
    <x v="0"/>
    <s v="26"/>
    <s v="Abbas Shamshi"/>
    <x v="0"/>
    <n v="3"/>
    <n v="10.07748842592593"/>
    <s v="135384"/>
    <m/>
  </r>
  <r>
    <s v="133863"/>
    <s v="[BC NEXT] Pending Payments Modal popping at odd times"/>
    <s v="UserStory"/>
    <x v="0"/>
    <x v="0"/>
    <s v="33"/>
    <s v="Abbas Shamshi"/>
    <x v="9"/>
    <n v="8"/>
    <n v="21.33076388888889"/>
    <s v="137715"/>
    <m/>
  </r>
  <r>
    <s v="133877"/>
    <s v="[BC NEXT] Page Loading Spinner bug on OTP"/>
    <s v="UserStory"/>
    <x v="0"/>
    <x v="0"/>
    <s v="26"/>
    <s v="Joseph Kranak"/>
    <x v="0"/>
    <n v="3"/>
    <n v="13.05239583333333"/>
    <s v="135384"/>
    <m/>
  </r>
  <r>
    <s v="133892"/>
    <s v="[BC NEXT] Ionic Upgrade - Accordions"/>
    <s v="UserStory"/>
    <x v="0"/>
    <x v="0"/>
    <s v="32"/>
    <s v="Shyam Senthil Nathan"/>
    <x v="9"/>
    <n v="6"/>
    <n v="42.93504629629629"/>
    <s v="137348"/>
    <m/>
  </r>
  <r>
    <s v="133931"/>
    <s v="[BC NEXT][WEB] Refetch data upon successful payment/autopay enrollment mutation call"/>
    <s v="UserStory"/>
    <x v="0"/>
    <x v="0"/>
    <s v="26"/>
    <s v="Chirag Khandhar"/>
    <x v="0"/>
    <n v="3"/>
    <n v="14.09967592592593"/>
    <s v="135384"/>
    <m/>
  </r>
  <r>
    <s v="134028"/>
    <s v="[BC NEXT] Update code references to new subdomain"/>
    <s v="UserStory"/>
    <x v="0"/>
    <x v="0"/>
    <s v="25"/>
    <s v="Shyam Senthil Nathan"/>
    <x v="7"/>
    <n v="0"/>
    <n v="5.133090277777778"/>
    <s v="134248"/>
    <m/>
  </r>
  <r>
    <s v="134398"/>
    <s v="[BC NEXT] Manage Mods - Scaffolding"/>
    <s v="UserStory"/>
    <x v="0"/>
    <x v="0"/>
    <s v="29"/>
    <s v="Chirag Khandhar"/>
    <x v="12"/>
    <n v="7"/>
    <n v="13.25201388888889"/>
    <s v="136946"/>
    <m/>
  </r>
  <r>
    <s v="134405"/>
    <s v="[BC NEXT] Manage Mods - Landing Pages"/>
    <s v="UserStory"/>
    <x v="0"/>
    <x v="0"/>
    <s v="30"/>
    <s v="Chirag Khandhar and Pete Wesselius"/>
    <x v="12"/>
    <n v="1"/>
    <n v="20.99702546296296"/>
    <s v="136946"/>
    <m/>
  </r>
  <r>
    <s v="134417"/>
    <s v="[BC NEXT][WEB] Update Loading Spinner Page in AP Flows to add top nav and footer"/>
    <s v="UserStory"/>
    <x v="0"/>
    <x v="0"/>
    <s v="29"/>
    <s v="Antonio Posada"/>
    <x v="0"/>
    <n v="15"/>
    <n v="28.28340277777778"/>
    <s v="135225"/>
    <m/>
  </r>
  <r>
    <s v="134419"/>
    <s v="[BC NEXT][WEB][RESEARCH]Share login across tabs"/>
    <s v="UserStory"/>
    <x v="0"/>
    <x v="0"/>
    <s v="26"/>
    <s v="Joseph Kranak"/>
    <x v="0"/>
    <n v="0"/>
    <n v="5.818831018518519"/>
    <m/>
    <m/>
  </r>
  <r>
    <s v="134478"/>
    <s v="[BC NEXT] Manage Mods - Update Recent Activity and Account Settings for Mods"/>
    <s v="UserStory"/>
    <x v="0"/>
    <x v="0"/>
    <s v="30"/>
    <s v="Joseph Kranak"/>
    <x v="12"/>
    <n v="6"/>
    <n v="26.98940972222222"/>
    <s v="136946"/>
    <m/>
  </r>
  <r>
    <s v="134636"/>
    <s v="[SSP] Update Launch Darkly SDK to pass second key"/>
    <s v="UserStory"/>
    <x v="0"/>
    <x v="0"/>
    <s v="27"/>
    <s v="Connor Golobich"/>
    <x v="27"/>
    <n v="7"/>
    <n v="11.09138888888889"/>
    <s v="134997"/>
    <m/>
  </r>
  <r>
    <s v="135148"/>
    <s v="[BC NEXT] Plan to Cure - Routes, Metadata, and Scaffolding"/>
    <s v="UserStory"/>
    <x v="0"/>
    <x v="0"/>
    <s v="46"/>
    <s v="Michael Wang"/>
    <x v="18"/>
    <n v="11"/>
    <n v="22.06533564814815"/>
    <s v="144073"/>
    <m/>
  </r>
  <r>
    <s v="135427"/>
    <s v="[BC NEXT][RESEARCH] Understand connection from Quick Access page to Paymentus account page"/>
    <s v="UserStory"/>
    <x v="0"/>
    <x v="0"/>
    <s v="28"/>
    <s v="Connor Golobich"/>
    <x v="13"/>
    <n v="0"/>
    <n v="1.21875"/>
    <m/>
    <m/>
  </r>
  <r>
    <s v="135774"/>
    <s v="[BC NEXT] OUTAGE - Duplicate payments processing for some accounts"/>
    <s v="UserStory"/>
    <x v="0"/>
    <x v="0"/>
    <s v="29"/>
    <s v="Akshay Golash and Camilo Guerrero and Venkatmahesh Polur"/>
    <x v="0"/>
    <n v="0"/>
    <n v="0.3135532407407407"/>
    <s v="135788"/>
    <m/>
  </r>
  <r>
    <s v="135843"/>
    <s v="[BC NEXT] Paymentus Quick Access - Success Page"/>
    <s v="UserStory"/>
    <x v="0"/>
    <x v="0"/>
    <s v="33"/>
    <s v="Shyam Senthil Nathan"/>
    <x v="13"/>
    <n v="2"/>
    <n v="16.01138888888889"/>
    <s v="138993"/>
    <m/>
  </r>
  <r>
    <s v="136546"/>
    <s v="[BC NEXT] Missing Analytics"/>
    <s v="UserStory"/>
    <x v="0"/>
    <x v="0"/>
    <s v="34"/>
    <s v="Joseph Kranak"/>
    <x v="9"/>
    <n v="20"/>
    <n v="28.26121527777778"/>
    <s v="138249"/>
    <m/>
  </r>
  <r>
    <s v="136551"/>
    <s v="[BC NEXT][PROD BUG] Infinite spinner with bad payment method on AutoPay flows"/>
    <s v="UserStory"/>
    <x v="0"/>
    <x v="0"/>
    <s v="34"/>
    <s v="Abbas Shamshi"/>
    <x v="15"/>
    <n v="9"/>
    <n v="22.93922453703703"/>
    <s v="138249"/>
    <m/>
  </r>
  <r>
    <s v="136661"/>
    <s v="[BC NEXT] Manage Mods - Create Feature Flag for Mods Experience"/>
    <s v="UserStory"/>
    <x v="0"/>
    <x v="0"/>
    <s v="32"/>
    <s v="Yokeshwaran Lokanathan"/>
    <x v="12"/>
    <n v="3"/>
    <n v="14.02826388888889"/>
    <s v="136946"/>
    <m/>
  </r>
  <r>
    <s v="136880"/>
    <s v="[BC NEXT] Upgrade to Capacitor 4"/>
    <s v="UserStory"/>
    <x v="0"/>
    <x v="0"/>
    <s v="32"/>
    <s v="Connor Golobich"/>
    <x v="9"/>
    <n v="1"/>
    <n v="6.926273148148148"/>
    <s v="137348"/>
    <m/>
  </r>
  <r>
    <s v="137052"/>
    <s v="PageName and PageSubname using where you are being directed to vs. the page you took the action"/>
    <s v="UserStory"/>
    <x v="0"/>
    <x v="0"/>
    <s v="41"/>
    <s v="Shyam Senthil Nathan"/>
    <x v="31"/>
    <n v="9"/>
    <n v="33.94245370370371"/>
    <s v="141385"/>
    <m/>
  </r>
  <r>
    <s v="137140"/>
    <s v="[BC NEXT][RESEARCH] Plan to Cure - Understand Stored Procedures"/>
    <s v="UserStory"/>
    <x v="0"/>
    <x v="0"/>
    <s v="34"/>
    <s v="Joseph Kranak"/>
    <x v="18"/>
    <n v="0"/>
    <n v="6.207974537037037"/>
    <m/>
    <m/>
  </r>
  <r>
    <s v="137203"/>
    <s v="[BC NEXT] Paymentus Quick Access Deployment"/>
    <s v="UserStory"/>
    <x v="0"/>
    <x v="0"/>
    <s v="36"/>
    <s v="Yokeshwaran Lokanathan"/>
    <x v="13"/>
    <n v="5"/>
    <n v="12.2631712962963"/>
    <s v="138993"/>
    <m/>
  </r>
  <r>
    <s v="137292"/>
    <s v="[BC NEXT][WEB] Update Impersonation delete user modal functionality"/>
    <s v="UserStory"/>
    <x v="0"/>
    <x v="0"/>
    <s v="40"/>
    <s v="Connor Golobich"/>
    <x v="15"/>
    <n v="14"/>
    <n v="36.30108796296296"/>
    <s v="140516"/>
    <m/>
  </r>
  <r>
    <s v="137511"/>
    <s v="[BC NEXT] Add Image Replacer Library"/>
    <s v="UserStory"/>
    <x v="0"/>
    <x v="0"/>
    <s v="40"/>
    <s v="Chirag Khandhar and Antonio Posada"/>
    <x v="15"/>
    <n v="12"/>
    <n v="40.23490740740741"/>
    <s v="140516"/>
    <m/>
  </r>
  <r>
    <s v="138132"/>
    <s v="[BC NEXT] Payoff Quote - Routes, Metadata, and Scaffolding"/>
    <s v="UserStory"/>
    <x v="0"/>
    <x v="0"/>
    <s v="40"/>
    <s v="Chirag Khandhar"/>
    <x v="16"/>
    <n v="4"/>
    <n v="12.06613425925926"/>
    <s v="141476"/>
    <m/>
  </r>
  <r>
    <s v="138186"/>
    <s v="[BC NEXT] Customer Support Center - Routes, Metadata, and Scaffolding"/>
    <s v="UserStory"/>
    <x v="0"/>
    <x v="0"/>
    <s v="45"/>
    <s v="Antonio Posada"/>
    <x v="17"/>
    <n v="13"/>
    <n v="49.01876157407407"/>
    <s v="143326"/>
    <m/>
  </r>
  <r>
    <s v="138948"/>
    <s v="[BC NEXT] My Profile - Update Account Settings Page"/>
    <s v="UserStory"/>
    <x v="0"/>
    <x v="0"/>
    <s v="50"/>
    <s v="Abbas Shamshi"/>
    <x v="1"/>
    <n v="56"/>
    <n v="63.88324074074074"/>
    <s v="141937"/>
    <m/>
  </r>
  <r>
    <s v="138952"/>
    <s v="[BC NEXT] My Profile - Routes, Metadata, and Scaffolding"/>
    <s v="UserStory"/>
    <x v="0"/>
    <x v="0"/>
    <s v="42"/>
    <s v="Yokeshwaran Lokanathan"/>
    <x v="1"/>
    <n v="6"/>
    <n v="20.13115740740741"/>
    <s v="141731"/>
    <m/>
  </r>
  <r>
    <s v="139404"/>
    <s v="[BC NEXT] My Profile - Create My Contact Numbers UI on My Profile Page"/>
    <s v="UserStory"/>
    <x v="0"/>
    <x v="0"/>
    <s v="46"/>
    <s v="Shyam Senthil Nathan"/>
    <x v="1"/>
    <n v="7"/>
    <n v="36.31730324074074"/>
    <s v="144279"/>
    <m/>
  </r>
  <r>
    <s v="139444"/>
    <s v="[BC NEXT] My Profile - Change Login Email Address Modal Logic"/>
    <s v="UserStory"/>
    <x v="0"/>
    <x v="0"/>
    <m/>
    <m/>
    <x v="1"/>
    <m/>
    <m/>
    <m/>
    <m/>
  </r>
  <r>
    <s v="140342"/>
    <s v="[BC NEXT] Customer Support Center - Create My Profile page"/>
    <s v="UserStory"/>
    <x v="0"/>
    <x v="0"/>
    <m/>
    <m/>
    <x v="17"/>
    <m/>
    <m/>
    <m/>
    <m/>
  </r>
  <r>
    <s v="140343"/>
    <s v="[BC NEXT] Customer Support Center - Create My Payments page"/>
    <s v="UserStory"/>
    <x v="0"/>
    <x v="0"/>
    <m/>
    <m/>
    <x v="17"/>
    <m/>
    <m/>
    <m/>
    <m/>
  </r>
  <r>
    <s v="140344"/>
    <s v="[BC NEXT] Customer Support Center - Create Insurance and Claims page"/>
    <s v="UserStory"/>
    <x v="0"/>
    <x v="0"/>
    <m/>
    <m/>
    <x v="17"/>
    <m/>
    <m/>
    <m/>
    <m/>
  </r>
  <r>
    <s v="140345"/>
    <s v="[BC NEXT] Customer Support Center - Create My Vehicle page"/>
    <s v="UserStory"/>
    <x v="0"/>
    <x v="0"/>
    <m/>
    <m/>
    <x v="17"/>
    <m/>
    <m/>
    <m/>
    <m/>
  </r>
  <r>
    <s v="140346"/>
    <s v="[BC NEXT] Customer Support Center - Create Simple Interest page"/>
    <s v="UserStory"/>
    <x v="0"/>
    <x v="0"/>
    <m/>
    <m/>
    <x v="17"/>
    <m/>
    <m/>
    <m/>
    <m/>
  </r>
  <r>
    <s v="140347"/>
    <s v="[BC NEXT] Customer Support Center - Create My AutoPay page"/>
    <s v="UserStory"/>
    <x v="0"/>
    <x v="0"/>
    <m/>
    <m/>
    <x v="17"/>
    <m/>
    <m/>
    <m/>
    <m/>
  </r>
  <r>
    <s v="140348"/>
    <s v="[BC NEXT] Customer Support Center - Create My Title page"/>
    <s v="UserStory"/>
    <x v="0"/>
    <x v="0"/>
    <m/>
    <m/>
    <x v="17"/>
    <m/>
    <m/>
    <m/>
    <m/>
  </r>
  <r>
    <s v="140349"/>
    <s v="[BC NEXT] Customer Support Center - Create Tax Refund Benefits page"/>
    <s v="UserStory"/>
    <x v="0"/>
    <x v="0"/>
    <m/>
    <m/>
    <x v="17"/>
    <m/>
    <m/>
    <m/>
    <m/>
  </r>
  <r>
    <s v="140350"/>
    <s v="[BC NEXT] Customer Support Center - Create Skip a Payment page"/>
    <s v="UserStory"/>
    <x v="0"/>
    <x v="0"/>
    <m/>
    <m/>
    <x v="17"/>
    <m/>
    <m/>
    <m/>
    <m/>
  </r>
  <r>
    <s v="140699"/>
    <s v="[BC NEXT] My Profile - Create Vision Classic comments for Vision Classic"/>
    <s v="UserStory"/>
    <x v="0"/>
    <x v="0"/>
    <m/>
    <m/>
    <x v="1"/>
    <m/>
    <m/>
    <m/>
    <m/>
  </r>
  <r>
    <s v="140780"/>
    <s v="[BC NEXT] Manage Mods - Opt Out Page"/>
    <s v="UserStory"/>
    <x v="0"/>
    <x v="0"/>
    <s v="45"/>
    <s v="Antonio Posada"/>
    <x v="12"/>
    <n v="20"/>
    <n v="32.60943287037037"/>
    <s v="143326"/>
    <m/>
  </r>
  <r>
    <s v="141305"/>
    <s v="[BCAPI] Allow querying of PayoffQuote within SelfServiceCustomer Queries"/>
    <s v="UserStory"/>
    <x v="0"/>
    <x v="0"/>
    <s v="41"/>
    <s v="Connor Golobich"/>
    <x v="16"/>
    <n v="0"/>
    <n v="2.102800925925926"/>
    <s v="141481"/>
    <m/>
  </r>
  <r>
    <s v="141807"/>
    <s v="[BC API] My Profile - Update BC API to capture identifiers"/>
    <s v="UserStory"/>
    <x v="0"/>
    <x v="0"/>
    <s v="50"/>
    <s v="Pete Wesselius"/>
    <x v="1"/>
    <n v="8"/>
    <n v="44.25616898148148"/>
    <s v="146647"/>
    <m/>
  </r>
  <r>
    <s v="143001"/>
    <s v="Upgrade Cypress Version"/>
    <s v="UserStory"/>
    <x v="0"/>
    <x v="0"/>
    <s v="46"/>
    <s v="Abbas Shamshi"/>
    <x v="15"/>
    <n v="1"/>
    <n v="12.98189814814815"/>
    <s v="144410"/>
    <m/>
  </r>
  <r>
    <s v="144024"/>
    <s v="[BC NEXT] Manage Modifications - Automation"/>
    <s v="UserStory"/>
    <x v="0"/>
    <x v="0"/>
    <s v="49"/>
    <s v="Connor Golobich"/>
    <x v="12"/>
    <n v="2"/>
    <n v="7.584907407407407"/>
    <s v="145895"/>
    <m/>
  </r>
  <r>
    <s v="144523"/>
    <s v="[BC NEXT] My Profile - Inaccurate Email Validation"/>
    <s v="UserStory"/>
    <x v="0"/>
    <x v="0"/>
    <s v="49"/>
    <s v="Shyam Senthil Nathan"/>
    <x v="1"/>
    <n v="14"/>
    <n v="20.53694444444444"/>
    <s v="145895"/>
    <m/>
  </r>
  <r>
    <s v="145756"/>
    <s v="[BC NEXT] Plan to Cure - Feature Clean Up"/>
    <s v="UserStory"/>
    <x v="0"/>
    <x v="0"/>
    <s v="51"/>
    <s v="Shyam Senthil Nathan"/>
    <x v="18"/>
    <n v="4"/>
    <n v="11.25756944444444"/>
    <s v="146744"/>
    <m/>
  </r>
  <r>
    <s v="125523"/>
    <s v="[BC NEXT][BUG] Dashboard - Date Due Same Day"/>
    <s v="UserStory"/>
    <x v="0"/>
    <x v="0"/>
    <s v="02"/>
    <s v="Yokeshwaran Lokanathan"/>
    <x v="5"/>
    <n v="3"/>
    <n v="4.075439814814815"/>
    <s v="125462"/>
    <m/>
  </r>
  <r>
    <s v="125691"/>
    <s v="[BC NEXT][OBSERVATION][2] AutoPay - Sorting by Sale Date"/>
    <s v="UserStory"/>
    <x v="0"/>
    <x v="0"/>
    <s v="04"/>
    <s v="Connor Golobich"/>
    <x v="5"/>
    <n v="1"/>
    <n v="4.605150462962963"/>
    <s v="126491"/>
    <m/>
  </r>
  <r>
    <s v="126241"/>
    <s v="[SSP][Research] Login &amp; Multi-Factor Auth"/>
    <s v="UserStory"/>
    <x v="0"/>
    <x v="0"/>
    <s v="04"/>
    <s v="Connor Golobich"/>
    <x v="20"/>
    <n v="0"/>
    <n v="1.998113425925926"/>
    <m/>
    <m/>
  </r>
  <r>
    <s v="126798"/>
    <s v="[BC NEXT][WEB BACKEND] Search Engine Optimization - Open Graph Data"/>
    <s v="UserStory"/>
    <x v="0"/>
    <x v="0"/>
    <s v="11"/>
    <s v="Yokeshwaran Lokanathan"/>
    <x v="19"/>
    <n v="4"/>
    <n v="8.900532407407407"/>
    <s v="128571"/>
    <m/>
  </r>
  <r>
    <s v="126817"/>
    <s v="[BC NEXT] Fault Injection"/>
    <s v="UserStory"/>
    <x v="0"/>
    <x v="0"/>
    <s v="09"/>
    <s v="Pete Wesselius"/>
    <x v="19"/>
    <n v="2"/>
    <n v="28.23494212962963"/>
    <s v="128068"/>
    <m/>
  </r>
  <r>
    <s v="127693"/>
    <s v="[BC NEXT] [WEB BACKEND] Update link redirects for AutoPay flows"/>
    <s v="UserStory"/>
    <x v="0"/>
    <x v="0"/>
    <s v="09"/>
    <s v="Shyam Senthil Nathan"/>
    <x v="19"/>
    <n v="3"/>
    <n v="7.256284722222222"/>
    <s v="128068"/>
    <m/>
  </r>
  <r>
    <s v="127710"/>
    <s v="[BC NEXT][WEB] OTP - Step 2: Review"/>
    <s v="UserStory"/>
    <x v="0"/>
    <x v="0"/>
    <s v="13"/>
    <s v="Chirag Khandhar"/>
    <x v="22"/>
    <n v="13"/>
    <n v="26.37381944444444"/>
    <s v="129428"/>
    <m/>
  </r>
  <r>
    <s v="127927"/>
    <s v="[BC NEXT][WEB] OTP - Loading Spinner"/>
    <s v="UserStory"/>
    <x v="0"/>
    <x v="0"/>
    <s v="13"/>
    <s v="Abbas Shamshi"/>
    <x v="22"/>
    <n v="5"/>
    <n v="15.10184027777778"/>
    <s v="129294"/>
    <m/>
  </r>
  <r>
    <s v="127930"/>
    <s v="[BC NEXT][WEB] OTP - Success Page"/>
    <s v="UserStory"/>
    <x v="0"/>
    <x v="0"/>
    <s v="13"/>
    <s v="Shyam Senthil Nathan"/>
    <x v="22"/>
    <n v="2"/>
    <n v="21.5912962962963"/>
    <s v="129428"/>
    <m/>
  </r>
  <r>
    <s v="127977"/>
    <s v="[BC NEXT] The logo is cut off on the pre-login page"/>
    <s v="UserStory"/>
    <x v="0"/>
    <x v="0"/>
    <s v="11"/>
    <s v="Connor Golobich"/>
    <x v="8"/>
    <n v="5"/>
    <n v="10.02373842592593"/>
    <s v="128571"/>
    <m/>
  </r>
  <r>
    <s v="127979"/>
    <s v="[BC NEXT] Verify Email Button Does Not Open In Gmail app"/>
    <s v="UserStory"/>
    <x v="0"/>
    <x v="0"/>
    <s v="09"/>
    <s v="Ari Pace"/>
    <x v="20"/>
    <n v="0"/>
    <n v="0.04813657407407407"/>
    <m/>
    <m/>
  </r>
  <r>
    <s v="128048"/>
    <s v="[BC NEXT][WEB] AutoPay - Modals"/>
    <s v="UserStory"/>
    <x v="0"/>
    <x v="0"/>
    <s v="16"/>
    <s v="Abbas Shamshi"/>
    <x v="23"/>
    <n v="5"/>
    <n v="25.24636574074074"/>
    <s v="131354"/>
    <m/>
  </r>
  <r>
    <s v="128051"/>
    <s v="[BC NEXT][WEB] AutoPay - Success Page"/>
    <s v="UserStory"/>
    <x v="0"/>
    <x v="0"/>
    <s v="16"/>
    <s v="Connor Golobich"/>
    <x v="23"/>
    <n v="6"/>
    <n v="21.00982638888889"/>
    <s v="131354"/>
    <m/>
  </r>
  <r>
    <s v="128058"/>
    <s v="[BC NEXT][LAUNCH DARKLY] RESEARCH Bucketing on SSP"/>
    <s v="UserStory"/>
    <x v="0"/>
    <x v="0"/>
    <s v="15"/>
    <s v="Connor Golobich"/>
    <x v="19"/>
    <n v="28"/>
    <n v="33.99760416666666"/>
    <m/>
    <m/>
  </r>
  <r>
    <s v="128227"/>
    <s v="[BC NEXT][WEB] Update links to point at correct environment"/>
    <s v="UserStory"/>
    <x v="0"/>
    <x v="0"/>
    <s v="12"/>
    <s v="Chirag Khandhar"/>
    <x v="8"/>
    <n v="1"/>
    <n v="2.185092592592592"/>
    <m/>
    <m/>
  </r>
  <r>
    <s v="128264"/>
    <s v="[BC NEXT][WEB] Dashboard - No Accounts Found"/>
    <s v="UserStory"/>
    <x v="0"/>
    <x v="0"/>
    <s v="12"/>
    <s v="Chirag Khandhar"/>
    <x v="4"/>
    <n v="6"/>
    <n v="14.1743287037037"/>
    <m/>
    <m/>
  </r>
  <r>
    <s v="128300"/>
    <s v="[BC NEXT] Fix logic to show Sign Up button"/>
    <s v="UserStory"/>
    <x v="0"/>
    <x v="0"/>
    <s v="13"/>
    <s v="Shyam Senthil Nathan"/>
    <x v="8"/>
    <n v="14"/>
    <n v="17.47784722222222"/>
    <s v="129029"/>
    <m/>
  </r>
  <r>
    <s v="128673"/>
    <s v="[BC NEXT][WEB] APPD - Modals"/>
    <s v="UserStory"/>
    <x v="0"/>
    <x v="0"/>
    <s v="16"/>
    <s v="Abbas Shamshi"/>
    <x v="25"/>
    <n v="5"/>
    <n v="21.93204861111111"/>
    <s v="131354"/>
    <m/>
  </r>
  <r>
    <s v="128674"/>
    <s v="[BC NEXT][WEB] APPD - Success"/>
    <s v="UserStory"/>
    <x v="0"/>
    <x v="0"/>
    <s v="17"/>
    <s v="Connor Golobich"/>
    <x v="25"/>
    <n v="0"/>
    <n v="15.17359953703704"/>
    <m/>
    <m/>
  </r>
  <r>
    <s v="128963"/>
    <s v="[BC NEXT][WEB] Fix Amount Due logic when Amount Due is $0"/>
    <s v="UserStory"/>
    <x v="0"/>
    <x v="0"/>
    <s v="13"/>
    <s v="Shyam Senthil Nathan"/>
    <x v="15"/>
    <n v="7"/>
    <n v="7.462893518518518"/>
    <s v="129294"/>
    <m/>
  </r>
  <r>
    <s v="129253"/>
    <s v="[BC NEXT][WEB] Dashboard - Hide additional links in Top/Side Nav for No Accounts Found Experience"/>
    <s v="UserStory"/>
    <x v="0"/>
    <x v="0"/>
    <s v="16"/>
    <s v="Abbas Shamshi"/>
    <x v="4"/>
    <n v="4"/>
    <n v="16.96393518518519"/>
    <s v="130138"/>
    <m/>
  </r>
  <r>
    <s v="129714"/>
    <s v="[BC NEXT][WEB] Payment Ineligibility Page"/>
    <s v="UserStory"/>
    <x v="0"/>
    <x v="0"/>
    <s v="24"/>
    <s v="Antonio Posada"/>
    <x v="28"/>
    <n v="27"/>
    <n v="41.09260416666667"/>
    <s v="132448"/>
    <m/>
  </r>
  <r>
    <s v="129715"/>
    <s v="[BC NEXT][WEB] Issue Processing Request Page"/>
    <s v="UserStory"/>
    <x v="0"/>
    <x v="0"/>
    <s v="19"/>
    <s v="Joseph Kranak"/>
    <x v="28"/>
    <n v="7"/>
    <n v="14.7341087962963"/>
    <s v="131615"/>
    <m/>
  </r>
  <r>
    <s v="129717"/>
    <s v="[BC NEXT][WEB] Outage Modal"/>
    <s v="UserStory"/>
    <x v="0"/>
    <x v="0"/>
    <s v="22"/>
    <s v="Antonio Posada"/>
    <x v="28"/>
    <n v="2"/>
    <n v="15.9684375"/>
    <s v="133076"/>
    <m/>
  </r>
  <r>
    <s v="129784"/>
    <s v="[BC NEXT] Dashboard - Update Account Summary Card message for accounts due today"/>
    <s v="UserStory"/>
    <x v="0"/>
    <x v="0"/>
    <s v="22"/>
    <s v="Joseph Kranak"/>
    <x v="7"/>
    <n v="6"/>
    <n v="13.14855324074074"/>
    <s v="133005"/>
    <m/>
  </r>
  <r>
    <s v="129786"/>
    <s v="[BC NEXT] Manage Payments - Not pulling AutoPay payments after enrolled"/>
    <s v="UserStory"/>
    <x v="0"/>
    <x v="0"/>
    <s v="22"/>
    <s v="Yokeshwaran Lokanathan"/>
    <x v="7"/>
    <n v="14"/>
    <n v="21.0621875"/>
    <s v="133005"/>
    <m/>
  </r>
  <r>
    <s v="131616"/>
    <s v="[BC NEXT][RESEARCH] Manage Debit Cards - Cards not syncing in Paymentus"/>
    <s v="UserStory"/>
    <x v="0"/>
    <x v="0"/>
    <s v="20"/>
    <s v="Pete Wesselius"/>
    <x v="7"/>
    <n v="0"/>
    <n v="4.169409722222222"/>
    <m/>
    <m/>
  </r>
  <r>
    <s v="132144"/>
    <s v="[BC NEXT][WEB] Login Pages - Verify Email"/>
    <s v="UserStory"/>
    <x v="0"/>
    <x v="0"/>
    <s v="21"/>
    <s v="Chirag Khandhar"/>
    <x v="29"/>
    <n v="2"/>
    <n v="6.182152777777778"/>
    <s v="132710"/>
    <m/>
  </r>
  <r>
    <s v="132152"/>
    <s v="[BC NEXT] Take user through login to land on logged in Contact Us page"/>
    <s v="UserStory"/>
    <x v="0"/>
    <x v="0"/>
    <s v="24"/>
    <s v="Yokeshwaran Lokanathan"/>
    <x v="7"/>
    <n v="5"/>
    <n v="6.194699074074074"/>
    <s v="133957"/>
    <m/>
  </r>
  <r>
    <s v="132156"/>
    <s v="[BC NEXT][WEB] Payment Options - Pay with Debit Card link broken pre-login"/>
    <s v="UserStory"/>
    <x v="0"/>
    <x v="0"/>
    <s v="23"/>
    <s v="Antonio Posada"/>
    <x v="7"/>
    <n v="2"/>
    <n v="15.01596064814815"/>
    <s v="133564"/>
    <m/>
  </r>
  <r>
    <s v="133226"/>
    <s v="[BC NEXT][WEB] Invalid route should land user on homepage/dashboard"/>
    <s v="UserStory"/>
    <x v="0"/>
    <x v="0"/>
    <s v="26"/>
    <s v="Yokeshwaran Lokanathan"/>
    <x v="0"/>
    <n v="7"/>
    <n v="11.28616898148148"/>
    <s v="134694"/>
    <m/>
  </r>
  <r>
    <s v="133482"/>
    <s v="[BC NEXT][WEB] Fix Footer"/>
    <s v="UserStory"/>
    <x v="0"/>
    <x v="0"/>
    <s v="26"/>
    <s v="Abbas Shamshi"/>
    <x v="0"/>
    <n v="7"/>
    <n v="11.17648148148148"/>
    <s v="134694"/>
    <m/>
  </r>
  <r>
    <s v="133563"/>
    <s v="[BC NEXT] Fix relative paths"/>
    <s v="UserStory"/>
    <x v="0"/>
    <x v="0"/>
    <s v="23"/>
    <s v="Joseph Kranak"/>
    <x v="15"/>
    <n v="0"/>
    <n v="0.1849074074074074"/>
    <s v="133564"/>
    <m/>
  </r>
  <r>
    <s v="133860"/>
    <s v="[BC NEXT][RESEARCH] Contact Us Backend in SSP"/>
    <s v="UserStory"/>
    <x v="0"/>
    <x v="0"/>
    <s v="28"/>
    <s v="Yokeshwaran Lokanathan"/>
    <x v="17"/>
    <n v="7"/>
    <n v="11.99210648148148"/>
    <m/>
    <m/>
  </r>
  <r>
    <s v="133897"/>
    <s v="[BC NEXT] Redirect Select Account page to Issue Processing Request when API error"/>
    <s v="UserStory"/>
    <x v="0"/>
    <x v="0"/>
    <s v="26"/>
    <s v="Yokeshwaran Lokanathan"/>
    <x v="15"/>
    <n v="10"/>
    <n v="13.82783564814815"/>
    <m/>
    <m/>
  </r>
  <r>
    <s v="134037"/>
    <s v="[BC NEXT] Update linting to enforce private names to start with underscore"/>
    <s v="UserStory"/>
    <x v="0"/>
    <x v="0"/>
    <s v="24"/>
    <s v="Joseph Kranak"/>
    <x v="15"/>
    <n v="1"/>
    <n v="1.350740740740741"/>
    <s v="134034"/>
    <m/>
  </r>
  <r>
    <s v="134084"/>
    <s v="[SSP] Update Launch Darkly SDK"/>
    <s v="UserStory"/>
    <x v="0"/>
    <x v="0"/>
    <s v="25"/>
    <s v="Connor Golobich"/>
    <x v="7"/>
    <n v="0"/>
    <n v="1.217418981481482"/>
    <s v="134413"/>
    <m/>
  </r>
  <r>
    <s v="134179"/>
    <s v="[BC NEXT] Manage Mods - Routes and Metadata"/>
    <s v="UserStory"/>
    <x v="0"/>
    <x v="0"/>
    <s v="29"/>
    <s v="Antonio Posada"/>
    <x v="12"/>
    <n v="8"/>
    <n v="19.14414351851852"/>
    <s v="136946"/>
    <m/>
  </r>
  <r>
    <s v="134705"/>
    <s v="[SSP] Update SSP redirect exclusion list to include additional URLS"/>
    <s v="UserStory"/>
    <x v="0"/>
    <x v="0"/>
    <s v="27"/>
    <s v="Connor Golobich"/>
    <x v="27"/>
    <n v="7"/>
    <n v="7.988136574074074"/>
    <s v="134997"/>
    <m/>
  </r>
  <r>
    <s v="135103"/>
    <s v="[BC NEXT] Manage Mods - Update Redirect for /manage-modifications for non-qualifying accounts"/>
    <s v="UserStory"/>
    <x v="0"/>
    <x v="0"/>
    <s v="30"/>
    <s v="Chirag Khandhar"/>
    <x v="12"/>
    <n v="1"/>
    <n v="5.9953125"/>
    <s v="136946"/>
    <m/>
  </r>
  <r>
    <s v="135410"/>
    <s v="[BC NEXT] Paymentus Quick Access - Routes, Metadata, and Scaffolding"/>
    <s v="UserStory"/>
    <x v="0"/>
    <x v="0"/>
    <s v="31"/>
    <s v="Chirag Khandhar"/>
    <x v="13"/>
    <n v="0"/>
    <n v="9.258472222222222"/>
    <s v="138993"/>
    <m/>
  </r>
  <r>
    <s v="135922"/>
    <s v="[BC NEXT] Manage Modifications Deployment"/>
    <s v="UserStory"/>
    <x v="0"/>
    <x v="0"/>
    <s v="39"/>
    <s v="Chirag Khandhar"/>
    <x v="12"/>
    <n v="0"/>
    <n v="50.01322916666666"/>
    <s v="136946"/>
    <m/>
  </r>
  <r>
    <s v="136623"/>
    <s v="[BC NEXT] APP - Add version number to Account Settings Page"/>
    <s v="UserStory"/>
    <x v="0"/>
    <x v="0"/>
    <s v="33"/>
    <s v="Joseph Kranak"/>
    <x v="9"/>
    <n v="7"/>
    <n v="9.05429398148148"/>
    <s v="137715"/>
    <m/>
  </r>
  <r>
    <s v="136651"/>
    <s v="[BC NEXT] Debit Cards not syncing with Paymentus when added through Manage Debit Cards page"/>
    <s v="UserStory"/>
    <x v="0"/>
    <x v="0"/>
    <s v="31"/>
    <s v="Camilo Guerrero"/>
    <x v="9"/>
    <n v="4"/>
    <n v="6.205925925925926"/>
    <s v="136925"/>
    <m/>
  </r>
  <r>
    <s v="139238"/>
    <s v="[BC NEXT][RESEARCH] Payoff Quote - How is Payoff Quote Summary document created"/>
    <s v="UserStory"/>
    <x v="0"/>
    <x v="0"/>
    <s v="39"/>
    <s v="Chirag Khandhar"/>
    <x v="16"/>
    <n v="0"/>
    <n v="5.206377314814815"/>
    <m/>
    <m/>
  </r>
  <r>
    <s v="139705"/>
    <s v="[BC NEXT] Hide Non Logged-in Debit Card Experience"/>
    <s v="UserStory"/>
    <x v="0"/>
    <x v="0"/>
    <s v="37"/>
    <s v="Abbas Shamshi"/>
    <x v="15"/>
    <n v="1"/>
    <n v="0.8947222222222222"/>
    <s v="139752"/>
    <m/>
  </r>
  <r>
    <s v="140200"/>
    <s v="[BC NEXT] Add disclaimer to Account Lookup page"/>
    <s v="UserStory"/>
    <x v="0"/>
    <x v="0"/>
    <s v="40"/>
    <s v="Abbas Shamshi"/>
    <x v="15"/>
    <n v="8"/>
    <n v="12.09701388888889"/>
    <s v="140516"/>
    <m/>
  </r>
  <r>
    <s v="140796"/>
    <s v="[BC NEXT][SSP] Add Manage Modifications URLs to redirect flag"/>
    <s v="UserStory"/>
    <x v="0"/>
    <x v="0"/>
    <s v="42"/>
    <s v="Connor Golobich"/>
    <x v="12"/>
    <n v="6"/>
    <n v="14.05828703703704"/>
    <m/>
    <m/>
  </r>
  <r>
    <s v="140944"/>
    <s v="[BC NEXT] Payoff Quote - Update Payoff Quote Letter"/>
    <s v="UserStory"/>
    <x v="0"/>
    <x v="0"/>
    <s v="43"/>
    <s v="Chirag Khandhar"/>
    <x v="16"/>
    <n v="3"/>
    <n v="4.254525462962963"/>
    <s v="142204"/>
    <m/>
  </r>
  <r>
    <s v="145321"/>
    <s v="[BC NEXT] My Profile - Create unit tests for email validation"/>
    <s v="UserStory"/>
    <x v="0"/>
    <x v="0"/>
    <s v="50"/>
    <s v="Michael Wang"/>
    <x v="1"/>
    <n v="0"/>
    <n v="7.579490740740741"/>
    <s v="146568"/>
    <m/>
  </r>
  <r>
    <s v="125514"/>
    <s v="[BC NEXT] App Pilot - SSP Banner Links"/>
    <s v="UserStory"/>
    <x v="0"/>
    <x v="0"/>
    <s v="02"/>
    <s v="Pete Wesselius"/>
    <x v="32"/>
    <n v="1"/>
    <n v="0.974849537037037"/>
    <s v="124683"/>
    <m/>
  </r>
  <r>
    <s v="129645"/>
    <s v="[BC NEXT][WEB] Update Homepage Login Button to Blue Button"/>
    <s v="UserStory"/>
    <x v="0"/>
    <x v="0"/>
    <s v="20"/>
    <s v="Shyam Senthil Nathan"/>
    <x v="7"/>
    <n v="0"/>
    <n v="12.24811342592593"/>
    <m/>
    <m/>
  </r>
  <r>
    <s v="132151"/>
    <s v="[BC NEXT][WEB] Update favicon"/>
    <s v="UserStory"/>
    <x v="0"/>
    <x v="0"/>
    <s v="22"/>
    <s v="Antonio Posada"/>
    <x v="7"/>
    <n v="2"/>
    <n v="2.836296296296296"/>
    <s v="133076"/>
    <m/>
  </r>
  <r>
    <s v="133224"/>
    <s v="[BC NEXT][APP] Update button on pre-login page"/>
    <s v="UserStory"/>
    <x v="0"/>
    <x v="0"/>
    <s v="23"/>
    <s v="Joseph Kranak"/>
    <x v="0"/>
    <n v="0"/>
    <n v="1.043726851851852"/>
    <s v="133564"/>
    <m/>
  </r>
  <r>
    <s v="135036"/>
    <s v="[BC NEXT] Update language on Payment Options page"/>
    <s v="UserStory"/>
    <x v="0"/>
    <x v="0"/>
    <s v="28"/>
    <s v="Chirag Khandhar"/>
    <x v="0"/>
    <n v="11"/>
    <n v="11.14648148148148"/>
    <s v="135384"/>
    <m/>
  </r>
  <r>
    <s v="142086"/>
    <s v="[BC NEXT][SSP] Deploy Manage Modifications redirects"/>
    <s v="UserStory"/>
    <x v="0"/>
    <x v="0"/>
    <s v="48"/>
    <s v="Connor Golobich"/>
    <x v="12"/>
    <n v="12"/>
    <n v="11.73509259259259"/>
    <s v="144706"/>
    <m/>
  </r>
  <r>
    <s v="125432"/>
    <s v="[BC NEXT][OBSERVATIONS][1] Transaction History is not showing recent payments"/>
    <s v="UserStory"/>
    <x v="0"/>
    <x v="0"/>
    <s v="02"/>
    <m/>
    <x v="5"/>
    <n v="0"/>
    <n v="2.314814814814815e-05"/>
    <m/>
    <m/>
  </r>
  <r>
    <s v="125763"/>
    <s v="[BC NEXT] [RESEARCH] Understand how payment reversals and fees are delivered through BCAPI"/>
    <s v="UserStory"/>
    <x v="0"/>
    <x v="0"/>
    <s v="03"/>
    <s v="Connor Golobich"/>
    <x v="5"/>
    <n v="0"/>
    <n v="0.9633912037037037"/>
    <m/>
    <m/>
  </r>
  <r>
    <s v="127975"/>
    <s v="[BC NEXT] Fix Bio-auth Error on Login"/>
    <s v="UserStory"/>
    <x v="0"/>
    <x v="0"/>
    <s v="14"/>
    <m/>
    <x v="7"/>
    <n v="0"/>
    <n v="0.2047222222222222"/>
    <m/>
    <m/>
  </r>
  <r>
    <s v="134998"/>
    <s v="[BC NEXT][WEB] Deploy int branch from code freeze"/>
    <s v="UserStory"/>
    <x v="0"/>
    <x v="0"/>
    <s v="28"/>
    <m/>
    <x v="0"/>
    <n v="1"/>
    <n v="1.151412037037037"/>
    <s v="135384"/>
    <m/>
  </r>
  <r>
    <s v="136358"/>
    <s v="[BC NEXT] HOT FIX - AutoPay Enrollment for Same Day Sales"/>
    <s v="UserStory"/>
    <x v="0"/>
    <x v="0"/>
    <s v="30"/>
    <s v="Camilo Guerrero"/>
    <x v="0"/>
    <n v="0"/>
    <n v="0.3003009259259259"/>
    <s v="136362"/>
    <m/>
  </r>
  <r>
    <s v="140745"/>
    <s v="[BC NEXT] Customer Support Center - Document Request section send request logic"/>
    <s v="UserStory"/>
    <x v="0"/>
    <x v="0"/>
    <m/>
    <m/>
    <x v="17"/>
    <m/>
    <m/>
    <m/>
    <m/>
  </r>
  <r>
    <s v="146841"/>
    <s v="[BC NEXT] My Profile - Create Auth0 Password Update Mutation"/>
    <s v="UserStory"/>
    <x v="0"/>
    <x v="0"/>
    <m/>
    <m/>
    <x v="1"/>
    <m/>
    <m/>
    <m/>
    <m/>
  </r>
  <r>
    <s v="129702"/>
    <s v="Email &amp; Text App Launch Communications for Current"/>
    <s v="UserStory"/>
    <x v="0"/>
    <x v="1"/>
    <s v="20"/>
    <s v="Sushma Gurram and Julie Ramos and Aditi Sharma"/>
    <x v="33"/>
    <n v="7"/>
    <n v="36.10170138888888"/>
    <s v="132158"/>
    <m/>
  </r>
  <r>
    <s v="133813"/>
    <s v="Implement new Success and Error registration pages with deep linking"/>
    <s v="UserStory"/>
    <x v="0"/>
    <x v="1"/>
    <s v="29"/>
    <s v="Manuel Tenorio and Daniel Verhagen"/>
    <x v="31"/>
    <n v="9"/>
    <n v="36.79193287037037"/>
    <s v="135225"/>
    <m/>
  </r>
  <r>
    <s v="125958"/>
    <s v="[BC NEXT][OBSERVATIONS][1] Same Day Sale shows error page"/>
    <s v="UserStory"/>
    <x v="0"/>
    <x v="1"/>
    <s v="04"/>
    <s v="Akshay Golash and Marcus Rogers and Aditi Sharma"/>
    <x v="6"/>
    <n v="1"/>
    <n v="7.218368055555556"/>
    <s v="126335"/>
    <m/>
  </r>
  <r>
    <s v="127408"/>
    <s v="[RESEARCH SPIKE] Document options for push notifications"/>
    <s v="UserStory"/>
    <x v="0"/>
    <x v="1"/>
    <s v="10"/>
    <s v="Marcus Rogers and Aditi Sharma"/>
    <x v="34"/>
    <n v="0"/>
    <n v="12.23158564814815"/>
    <m/>
    <m/>
  </r>
  <r>
    <s v="130908"/>
    <s v="[BC NEXT] PTC Banner - Active Payment Plan Banner"/>
    <s v="UserStory"/>
    <x v="0"/>
    <x v="1"/>
    <s v="22"/>
    <s v="Aditi Sharma"/>
    <x v="30"/>
    <n v="11"/>
    <n v="18.03398148148148"/>
    <s v="132566"/>
    <m/>
  </r>
  <r>
    <s v="131712"/>
    <s v="[BC NEXT] PTC Banner - View Payment Plans Options Banner"/>
    <s v="UserStory"/>
    <x v="0"/>
    <x v="1"/>
    <s v="22"/>
    <s v="Aditi Sharma"/>
    <x v="30"/>
    <n v="2"/>
    <n v="13.03303240740741"/>
    <s v="133201"/>
    <m/>
  </r>
  <r>
    <s v="132103"/>
    <s v="[BC NEXT] Implement TWT Widget on BC Next"/>
    <s v="UserStory"/>
    <x v="0"/>
    <x v="1"/>
    <s v="25"/>
    <s v="Marcus Rogers and Aditi Sharma"/>
    <x v="35"/>
    <n v="1"/>
    <n v="21.67188657407407"/>
    <s v="134382"/>
    <m/>
  </r>
  <r>
    <s v="132624"/>
    <s v="Implement Smart App Banner"/>
    <s v="UserStory"/>
    <x v="0"/>
    <x v="1"/>
    <s v="31"/>
    <s v="Aditi Sharma and Michael Wang"/>
    <x v="36"/>
    <n v="12"/>
    <n v="33.8587962962963"/>
    <s v="136788"/>
    <m/>
  </r>
  <r>
    <s v="132628"/>
    <s v="Research Deep Linking for Verification Email"/>
    <s v="UserStory"/>
    <x v="0"/>
    <x v="1"/>
    <s v="24"/>
    <s v="Daniel Verhagen"/>
    <x v="31"/>
    <n v="0"/>
    <n v="12.98395833333333"/>
    <m/>
    <m/>
  </r>
  <r>
    <s v="134472"/>
    <s v="[BC NEXT] Manage Mods - Expired Modification Banner"/>
    <s v="UserStory"/>
    <x v="0"/>
    <x v="1"/>
    <s v="40"/>
    <s v="Marcus Rogers"/>
    <x v="12"/>
    <n v="7"/>
    <n v="35.77670138888889"/>
    <s v="140775"/>
    <m/>
  </r>
  <r>
    <s v="134480"/>
    <s v="[BC NEXT] Visibility to TWT Widget when impersonating a user"/>
    <s v="UserStory"/>
    <x v="0"/>
    <x v="1"/>
    <s v="29"/>
    <s v="Michael Wang"/>
    <x v="35"/>
    <n v="13"/>
    <n v="15.91232638888889"/>
    <s v="135225"/>
    <m/>
  </r>
  <r>
    <s v="139857"/>
    <s v="[BC NEXT] Manage Mods - Processing and Completed Modification Banner"/>
    <s v="UserStory"/>
    <x v="0"/>
    <x v="1"/>
    <s v="40"/>
    <s v="Marcus Rogers"/>
    <x v="12"/>
    <n v="1"/>
    <n v="11.90665509259259"/>
    <s v="140775"/>
    <m/>
  </r>
  <r>
    <s v="125181"/>
    <s v="[BC NEXT][OBSERVATIONS][1] MAP/AP/AP Past Due is showing previously logged in vehicle's info"/>
    <s v="UserStory"/>
    <x v="0"/>
    <x v="1"/>
    <s v="02"/>
    <s v="Akshay Golash"/>
    <x v="5"/>
    <n v="0"/>
    <n v="10.01972222222222"/>
    <s v="125594"/>
    <m/>
  </r>
  <r>
    <s v="125270"/>
    <s v="[BC NEXT][OBSERVATIONS][1] Create events within Account Lookup/Email Verification Flow"/>
    <s v="UserStory"/>
    <x v="0"/>
    <x v="1"/>
    <s v="05"/>
    <s v="Marcus Rogers and Michael Wang"/>
    <x v="6"/>
    <n v="3"/>
    <n v="16.7605787037037"/>
    <s v="126564"/>
    <m/>
  </r>
  <r>
    <s v="125982"/>
    <s v="[MAR RC][BC NEXT][OBSERVATIONS][2] Cancel is not clearing AutoPay"/>
    <s v="UserStory"/>
    <x v="0"/>
    <x v="1"/>
    <s v="08"/>
    <s v="Marcus Rogers"/>
    <x v="6"/>
    <n v="1"/>
    <n v="28.96145833333333"/>
    <s v="127779"/>
    <m/>
  </r>
  <r>
    <s v="126626"/>
    <s v="[FEB RC][BC NEXT][OBSERVATIONS][1] Date is incorrect in the calendar"/>
    <s v="UserStory"/>
    <x v="0"/>
    <x v="1"/>
    <s v="06"/>
    <s v="Daniel Verhagen and Michael Wang"/>
    <x v="6"/>
    <n v="3"/>
    <n v="9.763865740740741"/>
    <s v="126944"/>
    <m/>
  </r>
  <r>
    <s v="126759"/>
    <s v="[BC NEXT][OBSERVATIONS][2] Analytic Bug Bunch"/>
    <s v="UserStory"/>
    <x v="0"/>
    <x v="1"/>
    <s v="09"/>
    <s v="Marcus Rogers and Daniel Verhagen and Michael Wang"/>
    <x v="6"/>
    <n v="3"/>
    <n v="22.75611111111111"/>
    <s v="128000"/>
    <m/>
  </r>
  <r>
    <s v="126926"/>
    <s v="[BC NEXT][OBSERVATIONS][2] Setup Victor Ops Alerts for BC Next AI Alerts"/>
    <s v="UserStory"/>
    <x v="0"/>
    <x v="1"/>
    <s v="07"/>
    <s v="Aditi Sharma"/>
    <x v="6"/>
    <n v="1"/>
    <n v="6.774039351851852"/>
    <m/>
    <m/>
  </r>
  <r>
    <s v="129752"/>
    <s v="Configure different route for android and iOS deeplinks"/>
    <s v="UserStory"/>
    <x v="0"/>
    <x v="1"/>
    <s v="19"/>
    <s v="Daniel Verhagen"/>
    <x v="33"/>
    <n v="7"/>
    <n v="22.25795138888889"/>
    <s v="131389"/>
    <m/>
  </r>
  <r>
    <s v="130766"/>
    <s v="[BC Next][BC API] Add endpoint in BC API to /api/loan/loanModSummary in Bc.Data.Collections"/>
    <s v="UserStory"/>
    <x v="0"/>
    <x v="1"/>
    <s v="22"/>
    <s v="Akshay Golash"/>
    <x v="30"/>
    <n v="14"/>
    <n v="20.05809027777778"/>
    <s v="132547"/>
    <m/>
  </r>
  <r>
    <s v="130909"/>
    <s v="[BC NEXT] Mod Banner - Approved and Pending Signature Banner"/>
    <s v="UserStory"/>
    <x v="0"/>
    <x v="1"/>
    <s v="22"/>
    <s v="Marcus Rogers"/>
    <x v="30"/>
    <n v="11"/>
    <n v="17.86966435185185"/>
    <s v="132566"/>
    <m/>
  </r>
  <r>
    <s v="132436"/>
    <s v="[BC Next] Research TWT widget implementation on BcNext"/>
    <s v="UserStory"/>
    <x v="0"/>
    <x v="1"/>
    <s v="22"/>
    <s v="Marcus Rogers"/>
    <x v="35"/>
    <n v="1"/>
    <n v="11.87793981481481"/>
    <m/>
    <m/>
  </r>
  <r>
    <s v="133789"/>
    <s v="[BC Next] Modify BC Next Banner Hierarchy"/>
    <s v="UserStory"/>
    <x v="0"/>
    <x v="1"/>
    <s v="25"/>
    <s v="Manuel Tenorio and Michael Wang"/>
    <x v="30"/>
    <n v="5"/>
    <n v="6.996585648148148"/>
    <s v="134334"/>
    <m/>
  </r>
  <r>
    <s v="133954"/>
    <s v="Web Launch Email Aug 24th"/>
    <s v="UserStory"/>
    <x v="0"/>
    <x v="1"/>
    <s v="34"/>
    <s v="Sushma Gurram and Aditi Sharma"/>
    <x v="37"/>
    <n v="0"/>
    <n v="5.834814814814814"/>
    <s v="133902"/>
    <m/>
  </r>
  <r>
    <s v="134421"/>
    <s v="[BC NEXT] Implement TWT Widget on BC Next on Android &amp; iOS devices"/>
    <s v="UserStory"/>
    <x v="0"/>
    <x v="1"/>
    <s v="29"/>
    <s v="Manuel Tenorio and Michael Wang"/>
    <x v="35"/>
    <n v="15"/>
    <n v="27.9974537037037"/>
    <s v="135225"/>
    <m/>
  </r>
  <r>
    <s v="136676"/>
    <s v="Implement CTA for IOS Smart Banner Workflow"/>
    <s v="UserStory"/>
    <x v="0"/>
    <x v="1"/>
    <s v="33"/>
    <s v="Daniel Verhagen"/>
    <x v="36"/>
    <n v="8"/>
    <n v="13.66135416666667"/>
    <s v="137482"/>
    <m/>
  </r>
  <r>
    <s v="125230"/>
    <s v="[BC NEXT][OBSERVATIONS][1] No events within Register Account Success Modal"/>
    <s v="UserStory"/>
    <x v="0"/>
    <x v="1"/>
    <s v="02"/>
    <s v="Marcus Rogers"/>
    <x v="5"/>
    <n v="3"/>
    <n v="6.996967592592592"/>
    <s v="125457"/>
    <m/>
  </r>
  <r>
    <s v="125974"/>
    <s v="[MAR RC][BC NEXT][OBSERVATIONS][1] Deleting Routing Number issue and error message issue"/>
    <s v="UserStory"/>
    <x v="0"/>
    <x v="1"/>
    <s v="05"/>
    <s v="Daniel Verhagen"/>
    <x v="6"/>
    <n v="1"/>
    <n v="9.090474537037037"/>
    <s v="126785"/>
    <m/>
  </r>
  <r>
    <s v="126216"/>
    <s v="[MAR RC][BC NEXT][OBSERVATIONS][1] Dashboard AutoPay Eligibility"/>
    <s v="UserStory"/>
    <x v="0"/>
    <x v="1"/>
    <s v="06"/>
    <s v="Aditi Sharma"/>
    <x v="6"/>
    <n v="2"/>
    <n v="16.63559027777778"/>
    <s v="127077"/>
    <m/>
  </r>
  <r>
    <s v="126562"/>
    <s v="[BC Next][OBSERVATIONS][2] Cosmetic Issues"/>
    <s v="UserStory"/>
    <x v="0"/>
    <x v="1"/>
    <s v="08"/>
    <s v="Daniel Verhagen and Michael Wang"/>
    <x v="6"/>
    <n v="5"/>
    <n v="19.7846412037037"/>
    <s v="127656"/>
    <m/>
  </r>
  <r>
    <s v="126625"/>
    <s v="[MAR RC][BC NEXT][OBSERVATIONS][1] See Additional Payment Options button on Payment ineligibility page is not working and Issue processing request page displays"/>
    <s v="UserStory"/>
    <x v="0"/>
    <x v="1"/>
    <s v="07"/>
    <s v="Aditi Sharma"/>
    <x v="6"/>
    <n v="1"/>
    <n v="15.74782407407407"/>
    <s v="127103"/>
    <m/>
  </r>
  <r>
    <s v="127050"/>
    <s v="[SSP][Tax Time][Emails][Multivariate][1] Update Email Templates with new field and comps"/>
    <s v="UserStory"/>
    <x v="0"/>
    <x v="1"/>
    <s v="06"/>
    <s v="Marcus Rogers and Aditi Sharma"/>
    <x v="38"/>
    <n v="2"/>
    <n v="3.801898148148148"/>
    <m/>
    <m/>
  </r>
  <r>
    <s v="129701"/>
    <s v="Vision Classic |SSP - App Launch Communications"/>
    <s v="UserStory"/>
    <x v="0"/>
    <x v="1"/>
    <s v="17"/>
    <s v="Akshay Golash and Aditi Sharma"/>
    <x v="33"/>
    <n v="5"/>
    <n v="11.89391203703704"/>
    <s v="130368"/>
    <m/>
  </r>
  <r>
    <s v="132679"/>
    <s v="Update the DNC sproc"/>
    <s v="UserStory"/>
    <x v="0"/>
    <x v="1"/>
    <s v="22"/>
    <s v="Sushma Gurram"/>
    <x v="33"/>
    <n v="6"/>
    <n v="6.982986111111111"/>
    <s v="132623"/>
    <m/>
  </r>
  <r>
    <s v="133953"/>
    <s v="App Launch Email/Texts - Aug 3rd, 10th, 17th"/>
    <s v="UserStory"/>
    <x v="0"/>
    <x v="1"/>
    <s v="33"/>
    <s v="Sushma Gurram"/>
    <x v="37"/>
    <n v="0"/>
    <n v="16.35383101851852"/>
    <m/>
    <m/>
  </r>
  <r>
    <s v="134229"/>
    <s v="[BcNext] Add deep linking config for new BcNext subdomain (www2.bridgecrest.com)"/>
    <s v="UserStory"/>
    <x v="0"/>
    <x v="1"/>
    <s v="25"/>
    <s v="Daniel Verhagen"/>
    <x v="31"/>
    <n v="5"/>
    <n v="5.208530092592593"/>
    <s v="134248"/>
    <m/>
  </r>
  <r>
    <s v="139479"/>
    <s v="[Platform SMS] Update twilio validation to accept custom attributes"/>
    <s v="UserStory"/>
    <x v="0"/>
    <x v="1"/>
    <s v="38"/>
    <s v="Aditi Sharma"/>
    <x v="15"/>
    <n v="6"/>
    <n v="6.945011574074074"/>
    <s v="139612"/>
    <m/>
  </r>
  <r>
    <s v="125164"/>
    <s v="[BC NEXT][OBSERVATIONS]Continue and Cancel buttons are sending analytics with 'OneTimePayment' category"/>
    <s v="UserStory"/>
    <x v="0"/>
    <x v="1"/>
    <s v="01"/>
    <s v="Michael Wang"/>
    <x v="5"/>
    <n v="2"/>
    <n v="2.047905092592592"/>
    <m/>
    <m/>
  </r>
  <r>
    <s v="125439"/>
    <s v="[BC NEXT][OBSERVATIONS][1]Hide Hello World from Production/Stage App Menu"/>
    <s v="UserStory"/>
    <x v="0"/>
    <x v="1"/>
    <s v="02"/>
    <s v="Daniel Verhagen and Michael Wang"/>
    <x v="5"/>
    <n v="2"/>
    <n v="3.028564814814815"/>
    <s v="125457"/>
    <m/>
  </r>
  <r>
    <s v="126632"/>
    <s v="[BC NEXT][OBSERVATIONS][2] Amount Due = 0 is showing as a Payment option to select"/>
    <s v="UserStory"/>
    <x v="0"/>
    <x v="1"/>
    <s v="06"/>
    <s v="Daniel Verhagen"/>
    <x v="6"/>
    <n v="3"/>
    <n v="8.916365740740741"/>
    <s v="127077"/>
    <m/>
  </r>
  <r>
    <s v="126703"/>
    <s v="[FEB RC][BC API] GQL 4 Upgrade + Same Day Sale fix"/>
    <s v="UserStory"/>
    <x v="0"/>
    <x v="1"/>
    <s v="05"/>
    <s v="Aditi Sharma"/>
    <x v="15"/>
    <n v="2"/>
    <n v="2.988368055555556"/>
    <s v="126784"/>
    <m/>
  </r>
  <r>
    <s v="132612"/>
    <s v="Update BC App Rollout MMS Message Template in Prod"/>
    <s v="UserStory"/>
    <x v="0"/>
    <x v="1"/>
    <s v="22"/>
    <s v="Sushma Gurram"/>
    <x v="33"/>
    <n v="8"/>
    <n v="7.997256944444444"/>
    <s v="132623"/>
    <m/>
  </r>
  <r>
    <s v="132672"/>
    <s v="Clean up MMS Azure Function logging"/>
    <s v="UserStory"/>
    <x v="0"/>
    <x v="1"/>
    <s v="22"/>
    <s v="Marcus Rogers"/>
    <x v="33"/>
    <n v="7"/>
    <n v="7.009583333333333"/>
    <s v="132623"/>
    <m/>
  </r>
  <r>
    <s v="135577"/>
    <s v="[Auth0][CC] Email Verification Redirect"/>
    <s v="UserStory"/>
    <x v="0"/>
    <x v="1"/>
    <s v="46"/>
    <s v="Daniel Verhagen"/>
    <x v="15"/>
    <n v="1"/>
    <n v="0.9226157407407407"/>
    <m/>
    <m/>
  </r>
  <r>
    <s v="125389"/>
    <s v="[REGRESSION] Test Group 1 iPhone"/>
    <s v="UserStory"/>
    <x v="0"/>
    <x v="1"/>
    <s v="03"/>
    <s v="Shyam Senthil Nathan"/>
    <x v="6"/>
    <n v="0"/>
    <n v="1.612453703703704"/>
    <m/>
    <m/>
  </r>
  <r>
    <s v="125390"/>
    <s v="[REGRESSION] Test Group 1 Android"/>
    <s v="UserStory"/>
    <x v="0"/>
    <x v="1"/>
    <s v="03"/>
    <s v="Abbas Shamshi"/>
    <x v="6"/>
    <n v="0"/>
    <n v="1.458333333333333"/>
    <m/>
    <m/>
  </r>
  <r>
    <s v="125430"/>
    <s v="[BC NEXT][OBSERVATIONS][1] Build number on the devices do not match the build number in Azure Release"/>
    <s v="UserStory"/>
    <x v="0"/>
    <x v="1"/>
    <s v="02"/>
    <m/>
    <x v="5"/>
    <n v="0"/>
    <n v="3.472222222222222e-05"/>
    <m/>
    <m/>
  </r>
  <r>
    <s v="125770"/>
    <s v="[REGRESSION] Test Group 2 iPhone"/>
    <s v="UserStory"/>
    <x v="0"/>
    <x v="1"/>
    <s v="03"/>
    <s v="Joseph Kranak and Yokeshwaran Lokanathan and Andrew Vu"/>
    <x v="6"/>
    <n v="0"/>
    <n v="1.540231481481481"/>
    <m/>
    <m/>
  </r>
  <r>
    <s v="125771"/>
    <s v="[REGRESSION] Test Group 2 Android"/>
    <s v="UserStory"/>
    <x v="0"/>
    <x v="1"/>
    <s v="03"/>
    <s v="Namratha Chilukuri and Jonathan Escamilla and Ite Pandit"/>
    <x v="6"/>
    <n v="0"/>
    <n v="1.540208333333333"/>
    <m/>
    <m/>
  </r>
  <r>
    <s v="125772"/>
    <s v="[REGRESSION] Test Group 3 iPhone"/>
    <s v="UserStory"/>
    <x v="0"/>
    <x v="1"/>
    <s v="03"/>
    <s v="Jesse McMahon"/>
    <x v="6"/>
    <n v="0"/>
    <n v="1.559583333333333"/>
    <m/>
    <m/>
  </r>
  <r>
    <s v="125773"/>
    <s v="[REGRESSION] Test Group 3 Android"/>
    <s v="UserStory"/>
    <x v="0"/>
    <x v="1"/>
    <s v="03"/>
    <s v="Pete Wesselius"/>
    <x v="6"/>
    <n v="0"/>
    <n v="1.55900462962963"/>
    <m/>
    <m/>
  </r>
  <r>
    <s v="125774"/>
    <s v="[REGRESSION] Test Group 4 iPhone"/>
    <s v="UserStory"/>
    <x v="0"/>
    <x v="1"/>
    <s v="03"/>
    <s v="Lavanya Raghavender"/>
    <x v="6"/>
    <n v="0"/>
    <n v="1.533553240740741"/>
    <m/>
    <m/>
  </r>
  <r>
    <s v="125775"/>
    <s v="[REGRESSION] Test Group 4 Android"/>
    <s v="UserStory"/>
    <x v="0"/>
    <x v="1"/>
    <s v="03"/>
    <s v="Marcus Rogers"/>
    <x v="6"/>
    <n v="0"/>
    <n v="1.559629629629629"/>
    <m/>
    <m/>
  </r>
  <r>
    <s v="125776"/>
    <s v="[REGRESSION] Test Group 5 iPhone"/>
    <s v="UserStory"/>
    <x v="0"/>
    <x v="1"/>
    <s v="03"/>
    <s v="Chirag Khandhar"/>
    <x v="6"/>
    <n v="0"/>
    <n v="1.559050925925926"/>
    <m/>
    <m/>
  </r>
  <r>
    <s v="125777"/>
    <s v="[REGRESSION] Test Group 5 Android"/>
    <s v="UserStory"/>
    <x v="0"/>
    <x v="1"/>
    <s v="03"/>
    <s v="Jonathan Escamilla"/>
    <x v="6"/>
    <n v="1"/>
    <n v="1.485266203703704"/>
    <m/>
    <m/>
  </r>
  <r>
    <s v="125778"/>
    <s v="[REGRESSION] Test Group 6 iPhone"/>
    <s v="UserStory"/>
    <x v="0"/>
    <x v="1"/>
    <s v="03"/>
    <s v="Andrew Vu"/>
    <x v="6"/>
    <n v="0"/>
    <n v="1.533703703703704"/>
    <m/>
    <m/>
  </r>
  <r>
    <s v="125779"/>
    <s v="[REGRESSION] Test Group 6 Android"/>
    <s v="UserStory"/>
    <x v="0"/>
    <x v="1"/>
    <s v="03"/>
    <s v="Aditi Sharma"/>
    <x v="6"/>
    <n v="0"/>
    <n v="1.535625"/>
    <m/>
    <m/>
  </r>
  <r>
    <s v="125780"/>
    <s v="[REGRESSION] Test Group 7 iPhone"/>
    <s v="UserStory"/>
    <x v="0"/>
    <x v="1"/>
    <s v="03"/>
    <s v="Joseph Kranak"/>
    <x v="6"/>
    <n v="1"/>
    <n v="1.560763888888889"/>
    <m/>
    <m/>
  </r>
  <r>
    <s v="125781"/>
    <s v="[REGRESSION] Test Group 7 Android"/>
    <s v="UserStory"/>
    <x v="0"/>
    <x v="1"/>
    <s v="03"/>
    <s v="Namratha Chilukuri"/>
    <x v="6"/>
    <n v="0"/>
    <n v="1.48474537037037"/>
    <m/>
    <m/>
  </r>
  <r>
    <s v="125782"/>
    <s v="[REGRESSION] Test Group 8 iPhone"/>
    <s v="UserStory"/>
    <x v="0"/>
    <x v="1"/>
    <s v="03"/>
    <s v="Michael Wang"/>
    <x v="6"/>
    <n v="0"/>
    <n v="1.485636574074074"/>
    <m/>
    <m/>
  </r>
  <r>
    <s v="125783"/>
    <s v="[REGRESSION] Test Group 8 Android"/>
    <s v="UserStory"/>
    <x v="0"/>
    <x v="1"/>
    <s v="03"/>
    <s v="Jonathan Escamilla"/>
    <x v="6"/>
    <n v="0"/>
    <n v="0.4940046296296296"/>
    <m/>
    <m/>
  </r>
  <r>
    <s v="125785"/>
    <s v="[REGRESSION] Test Group 9 iPhone"/>
    <s v="UserStory"/>
    <x v="0"/>
    <x v="1"/>
    <s v="03"/>
    <s v="Sri Charan Simha Velpur"/>
    <x v="6"/>
    <n v="0"/>
    <n v="1.484328703703704"/>
    <m/>
    <m/>
  </r>
  <r>
    <s v="125786"/>
    <s v="[REGRESSION] Test Group 9 Android"/>
    <s v="UserStory"/>
    <x v="0"/>
    <x v="1"/>
    <s v="03"/>
    <s v="Aditi Sharma and Pete Wesselius"/>
    <x v="6"/>
    <n v="0"/>
    <n v="1.559224537037037"/>
    <m/>
    <m/>
  </r>
  <r>
    <s v="125960"/>
    <s v="[BC NEXT][OBSERVATIONS] Android events are missing"/>
    <s v="UserStory"/>
    <x v="0"/>
    <x v="1"/>
    <s v="03"/>
    <s v="Akshay Golash and Marcus Rogers"/>
    <x v="6"/>
    <n v="0"/>
    <n v="3.472222222222222e-05"/>
    <m/>
    <m/>
  </r>
  <r>
    <s v="125983"/>
    <s v="[FEB RC][BC NEXT][OBSERVATIONS][1] Not reauthenticating"/>
    <s v="UserStory"/>
    <x v="0"/>
    <x v="1"/>
    <s v="06"/>
    <m/>
    <x v="6"/>
    <n v="0"/>
    <n v="3.472222222222222e-05"/>
    <m/>
    <m/>
  </r>
  <r>
    <s v="126187"/>
    <s v="[BC NEXT][App] Create potential list of keywords for Corp Support"/>
    <s v="UserStory"/>
    <x v="0"/>
    <x v="1"/>
    <s v="04"/>
    <m/>
    <x v="15"/>
    <n v="1"/>
    <n v="3.9996875"/>
    <m/>
    <m/>
  </r>
  <r>
    <s v="126698"/>
    <s v="[SSP][Tax Time][Emails][Multivariate][1] Tax Time Emails Multivariate Testing Setup"/>
    <s v="UserStory"/>
    <x v="0"/>
    <x v="1"/>
    <s v="06"/>
    <s v="Bindu Dudipala"/>
    <x v="38"/>
    <n v="0"/>
    <n v="8.101851851851852e-05"/>
    <m/>
    <m/>
  </r>
  <r>
    <s v="126868"/>
    <s v="[FEB RC] Newly registered accounts not able to OTP, AutoPay, etc."/>
    <s v="UserStory"/>
    <x v="0"/>
    <x v="1"/>
    <s v="06"/>
    <s v="Akshay Golash"/>
    <x v="15"/>
    <n v="3"/>
    <n v="4.675671296296296"/>
    <s v="126944"/>
    <m/>
  </r>
  <r>
    <s v="147164"/>
    <s v="[PLACE HOLDER] Implement new Charged Off Campaign"/>
    <s v="UserStory"/>
    <x v="0"/>
    <x v="1"/>
    <m/>
    <m/>
    <x v="39"/>
    <m/>
    <m/>
    <m/>
    <m/>
  </r>
  <r>
    <s v="147165"/>
    <s v="[PLACE HOLDER] Implement new PCO Campaign"/>
    <s v="UserStory"/>
    <x v="0"/>
    <x v="1"/>
    <m/>
    <m/>
    <x v="40"/>
    <m/>
    <m/>
    <m/>
    <m/>
  </r>
  <r>
    <s v="126888"/>
    <s v="[BC NEXT][AUTO TESTS] [2] AutoPay"/>
    <s v="UserStory"/>
    <x v="0"/>
    <x v="2"/>
    <s v="13"/>
    <s v="Jonathan Escamilla and Sri Charan Simha Velpur and Andrew Vu"/>
    <x v="41"/>
    <n v="6"/>
    <n v="37.48035879629629"/>
    <s v="129247"/>
    <m/>
  </r>
  <r>
    <s v="126895"/>
    <s v="[BC NEXT][AUTO TESTS] [2] Dashboard"/>
    <s v="UserStory"/>
    <x v="0"/>
    <x v="2"/>
    <s v="11"/>
    <s v="Jajati Routray"/>
    <x v="41"/>
    <n v="4"/>
    <n v="25.16181712962963"/>
    <s v="128579"/>
    <m/>
  </r>
  <r>
    <s v="126899"/>
    <s v="[BC NEXT][AUTO TESTS] [2] Manage Payments"/>
    <s v="UserStory"/>
    <x v="0"/>
    <x v="2"/>
    <s v="15"/>
    <s v="Andrew Vu"/>
    <x v="41"/>
    <n v="5"/>
    <n v="21.18803240740741"/>
    <s v="129805"/>
    <m/>
  </r>
  <r>
    <s v="126903"/>
    <s v="[BC NEXT][AUTO TESTS] [2] Privacy Policy and Terms of Use"/>
    <s v="UserStory"/>
    <x v="0"/>
    <x v="2"/>
    <s v="13"/>
    <s v="Sri Charan Simha Velpur"/>
    <x v="41"/>
    <n v="2"/>
    <n v="10.97265046296296"/>
    <s v="129373"/>
    <m/>
  </r>
  <r>
    <s v="127576"/>
    <s v="[BC NEXT][AUTO TESTS] [2] AutoPay Past Due"/>
    <s v="UserStory"/>
    <x v="0"/>
    <x v="2"/>
    <s v="15"/>
    <s v="Taalaibek Ergeshov and Andrew Vu"/>
    <x v="41"/>
    <n v="3"/>
    <n v="44.02924768518518"/>
    <s v="129974"/>
    <m/>
  </r>
  <r>
    <s v="128117"/>
    <s v="Login/logout of Bridgecrest Admin Portal"/>
    <s v="UserStory"/>
    <x v="0"/>
    <x v="2"/>
    <s v="18"/>
    <s v="Sri Charan Simha Velpur and Andrew Vu"/>
    <x v="26"/>
    <n v="5"/>
    <n v="25.03988425925926"/>
    <s v="130896"/>
    <m/>
  </r>
  <r>
    <s v="128118"/>
    <s v="Manage Users and User Search"/>
    <s v="UserStory"/>
    <x v="0"/>
    <x v="2"/>
    <s v="19"/>
    <s v="Jonathan Escamilla and Andrew Vu"/>
    <x v="26"/>
    <n v="6"/>
    <n v="22.87001157407407"/>
    <s v="131728"/>
    <m/>
  </r>
  <r>
    <s v="128123"/>
    <s v="Delete User"/>
    <s v="UserStory"/>
    <x v="0"/>
    <x v="2"/>
    <s v="21"/>
    <s v="Jajati Routray and Sri Charan Simha Velpur"/>
    <x v="26"/>
    <n v="1"/>
    <n v="22.17420138888889"/>
    <s v="132477"/>
    <m/>
  </r>
  <r>
    <s v="128124"/>
    <s v="Impersonate"/>
    <s v="UserStory"/>
    <x v="0"/>
    <x v="2"/>
    <s v="21"/>
    <s v="Andrew Vu"/>
    <x v="26"/>
    <n v="14"/>
    <n v="30.83269675925926"/>
    <s v="132267"/>
    <m/>
  </r>
  <r>
    <s v="130830"/>
    <s v="Research Seamless Login between BC Next and SSP"/>
    <s v="UserStory"/>
    <x v="0"/>
    <x v="2"/>
    <s v="20"/>
    <s v="Venkatmahesh Polur"/>
    <x v="42"/>
    <n v="3"/>
    <n v="7.958587962962962"/>
    <m/>
    <m/>
  </r>
  <r>
    <s v="134662"/>
    <s v="Research how expose status of modification with supporting data"/>
    <s v="UserStory"/>
    <x v="0"/>
    <x v="2"/>
    <s v="28"/>
    <s v="Andrew Vu"/>
    <x v="43"/>
    <n v="2"/>
    <n v="15.95130787037037"/>
    <m/>
    <m/>
  </r>
  <r>
    <s v="135609"/>
    <s v="[EXPOSE MOD STATUS] Calling DTSE API for loan mod in hardships subgraph"/>
    <s v="UserStory"/>
    <x v="0"/>
    <x v="2"/>
    <s v="37"/>
    <s v="Jonathan Escamilla and Andrew Vu"/>
    <x v="43"/>
    <n v="4"/>
    <n v="36.04973379629629"/>
    <s v="139625"/>
    <m/>
  </r>
  <r>
    <s v="135613"/>
    <s v="[POC] Create Node JS Apollo gateway"/>
    <s v="UserStory"/>
    <x v="0"/>
    <x v="2"/>
    <s v="30"/>
    <s v="Sri Charan Simha Velpur and Andrew Vu"/>
    <x v="43"/>
    <n v="0"/>
    <n v="12.91655092592593"/>
    <m/>
    <m/>
  </r>
  <r>
    <s v="135614"/>
    <s v="[POC] Create .NET 6 GraphQL API"/>
    <s v="UserStory"/>
    <x v="0"/>
    <x v="2"/>
    <s v="30"/>
    <s v="Jonathan Escamilla and Isaac Ng"/>
    <x v="43"/>
    <n v="0"/>
    <n v="12.99989583333333"/>
    <m/>
    <m/>
  </r>
  <r>
    <s v="140925"/>
    <s v="Research How to Expose Charge Off Accounts to BC Next"/>
    <s v="UserStory"/>
    <x v="0"/>
    <x v="2"/>
    <s v="44"/>
    <s v="Sri Charan Simha Velpur"/>
    <x v="44"/>
    <n v="1"/>
    <n v="11.02457175925926"/>
    <m/>
    <m/>
  </r>
  <r>
    <s v="142537"/>
    <s v="[PCO] Modify Safety Net Logic and Azure API Permissions on BCNext Token"/>
    <s v="UserStory"/>
    <x v="0"/>
    <x v="2"/>
    <m/>
    <s v="Jonathan Escamilla"/>
    <x v="44"/>
    <m/>
    <n v="2.960265282314815"/>
    <m/>
    <m/>
  </r>
  <r>
    <s v="142538"/>
    <s v="[PCO] Integrate Accounts API into BC Accounts Subgraph"/>
    <s v="UserStory"/>
    <x v="0"/>
    <x v="2"/>
    <m/>
    <s v="Jonathan Escamilla"/>
    <x v="44"/>
    <m/>
    <n v="29.91782315268518"/>
    <m/>
    <m/>
  </r>
  <r>
    <s v="142539"/>
    <s v="[PCO] [DB] Expose Charge-off accounts data to BCNext Application"/>
    <s v="UserStory"/>
    <x v="0"/>
    <x v="2"/>
    <s v="47"/>
    <s v="Sri Charan Simha Velpur"/>
    <x v="44"/>
    <n v="6"/>
    <n v="18.0517824074074"/>
    <m/>
    <m/>
  </r>
  <r>
    <s v="144277"/>
    <s v="[PCO] Expose person details in selfServiceCustomer from Person Subgrpah"/>
    <s v="UserStory"/>
    <x v="0"/>
    <x v="2"/>
    <m/>
    <s v="Sri Charan Simha Velpur"/>
    <x v="44"/>
    <m/>
    <n v="2.059443703773148"/>
    <m/>
    <m/>
  </r>
  <r>
    <s v="125595"/>
    <s v="[BC NEXT] Research Guardian MFA in Auth0"/>
    <s v="UserStory"/>
    <x v="0"/>
    <x v="2"/>
    <s v="27"/>
    <s v="Isaac Ng and Andrew Vu"/>
    <x v="24"/>
    <n v="5"/>
    <n v="15.00575231481481"/>
    <s v="135018"/>
    <m/>
  </r>
  <r>
    <s v="125959"/>
    <s v="[FEB RC][BC NEXT][OBSERVATIONS][1] Previous customer persisted after logging in with new customer"/>
    <s v="UserStory"/>
    <x v="0"/>
    <x v="2"/>
    <s v="05"/>
    <s v="Sri Charan Simha Velpur and Andrew Vu"/>
    <x v="6"/>
    <n v="1"/>
    <n v="8.079317129629629"/>
    <s v="126609"/>
    <m/>
  </r>
  <r>
    <s v="126565"/>
    <s v="[BC NEXT][AUTO TESTS] [2] OTP - Terms Page Automation"/>
    <s v="UserStory"/>
    <x v="0"/>
    <x v="2"/>
    <s v="09"/>
    <s v="Andrew Vu"/>
    <x v="41"/>
    <n v="8"/>
    <n v="21.93538194444444"/>
    <s v="127984"/>
    <m/>
  </r>
  <r>
    <s v="126566"/>
    <s v="[BC NEXT][AUTO TESTS] [2] OTP - Review Terms Page Automation"/>
    <s v="UserStory"/>
    <x v="0"/>
    <x v="2"/>
    <s v="11"/>
    <s v="Taalaibek Ergeshov"/>
    <x v="41"/>
    <n v="6"/>
    <n v="34.74961805555555"/>
    <s v="128386"/>
    <m/>
  </r>
  <r>
    <s v="126568"/>
    <s v="[BC NEXT][AUTO TESTS] [2] OTP - Success/Error/Ineligible pages Automation"/>
    <s v="UserStory"/>
    <x v="0"/>
    <x v="2"/>
    <s v="09"/>
    <s v="Sri Charan Simha Velpur"/>
    <x v="41"/>
    <n v="3"/>
    <n v="21.01303240740741"/>
    <s v="128035"/>
    <m/>
  </r>
  <r>
    <s v="126896"/>
    <s v="[BC NEXT][AUTO TESTS] [2] Payment Options"/>
    <s v="UserStory"/>
    <x v="0"/>
    <x v="2"/>
    <s v="10"/>
    <s v="Andrew Vu"/>
    <x v="41"/>
    <n v="3"/>
    <n v="17.93635416666666"/>
    <s v="128286"/>
    <m/>
  </r>
  <r>
    <s v="126897"/>
    <s v="[BC NEXT][AUTO TESTS] [2] Manage Debit Cards"/>
    <s v="UserStory"/>
    <x v="0"/>
    <x v="2"/>
    <s v="10"/>
    <s v="Sri Charan Simha Velpur"/>
    <x v="41"/>
    <n v="3"/>
    <n v="17.13194444444444"/>
    <s v="128286"/>
    <m/>
  </r>
  <r>
    <s v="126898"/>
    <s v="[BC NEXT][AUTO TESTS] [2] Manage Bank Accounts"/>
    <s v="UserStory"/>
    <x v="0"/>
    <x v="2"/>
    <s v="12"/>
    <s v="Sri Charan Simha Velpur"/>
    <x v="41"/>
    <n v="3"/>
    <n v="18.01484953703704"/>
    <s v="128896"/>
    <m/>
  </r>
  <r>
    <s v="126900"/>
    <s v="[BC NEXT][AUTO TESTS] [2] Account Settings and App Menu"/>
    <s v="UserStory"/>
    <x v="0"/>
    <x v="2"/>
    <s v="12"/>
    <s v="Namratha Chilukuri"/>
    <x v="41"/>
    <n v="0"/>
    <n v="20.12831018518519"/>
    <s v="128896"/>
    <m/>
  </r>
  <r>
    <s v="126907"/>
    <s v="[BC NEXT][AUTO TESTS] [2] Session Timeout/Logout"/>
    <s v="UserStory"/>
    <x v="0"/>
    <x v="2"/>
    <s v="13"/>
    <s v="Namratha Chilukuri"/>
    <x v="41"/>
    <n v="2"/>
    <n v="10.19502314814815"/>
    <s v="129373"/>
    <m/>
  </r>
  <r>
    <s v="128037"/>
    <s v="[BC NEXT][RESEARCH][IMPERSONATION] Add DDR for Impersonation design"/>
    <s v="UserStory"/>
    <x v="0"/>
    <x v="2"/>
    <s v="11"/>
    <s v="Jajati Routray"/>
    <x v="26"/>
    <n v="1"/>
    <n v="8.799351851851851"/>
    <m/>
    <m/>
  </r>
  <r>
    <s v="128119"/>
    <s v="Verification Email"/>
    <s v="UserStory"/>
    <x v="0"/>
    <x v="2"/>
    <s v="19"/>
    <s v="Namratha Chilukuri and Jajati Routray"/>
    <x v="26"/>
    <n v="6"/>
    <n v="23.12298611111111"/>
    <s v="131728"/>
    <m/>
  </r>
  <r>
    <s v="128125"/>
    <s v="Analytic Events"/>
    <s v="UserStory"/>
    <x v="0"/>
    <x v="2"/>
    <s v="22"/>
    <s v="Jonathan Escamilla"/>
    <x v="26"/>
    <n v="8"/>
    <n v="25.34078703703704"/>
    <s v="133298"/>
    <m/>
  </r>
  <r>
    <s v="129761"/>
    <s v="Research Impersonation display options"/>
    <s v="UserStory"/>
    <x v="0"/>
    <x v="2"/>
    <s v="16"/>
    <s v="Jonathan Escamilla"/>
    <x v="26"/>
    <n v="0"/>
    <n v="7.06105324074074"/>
    <m/>
    <m/>
  </r>
  <r>
    <s v="130440"/>
    <s v="[BC NEXT] Update order of registration pages in login flow"/>
    <s v="UserStory"/>
    <x v="0"/>
    <x v="2"/>
    <s v="26"/>
    <s v="Connor Golobich"/>
    <x v="29"/>
    <n v="21"/>
    <n v="40.06238425925926"/>
    <s v="134254"/>
    <m/>
  </r>
  <r>
    <s v="132100"/>
    <s v="[BC NEXT] Research alternate BIO Auth path options"/>
    <s v="UserStory"/>
    <x v="0"/>
    <x v="2"/>
    <s v="24"/>
    <s v="Jonathan Escamilla"/>
    <x v="45"/>
    <n v="0"/>
    <n v="11.80766203703704"/>
    <m/>
    <m/>
  </r>
  <r>
    <s v="132102"/>
    <s v="Research Google Analytics 4 on BC Next"/>
    <s v="UserStory"/>
    <x v="0"/>
    <x v="2"/>
    <s v="24"/>
    <s v="Sri Charan Simha Velpur"/>
    <x v="46"/>
    <n v="0"/>
    <n v="14.02765046296296"/>
    <m/>
    <m/>
  </r>
  <r>
    <s v="132594"/>
    <s v="[BC NEXT] Research Auth0 Emails"/>
    <s v="UserStory"/>
    <x v="0"/>
    <x v="2"/>
    <s v="24"/>
    <s v="Isaac Ng"/>
    <x v="47"/>
    <n v="0"/>
    <n v="7.05744212962963"/>
    <m/>
    <m/>
  </r>
  <r>
    <s v="132904"/>
    <s v="Implement Google Analytics 4 on BC Next"/>
    <s v="UserStory"/>
    <x v="0"/>
    <x v="2"/>
    <s v="28"/>
    <s v="Sri Charan Simha Velpur"/>
    <x v="46"/>
    <n v="7"/>
    <n v="27.12940972222222"/>
    <s v="135512"/>
    <m/>
  </r>
  <r>
    <s v="133592"/>
    <s v="Adjust Customer Admin Portal to correspond with the New Registration Workflow on BC Next"/>
    <s v="UserStory"/>
    <x v="0"/>
    <x v="2"/>
    <s v="26"/>
    <s v="Andrew Vu"/>
    <x v="29"/>
    <n v="8"/>
    <n v="14.92423611111111"/>
    <s v="134254"/>
    <m/>
  </r>
  <r>
    <s v="134663"/>
    <s v="Research how to expose a method to inform the modification process the documents have been signed"/>
    <s v="UserStory"/>
    <x v="0"/>
    <x v="2"/>
    <s v="28"/>
    <s v="Sri Charan Simha Velpur"/>
    <x v="43"/>
    <n v="1"/>
    <n v="8.916574074074074"/>
    <m/>
    <m/>
  </r>
  <r>
    <s v="134665"/>
    <s v="Research how to save the document identity so it can be retrieved for the future"/>
    <s v="UserStory"/>
    <x v="0"/>
    <x v="2"/>
    <s v="28"/>
    <s v="Isaac Ng"/>
    <x v="43"/>
    <n v="0"/>
    <n v="7.051747685185185"/>
    <m/>
    <m/>
  </r>
  <r>
    <s v="135610"/>
    <s v="[EXPOSE MOD STATUS] Spin up Apollo Server (S)"/>
    <s v="UserStory"/>
    <x v="0"/>
    <x v="2"/>
    <s v="33"/>
    <s v="Isaac Ng"/>
    <x v="43"/>
    <n v="3"/>
    <n v="21.06291666666667"/>
    <s v="138042"/>
    <m/>
  </r>
  <r>
    <s v="135612"/>
    <s v="[EXPOSE MOD STATUS] Integrate Apollo Server into BFF server (S)"/>
    <s v="UserStory"/>
    <x v="0"/>
    <x v="2"/>
    <s v="40"/>
    <s v="Isaac Ng"/>
    <x v="43"/>
    <n v="18"/>
    <n v="38.22168981481482"/>
    <s v="140049"/>
    <m/>
  </r>
  <r>
    <s v="135615"/>
    <s v="[POC] Implement stitching of New API and BCAPI into BFF Server"/>
    <s v="UserStory"/>
    <x v="0"/>
    <x v="2"/>
    <s v="30"/>
    <m/>
    <x v="43"/>
    <n v="0"/>
    <n v="3.472222222222222e-05"/>
    <m/>
    <m/>
  </r>
  <r>
    <s v="135847"/>
    <s v="DO NOT invoke the MFA process for the customer admin portal"/>
    <s v="UserStory"/>
    <x v="0"/>
    <x v="2"/>
    <s v="29"/>
    <s v="Jonathan Escamilla"/>
    <x v="48"/>
    <n v="0"/>
    <n v="1.114884259259259"/>
    <s v="136028"/>
    <m/>
  </r>
  <r>
    <s v="136200"/>
    <s v="[EXPOSE MOD STATUS] Add docusign webhook &amp; forwarding logic to BFF Server, Hardship, DTSE"/>
    <s v="UserStory"/>
    <x v="0"/>
    <x v="2"/>
    <s v="40"/>
    <s v="Andrew Vu"/>
    <x v="43"/>
    <n v="13"/>
    <n v="26.21931712962963"/>
    <s v="140012"/>
    <m/>
  </r>
  <r>
    <s v="136512"/>
    <s v="[EXPOSE MOD STATUS] Build status logic"/>
    <s v="UserStory"/>
    <x v="0"/>
    <x v="2"/>
    <s v="37"/>
    <s v="Isaac Ng"/>
    <x v="43"/>
    <n v="4"/>
    <n v="28.14376157407407"/>
    <s v="139625"/>
    <m/>
  </r>
  <r>
    <s v="136517"/>
    <s v="[CAPTURE SIGNED DOCUMENT] Get Signed Status save documents in Smart Search"/>
    <s v="UserStory"/>
    <x v="0"/>
    <x v="2"/>
    <s v="40"/>
    <s v="Sri Charan Simha Velpur"/>
    <x v="43"/>
    <n v="19"/>
    <n v="41.16668981481482"/>
    <s v="139999"/>
    <m/>
  </r>
  <r>
    <s v="136600"/>
    <s v="[EXPOSE MOD STATUS] Federate BCAPI Subgraph into gateway"/>
    <s v="UserStory"/>
    <x v="0"/>
    <x v="2"/>
    <s v="35"/>
    <s v="Andrew Vu"/>
    <x v="43"/>
    <n v="5"/>
    <n v="20.99571759259259"/>
    <s v="138677"/>
    <m/>
  </r>
  <r>
    <s v="136899"/>
    <s v="[EXPOSE MOD STATUS] Implement Process Type Logic"/>
    <s v="UserStory"/>
    <x v="0"/>
    <x v="2"/>
    <s v="37"/>
    <s v="Sri Charan Simha Velpur"/>
    <x v="43"/>
    <n v="15"/>
    <n v="28.29537037037037"/>
    <s v="138940"/>
    <m/>
  </r>
  <r>
    <s v="138262"/>
    <s v="Enable additional MFA options &amp; send communications"/>
    <s v="UserStory"/>
    <x v="0"/>
    <x v="2"/>
    <s v="42"/>
    <s v="Andrew Vu"/>
    <x v="48"/>
    <n v="17"/>
    <n v="28.88820601851852"/>
    <s v="141157"/>
    <m/>
  </r>
  <r>
    <s v="138936"/>
    <s v="[EXPOSE MOD STATUS] Move SSP-DTSE update loan mod logic to Hardship API"/>
    <s v="UserStory"/>
    <x v="0"/>
    <x v="2"/>
    <s v="40"/>
    <s v="Jonathan Escamilla"/>
    <x v="43"/>
    <n v="5"/>
    <n v="19.01121527777778"/>
    <s v="140001"/>
    <m/>
  </r>
  <r>
    <s v="139223"/>
    <s v="Expose PTC - Research current plan"/>
    <s v="UserStory"/>
    <x v="0"/>
    <x v="2"/>
    <s v="39"/>
    <s v="Sri Charan Simha Velpur"/>
    <x v="49"/>
    <n v="0"/>
    <n v="7.202986111111111"/>
    <m/>
    <m/>
  </r>
  <r>
    <s v="139592"/>
    <s v="Expose PTC - Research PTC History"/>
    <s v="UserStory"/>
    <x v="0"/>
    <x v="2"/>
    <s v="39"/>
    <s v="Isaac Ng"/>
    <x v="49"/>
    <n v="0"/>
    <n v="7.191539351851851"/>
    <m/>
    <m/>
  </r>
  <r>
    <s v="139593"/>
    <s v="Expose PTC - Research PTC upcoming/scheduled payments"/>
    <s v="UserStory"/>
    <x v="0"/>
    <x v="2"/>
    <s v="39"/>
    <s v="Andrew Vu"/>
    <x v="49"/>
    <n v="0"/>
    <n v="2.248831018518518"/>
    <m/>
    <m/>
  </r>
  <r>
    <s v="139594"/>
    <s v="Expose PTC - Research PTC cancel flow"/>
    <s v="UserStory"/>
    <x v="0"/>
    <x v="2"/>
    <s v="39"/>
    <s v="Jonathan Escamilla"/>
    <x v="49"/>
    <n v="0"/>
    <n v="6.989490740740741"/>
    <m/>
    <m/>
  </r>
  <r>
    <s v="140694"/>
    <s v="[PTC] Create graphql schema for PTC"/>
    <s v="UserStory"/>
    <x v="0"/>
    <x v="2"/>
    <s v="43"/>
    <s v="Sri Charan Simha Velpur"/>
    <x v="49"/>
    <n v="6"/>
    <n v="20.09626157407407"/>
    <s v="142193"/>
    <m/>
  </r>
  <r>
    <s v="140696"/>
    <s v="[PTC] Create graphql query in Hardship to fetch Payment Plan Data from DTSE"/>
    <s v="UserStory"/>
    <x v="0"/>
    <x v="2"/>
    <s v="43"/>
    <s v="Isaac Ng"/>
    <x v="49"/>
    <n v="6"/>
    <n v="20.07234953703704"/>
    <s v="142193"/>
    <m/>
  </r>
  <r>
    <s v="140698"/>
    <s v="[PTC] Create graphql mutation in Hardship to Cancel a Payment Plan"/>
    <s v="UserStory"/>
    <x v="0"/>
    <x v="2"/>
    <s v="43"/>
    <s v="Jonathan Escamilla"/>
    <x v="49"/>
    <n v="6"/>
    <n v="19.07004629629629"/>
    <s v="142193"/>
    <m/>
  </r>
  <r>
    <s v="142536"/>
    <s v="[PCO] Onboard Charge-off customers into BCNext Application - Auth0"/>
    <s v="UserStory"/>
    <x v="0"/>
    <x v="2"/>
    <s v="50"/>
    <s v="Jonathan Escamilla"/>
    <x v="44"/>
    <n v="0"/>
    <n v="43.2516087962963"/>
    <s v="145704"/>
    <m/>
  </r>
  <r>
    <s v="143151"/>
    <s v="[BC NEXT] My Profile - Set up Person subgraph"/>
    <s v="UserStory"/>
    <x v="0"/>
    <x v="2"/>
    <s v="49"/>
    <s v="Sri Charan Simha Velpur"/>
    <x v="1"/>
    <n v="4"/>
    <n v="19.19505787037037"/>
    <s v="145775"/>
    <m/>
  </r>
  <r>
    <s v="143768"/>
    <s v="[PCO] Move &amp; stich selfServiceCustomer schema into BC Accounts Subgraph"/>
    <s v="UserStory"/>
    <x v="0"/>
    <x v="2"/>
    <m/>
    <s v="Sri Charan Simha Velpur"/>
    <x v="44"/>
    <m/>
    <n v="22.93560111118055"/>
    <m/>
    <m/>
  </r>
  <r>
    <s v="144846"/>
    <s v="[PCO] [DB] Expose Charge-off accounts data to BCNext Application"/>
    <s v="UserStory"/>
    <x v="0"/>
    <x v="2"/>
    <m/>
    <s v="Isaac Ng"/>
    <x v="44"/>
    <m/>
    <n v="2.960589537106481"/>
    <m/>
    <m/>
  </r>
  <r>
    <s v="145175"/>
    <s v="Create Feature Flag on BC Accounts Subgraph"/>
    <s v="UserStory"/>
    <x v="0"/>
    <x v="2"/>
    <m/>
    <s v="Sri Charan Simha Velpur"/>
    <x v="44"/>
    <m/>
    <n v="12.92252240747685"/>
    <m/>
    <m/>
  </r>
  <r>
    <s v="126012"/>
    <s v="[FEB RC][BC NEXT][OBSERVATIONS][1] Android/iOS app compatibility communication"/>
    <s v="UserStory"/>
    <x v="0"/>
    <x v="2"/>
    <s v="06"/>
    <s v="Jajati Routray"/>
    <x v="6"/>
    <n v="2"/>
    <n v="14.9816087962963"/>
    <s v="127099"/>
    <m/>
  </r>
  <r>
    <s v="127375"/>
    <s v="[RC MARCH][BC NEXT] Ensure AnalyticsSessionID and AnalyticsUserid remains static throughout a users session for all events"/>
    <s v="UserStory"/>
    <x v="0"/>
    <x v="2"/>
    <s v="07"/>
    <s v="Jajati Routray and Sri Charan Simha Velpur"/>
    <x v="6"/>
    <n v="3"/>
    <n v="6.998263888888888"/>
    <s v="127378"/>
    <m/>
  </r>
  <r>
    <s v="128121"/>
    <s v="Unlock Profile"/>
    <s v="UserStory"/>
    <x v="0"/>
    <x v="2"/>
    <s v="19"/>
    <s v="Sri Charan Simha Velpur"/>
    <x v="26"/>
    <n v="3"/>
    <n v="15.27792824074074"/>
    <s v="131894"/>
    <m/>
  </r>
  <r>
    <s v="128122"/>
    <s v="Bio Auth Status"/>
    <s v="UserStory"/>
    <x v="0"/>
    <x v="2"/>
    <s v="21"/>
    <s v="Jonathan Escamilla"/>
    <x v="26"/>
    <m/>
    <n v="24.15686342592592"/>
    <s v="132267"/>
    <m/>
  </r>
  <r>
    <s v="130381"/>
    <s v="Add/Fix correlation ID in BFF server logs"/>
    <s v="UserStory"/>
    <x v="0"/>
    <x v="2"/>
    <s v="22"/>
    <s v="Venkatmahesh Polur"/>
    <x v="26"/>
    <n v="2"/>
    <n v="15.04042824074074"/>
    <s v="133152"/>
    <m/>
  </r>
  <r>
    <s v="130902"/>
    <s v="Remove Verification Email for Admin Users"/>
    <s v="UserStory"/>
    <x v="0"/>
    <x v="2"/>
    <s v="21"/>
    <s v="Andrew Vu"/>
    <x v="42"/>
    <n v="2"/>
    <n v="18.23364583333333"/>
    <s v="132477"/>
    <m/>
  </r>
  <r>
    <s v="130958"/>
    <s v="Tech Debt - Add unit tests to pre-commit git hook &amp; Use .editorconfig to format .NET code"/>
    <s v="UserStory"/>
    <x v="0"/>
    <x v="2"/>
    <s v="19"/>
    <s v="Jajati Routray"/>
    <x v="26"/>
    <n v="1"/>
    <n v="9.143148148148148"/>
    <s v="131728"/>
    <m/>
  </r>
  <r>
    <s v="131794"/>
    <s v="Log Out"/>
    <s v="UserStory"/>
    <x v="0"/>
    <x v="2"/>
    <s v="21"/>
    <s v="Isaac Ng"/>
    <x v="26"/>
    <n v="1"/>
    <n v="11.00586805555555"/>
    <s v="132477"/>
    <m/>
  </r>
  <r>
    <s v="132842"/>
    <s v="Assign Admin or Customer Service roles"/>
    <s v="UserStory"/>
    <x v="0"/>
    <x v="2"/>
    <s v="23"/>
    <s v="Andrew Vu"/>
    <x v="26"/>
    <n v="1"/>
    <n v="6.053611111111111"/>
    <s v="133366"/>
    <m/>
  </r>
  <r>
    <s v="132975"/>
    <s v="Fix Admins impersonate users after signing up"/>
    <s v="UserStory"/>
    <x v="0"/>
    <x v="2"/>
    <s v="23"/>
    <s v="Isaac Ng"/>
    <x v="26"/>
    <n v="1"/>
    <n v="6.849155092592592"/>
    <s v="133366"/>
    <m/>
  </r>
  <r>
    <s v="133307"/>
    <s v="Address UI and Analytic Bug Fixes"/>
    <s v="UserStory"/>
    <x v="0"/>
    <x v="2"/>
    <s v="23"/>
    <s v="Jonathan Escamilla and Andrew Vu"/>
    <x v="26"/>
    <n v="1"/>
    <n v="3.945011574074074"/>
    <s v="133366"/>
    <m/>
  </r>
  <r>
    <s v="133817"/>
    <s v="Redirect registration emails"/>
    <s v="UserStory"/>
    <x v="0"/>
    <x v="2"/>
    <s v="33"/>
    <s v="Jajati Routray"/>
    <x v="47"/>
    <n v="0"/>
    <n v="0.1618287037037037"/>
    <m/>
    <m/>
  </r>
  <r>
    <s v="135607"/>
    <s v="[EXPOSE MOD STATUS] Add missing fields into Collection API to get Mod Data (XS)"/>
    <s v="UserStory"/>
    <x v="0"/>
    <x v="2"/>
    <s v="32"/>
    <s v="Andrew Vu"/>
    <x v="43"/>
    <n v="3"/>
    <n v="14.17571759259259"/>
    <s v="137479"/>
    <m/>
  </r>
  <r>
    <s v="135608"/>
    <s v="[EXPOSE MOD STATUS] Spin up Hardships Subgraph and make it federation ready (XS)"/>
    <s v="UserStory"/>
    <x v="0"/>
    <x v="2"/>
    <s v="33"/>
    <s v="Sri Charan Simha Velpur"/>
    <x v="43"/>
    <n v="1"/>
    <n v="21.14957175925926"/>
    <s v="138042"/>
    <m/>
  </r>
  <r>
    <s v="135846"/>
    <s v="FORCE invoke the MFA process only for sessions that are deemed high risk"/>
    <s v="UserStory"/>
    <x v="0"/>
    <x v="2"/>
    <s v="32"/>
    <s v="Jajati Routray"/>
    <x v="48"/>
    <n v="3"/>
    <n v="13.04119212962963"/>
    <s v="137480"/>
    <m/>
  </r>
  <r>
    <s v="139825"/>
    <s v="Update prod-canary in release pipelines for GraphQL gateway &amp; subgraphs"/>
    <s v="UserStory"/>
    <x v="0"/>
    <x v="2"/>
    <s v="40"/>
    <s v="Jajati Routray"/>
    <x v="43"/>
    <n v="15"/>
    <n v="19.12061342592592"/>
    <s v="139999"/>
    <m/>
  </r>
  <r>
    <s v="142113"/>
    <s v="[Loan Mod] Provide ability for BC Next to filter out loan mod types not equal to Payment Frequency or Extension"/>
    <s v="UserStory"/>
    <x v="0"/>
    <x v="2"/>
    <s v="45"/>
    <s v="Jajati Routray"/>
    <x v="49"/>
    <n v="6"/>
    <n v="12.11256944444444"/>
    <s v="142977"/>
    <m/>
  </r>
  <r>
    <s v="142510"/>
    <s v="[PTC] Integrate PTC changes into BFF"/>
    <s v="UserStory"/>
    <x v="0"/>
    <x v="2"/>
    <s v="45"/>
    <s v="Jonathan Escamilla"/>
    <x v="49"/>
    <n v="5"/>
    <n v="10.1743287037037"/>
    <s v="143271"/>
    <m/>
  </r>
  <r>
    <s v="128755"/>
    <s v="[BC NEXT] Create Swagger page for REST endpoints in BFF server"/>
    <s v="UserStory"/>
    <x v="0"/>
    <x v="2"/>
    <s v="16"/>
    <s v="Jonathan Escamilla and Venkatmahesh Polur"/>
    <x v="26"/>
    <n v="1"/>
    <n v="21.2253125"/>
    <s v="129670"/>
    <m/>
  </r>
  <r>
    <s v="130069"/>
    <s v="[BC NEXT] Fix Verification Email endpoint to override the Authorization process added in Swagger story"/>
    <s v="UserStory"/>
    <x v="0"/>
    <x v="2"/>
    <s v="18"/>
    <s v="Sri Charan Simha Velpur and Andrew Vu"/>
    <x v="26"/>
    <n v="5"/>
    <n v="17.93427083333333"/>
    <s v="130896"/>
    <m/>
  </r>
  <r>
    <s v="132898"/>
    <s v="Fix Alignment in Review Step for AutoPay and AutoPay Past Due"/>
    <s v="UserStory"/>
    <x v="0"/>
    <x v="2"/>
    <s v="22"/>
    <s v="Andrew Vu"/>
    <x v="26"/>
    <n v="2"/>
    <n v="5.989143518518518"/>
    <s v="133152"/>
    <m/>
  </r>
  <r>
    <s v="126754"/>
    <s v="[FEB RC][OBSERVATIONS][1] User stuck on login loop &amp; User not always redirected to auth0 login"/>
    <s v="UserStory"/>
    <x v="0"/>
    <x v="2"/>
    <s v="06"/>
    <s v="Sri Charan Simha Velpur"/>
    <x v="6"/>
    <n v="4"/>
    <n v="9.997754629629629"/>
    <s v="127042"/>
    <m/>
  </r>
  <r>
    <s v="127285"/>
    <s v="[BUG] Test env console error: &quot;TypeError: this._analyticService.logAnalytic is not a function&quot;"/>
    <s v="UserStory"/>
    <x v="0"/>
    <x v="2"/>
    <s v="06"/>
    <m/>
    <x v="6"/>
    <n v="0"/>
    <n v="0"/>
    <s v="126506"/>
    <m/>
  </r>
  <r>
    <s v="130201"/>
    <s v="Prohibited Admin Events Report"/>
    <s v="UserStory"/>
    <x v="0"/>
    <x v="2"/>
    <s v="29"/>
    <m/>
    <x v="26"/>
    <n v="0"/>
    <n v="3.472222222222222e-05"/>
    <m/>
    <m/>
  </r>
  <r>
    <s v="142114"/>
    <s v="[PTC] Modify the mapping for Agent Canceled PTC"/>
    <s v="UserStory"/>
    <x v="0"/>
    <x v="2"/>
    <s v="43"/>
    <s v="Jonathan Escamilla"/>
    <x v="49"/>
    <n v="4"/>
    <n v="4.066134259259259"/>
    <s v="142193"/>
    <m/>
  </r>
  <r>
    <s v="145295"/>
    <s v="[New CO][1] Create Dashboard Summary"/>
    <s v="UserStory"/>
    <x v="0"/>
    <x v="2"/>
    <m/>
    <m/>
    <x v="50"/>
    <m/>
    <m/>
    <m/>
    <m/>
  </r>
  <r>
    <s v="145300"/>
    <s v="[New CO][1] Create Dashboard CO Options"/>
    <s v="UserStory"/>
    <x v="0"/>
    <x v="2"/>
    <m/>
    <m/>
    <x v="50"/>
    <m/>
    <m/>
    <m/>
    <m/>
  </r>
  <r>
    <s v="145301"/>
    <s v="[New CO][1] Create Charge Off Banner"/>
    <s v="UserStory"/>
    <x v="0"/>
    <x v="2"/>
    <m/>
    <m/>
    <x v="50"/>
    <m/>
    <m/>
    <m/>
    <m/>
  </r>
  <r>
    <s v="145302"/>
    <s v="[PCO Member][2] Create PCO Dashboard Summary"/>
    <s v="UserStory"/>
    <x v="0"/>
    <x v="2"/>
    <m/>
    <m/>
    <x v="50"/>
    <m/>
    <m/>
    <m/>
    <m/>
  </r>
  <r>
    <s v="145303"/>
    <s v="[PCO Member][2] Create Manage PCO Payment Plan"/>
    <s v="UserStory"/>
    <x v="0"/>
    <x v="2"/>
    <m/>
    <m/>
    <x v="50"/>
    <m/>
    <m/>
    <m/>
    <m/>
  </r>
  <r>
    <s v="145304"/>
    <s v="[PCO Member][2] Create make a payment workflow"/>
    <s v="UserStory"/>
    <x v="0"/>
    <x v="2"/>
    <m/>
    <m/>
    <x v="50"/>
    <m/>
    <m/>
    <m/>
    <m/>
  </r>
  <r>
    <s v="145340"/>
    <s v="DELETE [PCO Member] Capture PCO Terms customer agreed to"/>
    <s v="UserStory"/>
    <x v="0"/>
    <x v="2"/>
    <m/>
    <m/>
    <x v="50"/>
    <m/>
    <m/>
    <m/>
    <m/>
  </r>
  <r>
    <s v="145341"/>
    <s v="[PCO Member][2] Build process to manage incoming for PCO Plan"/>
    <s v="UserStory"/>
    <x v="0"/>
    <x v="2"/>
    <m/>
    <m/>
    <x v="50"/>
    <m/>
    <m/>
    <m/>
    <m/>
  </r>
  <r>
    <s v="145923"/>
    <s v="[NEW CO][1] Identify customer in order to send them to the correct dashboard experience"/>
    <s v="UserStory"/>
    <x v="0"/>
    <x v="2"/>
    <m/>
    <m/>
    <x v="50"/>
    <m/>
    <m/>
    <m/>
    <m/>
  </r>
  <r>
    <s v="145924"/>
    <s v="[New CO][1.0] Create PCO calculator"/>
    <s v="UserStory"/>
    <x v="0"/>
    <x v="2"/>
    <m/>
    <m/>
    <x v="50"/>
    <m/>
    <m/>
    <m/>
    <m/>
  </r>
  <r>
    <s v="145951"/>
    <s v="DELETE [NEW PCO] Add first payment date to comment"/>
    <s v="UserStory"/>
    <x v="0"/>
    <x v="2"/>
    <m/>
    <m/>
    <x v="50"/>
    <m/>
    <m/>
    <m/>
    <m/>
  </r>
  <r>
    <s v="145952"/>
    <s v="DELETE [NEW PCO] Persist from excel the new First Payment Date field to the database"/>
    <s v="UserStory"/>
    <x v="0"/>
    <x v="2"/>
    <m/>
    <m/>
    <x v="50"/>
    <m/>
    <m/>
    <m/>
    <m/>
  </r>
  <r>
    <s v="145953"/>
    <s v="DELETE [NEW PCO] Create a process to persist terms in a production environment that can be consumed"/>
    <s v="UserStory"/>
    <x v="0"/>
    <x v="2"/>
    <m/>
    <m/>
    <x v="50"/>
    <m/>
    <m/>
    <m/>
    <m/>
  </r>
  <r>
    <s v="145955"/>
    <s v="[New CO][1.0] Move customer vehicle into PCO route 'C91' systematically"/>
    <s v="UserStory"/>
    <x v="0"/>
    <x v="2"/>
    <m/>
    <m/>
    <x v="50"/>
    <m/>
    <m/>
    <m/>
    <m/>
  </r>
  <r>
    <s v="145956"/>
    <s v="[PCO Member][2] Cancel plan when customer vehicle has been removed from 'C91' route"/>
    <s v="UserStory"/>
    <x v="0"/>
    <x v="2"/>
    <m/>
    <m/>
    <x v="50"/>
    <m/>
    <m/>
    <m/>
    <m/>
  </r>
  <r>
    <s v="146727"/>
    <s v="[PCO Member][UX][2] Payment Plan Designs"/>
    <s v="UserStory"/>
    <x v="0"/>
    <x v="2"/>
    <m/>
    <m/>
    <x v="50"/>
    <m/>
    <m/>
    <m/>
    <m/>
  </r>
  <r>
    <s v="146728"/>
    <s v="[New CO][UX][2] PCO Charge Off Dashboard Design"/>
    <s v="UserStory"/>
    <x v="0"/>
    <x v="2"/>
    <m/>
    <m/>
    <x v="50"/>
    <m/>
    <m/>
    <m/>
    <m/>
  </r>
  <r>
    <s v="146729"/>
    <s v="[New CO][UX][2] Make a PCO Payment Design"/>
    <s v="UserStory"/>
    <x v="0"/>
    <x v="2"/>
    <m/>
    <m/>
    <x v="50"/>
    <m/>
    <m/>
    <m/>
    <m/>
  </r>
  <r>
    <s v="127641"/>
    <s v="[RESEARCH SPIKE] Document existing Email campaign workflow"/>
    <s v="UserStory"/>
    <x v="1"/>
    <x v="1"/>
    <s v="11"/>
    <s v="Akshay Golash and Marcus Rogers and Aditi Sharma"/>
    <x v="51"/>
    <n v="0"/>
    <n v="6.205717592592593"/>
    <m/>
    <m/>
  </r>
  <r>
    <s v="132801"/>
    <s v="Research Business rules and Data Elements necessary to support our Mod email campaigns"/>
    <s v="UserStory"/>
    <x v="1"/>
    <x v="1"/>
    <s v="26"/>
    <s v="Sushma Gurram and Aditi Sharma"/>
    <x v="51"/>
    <n v="1"/>
    <n v="19.9977662037037"/>
    <m/>
    <m/>
  </r>
  <r>
    <s v="133612"/>
    <s v="Research Business rules and Data Elements necessary to support our Collections email campaigns"/>
    <s v="UserStory"/>
    <x v="1"/>
    <x v="1"/>
    <s v="30"/>
    <s v="Sushma Gurram"/>
    <x v="51"/>
    <n v="1"/>
    <n v="12.84609953703704"/>
    <m/>
    <m/>
  </r>
  <r>
    <s v="133804"/>
    <s v="Research Business rules and Data Elements necessary to support our Clear Credit email campaigns"/>
    <s v="UserStory"/>
    <x v="1"/>
    <x v="1"/>
    <s v="28"/>
    <s v="Sushma Gurram"/>
    <x v="51"/>
    <n v="0"/>
    <n v="9.164930555555555"/>
    <m/>
    <m/>
  </r>
  <r>
    <s v="133807"/>
    <s v="Research Business rules and Data Elements necessary to support our Payment email campaigns"/>
    <s v="UserStory"/>
    <x v="1"/>
    <x v="1"/>
    <s v="35"/>
    <s v="Sushma Gurram"/>
    <x v="51"/>
    <n v="1"/>
    <n v="13.02086805555555"/>
    <m/>
    <m/>
  </r>
  <r>
    <s v="135902"/>
    <s v="Research Business rules and Data Elements necessary to support our Clear Repo email campaigns"/>
    <s v="UserStory"/>
    <x v="1"/>
    <x v="1"/>
    <s v="32"/>
    <s v="Sushma Gurram"/>
    <x v="51"/>
    <n v="1"/>
    <n v="12.00662037037037"/>
    <m/>
    <m/>
  </r>
  <r>
    <s v="143443"/>
    <s v="Research look and feel configurations"/>
    <s v="UserStory"/>
    <x v="1"/>
    <x v="1"/>
    <s v="48"/>
    <s v="Daniel Verhagen"/>
    <x v="52"/>
    <n v="5"/>
    <n v="14.99537037037037"/>
    <m/>
    <m/>
  </r>
  <r>
    <s v="143444"/>
    <s v="Research BE events"/>
    <s v="UserStory"/>
    <x v="1"/>
    <x v="1"/>
    <m/>
    <s v="Daniel Verhagen"/>
    <x v="52"/>
    <m/>
    <n v="20.81310591599884"/>
    <m/>
    <m/>
  </r>
  <r>
    <s v="143445"/>
    <s v="Research existing Quick Pay functionality"/>
    <s v="UserStory"/>
    <x v="1"/>
    <x v="1"/>
    <m/>
    <m/>
    <x v="52"/>
    <m/>
    <m/>
    <m/>
    <m/>
  </r>
  <r>
    <s v="143673"/>
    <s v="[BCNext] Support Payment DropOff Email Test"/>
    <s v="UserStory"/>
    <x v="1"/>
    <x v="1"/>
    <m/>
    <s v="Aditi Sharma"/>
    <x v="53"/>
    <m/>
    <m/>
    <m/>
    <m/>
  </r>
  <r>
    <s v="143675"/>
    <s v="Automate Clear Charge Off Emails"/>
    <s v="UserStory"/>
    <x v="1"/>
    <x v="1"/>
    <m/>
    <m/>
    <x v="54"/>
    <m/>
    <m/>
    <m/>
    <m/>
  </r>
  <r>
    <s v="135052"/>
    <s v="Research New Twilio Shortlink Pilot"/>
    <s v="UserStory"/>
    <x v="1"/>
    <x v="1"/>
    <s v="28"/>
    <s v="Akshay Golash"/>
    <x v="55"/>
    <n v="2"/>
    <n v="13.83930555555555"/>
    <m/>
    <m/>
  </r>
  <r>
    <s v="143668"/>
    <s v="Implement updated verbiage to text campaigns"/>
    <s v="UserStory"/>
    <x v="1"/>
    <x v="1"/>
    <m/>
    <s v="Sushma Gurram"/>
    <x v="56"/>
    <m/>
    <n v="8.946566564146991"/>
    <m/>
    <m/>
  </r>
  <r>
    <s v="143671"/>
    <s v="Add 3 Texts to the MMS pipeline"/>
    <s v="UserStory"/>
    <x v="1"/>
    <x v="1"/>
    <m/>
    <s v="Aditi Sharma"/>
    <x v="57"/>
    <m/>
    <n v="6.83182119377662"/>
    <m/>
    <m/>
  </r>
  <r>
    <s v="144130"/>
    <s v="Fix (fka) CACS Comments for the Clear Charge Off Email Process"/>
    <s v="UserStory"/>
    <x v="1"/>
    <x v="1"/>
    <s v="47"/>
    <s v="Sushma Gurram"/>
    <x v="54"/>
    <n v="0"/>
    <n v="3.2334375"/>
    <m/>
    <m/>
  </r>
  <r>
    <s v="133814"/>
    <s v="Segment Research"/>
    <s v="UserStory"/>
    <x v="1"/>
    <x v="2"/>
    <s v="28"/>
    <s v="Jonathan Escamilla and Isaac Ng and Jajati Routray"/>
    <x v="51"/>
    <n v="7"/>
    <n v="25.99270833333333"/>
    <m/>
    <m/>
  </r>
  <r>
    <s v="137137"/>
    <s v="[BC NEXT][EXP] Account Balance - Variations 1, 2, and 3"/>
    <s v="UserStory"/>
    <x v="2"/>
    <x v="0"/>
    <s v="38"/>
    <s v="Joseph Kranak"/>
    <x v="58"/>
    <n v="1"/>
    <n v="30.11721064814815"/>
    <s v="139925"/>
    <m/>
  </r>
  <r>
    <s v="140604"/>
    <s v="[BC NEXT][EXP] Account Balance Experiment - Analytics firing incorrectly"/>
    <s v="UserStory"/>
    <x v="2"/>
    <x v="0"/>
    <s v="40"/>
    <s v="Connor Golobich and Joseph Kranak"/>
    <x v="58"/>
    <n v="0"/>
    <n v="5.610381944444444"/>
    <s v="140487"/>
    <m/>
  </r>
  <r>
    <s v="141523"/>
    <s v="[BC NEXT][EXP] Account Balance - Hide all variations from same day sales"/>
    <s v="UserStory"/>
    <x v="2"/>
    <x v="0"/>
    <s v="42"/>
    <s v="Joseph Kranak"/>
    <x v="58"/>
    <n v="3"/>
    <n v="4.732465277777777"/>
    <s v="141476"/>
    <m/>
  </r>
  <r>
    <s v="126336"/>
    <s v="Create CSV file and CACS Comments"/>
    <s v="UserStory"/>
    <x v="2"/>
    <x v="1"/>
    <s v="04"/>
    <s v="Bindu Dudipala"/>
    <x v="59"/>
    <n v="0"/>
    <n v="2.805613425925926"/>
    <m/>
    <m/>
  </r>
  <r>
    <s v="128928"/>
    <s v="CSO Email Multivariate Testing Phase 2"/>
    <s v="UserStory"/>
    <x v="2"/>
    <x v="1"/>
    <s v="12"/>
    <m/>
    <x v="60"/>
    <n v="1"/>
    <n v="3.783333333333333"/>
    <m/>
    <m/>
  </r>
  <r>
    <s v="130765"/>
    <s v="[BC NEXT] Upgrade to Ionic 6.1.3"/>
    <s v="UserStory"/>
    <x v="3"/>
    <x v="0"/>
    <s v="32"/>
    <s v="Connor Golobich"/>
    <x v="61"/>
    <n v="21"/>
    <n v="63.94025462962963"/>
    <m/>
    <m/>
  </r>
  <r>
    <s v="135331"/>
    <s v="[BC NEXT][AUTOMATION] AutoPay Enrollment"/>
    <s v="UserStory"/>
    <x v="3"/>
    <x v="0"/>
    <s v="33"/>
    <s v="Joseph Kranak"/>
    <x v="61"/>
    <n v="2"/>
    <n v="35.94972222222222"/>
    <m/>
    <m/>
  </r>
  <r>
    <s v="135332"/>
    <s v="[BC NEXT][AUTOMATION] AutoPay Past Due"/>
    <s v="UserStory"/>
    <x v="3"/>
    <x v="0"/>
    <s v="50"/>
    <s v="Shyam Senthil Nathan"/>
    <x v="61"/>
    <n v="0"/>
    <n v="76.06449074074074"/>
    <s v="141937"/>
    <m/>
  </r>
  <r>
    <s v="135335"/>
    <s v="[BC NEXT][AUTOMATION] Manage Bank Accounts"/>
    <s v="UserStory"/>
    <x v="3"/>
    <x v="0"/>
    <s v="38"/>
    <s v="Joseph Kranak"/>
    <x v="61"/>
    <n v="7"/>
    <n v="26.77587962962963"/>
    <m/>
    <m/>
  </r>
  <r>
    <s v="135336"/>
    <s v="[BC NEXT][AUTOMATION] Manage Payments"/>
    <s v="UserStory"/>
    <x v="3"/>
    <x v="0"/>
    <s v="38"/>
    <s v="Yokeshwaran Lokanathan"/>
    <x v="61"/>
    <n v="2"/>
    <n v="26.90292824074074"/>
    <m/>
    <m/>
  </r>
  <r>
    <s v="136891"/>
    <s v="[BC NEXT] Upgrade HotChocolate"/>
    <s v="UserStory"/>
    <x v="3"/>
    <x v="0"/>
    <s v="38"/>
    <s v="Pete Wesselius"/>
    <x v="62"/>
    <n v="0"/>
    <n v="23.21835648148148"/>
    <s v="139925"/>
    <m/>
  </r>
  <r>
    <s v="137508"/>
    <s v="[BC NEXT] Pending Payments Modal Enhancements"/>
    <s v="UserStory"/>
    <x v="3"/>
    <x v="0"/>
    <m/>
    <s v="Michael Wang"/>
    <x v="63"/>
    <m/>
    <n v="13.81081282882292"/>
    <m/>
    <m/>
  </r>
  <r>
    <s v="138659"/>
    <s v="[BC NEXT] Create and Implement Paymentus Redirect Modal"/>
    <s v="UserStory"/>
    <x v="3"/>
    <x v="0"/>
    <s v="43"/>
    <s v="Abbas Shamshi"/>
    <x v="63"/>
    <n v="11"/>
    <n v="31.27759259259259"/>
    <s v="142204"/>
    <m/>
  </r>
  <r>
    <s v="139995"/>
    <s v="[BC API] Prod bug: Allow Charge Off users to pay with debit card on logged out experience"/>
    <s v="UserStory"/>
    <x v="3"/>
    <x v="0"/>
    <s v="40"/>
    <s v="Connor Golobich"/>
    <x v="62"/>
    <n v="2"/>
    <n v="13.95163194444444"/>
    <s v="140854"/>
    <m/>
  </r>
  <r>
    <s v="144488"/>
    <s v="[BC NEXT] Manage Modification - Completed Mods experience not showing as expected"/>
    <s v="UserStory"/>
    <x v="3"/>
    <x v="0"/>
    <s v="49"/>
    <s v="Joseph Kranak"/>
    <x v="63"/>
    <n v="15"/>
    <n v="15.49431712962963"/>
    <s v="145895"/>
    <m/>
  </r>
  <r>
    <s v="127603"/>
    <s v="[BC NEXT][RESEARCH] Research steps in code to share email addresses"/>
    <s v="UserStory"/>
    <x v="3"/>
    <x v="0"/>
    <s v="10"/>
    <s v="Namratha Chilukuri"/>
    <x v="61"/>
    <n v="0"/>
    <n v="6.601689814814814"/>
    <m/>
    <m/>
  </r>
  <r>
    <s v="133227"/>
    <s v="[BC NEXT] AutoPay/APPD Enrollment Authorization Updates"/>
    <s v="UserStory"/>
    <x v="3"/>
    <x v="0"/>
    <s v="38"/>
    <s v="Abbas Shamshi"/>
    <x v="64"/>
    <n v="2"/>
    <n v="23.23541666666667"/>
    <s v="139925"/>
    <m/>
  </r>
  <r>
    <s v="135334"/>
    <s v="[BC NEXT][AUTOMATION] Account Settings"/>
    <s v="UserStory"/>
    <x v="3"/>
    <x v="0"/>
    <s v="50"/>
    <s v="Pete Wesselius"/>
    <x v="61"/>
    <n v="0"/>
    <n v="134.9286111111111"/>
    <s v="141937"/>
    <m/>
  </r>
  <r>
    <s v="135337"/>
    <s v="[BC NEXT][AUTOMATION] Manage Debit Cards"/>
    <s v="UserStory"/>
    <x v="3"/>
    <x v="0"/>
    <s v="34"/>
    <s v="Joseph Kranak"/>
    <x v="61"/>
    <n v="2"/>
    <n v="7.243506944444444"/>
    <m/>
    <m/>
  </r>
  <r>
    <s v="135338"/>
    <s v="[BC NEXT][AUTOMATION] Homepage"/>
    <s v="UserStory"/>
    <x v="3"/>
    <x v="0"/>
    <s v="34"/>
    <s v="Joseph Kranak"/>
    <x v="61"/>
    <n v="7"/>
    <n v="21.10900462962963"/>
    <m/>
    <m/>
  </r>
  <r>
    <s v="135339"/>
    <s v="[BC NEXT][AUTOMATION] Top/Side Nav"/>
    <s v="UserStory"/>
    <x v="3"/>
    <x v="0"/>
    <s v="46"/>
    <s v="Joseph Kranak"/>
    <x v="61"/>
    <n v="2"/>
    <n v="23.15775462962963"/>
    <s v="144410"/>
    <m/>
  </r>
  <r>
    <s v="137509"/>
    <s v="[BC NEXT] Update how reporting platforms in Ionic 6"/>
    <s v="UserStory"/>
    <x v="3"/>
    <x v="0"/>
    <s v="37"/>
    <s v="Shyam Senthil Nathan"/>
    <x v="15"/>
    <n v="6"/>
    <n v="20.09512731481481"/>
    <s v="139500"/>
    <m/>
  </r>
  <r>
    <s v="138658"/>
    <s v="[BC NEXT] Refactor global text entry component"/>
    <s v="UserStory"/>
    <x v="3"/>
    <x v="0"/>
    <s v="43"/>
    <s v="Yokeshwaran Lokanathan"/>
    <x v="15"/>
    <n v="11"/>
    <n v="24.24701388888889"/>
    <s v="142204"/>
    <m/>
  </r>
  <r>
    <s v="144268"/>
    <s v="[BC NEXT] Fix Missing Analytics"/>
    <s v="UserStory"/>
    <x v="3"/>
    <x v="0"/>
    <s v="46"/>
    <s v="Joseph Kranak"/>
    <x v="63"/>
    <n v="1"/>
    <n v="2.131770833333333"/>
    <s v="144410"/>
    <m/>
  </r>
  <r>
    <s v="144459"/>
    <s v="[BC NEXT] Payoff Quote - Update footer disclosure to follow state specific disclaimers"/>
    <s v="UserStory"/>
    <x v="3"/>
    <x v="0"/>
    <s v="49"/>
    <s v="Chirag Khandhar"/>
    <x v="63"/>
    <n v="8"/>
    <n v="13.5030787037037"/>
    <s v="145895"/>
    <m/>
  </r>
  <r>
    <s v="125746"/>
    <s v="[BC NEXT] Full Page Loading Spinner - Page Position"/>
    <s v="UserStory"/>
    <x v="3"/>
    <x v="0"/>
    <s v="03"/>
    <s v="Joseph Kranak"/>
    <x v="61"/>
    <n v="5"/>
    <n v="5.972986111111111"/>
    <m/>
    <m/>
  </r>
  <r>
    <s v="127920"/>
    <s v="[BC NEXT][CLEAN UP] Rename Cookie service"/>
    <s v="UserStory"/>
    <x v="3"/>
    <x v="0"/>
    <s v="11"/>
    <s v="Antonio Posada"/>
    <x v="61"/>
    <n v="5"/>
    <n v="13.80930555555556"/>
    <m/>
    <m/>
  </r>
  <r>
    <s v="132395"/>
    <s v="[BC NEXT] Delete Demo Pages"/>
    <s v="UserStory"/>
    <x v="3"/>
    <x v="0"/>
    <s v="21"/>
    <s v="Connor Golobich"/>
    <x v="61"/>
    <n v="1"/>
    <n v="6.96392361111111"/>
    <m/>
    <m/>
  </r>
  <r>
    <s v="133231"/>
    <s v="[BC NEXT]  Payment Authorization Modal Updates"/>
    <s v="UserStory"/>
    <x v="3"/>
    <x v="0"/>
    <s v="38"/>
    <s v="Antonio Posada"/>
    <x v="64"/>
    <n v="33"/>
    <n v="34.94814814814815"/>
    <s v="139925"/>
    <m/>
  </r>
  <r>
    <s v="138636"/>
    <s v="[BC NEXT][HOT FIX] Fix Pay With Debit Card not opening in Safari browsers"/>
    <s v="UserStory"/>
    <x v="3"/>
    <x v="0"/>
    <s v="35"/>
    <s v="Ari Pace"/>
    <x v="62"/>
    <n v="2"/>
    <n v="1.745"/>
    <m/>
    <m/>
  </r>
  <r>
    <s v="139167"/>
    <s v="[BC NEXT][SSP] Add Paymentus Quick Access URLs to redirect flag"/>
    <s v="UserStory"/>
    <x v="3"/>
    <x v="0"/>
    <s v="41"/>
    <s v="Pete Wesselius"/>
    <x v="63"/>
    <n v="4"/>
    <n v="20.91380787037037"/>
    <s v="141527"/>
    <m/>
  </r>
  <r>
    <s v="139883"/>
    <s v="[BC NEXT] PROD BUG - Pointing to TEST environment"/>
    <s v="UserStory"/>
    <x v="3"/>
    <x v="0"/>
    <s v="38"/>
    <s v="Abbas Shamshi"/>
    <x v="62"/>
    <n v="0"/>
    <n v="0.05972222222222222"/>
    <s v="139803"/>
    <m/>
  </r>
  <r>
    <s v="139886"/>
    <s v="Add linting to prevent wrong Environment input"/>
    <s v="UserStory"/>
    <x v="3"/>
    <x v="0"/>
    <s v="38"/>
    <s v="Joseph Kranak"/>
    <x v="61"/>
    <n v="2"/>
    <n v="1.935231481481481"/>
    <m/>
    <m/>
  </r>
  <r>
    <s v="143914"/>
    <s v="[BC NEXT] Prod Bug - Incorrect Disclaimer on Linked Account Success page"/>
    <s v="UserStory"/>
    <x v="3"/>
    <x v="0"/>
    <s v="46"/>
    <s v="Abbas Shamshi"/>
    <x v="63"/>
    <n v="4"/>
    <n v="5.081226851851851"/>
    <s v="144073"/>
    <m/>
  </r>
  <r>
    <s v="145320"/>
    <s v="[BC NEXT] Update dotnet version"/>
    <s v="UserStory"/>
    <x v="3"/>
    <x v="0"/>
    <m/>
    <s v="Connor Golobich"/>
    <x v="63"/>
    <m/>
    <n v="21.72613690289699"/>
    <m/>
    <m/>
  </r>
  <r>
    <s v="146441"/>
    <s v="[BC NEXT] Update Manage Modifications Integration tests"/>
    <s v="UserStory"/>
    <x v="3"/>
    <x v="0"/>
    <s v="50"/>
    <s v="Connor Golobich"/>
    <x v="63"/>
    <n v="0"/>
    <n v="0.5221527777777778"/>
    <s v="146568"/>
    <m/>
  </r>
  <r>
    <s v="146779"/>
    <s v="[BC NEXT] Update Payoff Quote footer with CA specific disclosure"/>
    <s v="UserStory"/>
    <x v="3"/>
    <x v="0"/>
    <m/>
    <s v="Michael Wang"/>
    <x v="63"/>
    <m/>
    <n v="3.007930884378472"/>
    <m/>
    <m/>
  </r>
  <r>
    <s v="144455"/>
    <s v="[SSP] Add PTP/PDP question to FAQ"/>
    <s v="UserStory"/>
    <x v="3"/>
    <x v="0"/>
    <s v="47"/>
    <s v="Connor Golobich"/>
    <x v="63"/>
    <n v="3"/>
    <n v="3.126585648148148"/>
    <s v="144834"/>
    <m/>
  </r>
  <r>
    <s v="125707"/>
    <s v="[BC NEXT][Dashboard] - Incorrect description for pending reversals in trans history"/>
    <s v="UserStory"/>
    <x v="3"/>
    <x v="0"/>
    <m/>
    <m/>
    <x v="61"/>
    <m/>
    <m/>
    <m/>
    <m/>
  </r>
  <r>
    <s v="128600"/>
    <s v="Dashboard Integration Tests"/>
    <s v="UserStory"/>
    <x v="3"/>
    <x v="0"/>
    <m/>
    <m/>
    <x v="61"/>
    <m/>
    <m/>
    <m/>
    <m/>
  </r>
  <r>
    <s v="128618"/>
    <s v="[BC NEXT][RESEARCH] GraphQL - Add Authentication on Evict mutation"/>
    <s v="UserStory"/>
    <x v="3"/>
    <x v="0"/>
    <m/>
    <m/>
    <x v="61"/>
    <m/>
    <m/>
    <m/>
    <m/>
  </r>
  <r>
    <s v="128924"/>
    <s v="[BC NEXT][WEB] APPD - Update Amount Due and Amount Due Popover"/>
    <s v="UserStory"/>
    <x v="3"/>
    <x v="0"/>
    <m/>
    <m/>
    <x v="61"/>
    <m/>
    <m/>
    <m/>
    <m/>
  </r>
  <r>
    <s v="135333"/>
    <s v="[BC NEXT][AUTOMATION] OneTime Payment"/>
    <s v="UserStory"/>
    <x v="3"/>
    <x v="0"/>
    <m/>
    <m/>
    <x v="61"/>
    <m/>
    <m/>
    <m/>
    <m/>
  </r>
  <r>
    <s v="139386"/>
    <s v="[BC NEXT][UX] Hide debit card"/>
    <s v="UserStory"/>
    <x v="3"/>
    <x v="0"/>
    <s v="47"/>
    <s v="Jennifer Box and Shaden Handal"/>
    <x v="61"/>
    <n v="14"/>
    <n v="57.07954861111111"/>
    <m/>
    <m/>
  </r>
  <r>
    <s v="141945"/>
    <s v="[BC NEXT] Plan to Cure - Automation"/>
    <s v="UserStory"/>
    <x v="3"/>
    <x v="0"/>
    <m/>
    <m/>
    <x v="61"/>
    <m/>
    <m/>
    <m/>
    <m/>
  </r>
  <r>
    <s v="143934"/>
    <s v="[BC NEXT] Update Vision Classic Comment for Web Access"/>
    <s v="UserStory"/>
    <x v="3"/>
    <x v="0"/>
    <m/>
    <m/>
    <x v="61"/>
    <m/>
    <m/>
    <m/>
    <m/>
  </r>
  <r>
    <s v="147118"/>
    <s v="[BC NEXT] Add space so TWT widget does not cover any CTA"/>
    <s v="UserStory"/>
    <x v="3"/>
    <x v="0"/>
    <m/>
    <m/>
    <x v="61"/>
    <m/>
    <m/>
    <m/>
    <m/>
  </r>
  <r>
    <s v="147125"/>
    <s v="[BC NEXT][OTP] Payoff Today Persisting Incorrectly"/>
    <s v="UserStory"/>
    <x v="3"/>
    <x v="0"/>
    <m/>
    <m/>
    <x v="61"/>
    <m/>
    <m/>
    <m/>
    <m/>
  </r>
  <r>
    <s v="134640"/>
    <s v="Create and trigger Red Eligibility Extension Text"/>
    <s v="UserStory"/>
    <x v="3"/>
    <x v="1"/>
    <s v="33"/>
    <s v="Marcus Rogers and Aditi Sharma and Daniel Verhagen"/>
    <x v="55"/>
    <n v="7"/>
    <n v="29.99390046296296"/>
    <s v="137618"/>
    <m/>
  </r>
  <r>
    <s v="134641"/>
    <s v="Trigger Extension Emails"/>
    <s v="UserStory"/>
    <x v="3"/>
    <x v="1"/>
    <s v="34"/>
    <s v="Manuel Tenorio and Michael Wang"/>
    <x v="55"/>
    <n v="5"/>
    <n v="31.95196759259259"/>
    <s v="138014"/>
    <m/>
  </r>
  <r>
    <s v="134642"/>
    <s v="Trigger 24 and 48 hour reminder texts Development"/>
    <s v="UserStory"/>
    <x v="3"/>
    <x v="1"/>
    <s v="35"/>
    <s v="Aditi Sharma and Manuel Tenorio and Michael Wang"/>
    <x v="55"/>
    <n v="0"/>
    <n v="14.95390046296296"/>
    <s v="139036"/>
    <m/>
  </r>
  <r>
    <s v="134643"/>
    <s v="Trigger Success/Unsuccessful emails"/>
    <s v="UserStory"/>
    <x v="3"/>
    <x v="1"/>
    <s v="36"/>
    <s v="Marcus Rogers and Daniel Verhagen"/>
    <x v="55"/>
    <n v="13"/>
    <n v="21.81560185185185"/>
    <s v="138348"/>
    <m/>
  </r>
  <r>
    <s v="138972"/>
    <s v="[Research &amp; Implement][Manual Repo Assignments] Post Repo Texts"/>
    <s v="UserStory"/>
    <x v="3"/>
    <x v="1"/>
    <m/>
    <s v="Aditi Sharma and Manuel Tenorio"/>
    <x v="65"/>
    <m/>
    <n v="44.78301158821412"/>
    <s v="146703"/>
    <m/>
  </r>
  <r>
    <s v="139497"/>
    <s v="[SQL] - Update nightly email jobs to pass in legal disclosure email attribute"/>
    <s v="UserStory"/>
    <x v="3"/>
    <x v="1"/>
    <s v="43"/>
    <s v="Sushma Gurram"/>
    <x v="66"/>
    <n v="4"/>
    <n v="32.09342592592593"/>
    <s v="142157"/>
    <m/>
  </r>
  <r>
    <s v="139606"/>
    <s v="[SQL, API driven emails] - Adding Legal Disclosure Attribute to Email Payload E2E testing &amp; Deployment"/>
    <s v="UserStory"/>
    <x v="3"/>
    <x v="1"/>
    <s v="43"/>
    <m/>
    <x v="66"/>
    <n v="4"/>
    <n v="8.084837962962963"/>
    <s v="142157"/>
    <m/>
  </r>
  <r>
    <s v="141940"/>
    <s v="[Research &amp; Deveopment] Vision Classic - Payoff Quote"/>
    <s v="UserStory"/>
    <x v="3"/>
    <x v="1"/>
    <s v="45"/>
    <s v="Marcus Rogers and Manuel Tenorio and Andrew Vu"/>
    <x v="66"/>
    <n v="7"/>
    <n v="21.95305555555555"/>
    <s v="143290"/>
    <m/>
  </r>
  <r>
    <s v="142246"/>
    <s v="Add mini miranda to manual sends"/>
    <s v="UserStory"/>
    <x v="3"/>
    <x v="1"/>
    <s v="49"/>
    <s v="Sushma Gurram and Marcus Rogers"/>
    <x v="66"/>
    <n v="4"/>
    <n v="31.18552083333333"/>
    <s v="146175"/>
    <m/>
  </r>
  <r>
    <s v="132792"/>
    <s v="MMS pipeline improvements"/>
    <s v="UserStory"/>
    <x v="3"/>
    <x v="1"/>
    <s v="29"/>
    <s v="Marcus Rogers"/>
    <x v="55"/>
    <n v="5"/>
    <n v="13.92893518518519"/>
    <m/>
    <m/>
  </r>
  <r>
    <s v="134644"/>
    <s v="Trigger Payment Frequency Email"/>
    <s v="UserStory"/>
    <x v="3"/>
    <x v="1"/>
    <s v="34"/>
    <s v="Manuel Tenorio"/>
    <x v="55"/>
    <n v="5"/>
    <n v="24.9934837962963"/>
    <s v="138014"/>
    <m/>
  </r>
  <r>
    <s v="134645"/>
    <s v="Provide Metrics for Measurement"/>
    <s v="UserStory"/>
    <x v="3"/>
    <x v="1"/>
    <s v="38"/>
    <m/>
    <x v="55"/>
    <n v="0"/>
    <n v="3.472222222222222e-05"/>
    <m/>
    <m/>
  </r>
  <r>
    <s v="136786"/>
    <s v="Research options to address 'No Thanks' redirect"/>
    <s v="UserStory"/>
    <x v="3"/>
    <x v="1"/>
    <s v="37"/>
    <s v="Daniel Verhagen"/>
    <x v="67"/>
    <n v="0"/>
    <n v="12.8012037037037"/>
    <m/>
    <m/>
  </r>
  <r>
    <s v="137496"/>
    <s v="Trigger 24 and 48 hour reminder texts End to End Testing"/>
    <s v="UserStory"/>
    <x v="3"/>
    <x v="1"/>
    <s v="36"/>
    <m/>
    <x v="55"/>
    <n v="8"/>
    <n v="9.995578703703703"/>
    <s v="139036"/>
    <m/>
  </r>
  <r>
    <s v="137930"/>
    <s v="[DTSE] Clean up short term FFs for loan mod enhancement feature"/>
    <s v="UserStory"/>
    <x v="3"/>
    <x v="1"/>
    <s v="38"/>
    <s v="Manuel Tenorio"/>
    <x v="55"/>
    <n v="4"/>
    <n v="18.01042824074074"/>
    <s v="139902"/>
    <m/>
  </r>
  <r>
    <s v="138971"/>
    <s v="Send Saturday emails to 1 - 60 DPD"/>
    <s v="UserStory"/>
    <x v="3"/>
    <x v="1"/>
    <m/>
    <s v="Sushma Gurram"/>
    <x v="68"/>
    <m/>
    <m/>
    <m/>
    <m/>
  </r>
  <r>
    <s v="139493"/>
    <s v="[DTSE,Comm API &amp; BCAPI] - Adding Legal Disclosure Attribute to Email Payload Development"/>
    <s v="UserStory"/>
    <x v="3"/>
    <x v="1"/>
    <s v="42"/>
    <s v="Aditi Sharma and Michael Wang"/>
    <x v="66"/>
    <n v="8"/>
    <n v="29.74200231481481"/>
    <s v="141623"/>
    <m/>
  </r>
  <r>
    <s v="139494"/>
    <s v="[SLD API, Comm API &amp; SP] - Add 2 new endpoints for legal disclosure"/>
    <s v="UserStory"/>
    <x v="3"/>
    <x v="1"/>
    <s v="42"/>
    <s v="Sushma Gurram and Manuel Tenorio and Daniel Verhagen"/>
    <x v="66"/>
    <n v="8"/>
    <n v="33.99054398148148"/>
    <s v="141565"/>
    <m/>
  </r>
  <r>
    <s v="139495"/>
    <s v="[MJML] - Add new variable in all BC MJML email templates for legal disclousure"/>
    <s v="UserStory"/>
    <x v="3"/>
    <x v="1"/>
    <s v="42"/>
    <s v="Daniel Verhagen"/>
    <x v="66"/>
    <n v="0"/>
    <n v="14.74635416666667"/>
    <m/>
    <m/>
  </r>
  <r>
    <s v="139496"/>
    <s v="[Salesforce] - Update all BC Emails to have legal disclosure variable"/>
    <s v="UserStory"/>
    <x v="3"/>
    <x v="1"/>
    <s v="42"/>
    <s v="Aditi Sharma"/>
    <x v="66"/>
    <n v="0"/>
    <n v="12.01853009259259"/>
    <m/>
    <m/>
  </r>
  <r>
    <s v="139787"/>
    <s v="[MJML &amp; Salesforce] Add App Links to and Remove Phone Number from Emails"/>
    <s v="UserStory"/>
    <x v="3"/>
    <x v="1"/>
    <s v="45"/>
    <s v="Aditi Sharma and Daniel Verhagen"/>
    <x v="66"/>
    <n v="7"/>
    <n v="18.68436342592593"/>
    <s v="142983"/>
    <m/>
  </r>
  <r>
    <s v="140919"/>
    <s v="Modify Clear Charge Off audience to include a random split"/>
    <s v="UserStory"/>
    <x v="3"/>
    <x v="1"/>
    <s v="42"/>
    <s v="Sushma Gurram"/>
    <x v="69"/>
    <n v="4"/>
    <n v="7.014398148148148"/>
    <s v="141154"/>
    <m/>
  </r>
  <r>
    <s v="140922"/>
    <s v="[Salesforce] Payoff Quote to match new UX designs"/>
    <s v="UserStory"/>
    <x v="3"/>
    <x v="1"/>
    <s v="45"/>
    <s v="Aditi Sharma"/>
    <x v="66"/>
    <n v="7"/>
    <n v="21.93866898148148"/>
    <s v="143290"/>
    <m/>
  </r>
  <r>
    <s v="141948"/>
    <s v="[DTSE &amp; BC Comm Api &amp; DE Automation] PTC, Clear Repo &amp; Small Balance New Legal Disclosure changes"/>
    <s v="UserStory"/>
    <x v="3"/>
    <x v="1"/>
    <s v="45"/>
    <s v="Sushma Gurram and Daniel Verhagen"/>
    <x v="66"/>
    <n v="2"/>
    <n v="9.065104166666666"/>
    <s v="143291"/>
    <m/>
  </r>
  <r>
    <s v="143758"/>
    <s v="[Research &amp; Implement][Automated Repo Assignments] Post Repo texts"/>
    <s v="UserStory"/>
    <x v="3"/>
    <x v="1"/>
    <m/>
    <s v="Marcus Rogers"/>
    <x v="65"/>
    <m/>
    <n v="6.869875014140046"/>
    <s v="146703"/>
    <m/>
  </r>
  <r>
    <s v="129153"/>
    <s v="Create a process to Alert the team of any text campaign failures"/>
    <s v="UserStory"/>
    <x v="3"/>
    <x v="1"/>
    <s v="24"/>
    <s v="Aditi Sharma"/>
    <x v="67"/>
    <n v="6"/>
    <n v="12.06822916666667"/>
    <m/>
    <m/>
  </r>
  <r>
    <s v="136540"/>
    <s v="KM2 PROD Outage Emails and Texts - Round 2"/>
    <s v="UserStory"/>
    <x v="3"/>
    <x v="1"/>
    <s v="31"/>
    <s v="Sushma Gurram"/>
    <x v="70"/>
    <n v="1"/>
    <n v="4.99386574074074"/>
    <m/>
    <m/>
  </r>
  <r>
    <s v="138283"/>
    <s v="Salesforce configuration"/>
    <s v="UserStory"/>
    <x v="3"/>
    <x v="1"/>
    <s v="49"/>
    <s v="Marcus Rogers"/>
    <x v="68"/>
    <n v="9"/>
    <n v="35.14013888888888"/>
    <s v="143293"/>
    <m/>
  </r>
  <r>
    <s v="138284"/>
    <s v="DE Automation to generate audience file"/>
    <s v="UserStory"/>
    <x v="3"/>
    <x v="1"/>
    <s v="49"/>
    <s v="Sushma Gurram"/>
    <x v="68"/>
    <n v="36"/>
    <n v="44.14770833333333"/>
    <s v="143293"/>
    <m/>
  </r>
  <r>
    <s v="138285"/>
    <s v="Alerts &amp; Analytics"/>
    <s v="UserStory"/>
    <x v="3"/>
    <x v="1"/>
    <s v="46"/>
    <m/>
    <x v="68"/>
    <n v="0"/>
    <n v="4.629629629629629e-05"/>
    <m/>
    <m/>
  </r>
  <r>
    <s v="138334"/>
    <s v="Research Clear Charge Off Campaigns"/>
    <s v="UserStory"/>
    <x v="3"/>
    <x v="1"/>
    <s v="37"/>
    <s v="Sushma Gurram"/>
    <x v="67"/>
    <n v="1"/>
    <n v="12.0024537037037"/>
    <m/>
    <m/>
  </r>
  <r>
    <s v="139498"/>
    <s v="[Salesforce] Move new version of emails to prod folder"/>
    <s v="UserStory"/>
    <x v="3"/>
    <x v="1"/>
    <s v="43"/>
    <m/>
    <x v="66"/>
    <n v="0"/>
    <n v="1.083969907407407"/>
    <s v="142157"/>
    <m/>
  </r>
  <r>
    <s v="144052"/>
    <s v="Send Annual Privacy Policy Email"/>
    <s v="UserStory"/>
    <x v="3"/>
    <x v="1"/>
    <s v="51"/>
    <s v="Sushma Gurram and Marcus Rogers"/>
    <x v="71"/>
    <n v="6"/>
    <n v="11.68758101851852"/>
    <s v="146428"/>
    <m/>
  </r>
  <r>
    <s v="132615"/>
    <s v="Correct date format of field LDMDate used for the Early Credit Reporting email"/>
    <s v="UserStory"/>
    <x v="3"/>
    <x v="1"/>
    <s v="24"/>
    <s v="Akshay Golash"/>
    <x v="67"/>
    <n v="2"/>
    <n v="12.78371527777778"/>
    <m/>
    <m/>
  </r>
  <r>
    <s v="135650"/>
    <s v="KM2 PROD Outage Emails and Texts - Round 1"/>
    <s v="UserStory"/>
    <x v="3"/>
    <x v="1"/>
    <s v="30"/>
    <s v="Sushma Gurram"/>
    <x v="70"/>
    <n v="0"/>
    <n v="13.73951388888889"/>
    <m/>
    <m/>
  </r>
  <r>
    <s v="136360"/>
    <s v="PROD OUTAGE:  Duplicate Payment Email/Text communications"/>
    <s v="UserStory"/>
    <x v="3"/>
    <x v="1"/>
    <s v="30"/>
    <s v="Sushma Gurram"/>
    <x v="72"/>
    <n v="0"/>
    <n v="5.642569444444444"/>
    <m/>
    <m/>
  </r>
  <r>
    <s v="138330"/>
    <s v="Modify existing Clear Repo Text Template"/>
    <s v="UserStory"/>
    <x v="3"/>
    <x v="1"/>
    <s v="38"/>
    <s v="Sushma Gurram"/>
    <x v="65"/>
    <n v="3"/>
    <n v="5.776412037037037"/>
    <s v="139740"/>
    <m/>
  </r>
  <r>
    <s v="139685"/>
    <s v="Update CACS comments for CSO manual Test"/>
    <s v="UserStory"/>
    <x v="3"/>
    <x v="1"/>
    <s v="39"/>
    <s v="Sushma Gurram"/>
    <x v="15"/>
    <n v="7"/>
    <n v="11.75204861111111"/>
    <s v="139874"/>
    <m/>
  </r>
  <r>
    <s v="143669"/>
    <s v="Add new templates for CSO texts to be sent on December 26 and Jan 2"/>
    <s v="UserStory"/>
    <x v="3"/>
    <x v="1"/>
    <s v="50"/>
    <s v="Sushma Gurram"/>
    <x v="68"/>
    <n v="0"/>
    <n v="6.927928240740741"/>
    <m/>
    <m/>
  </r>
  <r>
    <s v="143759"/>
    <s v="[Database] Add Post Repo Template &amp; Update template descriptions for template ids 56, 57 &amp; 58"/>
    <s v="UserStory"/>
    <x v="3"/>
    <x v="1"/>
    <s v="46"/>
    <s v="Sushma Gurram and Aditi Sharma"/>
    <x v="65"/>
    <n v="1"/>
    <n v="7.024305555555555"/>
    <s v="144719"/>
    <m/>
  </r>
  <r>
    <s v="132970"/>
    <s v="Update NueStar logic in DNC sproc"/>
    <s v="UserStory"/>
    <x v="3"/>
    <x v="1"/>
    <s v="22"/>
    <s v="Sushma Gurram"/>
    <x v="67"/>
    <n v="2"/>
    <n v="1.826597222222222"/>
    <m/>
    <m/>
  </r>
  <r>
    <s v="137690"/>
    <s v="Update Privacy notice PDF copy"/>
    <s v="UserStory"/>
    <x v="3"/>
    <x v="1"/>
    <s v="33"/>
    <s v="Akshay Golash"/>
    <x v="15"/>
    <n v="0"/>
    <n v="0.04759259259259259"/>
    <s v="137691"/>
    <m/>
  </r>
  <r>
    <s v="139967"/>
    <s v="[Function] Chore - Disable AI Sampling &amp; add exception logging"/>
    <s v="UserStory"/>
    <x v="3"/>
    <x v="1"/>
    <s v="38"/>
    <s v="Aditi Sharma"/>
    <x v="15"/>
    <n v="1"/>
    <n v="1.750891203703704"/>
    <s v="139969"/>
    <m/>
  </r>
  <r>
    <s v="140067"/>
    <s v="OUTAGE: Identify @privaterelay.appleid.com impacts"/>
    <s v="UserStory"/>
    <x v="3"/>
    <x v="1"/>
    <s v="38"/>
    <m/>
    <x v="15"/>
    <n v="0"/>
    <n v="0.0001273148148148148"/>
    <m/>
    <m/>
  </r>
  <r>
    <s v="147097"/>
    <s v="Hard code disclaimer to payoff quote email template in order to meet 1/1/23 deadline"/>
    <s v="UserStory"/>
    <x v="3"/>
    <x v="1"/>
    <m/>
    <m/>
    <x v="73"/>
    <m/>
    <m/>
    <m/>
    <m/>
  </r>
  <r>
    <s v="147098"/>
    <s v="Dynamically add disclaimer to payoff quote for CA residents and include the administrator information"/>
    <s v="UserStory"/>
    <x v="3"/>
    <x v="1"/>
    <m/>
    <m/>
    <x v="73"/>
    <m/>
    <m/>
    <m/>
    <m/>
  </r>
  <r>
    <s v="147114"/>
    <s v="2023 Tax Communication Emails"/>
    <s v="UserStory"/>
    <x v="3"/>
    <x v="1"/>
    <m/>
    <m/>
    <x v="74"/>
    <m/>
    <m/>
    <m/>
    <m/>
  </r>
  <r>
    <s v="147115"/>
    <s v="2023 Tax Communication Texts"/>
    <s v="UserStory"/>
    <x v="3"/>
    <x v="1"/>
    <m/>
    <m/>
    <x v="74"/>
    <m/>
    <m/>
    <m/>
    <m/>
  </r>
  <r>
    <s v="147116"/>
    <s v="2023 Tax Communication Modal and Banner"/>
    <s v="UserStory"/>
    <x v="3"/>
    <x v="1"/>
    <m/>
    <m/>
    <x v="74"/>
    <m/>
    <m/>
    <m/>
    <m/>
  </r>
  <r>
    <s v="147158"/>
    <s v="Suppress Batch Emails"/>
    <s v="UserStory"/>
    <x v="3"/>
    <x v="1"/>
    <m/>
    <m/>
    <x v="75"/>
    <m/>
    <m/>
    <m/>
    <m/>
  </r>
  <r>
    <s v="147159"/>
    <s v="Replace Batch DC Email Suppression and suppress (batch &amp; triggered) non critical emails"/>
    <s v="UserStory"/>
    <x v="3"/>
    <x v="1"/>
    <m/>
    <m/>
    <x v="75"/>
    <m/>
    <m/>
    <m/>
    <m/>
  </r>
  <r>
    <s v="140924"/>
    <s v="Research Fullstory vs. Datadog"/>
    <s v="UserStory"/>
    <x v="3"/>
    <x v="2"/>
    <s v="44"/>
    <s v="Isaac Ng"/>
    <x v="76"/>
    <n v="3"/>
    <n v="8.992835648148148"/>
    <m/>
    <m/>
  </r>
  <r>
    <s v="141621"/>
    <s v="Fullstory: Integrate SDK into BC-Next"/>
    <s v="UserStory"/>
    <x v="3"/>
    <x v="2"/>
    <s v="49"/>
    <s v="Isaac Ng"/>
    <x v="77"/>
    <n v="3"/>
    <n v="32.18297453703703"/>
    <s v="145789"/>
    <m/>
  </r>
  <r>
    <s v="145173"/>
    <s v="Asset Uploader"/>
    <s v="UserStory"/>
    <x v="3"/>
    <x v="2"/>
    <m/>
    <s v="Isaac Ng"/>
    <x v="77"/>
    <m/>
    <n v="22.72130610353125"/>
    <s v="147079"/>
    <m/>
  </r>
  <r>
    <s v="136960"/>
    <s v="PROD BUG:  Health Check Enhancements"/>
    <s v="UserStory"/>
    <x v="3"/>
    <x v="2"/>
    <s v="31"/>
    <s v="Venkatmahesh Polur"/>
    <x v="78"/>
    <n v="1"/>
    <n v="4.188124999999999"/>
    <s v="137313"/>
    <m/>
  </r>
  <r>
    <s v="139327"/>
    <s v="[synthetic Tests] BC Next Login Module"/>
    <s v="UserStory"/>
    <x v="3"/>
    <x v="2"/>
    <s v="38"/>
    <s v="Venkatmahesh Polur"/>
    <x v="78"/>
    <n v="0"/>
    <n v="11.09640046296296"/>
    <m/>
    <m/>
  </r>
  <r>
    <s v="144088"/>
    <s v="Hide only PII data"/>
    <s v="UserStory"/>
    <x v="3"/>
    <x v="2"/>
    <s v="49"/>
    <s v="Isaac Ng"/>
    <x v="77"/>
    <n v="3"/>
    <n v="14.21982638888889"/>
    <s v="145789"/>
    <m/>
  </r>
  <r>
    <s v="127918"/>
    <s v="[BC NEXT][CLEAN UP] Mock Capacitor core plugin"/>
    <s v="UserStory"/>
    <x v="3"/>
    <x v="2"/>
    <s v="24"/>
    <s v="Andrew Vu"/>
    <x v="78"/>
    <n v="0"/>
    <n v="5.032627314814815"/>
    <m/>
    <m/>
  </r>
  <r>
    <s v="136111"/>
    <s v="PROD BUG:  Issues logging into Customer Admin Portal"/>
    <s v="UserStory"/>
    <x v="3"/>
    <x v="2"/>
    <s v="32"/>
    <s v="Jonathan Escamilla"/>
    <x v="78"/>
    <n v="5"/>
    <n v="13.88211805555556"/>
    <s v="136956"/>
    <m/>
  </r>
  <r>
    <s v="140475"/>
    <s v="Integrate Datadog into new GraphQL applications"/>
    <s v="UserStory"/>
    <x v="3"/>
    <x v="2"/>
    <s v="43"/>
    <s v="Jajati Routray"/>
    <x v="78"/>
    <n v="4"/>
    <n v="24.94700231481481"/>
    <s v="142193"/>
    <m/>
  </r>
  <r>
    <s v="145174"/>
    <s v="Extend Feature Flag for each platform"/>
    <s v="UserStory"/>
    <x v="3"/>
    <x v="2"/>
    <m/>
    <s v="Sri Charan Simha Velpur"/>
    <x v="77"/>
    <m/>
    <n v="15.73961628871643"/>
    <s v="147079"/>
    <m/>
  </r>
  <r>
    <s v="133782"/>
    <s v="Production Bug: Ability to search for any email address without any case sensitivity restrictions"/>
    <s v="UserStory"/>
    <x v="3"/>
    <x v="2"/>
    <s v="24"/>
    <s v="Jajati Routray"/>
    <x v="78"/>
    <n v="3"/>
    <n v="3.895173611111111"/>
    <m/>
    <m/>
  </r>
  <r>
    <s v="138359"/>
    <s v="[MFA FIX] Skip MFA for Roxanne's account in production due to App store review"/>
    <s v="UserStory"/>
    <x v="3"/>
    <x v="2"/>
    <s v="34"/>
    <s v="Jajati Routray"/>
    <x v="15"/>
    <n v="0"/>
    <n v="0.07422453703703703"/>
    <s v="138360"/>
    <m/>
  </r>
  <r>
    <s v="139294"/>
    <s v="Introduce authentication in BC Apollo Federation Gateway"/>
    <s v="UserStory"/>
    <x v="3"/>
    <x v="2"/>
    <s v="37"/>
    <s v="Jajati Routray"/>
    <x v="15"/>
    <n v="2"/>
    <n v="5.968935185185185"/>
    <s v="139623"/>
    <m/>
  </r>
  <r>
    <s v="146180"/>
    <s v="Update FullStory Org ID in BC Next application"/>
    <s v="UserStory"/>
    <x v="3"/>
    <x v="2"/>
    <m/>
    <m/>
    <x v="77"/>
    <m/>
    <m/>
    <m/>
    <m/>
  </r>
  <r>
    <s v="146984"/>
    <s v="Android &amp; iOS dropdown for Bank Account is not masked"/>
    <s v="UserStory"/>
    <x v="3"/>
    <x v="2"/>
    <m/>
    <s v="Isaac Ng"/>
    <x v="77"/>
    <m/>
    <n v="7.921201936864583"/>
    <m/>
    <m/>
  </r>
  <r>
    <s v="125183"/>
    <s v="[BC NEXT] App Pilot - SSP Banner: The banner icon on Mobile does not match the comps"/>
    <s v="Bug"/>
    <x v="0"/>
    <x v="0"/>
    <s v="02"/>
    <s v="Pete Wesselius"/>
    <x v="32"/>
    <m/>
    <n v="5.156793981481481"/>
    <s v="124683"/>
    <s v="122762"/>
  </r>
  <r>
    <s v="125184"/>
    <s v="[BC NEXT] App Pilot - SSP Banner: The background color of the banner does not match the comps"/>
    <s v="Bug"/>
    <x v="0"/>
    <x v="0"/>
    <s v="02"/>
    <s v="Pete Wesselius"/>
    <x v="32"/>
    <m/>
    <n v="5.122442129629629"/>
    <s v="124683"/>
    <s v="122762"/>
  </r>
  <r>
    <s v="125189"/>
    <s v="[BC NEXT] App Pilot - SSP Banner: The banner text styling does not match the comps"/>
    <s v="Bug"/>
    <x v="0"/>
    <x v="0"/>
    <s v="02"/>
    <s v="Pete Wesselius"/>
    <x v="32"/>
    <m/>
    <n v="5.122650462962962"/>
    <s v="124683"/>
    <s v="122762"/>
  </r>
  <r>
    <s v="125255"/>
    <s v="[BC NEXT] [PROD BUG] Paymentus: The email on the Paymentus is not coming correctly"/>
    <s v="Bug"/>
    <x v="0"/>
    <x v="0"/>
    <s v="01"/>
    <s v="Antonio Posada"/>
    <x v="5"/>
    <m/>
    <n v="0.940162037037037"/>
    <m/>
    <s v="123940"/>
  </r>
  <r>
    <s v="125264"/>
    <s v="[BC NEXT] Homepage Routes &amp; Metadata - Top Nav Text"/>
    <s v="Bug"/>
    <x v="0"/>
    <x v="0"/>
    <s v="02"/>
    <s v="Abbas Shamshi"/>
    <x v="2"/>
    <m/>
    <n v="6.00037037037037"/>
    <s v="125535"/>
    <s v="124829"/>
  </r>
  <r>
    <s v="125265"/>
    <s v="[BC NEXT] Dashboard: Amount Due Popover for Fees-  The popover should not show the regular payment amount unless the entire fees is paid"/>
    <s v="Bug"/>
    <x v="0"/>
    <x v="0"/>
    <s v="02"/>
    <s v="Yokeshwaran Lokanathan"/>
    <x v="5"/>
    <m/>
    <n v="5.087962962962963"/>
    <s v="125462"/>
    <s v="124508"/>
  </r>
  <r>
    <s v="125266"/>
    <s v="[BC NEXT] Homepage - Routing"/>
    <s v="Bug"/>
    <x v="0"/>
    <x v="0"/>
    <s v="02"/>
    <s v="Abbas Shamshi"/>
    <x v="2"/>
    <m/>
    <n v="6.000486111111111"/>
    <s v="125535"/>
    <s v="124829"/>
  </r>
  <r>
    <s v="125466"/>
    <s v="[BC NEXT] Update Buttons Font Size- the button size of the logout button on the popover is not as expected which is 16px"/>
    <s v="Bug"/>
    <x v="0"/>
    <x v="0"/>
    <s v="02"/>
    <s v="Antonio Posada"/>
    <x v="5"/>
    <m/>
    <n v="3.236377314814815"/>
    <s v="125462"/>
    <m/>
  </r>
  <r>
    <s v="125581"/>
    <s v="[BC NEXT] OTP Success Page - AutoPay CTA not displayed when customer is eligible for autopay but needs to make a payment first"/>
    <s v="Bug"/>
    <x v="0"/>
    <x v="0"/>
    <s v="02"/>
    <s v="Antonio Posada"/>
    <x v="5"/>
    <m/>
    <n v="1.873958333333333"/>
    <s v="125463"/>
    <s v="124648"/>
  </r>
  <r>
    <s v="125604"/>
    <s v="[BC NEXT] Dashboard - Remove Date from Payment Alert"/>
    <s v="Bug"/>
    <x v="0"/>
    <x v="0"/>
    <s v="02"/>
    <s v="Pete Wesselius"/>
    <x v="5"/>
    <m/>
    <n v="2.040798611111111"/>
    <s v="125462"/>
    <s v="125530"/>
  </r>
  <r>
    <s v="125710"/>
    <s v="Dashboard - Fees Paid in Full: Payment breakdown not calculating correctly."/>
    <s v="Bug"/>
    <x v="0"/>
    <x v="0"/>
    <s v="02"/>
    <s v="Yokeshwaran Lokanathan"/>
    <x v="5"/>
    <m/>
    <n v="0.8656828703703703"/>
    <s v="125462"/>
    <s v="125530"/>
  </r>
  <r>
    <s v="125766"/>
    <s v="FF not working to remove Add Debit Card CTA"/>
    <s v="Bug"/>
    <x v="0"/>
    <x v="0"/>
    <s v="02"/>
    <s v="Pete Wesselius"/>
    <x v="5"/>
    <m/>
    <n v="0.7725810185185185"/>
    <s v="125745"/>
    <s v="124995"/>
  </r>
  <r>
    <s v="126507"/>
    <s v="Homepage - Register Link Account Hover State"/>
    <s v="Bug"/>
    <x v="0"/>
    <x v="0"/>
    <s v="04"/>
    <s v="Chirag Khandhar"/>
    <x v="2"/>
    <m/>
    <n v="1.01693287037037"/>
    <m/>
    <s v="125068"/>
  </r>
  <r>
    <s v="126545"/>
    <s v="[BC NEXT] Dashboard: 90% Paid Ahead: Due today and Regular payment are listed in the popover"/>
    <s v="Bug"/>
    <x v="0"/>
    <x v="0"/>
    <s v="05"/>
    <s v="Pete Wesselius"/>
    <x v="3"/>
    <m/>
    <n v="4.278402777777778"/>
    <s v="126506"/>
    <s v="126339"/>
  </r>
  <r>
    <s v="126591"/>
    <s v="[BC NEXT] Dashboard: Popover updates for 90% paid ahead accounts"/>
    <s v="Bug"/>
    <x v="0"/>
    <x v="0"/>
    <s v="05"/>
    <m/>
    <x v="3"/>
    <m/>
    <n v="4.1565625"/>
    <s v="126506"/>
    <s v="126339"/>
  </r>
  <r>
    <s v="126601"/>
    <s v="[BC NEXT[Web] Learn More CTAs - Header Padding"/>
    <s v="Bug"/>
    <x v="0"/>
    <x v="0"/>
    <s v="04"/>
    <s v="Abbas Shamshi"/>
    <x v="2"/>
    <m/>
    <n v="1.0578125"/>
    <m/>
    <s v="125180"/>
  </r>
  <r>
    <s v="126621"/>
    <s v="[BC NEXT] Dashboard: 90% Paid Ahead: The Remaining balance is still showing when the payment is made with the exact amount that is reaming"/>
    <s v="Bug"/>
    <x v="0"/>
    <x v="0"/>
    <s v="05"/>
    <m/>
    <x v="3"/>
    <m/>
    <n v="3.293171296296296"/>
    <s v="126506"/>
    <s v="126339"/>
  </r>
  <r>
    <s v="126674"/>
    <s v="[BC NEXT] Homepage - Top Nav Analytics Category"/>
    <s v="Bug"/>
    <x v="0"/>
    <x v="0"/>
    <s v="04"/>
    <s v="Joseph Kranak"/>
    <x v="2"/>
    <m/>
    <n v="0.01496527777777778"/>
    <m/>
    <s v="124834"/>
  </r>
  <r>
    <s v="126684"/>
    <s v="[BC NEXT] Logout Analytic -The Log out analytic is not fired when the user is logged out"/>
    <s v="Bug"/>
    <x v="0"/>
    <x v="0"/>
    <s v="07"/>
    <s v="Antonio Posada"/>
    <x v="5"/>
    <m/>
    <n v="14.2675462962963"/>
    <m/>
    <s v="123780"/>
  </r>
  <r>
    <s v="126709"/>
    <s v="Analytic is is not fired when the session time out modal logs out the customer"/>
    <s v="Bug"/>
    <x v="0"/>
    <x v="0"/>
    <s v="07"/>
    <s v="Antonio Posada"/>
    <x v="5"/>
    <m/>
    <n v="14.2771875"/>
    <m/>
    <s v="123780"/>
  </r>
  <r>
    <s v="126927"/>
    <s v="[BC NEXT] Dashboard: Should not be showing the remaining balance for the following condition: when its 90% scenario, and the customer is not due today and customer is not due within 3 days"/>
    <s v="Bug"/>
    <x v="0"/>
    <x v="0"/>
    <s v="06"/>
    <s v="Yokeshwaran Lokanathan"/>
    <x v="5"/>
    <m/>
    <n v="2.793125"/>
    <s v="126506"/>
    <s v="126557"/>
  </r>
  <r>
    <s v="127082"/>
    <s v="[BC NEXT] Dashboard: the Popover should only show Past due, should not show due today"/>
    <s v="Bug"/>
    <x v="0"/>
    <x v="0"/>
    <s v="06"/>
    <s v="Yokeshwaran Lokanathan"/>
    <x v="5"/>
    <m/>
    <n v="1.508877314814815"/>
    <s v="126506"/>
    <s v="126557"/>
  </r>
  <r>
    <s v="127107"/>
    <s v="[BC NEXT] Homepage - Image Slideshow - Preferences button always links to prod route"/>
    <s v="Bug"/>
    <x v="0"/>
    <x v="0"/>
    <s v="06"/>
    <s v="Shyam Senthil Nathan"/>
    <x v="2"/>
    <m/>
    <n v="0.9607870370370371"/>
    <s v="127093"/>
    <s v="124839"/>
  </r>
  <r>
    <s v="127291"/>
    <s v="[BC NEXT] Dashboard: Incorrect popover breakdown for current customer with fees and pending reversal"/>
    <s v="Bug"/>
    <x v="0"/>
    <x v="0"/>
    <s v="06"/>
    <s v="Yokeshwaran Lokanathan"/>
    <x v="5"/>
    <m/>
    <n v="0.1666666666666667"/>
    <s v="126506"/>
    <s v="126557"/>
  </r>
  <r>
    <s v="127292"/>
    <s v="[BC NEXT] DASHBOARD: Incorrect amount due, due date and popover showing for current customer, no fees with pending reversal"/>
    <s v="Bug"/>
    <x v="0"/>
    <x v="0"/>
    <s v="07"/>
    <s v="Yokeshwaran Lokanathan"/>
    <x v="5"/>
    <m/>
    <n v="4.031481481481482"/>
    <s v="126506"/>
    <s v="126557"/>
  </r>
  <r>
    <s v="127299"/>
    <s v="[BC NEXT][DASHBOARD]Current customer with past due (90% rule) no fees with pending reversal- The Payment breakdown is not correct"/>
    <s v="Bug"/>
    <x v="0"/>
    <x v="0"/>
    <s v="07"/>
    <s v="Yokeshwaran Lokanathan"/>
    <x v="3"/>
    <m/>
    <n v="4.015729166666667"/>
    <s v="126506"/>
    <s v="126339"/>
  </r>
  <r>
    <s v="127300"/>
    <s v="[BC NEXT] OTP: We are not able to make a One Time payment using amount due selection in the OTP flow"/>
    <s v="Bug"/>
    <x v="0"/>
    <x v="0"/>
    <s v="06"/>
    <s v="Connor Golobich"/>
    <x v="3"/>
    <m/>
    <n v="0.153912037037037"/>
    <s v="126506"/>
    <s v="126954"/>
  </r>
  <r>
    <s v="127301"/>
    <s v="[BC NEXT] Dashboard: For Past Due customer, account should not show the regular payment in the popover"/>
    <s v="Bug"/>
    <x v="0"/>
    <x v="0"/>
    <s v="07"/>
    <s v="Yokeshwaran Lokanathan"/>
    <x v="5"/>
    <m/>
    <n v="4.012523148148148"/>
    <s v="126506"/>
    <s v="126557"/>
  </r>
  <r>
    <s v="127332"/>
    <s v="[BC NEXT][Web] Dashboard - Top Nav Bridgecrest logo not refreshing page on click"/>
    <s v="Bug"/>
    <x v="0"/>
    <x v="0"/>
    <s v="06"/>
    <s v="Joseph Kranak"/>
    <x v="4"/>
    <m/>
    <n v="0.1015972222222222"/>
    <m/>
    <s v="126371"/>
  </r>
  <r>
    <s v="127367"/>
    <s v="[BC NEXT][Web] Dashboard - Top Nav - Cursor not changing to pointer when hovering over bridgecrest logo"/>
    <s v="Bug"/>
    <x v="0"/>
    <x v="0"/>
    <s v="06"/>
    <s v="Joseph Kranak"/>
    <x v="4"/>
    <m/>
    <n v="0.04347222222222222"/>
    <m/>
    <s v="126371"/>
  </r>
  <r>
    <s v="127400"/>
    <s v="[BC NEXT][Web] Dashboard - Top Nav - Links not staying underlined when active"/>
    <s v="Bug"/>
    <x v="0"/>
    <x v="0"/>
    <s v="07"/>
    <s v="Joseph Kranak"/>
    <x v="4"/>
    <m/>
    <n v="2.974953703703703"/>
    <s v="127093"/>
    <s v="126371"/>
  </r>
  <r>
    <s v="127449"/>
    <s v="[BC NEXT] AutoPay: Pending Modal showing on select an account page"/>
    <s v="Bug"/>
    <x v="0"/>
    <x v="0"/>
    <s v="07"/>
    <s v="Antonio Posada"/>
    <x v="5"/>
    <m/>
    <n v="3.955856481481481"/>
    <m/>
    <s v="125686"/>
  </r>
  <r>
    <s v="127451"/>
    <s v="[BC NEXT] AutoPay: Header(Bridgecrest) is cutting off"/>
    <s v="Bug"/>
    <x v="0"/>
    <x v="0"/>
    <s v="07"/>
    <m/>
    <x v="5"/>
    <m/>
    <n v="0"/>
    <m/>
    <s v="125686"/>
  </r>
  <r>
    <s v="127483"/>
    <s v="[BC NEXT][Web] Dashboard - Banners UI Banner width not aligning on larger screens"/>
    <s v="Bug"/>
    <x v="0"/>
    <x v="0"/>
    <s v="07"/>
    <s v="Chirag Khandhar"/>
    <x v="4"/>
    <m/>
    <n v="1.707743055555556"/>
    <m/>
    <s v="126380"/>
  </r>
  <r>
    <s v="127607"/>
    <s v="[BC NEXT] AutoPay - Pending Payment Modal: On AP past due flow, the pen modal is not displayed on step 1"/>
    <s v="Bug"/>
    <x v="0"/>
    <x v="0"/>
    <s v="07"/>
    <s v="Antonio Posada"/>
    <x v="5"/>
    <m/>
    <n v="1.090115740740741"/>
    <m/>
    <s v="125686"/>
  </r>
  <r>
    <s v="127628"/>
    <s v="Customer service/payoff quote alignment differing from comps"/>
    <s v="Bug"/>
    <x v="0"/>
    <x v="0"/>
    <s v="07"/>
    <s v="Namratha Chilukuri"/>
    <x v="4"/>
    <m/>
    <n v="1.072083333333333"/>
    <m/>
    <s v="126376"/>
  </r>
  <r>
    <s v="127828"/>
    <s v="[BC NEXT][Web] Dashboard - Recent Activity - ADA elements not being selected when hitting 'enter'"/>
    <s v="Bug"/>
    <x v="0"/>
    <x v="0"/>
    <s v="09"/>
    <s v="Joseph Kranak"/>
    <x v="4"/>
    <m/>
    <n v="4.983668981481482"/>
    <m/>
    <s v="126386"/>
  </r>
  <r>
    <s v="127919"/>
    <s v="[BC NEXT][Web] Dashboard - Recent Activity - Stepper in AP flows not tabbing correctly"/>
    <s v="Bug"/>
    <x v="0"/>
    <x v="0"/>
    <s v="09"/>
    <s v="Joseph Kranak"/>
    <x v="4"/>
    <m/>
    <n v="1.041597222222222"/>
    <m/>
    <s v="126386"/>
  </r>
  <r>
    <s v="128005"/>
    <s v="[BC NEXT][Web] Dashboard - Side Nav: Fixing Footer Margin"/>
    <s v="Bug"/>
    <x v="0"/>
    <x v="0"/>
    <s v="09"/>
    <s v="Abbas Shamshi"/>
    <x v="4"/>
    <m/>
    <n v="0.953761574074074"/>
    <s v="128241"/>
    <s v="127001"/>
  </r>
  <r>
    <s v="128026"/>
    <s v="[BC NEXT][WEB] Dashboard - Side Nav: Missing ARIA labels"/>
    <s v="Bug"/>
    <x v="0"/>
    <x v="0"/>
    <s v="10"/>
    <s v="Abbas Shamshi"/>
    <x v="4"/>
    <m/>
    <n v="5.019155092592593"/>
    <s v="128241"/>
    <s v="127001"/>
  </r>
  <r>
    <s v="128028"/>
    <s v="[BC NEXT][WEB] Dashboard - Side Nav/Footer: App bottom nav not hidden"/>
    <s v="Bug"/>
    <x v="0"/>
    <x v="0"/>
    <s v="10"/>
    <s v="Abbas Shamshi"/>
    <x v="4"/>
    <m/>
    <n v="5.010347222222222"/>
    <s v="128241"/>
    <s v="127001"/>
  </r>
  <r>
    <s v="128031"/>
    <s v="Footer white background not extending till screen's bottom"/>
    <s v="Bug"/>
    <x v="0"/>
    <x v="0"/>
    <s v="09"/>
    <s v="Jesse McMahon"/>
    <x v="2"/>
    <m/>
    <n v="1.103553240740741"/>
    <m/>
    <m/>
  </r>
  <r>
    <s v="128070"/>
    <s v="[BC NEXT][OBSERVATIONS][2] Email Verify Page Spacing Fix"/>
    <s v="Bug"/>
    <x v="0"/>
    <x v="0"/>
    <s v="09"/>
    <s v="Antonio Posada"/>
    <x v="6"/>
    <m/>
    <n v="0.8927777777777778"/>
    <s v="128241"/>
    <s v="126910"/>
  </r>
  <r>
    <s v="128072"/>
    <s v="[BC NEXT][OBSERVATIONS][2] Account Lookup Page : Error message fix"/>
    <s v="Bug"/>
    <x v="0"/>
    <x v="0"/>
    <s v="09"/>
    <s v="Antonio Posada"/>
    <x v="6"/>
    <m/>
    <n v="0.8932523148148148"/>
    <s v="128241"/>
    <s v="126910"/>
  </r>
  <r>
    <s v="128091"/>
    <s v="[BC NEXT][WEB] Dashboard - Replace app menu with side nav on mobile browser view"/>
    <s v="Bug"/>
    <x v="0"/>
    <x v="0"/>
    <s v="10"/>
    <s v="Abbas Shamshi"/>
    <x v="4"/>
    <m/>
    <n v="0.8801273148148148"/>
    <s v="128241"/>
    <s v="127001"/>
  </r>
  <r>
    <s v="128105"/>
    <s v="[BC NEXT][OBSERVATIONS][2] Email registration page"/>
    <s v="Bug"/>
    <x v="0"/>
    <x v="0"/>
    <s v="10"/>
    <s v="Antonio Posada"/>
    <x v="6"/>
    <m/>
    <n v="3.703599537037037"/>
    <s v="128241"/>
    <s v="126910"/>
  </r>
  <r>
    <s v="128159"/>
    <s v="[BC NEXT][OBSERVATIONS] Bridgecrest logo &amp; Dashboard title overlapping on web mobile view"/>
    <s v="Bug"/>
    <x v="0"/>
    <x v="0"/>
    <s v="10"/>
    <s v="Yokeshwaran Lokanathan"/>
    <x v="2"/>
    <m/>
    <n v="0.04079861111111111"/>
    <s v="128241"/>
    <s v="127170"/>
  </r>
  <r>
    <s v="128182"/>
    <s v="Homepage Pixel Perfect - UAT Feedback from UX"/>
    <s v="Bug"/>
    <x v="0"/>
    <x v="0"/>
    <s v="10"/>
    <s v="Shyam Senthil Nathan"/>
    <x v="2"/>
    <m/>
    <n v="0.9108564814814815"/>
    <s v="128278"/>
    <s v="127564"/>
  </r>
  <r>
    <s v="128220"/>
    <s v="Update Registration Page - Line not breaking to 2 when text too long"/>
    <s v="Bug"/>
    <x v="0"/>
    <x v="0"/>
    <s v="10"/>
    <m/>
    <x v="6"/>
    <m/>
    <n v="0.008379629629629629"/>
    <s v="128241"/>
    <s v="126910"/>
  </r>
  <r>
    <s v="128387"/>
    <s v="[BC NEXT][WEB] Dashboard - Top and bottom padding on Account Summary Card off from comps"/>
    <s v="Bug"/>
    <x v="0"/>
    <x v="0"/>
    <s v="10"/>
    <s v="Chirag Khandhar"/>
    <x v="4"/>
    <m/>
    <n v="0"/>
    <m/>
    <s v="126374"/>
  </r>
  <r>
    <s v="128397"/>
    <s v="#128264 [BC NEXT][WEB] Analytic label"/>
    <s v="Bug"/>
    <x v="0"/>
    <x v="0"/>
    <s v="11"/>
    <s v="Chirag Khandhar"/>
    <x v="4"/>
    <m/>
    <n v="1.228333333333333"/>
    <m/>
    <s v="128264"/>
  </r>
  <r>
    <s v="128455"/>
    <s v="[BC NEXT][WEB] Modals - Scrollbar appearing when not needed"/>
    <s v="Bug"/>
    <x v="0"/>
    <x v="0"/>
    <s v="11"/>
    <s v="Abbas Shamshi"/>
    <x v="22"/>
    <m/>
    <n v="0.1360763888888889"/>
    <s v="128571"/>
    <s v="127931"/>
  </r>
  <r>
    <s v="128604"/>
    <s v="OTP step 2 responsiveness off"/>
    <s v="Bug"/>
    <x v="0"/>
    <x v="0"/>
    <s v="11"/>
    <s v="Chirag Khandhar"/>
    <x v="22"/>
    <m/>
    <n v="3.003356481481481"/>
    <s v="129428"/>
    <s v="127710"/>
  </r>
  <r>
    <s v="128829"/>
    <s v="OTP Swirly Visibility and Appearance"/>
    <s v="Bug"/>
    <x v="0"/>
    <x v="0"/>
    <s v="12"/>
    <s v="Joseph Kranak"/>
    <x v="22"/>
    <m/>
    <n v="4.937719907407407"/>
    <s v="129428"/>
    <s v="127921"/>
  </r>
  <r>
    <s v="128833"/>
    <s v="Select a vehicle should be action sheet in app, not popover"/>
    <s v="Bug"/>
    <x v="0"/>
    <x v="0"/>
    <s v="12"/>
    <s v="Jesse McMahon"/>
    <x v="4"/>
    <m/>
    <n v="4.018472222222222"/>
    <m/>
    <s v="126530"/>
  </r>
  <r>
    <s v="128894"/>
    <s v="[BC NEXT][WEB] No Accounts Found - Customer Service link pointing to wrong environment"/>
    <s v="Bug"/>
    <x v="0"/>
    <x v="0"/>
    <s v="12"/>
    <s v="Chirag Khandhar"/>
    <x v="4"/>
    <m/>
    <n v="0.9296412037037036"/>
    <m/>
    <s v="128264"/>
  </r>
  <r>
    <s v="128962"/>
    <s v="[BC NEXT][WEB] Update action sheet/dropdown border colors to match comps"/>
    <s v="Bug"/>
    <x v="0"/>
    <x v="0"/>
    <s v="12"/>
    <s v="Shyam Senthil Nathan"/>
    <x v="4"/>
    <m/>
    <n v="3.034918981481481"/>
    <m/>
    <s v="126834"/>
  </r>
  <r>
    <s v="128992"/>
    <s v="Account Summary Slides size not equal on vehicle change"/>
    <s v="Bug"/>
    <x v="0"/>
    <x v="0"/>
    <s v="12"/>
    <s v="Chirag Khandhar"/>
    <x v="4"/>
    <m/>
    <n v="1.880729166666667"/>
    <m/>
    <s v="126530"/>
  </r>
  <r>
    <s v="129080"/>
    <s v="[BC NEXT][WEB] Incorrect analytic event on dropdown"/>
    <s v="Bug"/>
    <x v="0"/>
    <x v="0"/>
    <s v="12"/>
    <s v="Jesse McMahon"/>
    <x v="4"/>
    <m/>
    <n v="1.183611111111111"/>
    <m/>
    <s v="126530"/>
  </r>
  <r>
    <s v="129192"/>
    <s v="[BC NEXT][WEB] OTP - Success Page - Image and text not aligning with comps"/>
    <s v="Bug"/>
    <x v="0"/>
    <x v="0"/>
    <s v="13"/>
    <s v="Shyam Senthil Nathan"/>
    <x v="22"/>
    <m/>
    <n v="1.031539351851852"/>
    <s v="129428"/>
    <s v="127930"/>
  </r>
  <r>
    <s v="129244"/>
    <s v="[BC NEXT] [WEB] Footer not showing in OTP Success Page"/>
    <s v="Bug"/>
    <x v="0"/>
    <x v="0"/>
    <s v="13"/>
    <s v="Joseph Kranak"/>
    <x v="22"/>
    <m/>
    <n v="0.06863425925925926"/>
    <s v="129428"/>
    <s v="127921"/>
  </r>
  <r>
    <s v="129293"/>
    <s v="[BC NEXT][WEB] Button size does not match comps"/>
    <s v="Bug"/>
    <x v="0"/>
    <x v="0"/>
    <s v="13"/>
    <s v="Chirag Khandhar"/>
    <x v="22"/>
    <m/>
    <n v="1.611921296296296"/>
    <s v="129428"/>
    <s v="127710"/>
  </r>
  <r>
    <s v="129375"/>
    <s v="[BC NEXT][WEB] Banners and vehicle dropdown not aligned with card"/>
    <s v="Bug"/>
    <x v="0"/>
    <x v="0"/>
    <s v="13"/>
    <s v="Joseph Kranak"/>
    <x v="4"/>
    <m/>
    <n v="1.203576388888889"/>
    <s v="129522"/>
    <s v="127574"/>
  </r>
  <r>
    <s v="129376"/>
    <s v="[BC NEXT][WEB] Alignment off on second account summary card"/>
    <s v="Bug"/>
    <x v="0"/>
    <x v="0"/>
    <s v="13"/>
    <s v="Joseph Kranak"/>
    <x v="4"/>
    <m/>
    <n v="1.203668981481481"/>
    <s v="129522"/>
    <s v="127574"/>
  </r>
  <r>
    <s v="129568"/>
    <s v="Dashboard - Hide links in Top/Side Nav"/>
    <s v="Bug"/>
    <x v="0"/>
    <x v="0"/>
    <s v="15"/>
    <s v="Abbas Shamshi"/>
    <x v="4"/>
    <m/>
    <n v="9.116990740740741"/>
    <m/>
    <s v="128314"/>
  </r>
  <r>
    <s v="129743"/>
    <s v="Incorrect Swirly Position in the mobile view"/>
    <s v="Bug"/>
    <x v="0"/>
    <x v="0"/>
    <s v="15"/>
    <s v="Connor Golobich"/>
    <x v="23"/>
    <m/>
    <n v="4.928425925925926"/>
    <s v="131354"/>
    <s v="128051"/>
  </r>
  <r>
    <s v="129747"/>
    <s v="Pending payments modal buttons spacing off"/>
    <s v="Bug"/>
    <x v="0"/>
    <x v="0"/>
    <s v="15"/>
    <s v="Abbas Shamshi"/>
    <x v="23"/>
    <m/>
    <n v="3.163553240740741"/>
    <s v="131354"/>
    <s v="128048"/>
  </r>
  <r>
    <s v="129869"/>
    <s v="#127960 [BC NEXT][WEB] AutoPay - Step 1: Bug: aria-label, Swirl not expanding, Aria label on checkbox"/>
    <s v="Bug"/>
    <x v="0"/>
    <x v="0"/>
    <s v="15"/>
    <s v="Chirag Khandhar"/>
    <x v="23"/>
    <m/>
    <n v="1.106504629629629"/>
    <s v="131354"/>
    <s v="127960"/>
  </r>
  <r>
    <s v="129897"/>
    <s v="Fix spinners and fix ADA"/>
    <s v="Bug"/>
    <x v="0"/>
    <x v="0"/>
    <s v="16"/>
    <s v="Yokeshwaran Lokanathan"/>
    <x v="23"/>
    <m/>
    <n v="7.758437499999999"/>
    <s v="131354"/>
    <s v="127945"/>
  </r>
  <r>
    <s v="129948"/>
    <s v="Incorrect screen reader behavior for SSL icon and Submit button"/>
    <s v="Bug"/>
    <x v="0"/>
    <x v="0"/>
    <s v="15"/>
    <s v="Chirag Khandhar"/>
    <x v="23"/>
    <m/>
    <n v="0.1317708333333333"/>
    <s v="131354"/>
    <s v="127963"/>
  </r>
  <r>
    <s v="130083"/>
    <s v="#127960 [BC NEXT][WEB] AutoPay - Step 1: Bug: Incorrect Aria label for Step indicators"/>
    <s v="Bug"/>
    <x v="0"/>
    <x v="0"/>
    <s v="16"/>
    <s v="Chirag Khandhar"/>
    <x v="23"/>
    <m/>
    <n v="4.766956018518519"/>
    <s v="131354"/>
    <s v="127960"/>
  </r>
  <r>
    <s v="130095"/>
    <s v="SSL image cut off when resizing"/>
    <s v="Bug"/>
    <x v="0"/>
    <x v="0"/>
    <s v="16"/>
    <s v="Joseph Kranak"/>
    <x v="23"/>
    <m/>
    <n v="4.286643518518519"/>
    <s v="131354"/>
    <s v="127947"/>
  </r>
  <r>
    <s v="130149"/>
    <s v="Fix success page footer"/>
    <s v="Bug"/>
    <x v="0"/>
    <x v="0"/>
    <s v="16"/>
    <s v="Yokeshwaran Lokanathan"/>
    <x v="23"/>
    <m/>
    <n v="1.097488425925926"/>
    <s v="131354"/>
    <s v="127945"/>
  </r>
  <r>
    <s v="130150"/>
    <s v="Error messages are not displayed properly"/>
    <s v="Bug"/>
    <x v="0"/>
    <x v="0"/>
    <s v="16"/>
    <s v="Joseph Kranak"/>
    <x v="23"/>
    <m/>
    <n v="1.309814814814815"/>
    <s v="131354"/>
    <s v="127947"/>
  </r>
  <r>
    <s v="130241"/>
    <s v="Remove %AccountNumber% from Label in analytic event"/>
    <s v="Bug"/>
    <x v="0"/>
    <x v="0"/>
    <s v="16"/>
    <s v="Yokeshwaran Lokanathan"/>
    <x v="23"/>
    <m/>
    <n v="0.1160648148148148"/>
    <s v="131354"/>
    <s v="127945"/>
  </r>
  <r>
    <s v="130243"/>
    <s v="New analytics missing"/>
    <s v="Bug"/>
    <x v="0"/>
    <x v="0"/>
    <s v="16"/>
    <s v="Joseph Kranak"/>
    <x v="23"/>
    <m/>
    <n v="1.31287037037037"/>
    <s v="131354"/>
    <s v="127947"/>
  </r>
  <r>
    <s v="130287"/>
    <s v="Fix spinner footer"/>
    <s v="Bug"/>
    <x v="0"/>
    <x v="0"/>
    <s v="16"/>
    <m/>
    <x v="23"/>
    <m/>
    <n v="0.235474537037037"/>
    <s v="131354"/>
    <s v="127945"/>
  </r>
  <r>
    <s v="130324"/>
    <s v="#128672 [BC NEXT][WEB] APPD - Step 3: Review - Missing Analytics"/>
    <s v="Bug"/>
    <x v="0"/>
    <x v="0"/>
    <s v="16"/>
    <s v="Chirag Khandhar"/>
    <x v="25"/>
    <m/>
    <n v="1.023321759259259"/>
    <m/>
    <s v="128672"/>
  </r>
  <r>
    <s v="130341"/>
    <s v="Analytics &amp; SSL Icon"/>
    <s v="Bug"/>
    <x v="0"/>
    <x v="0"/>
    <s v="16"/>
    <s v="Antonio Posada"/>
    <x v="22"/>
    <m/>
    <n v="0.9260185185185185"/>
    <s v="130431"/>
    <s v="127701"/>
  </r>
  <r>
    <s v="130385"/>
    <s v="New SSL Icon"/>
    <s v="Bug"/>
    <x v="0"/>
    <x v="0"/>
    <s v="16"/>
    <s v="Antonio Posada"/>
    <x v="22"/>
    <m/>
    <n v="0.0761111111111111"/>
    <s v="130431"/>
    <s v="127701"/>
  </r>
  <r>
    <s v="130411"/>
    <s v="Pixel Perfect bugs"/>
    <s v="Bug"/>
    <x v="0"/>
    <x v="0"/>
    <s v="17"/>
    <s v="Connor Golobich"/>
    <x v="25"/>
    <m/>
    <n v="1.801030092592593"/>
    <m/>
    <s v="128674"/>
  </r>
  <r>
    <s v="130524"/>
    <s v="Line after header not as comps"/>
    <s v="Bug"/>
    <x v="0"/>
    <x v="0"/>
    <s v="17"/>
    <s v="Abbas Shamshi"/>
    <x v="25"/>
    <m/>
    <n v="0.216099537037037"/>
    <m/>
    <s v="128593"/>
  </r>
  <r>
    <s v="130527"/>
    <s v="Old SSL icon on mobile"/>
    <s v="Bug"/>
    <x v="0"/>
    <x v="0"/>
    <s v="17"/>
    <s v="Abbas Shamshi"/>
    <x v="25"/>
    <m/>
    <n v="2.092824074074074"/>
    <m/>
    <s v="128593"/>
  </r>
  <r>
    <s v="130528"/>
    <s v="Focus Ring without styling on Payment Breakdown CTA"/>
    <s v="Bug"/>
    <x v="0"/>
    <x v="0"/>
    <s v="17"/>
    <s v="Abbas Shamshi"/>
    <x v="25"/>
    <m/>
    <n v="2.077824074074074"/>
    <m/>
    <s v="128593"/>
  </r>
  <r>
    <s v="130770"/>
    <s v="Footer not sticking to the bottom of manage bank accounts page"/>
    <s v="Bug"/>
    <x v="0"/>
    <x v="0"/>
    <s v="18"/>
    <s v="Antonio Posada"/>
    <x v="15"/>
    <m/>
    <n v="6.969004629629629"/>
    <m/>
    <m/>
  </r>
  <r>
    <s v="130771"/>
    <s v="Confirm delete bank account popup opening twice if opened with keyboard"/>
    <s v="Bug"/>
    <x v="0"/>
    <x v="0"/>
    <s v="18"/>
    <s v="Antonio Posada"/>
    <x v="15"/>
    <m/>
    <n v="3.061967592592592"/>
    <m/>
    <m/>
  </r>
  <r>
    <s v="130806"/>
    <s v="APPD - Step 2: AutoPay Enrollment outline on ssl icon"/>
    <s v="Bug"/>
    <x v="0"/>
    <x v="0"/>
    <s v="18"/>
    <s v="Joseph Kranak"/>
    <x v="25"/>
    <m/>
    <n v="4.891435185185185"/>
    <m/>
    <s v="128613"/>
  </r>
  <r>
    <s v="130808"/>
    <s v="APPD - Step 2: AutoPay Enrollment: Tabbing Order"/>
    <s v="Bug"/>
    <x v="0"/>
    <x v="0"/>
    <s v="18"/>
    <s v="Joseph Kranak"/>
    <x v="25"/>
    <m/>
    <n v="3.942326388888889"/>
    <m/>
    <s v="128613"/>
  </r>
  <r>
    <s v="130842"/>
    <s v="APPD Step 2: UI not matching with comps"/>
    <s v="Bug"/>
    <x v="0"/>
    <x v="0"/>
    <s v="18"/>
    <s v="Joseph Kranak"/>
    <x v="25"/>
    <m/>
    <n v="4.227002314814815"/>
    <m/>
    <s v="128613"/>
  </r>
  <r>
    <s v="130971"/>
    <s v="[BC NEXT][WEB] AutoPay PP - Update padding in footer and dropdown components in step 1"/>
    <s v="Bug"/>
    <x v="0"/>
    <x v="0"/>
    <s v="18"/>
    <s v="Joseph Kranak"/>
    <x v="23"/>
    <m/>
    <n v="0.1988425925925926"/>
    <s v="131354"/>
    <s v="130102"/>
  </r>
  <r>
    <s v="131029"/>
    <s v="Issue Processing Page"/>
    <s v="Bug"/>
    <x v="0"/>
    <x v="0"/>
    <s v="18"/>
    <s v="Joseph Kranak"/>
    <x v="28"/>
    <m/>
    <n v="1.008125"/>
    <s v="131615"/>
    <s v="129715"/>
  </r>
  <r>
    <s v="131197"/>
    <s v="Pixel-Perfect Bug"/>
    <s v="Bug"/>
    <x v="0"/>
    <x v="0"/>
    <s v="18"/>
    <s v="Abbas Shamshi"/>
    <x v="10"/>
    <m/>
    <n v="0.9255208333333333"/>
    <s v="131615"/>
    <s v="129324"/>
  </r>
  <r>
    <s v="131236"/>
    <s v="Spiral Position"/>
    <s v="Bug"/>
    <x v="0"/>
    <x v="0"/>
    <s v="18"/>
    <s v="Joseph Kranak"/>
    <x v="28"/>
    <m/>
    <n v="0.13"/>
    <s v="131615"/>
    <s v="129715"/>
  </r>
  <r>
    <s v="131347"/>
    <s v="Footer Position Issue"/>
    <s v="Bug"/>
    <x v="0"/>
    <x v="0"/>
    <s v="18"/>
    <s v="Abbas Shamshi"/>
    <x v="10"/>
    <m/>
    <n v="0.06931712962962963"/>
    <s v="131615"/>
    <s v="129324"/>
  </r>
  <r>
    <s v="131381"/>
    <s v="More payment options title icons are a bit smaller than in the comps"/>
    <s v="Bug"/>
    <x v="0"/>
    <x v="0"/>
    <s v="20"/>
    <s v="Yokeshwaran Lokanathan"/>
    <x v="21"/>
    <m/>
    <n v="6.974907407407407"/>
    <m/>
    <s v="126964"/>
  </r>
  <r>
    <s v="131382"/>
    <s v="Top edge missing from tab outline of links in first line of more payment options description"/>
    <s v="Bug"/>
    <x v="0"/>
    <x v="0"/>
    <s v="20"/>
    <s v="Yokeshwaran Lokanathan"/>
    <x v="21"/>
    <m/>
    <n v="6.975023148148148"/>
    <m/>
    <s v="126964"/>
  </r>
  <r>
    <s v="131385"/>
    <s v="[BC NEXT] Manage Debit Cards - Update padding when card has scheduled payment"/>
    <s v="Bug"/>
    <x v="0"/>
    <x v="0"/>
    <s v="19"/>
    <s v="Abbas Shamshi"/>
    <x v="10"/>
    <m/>
    <n v="3.256377314814815"/>
    <s v="131615"/>
    <s v="129324"/>
  </r>
  <r>
    <s v="131397"/>
    <s v="OTP Pixel Perfect Misc Alignment Issues"/>
    <s v="Bug"/>
    <x v="0"/>
    <x v="0"/>
    <s v="20"/>
    <s v="Antonio Posada and Abbas Shamshi"/>
    <x v="22"/>
    <m/>
    <n v="4.988784722222222"/>
    <m/>
    <s v="130412"/>
  </r>
  <r>
    <s v="131821"/>
    <s v="Having login loop"/>
    <s v="Bug"/>
    <x v="0"/>
    <x v="0"/>
    <s v="30"/>
    <s v="Pete Wesselius"/>
    <x v="15"/>
    <m/>
    <n v="75.99855324074073"/>
    <m/>
    <s v="129035"/>
  </r>
  <r>
    <s v="131910"/>
    <s v="[SSP][EXP] Payoff Quote Survey - Underline too long on mobile view"/>
    <s v="Bug"/>
    <x v="0"/>
    <x v="0"/>
    <s v="19"/>
    <s v="Connor Golobich"/>
    <x v="11"/>
    <m/>
    <n v="1.074884259259259"/>
    <m/>
    <s v="129667"/>
  </r>
  <r>
    <s v="132305"/>
    <s v="[BC NEXT]Manage Payments - lag refreshing the page"/>
    <s v="Bug"/>
    <x v="0"/>
    <x v="0"/>
    <s v="21"/>
    <s v="Yokeshwaran Lokanathan"/>
    <x v="7"/>
    <m/>
    <n v="6.977488425925926"/>
    <s v="133005"/>
    <s v="129786"/>
  </r>
  <r>
    <s v="132306"/>
    <s v="Mobile view Misc Misalignments"/>
    <s v="Bug"/>
    <x v="0"/>
    <x v="0"/>
    <s v="20"/>
    <s v="Antonio Posada"/>
    <x v="22"/>
    <m/>
    <n v="0.03241898148148148"/>
    <m/>
    <s v="130412"/>
  </r>
  <r>
    <s v="132314"/>
    <s v="Cancel Payment Modal"/>
    <s v="Bug"/>
    <x v="0"/>
    <x v="0"/>
    <s v="20"/>
    <s v="Yokeshwaran Lokanathan"/>
    <x v="10"/>
    <m/>
    <n v="1.515046296296296"/>
    <s v="133005"/>
    <s v="129329"/>
  </r>
  <r>
    <s v="132341"/>
    <s v="Unenroll from Autopay"/>
    <s v="Bug"/>
    <x v="0"/>
    <x v="0"/>
    <s v="21"/>
    <s v="Yokeshwaran Lokanathan"/>
    <x v="10"/>
    <m/>
    <n v="4.926701388888889"/>
    <s v="133005"/>
    <s v="129329"/>
  </r>
  <r>
    <s v="132342"/>
    <s v="Manage Payment UI"/>
    <s v="Bug"/>
    <x v="0"/>
    <x v="0"/>
    <s v="20"/>
    <s v="Yokeshwaran Lokanathan"/>
    <x v="10"/>
    <m/>
    <n v="0"/>
    <s v="133005"/>
    <s v="129329"/>
  </r>
  <r>
    <s v="132349"/>
    <s v="Pixel Perfect Bug - Footer"/>
    <s v="Bug"/>
    <x v="0"/>
    <x v="0"/>
    <s v="20"/>
    <s v="Antonio Posada"/>
    <x v="28"/>
    <m/>
    <n v="0.09849537037037037"/>
    <m/>
    <s v="129714"/>
  </r>
  <r>
    <s v="132351"/>
    <s v="E-consent modal"/>
    <s v="Bug"/>
    <x v="0"/>
    <x v="0"/>
    <s v="20"/>
    <s v="Yokeshwaran Lokanathan"/>
    <x v="10"/>
    <m/>
    <n v="1.430358796296296"/>
    <s v="133005"/>
    <s v="129329"/>
  </r>
  <r>
    <s v="132391"/>
    <s v="Pixel Perfect- Footer"/>
    <s v="Bug"/>
    <x v="0"/>
    <x v="0"/>
    <s v="20"/>
    <s v="Shyam Senthil Nathan"/>
    <x v="25"/>
    <m/>
    <n v="0.7646412037037037"/>
    <m/>
    <s v="130157"/>
  </r>
  <r>
    <s v="132537"/>
    <s v="Footer is not sticking to bottom of the page"/>
    <s v="Bug"/>
    <x v="0"/>
    <x v="0"/>
    <s v="21"/>
    <s v="Yokeshwaran Lokanathan"/>
    <x v="10"/>
    <m/>
    <n v="3.081203703703704"/>
    <s v="133005"/>
    <s v="129329"/>
  </r>
  <r>
    <s v="132616"/>
    <s v="Footer not matching the comps &amp; Page able to scroll without a lot of content"/>
    <s v="Bug"/>
    <x v="0"/>
    <x v="0"/>
    <s v="21"/>
    <s v="Chirag Khandhar"/>
    <x v="29"/>
    <m/>
    <n v="0.0274537037037037"/>
    <s v="132710"/>
    <s v="132144"/>
  </r>
  <r>
    <s v="132759"/>
    <s v="Apollo Service Console error"/>
    <s v="Bug"/>
    <x v="0"/>
    <x v="0"/>
    <s v="22"/>
    <s v="Joseph Kranak"/>
    <x v="10"/>
    <m/>
    <n v="6.833854166666667"/>
    <s v="133076"/>
    <s v="129533"/>
  </r>
  <r>
    <s v="132766"/>
    <s v="Responsive Breakpoint Bug"/>
    <s v="Bug"/>
    <x v="0"/>
    <x v="0"/>
    <s v="21"/>
    <s v="Abbas Shamshi"/>
    <x v="28"/>
    <m/>
    <n v="0.2394907407407407"/>
    <s v="133005"/>
    <s v="130767"/>
  </r>
  <r>
    <s v="132769"/>
    <s v="Due Date Message Error"/>
    <s v="Bug"/>
    <x v="0"/>
    <x v="0"/>
    <s v="21"/>
    <s v="Joseph Kranak"/>
    <x v="7"/>
    <m/>
    <n v="0.09883101851851851"/>
    <s v="133005"/>
    <s v="129784"/>
  </r>
  <r>
    <s v="132894"/>
    <s v="[BC NEXT] Terms of Use - Remove JAMS from Arbitration"/>
    <s v="Bug"/>
    <x v="0"/>
    <x v="0"/>
    <s v="21"/>
    <s v="Abbas Shamshi"/>
    <x v="28"/>
    <m/>
    <n v="0.18125"/>
    <s v="133005"/>
    <s v="130767"/>
  </r>
  <r>
    <s v="132912"/>
    <s v="Wrong gold color in icons"/>
    <s v="Bug"/>
    <x v="0"/>
    <x v="0"/>
    <s v="22"/>
    <s v="Joseph Kranak"/>
    <x v="10"/>
    <m/>
    <n v="5.723009259259259"/>
    <s v="133076"/>
    <s v="129533"/>
  </r>
  <r>
    <s v="132952"/>
    <s v="Side Nav menu Options overlapping"/>
    <s v="Bug"/>
    <x v="0"/>
    <x v="0"/>
    <s v="22"/>
    <s v="Joseph Kranak"/>
    <x v="10"/>
    <m/>
    <n v="0.9896643518518519"/>
    <s v="133076"/>
    <s v="129533"/>
  </r>
  <r>
    <s v="132985"/>
    <s v="Other amount persist even after logout and login"/>
    <s v="Bug"/>
    <x v="0"/>
    <x v="0"/>
    <s v="23"/>
    <s v="Joseph Kranak"/>
    <x v="7"/>
    <m/>
    <n v="6.2803125"/>
    <s v="133564"/>
    <s v="131617"/>
  </r>
  <r>
    <s v="133068"/>
    <s v="There should not be any changes to the regular logged in experience."/>
    <s v="Bug"/>
    <x v="0"/>
    <x v="0"/>
    <s v="23"/>
    <s v="Antonio Posada"/>
    <x v="7"/>
    <m/>
    <n v="5.285416666666666"/>
    <s v="133564"/>
    <s v="132156"/>
  </r>
  <r>
    <s v="133146"/>
    <s v="Add debit card modal header position off"/>
    <s v="Bug"/>
    <x v="0"/>
    <x v="0"/>
    <s v="23"/>
    <s v="Pete Wesselius"/>
    <x v="10"/>
    <m/>
    <n v="7.771898148148148"/>
    <s v="134248"/>
    <s v="129450"/>
  </r>
  <r>
    <s v="133147"/>
    <s v="X (Close) button is not tabbable in account settings modals"/>
    <s v="Bug"/>
    <x v="0"/>
    <x v="0"/>
    <s v="24"/>
    <s v="Pete Wesselius"/>
    <x v="10"/>
    <m/>
    <n v="11.05930555555556"/>
    <s v="134248"/>
    <s v="129450"/>
  </r>
  <r>
    <s v="133150"/>
    <s v="Ac setting modals show scrollbar at all times in web"/>
    <s v="Bug"/>
    <x v="0"/>
    <x v="0"/>
    <s v="24"/>
    <s v="Pete Wesselius"/>
    <x v="10"/>
    <m/>
    <n v="14.2496875"/>
    <s v="134248"/>
    <s v="129450"/>
  </r>
  <r>
    <s v="133151"/>
    <s v="Extra area/division in the bottom and right edges of add bank account modal"/>
    <s v="Bug"/>
    <x v="0"/>
    <x v="0"/>
    <s v="24"/>
    <s v="Pete Wesselius"/>
    <x v="10"/>
    <m/>
    <n v="11.21099537037037"/>
    <s v="134248"/>
    <s v="129450"/>
  </r>
  <r>
    <s v="133153"/>
    <s v="Account setting modal interactive elements do not have specified aria labels"/>
    <s v="Bug"/>
    <x v="0"/>
    <x v="0"/>
    <s v="24"/>
    <s v="Pete Wesselius"/>
    <x v="15"/>
    <m/>
    <n v="11.99134259259259"/>
    <m/>
    <m/>
  </r>
  <r>
    <s v="133514"/>
    <s v="Update unenroll and cancel payment"/>
    <s v="Bug"/>
    <x v="0"/>
    <x v="0"/>
    <s v="24"/>
    <s v="Shyam Senthil Nathan"/>
    <x v="7"/>
    <m/>
    <n v="5.197314814814814"/>
    <s v="134034"/>
    <s v="130826"/>
  </r>
  <r>
    <s v="133907"/>
    <s v="Add/Remove Bank Account Modal cut off on small screen sizes"/>
    <s v="Bug"/>
    <x v="0"/>
    <x v="0"/>
    <s v="24"/>
    <s v="Pete Wesselius"/>
    <x v="10"/>
    <m/>
    <n v="2.053703703703704"/>
    <s v="134248"/>
    <s v="129450"/>
  </r>
  <r>
    <s v="133979"/>
    <s v="Web Modals don't match with comps"/>
    <s v="Bug"/>
    <x v="0"/>
    <x v="0"/>
    <s v="24"/>
    <s v="Pete Wesselius"/>
    <x v="10"/>
    <m/>
    <n v="2.053101851851852"/>
    <s v="134248"/>
    <s v="129450"/>
  </r>
  <r>
    <s v="134196"/>
    <s v="[BC NEXT] Modal error message wrapping and loading button different size"/>
    <s v="Bug"/>
    <x v="0"/>
    <x v="0"/>
    <s v="24"/>
    <m/>
    <x v="10"/>
    <m/>
    <n v="0.1209837962962963"/>
    <s v="134248"/>
    <s v="129450"/>
  </r>
  <r>
    <s v="134256"/>
    <s v="No footer margin close of 930px"/>
    <s v="Bug"/>
    <x v="0"/>
    <x v="0"/>
    <s v="25"/>
    <s v="Abbas Shamshi"/>
    <x v="0"/>
    <m/>
    <n v="2.858344907407407"/>
    <m/>
    <s v="133482"/>
  </r>
  <r>
    <s v="134401"/>
    <s v="Logged in homepage accessibility, analytics, Contact Us"/>
    <s v="Bug"/>
    <x v="0"/>
    <x v="0"/>
    <s v="25"/>
    <s v="Antonio Posada"/>
    <x v="7"/>
    <m/>
    <n v="0.2835648148148148"/>
    <s v="135384"/>
    <s v="129816"/>
  </r>
  <r>
    <s v="134479"/>
    <s v="Ineligible account Chip on payment options"/>
    <s v="Bug"/>
    <x v="0"/>
    <x v="0"/>
    <s v="25"/>
    <s v="Chirag Khandhar"/>
    <x v="0"/>
    <m/>
    <n v="0.2666898148148148"/>
    <s v="135384"/>
    <s v="133931"/>
  </r>
  <r>
    <s v="134539"/>
    <s v="Signup button on select account when accounts are enrolled"/>
    <s v="Bug"/>
    <x v="0"/>
    <x v="0"/>
    <s v="26"/>
    <s v="Chirag Khandhar"/>
    <x v="0"/>
    <m/>
    <n v="4.278217592592592"/>
    <s v="135384"/>
    <s v="133931"/>
  </r>
  <r>
    <s v="134540"/>
    <s v="Redirected to Enroll AP after unenrolling from AP"/>
    <s v="Bug"/>
    <x v="0"/>
    <x v="0"/>
    <s v="26"/>
    <s v="Chirag Khandhar"/>
    <x v="0"/>
    <m/>
    <n v="4.108703703703704"/>
    <s v="135384"/>
    <s v="133931"/>
  </r>
  <r>
    <s v="134552"/>
    <s v="Fix Logout Console Error"/>
    <s v="Bug"/>
    <x v="0"/>
    <x v="0"/>
    <s v="25"/>
    <m/>
    <x v="0"/>
    <m/>
    <n v="0"/>
    <s v="135384"/>
    <s v="133877"/>
  </r>
  <r>
    <s v="134852"/>
    <s v="Email not persisting in login page after pre-login page bypass"/>
    <s v="Bug"/>
    <x v="0"/>
    <x v="0"/>
    <s v="27"/>
    <s v="Yokeshwaran Lokanathan"/>
    <x v="0"/>
    <m/>
    <n v="6.983564814814814"/>
    <s v="136925"/>
    <s v="133537"/>
  </r>
  <r>
    <s v="134853"/>
    <s v="[BC NEXT] Fix removeClass Exceptions"/>
    <s v="Bug"/>
    <x v="0"/>
    <x v="0"/>
    <s v="28"/>
    <s v="Joseph Kranak"/>
    <x v="0"/>
    <m/>
    <n v="13.1583912037037"/>
    <s v="135384"/>
    <m/>
  </r>
  <r>
    <s v="135194"/>
    <s v="[BC NEXT] [WEB] Incorrect loading spinner before AP/APPD Success"/>
    <s v="Bug"/>
    <x v="0"/>
    <x v="0"/>
    <s v="28"/>
    <s v="Antonio Posada"/>
    <x v="0"/>
    <m/>
    <n v="5.186377314814814"/>
    <m/>
    <s v="134417"/>
  </r>
  <r>
    <s v="135508"/>
    <s v="Wrong Analytics label - Manage Mods Pages"/>
    <s v="Bug"/>
    <x v="0"/>
    <x v="0"/>
    <s v="28"/>
    <s v="Chirag Khandhar"/>
    <x v="12"/>
    <m/>
    <n v="0.04516203703703704"/>
    <s v="136946"/>
    <s v="134398"/>
  </r>
  <r>
    <s v="135910"/>
    <s v="Manage Mods Link not shown for applicable accounts"/>
    <s v="Bug"/>
    <x v="0"/>
    <x v="0"/>
    <s v="29"/>
    <s v="Joseph Kranak"/>
    <x v="12"/>
    <m/>
    <n v="0.975162037037037"/>
    <s v="136946"/>
    <s v="134478"/>
  </r>
  <r>
    <s v="135911"/>
    <s v="User getting duplicate Manage-mods link on App"/>
    <s v="Bug"/>
    <x v="0"/>
    <x v="0"/>
    <s v="29"/>
    <s v="Joseph Kranak"/>
    <x v="12"/>
    <m/>
    <n v="0.9752314814814814"/>
    <s v="136946"/>
    <s v="134478"/>
  </r>
  <r>
    <s v="136373"/>
    <s v="[BC NEXT] Manage Mods - Account Settings link not working as expected"/>
    <s v="Bug"/>
    <x v="0"/>
    <x v="0"/>
    <s v="30"/>
    <s v="Joseph Kranak"/>
    <x v="12"/>
    <m/>
    <n v="0.8649421296296296"/>
    <s v="136946"/>
    <s v="134478"/>
  </r>
  <r>
    <s v="136464"/>
    <s v="UI bugs on Dashboard and payment options page"/>
    <s v="Bug"/>
    <x v="0"/>
    <x v="0"/>
    <s v="31"/>
    <s v="Shyam Senthil Nathan"/>
    <x v="9"/>
    <m/>
    <n v="8.05412037037037"/>
    <m/>
    <s v="133892"/>
  </r>
  <r>
    <s v="136479"/>
    <s v="Lag while opening and closing accordions"/>
    <s v="Bug"/>
    <x v="0"/>
    <x v="0"/>
    <s v="31"/>
    <s v="Shyam Senthil Nathan"/>
    <x v="9"/>
    <m/>
    <n v="6.068541666666667"/>
    <m/>
    <s v="133892"/>
  </r>
  <r>
    <s v="136555"/>
    <s v="no/agent-intro-modification main text"/>
    <s v="Bug"/>
    <x v="0"/>
    <x v="0"/>
    <s v="30"/>
    <s v="Chirag Khandhar"/>
    <x v="12"/>
    <m/>
    <n v="0.03828703703703704"/>
    <s v="136946"/>
    <s v="134405"/>
  </r>
  <r>
    <s v="136663"/>
    <s v="Skip to content entering tabbing context when it shouldn't"/>
    <s v="Bug"/>
    <x v="0"/>
    <x v="0"/>
    <s v="31"/>
    <s v="Abbas Shamshi"/>
    <x v="9"/>
    <m/>
    <n v="4.365266203703704"/>
    <m/>
    <s v="133891"/>
  </r>
  <r>
    <s v="136664"/>
    <s v="Add button is add debit card modal is pushed down to invisibility if all fields error out"/>
    <s v="Bug"/>
    <x v="0"/>
    <x v="0"/>
    <s v="31"/>
    <s v="Abbas Shamshi"/>
    <x v="9"/>
    <m/>
    <n v="5.31712962962963"/>
    <m/>
    <s v="133891"/>
  </r>
  <r>
    <s v="136802"/>
    <s v="Impersonation mobile view mismatch"/>
    <s v="Bug"/>
    <x v="0"/>
    <x v="0"/>
    <s v="30"/>
    <s v="Yokeshwaran Lokanathan"/>
    <x v="12"/>
    <m/>
    <n v="0.1650578703703704"/>
    <s v="136946"/>
    <s v="134409"/>
  </r>
  <r>
    <s v="136945"/>
    <s v="[BC NEXT] Manage Mods - Images in new mod section too far right for processing mods"/>
    <s v="Bug"/>
    <x v="0"/>
    <x v="0"/>
    <s v="31"/>
    <s v="Yokeshwaran Lokanathan"/>
    <x v="12"/>
    <m/>
    <n v="0.9199189814814814"/>
    <s v="136946"/>
    <s v="134409"/>
  </r>
  <r>
    <s v="136959"/>
    <s v="Outline on Cancel OTP| Unenroll AP"/>
    <s v="Bug"/>
    <x v="0"/>
    <x v="0"/>
    <s v="32"/>
    <s v="Shyam Senthil Nathan"/>
    <x v="9"/>
    <m/>
    <n v="3.215162037037037"/>
    <m/>
    <s v="133892"/>
  </r>
  <r>
    <s v="137164"/>
    <s v="Fix Loan Modification Service"/>
    <s v="Bug"/>
    <x v="0"/>
    <x v="0"/>
    <s v="32"/>
    <s v="Joseph Kranak"/>
    <x v="12"/>
    <m/>
    <n v="6.186342592592593"/>
    <s v="136946"/>
    <s v="134478"/>
  </r>
  <r>
    <s v="137202"/>
    <s v="One-Time Payment &quot;Submit&quot; analytic does not include the expected &quot;value&quot; property"/>
    <s v="Bug"/>
    <x v="0"/>
    <x v="0"/>
    <s v="31"/>
    <s v="Joseph Kranak"/>
    <x v="9"/>
    <m/>
    <n v="1.144050925925926"/>
    <s v="138249"/>
    <s v="136546"/>
  </r>
  <r>
    <s v="137378"/>
    <s v="Fix Side Nav Swipe Gesture"/>
    <s v="Bug"/>
    <x v="0"/>
    <x v="0"/>
    <s v="32"/>
    <s v="Chirag Khandhar"/>
    <x v="13"/>
    <m/>
    <n v="1.934270833333333"/>
    <s v="138993"/>
    <s v="135428"/>
  </r>
  <r>
    <s v="137400"/>
    <s v="[BC NEXT] Missing Analytics - Analytic event double firing"/>
    <s v="Bug"/>
    <x v="0"/>
    <x v="0"/>
    <s v="33"/>
    <s v="Joseph Kranak"/>
    <x v="9"/>
    <m/>
    <n v="5.804166666666666"/>
    <s v="138249"/>
    <s v="136546"/>
  </r>
  <r>
    <s v="137471"/>
    <s v="Misc Errors"/>
    <s v="Bug"/>
    <x v="0"/>
    <x v="0"/>
    <s v="32"/>
    <s v="Chirag Khandhar"/>
    <x v="13"/>
    <m/>
    <n v="0.157650462962963"/>
    <s v="138993"/>
    <s v="135428"/>
  </r>
  <r>
    <s v="137503"/>
    <s v="[BC NEXT] Manage Mods - Due Date Change showing in trans history"/>
    <s v="Bug"/>
    <x v="0"/>
    <x v="0"/>
    <s v="32"/>
    <s v="Yokeshwaran Lokanathan"/>
    <x v="12"/>
    <m/>
    <n v="0.08302083333333334"/>
    <s v="136946"/>
    <s v="136661"/>
  </r>
  <r>
    <s v="137505"/>
    <s v="Build number missing"/>
    <s v="Bug"/>
    <x v="0"/>
    <x v="0"/>
    <s v="32"/>
    <s v="Joseph Kranak"/>
    <x v="15"/>
    <m/>
    <n v="0.1007986111111111"/>
    <m/>
    <s v="136623"/>
  </r>
  <r>
    <s v="137682"/>
    <s v="SVG not responsive"/>
    <s v="Bug"/>
    <x v="0"/>
    <x v="0"/>
    <s v="33"/>
    <s v="Shyam Senthil Nathan"/>
    <x v="13"/>
    <m/>
    <n v="0.193912037037037"/>
    <s v="138993"/>
    <s v="135843"/>
  </r>
  <r>
    <s v="138261"/>
    <s v="[BC NEXT] Manage Mods - ARIA label incorrect"/>
    <s v="Bug"/>
    <x v="0"/>
    <x v="0"/>
    <s v="34"/>
    <s v="Antonio Posada"/>
    <x v="12"/>
    <m/>
    <n v="0.7898379629629629"/>
    <s v="136946"/>
    <s v="134469"/>
  </r>
  <r>
    <s v="138577"/>
    <s v="Error analytic is not logged when an invalid account number and SSN last 4 combination is entered"/>
    <s v="Bug"/>
    <x v="0"/>
    <x v="0"/>
    <s v="35"/>
    <s v="Yokeshwaran Lokanathan"/>
    <x v="13"/>
    <m/>
    <n v="3.151111111111111"/>
    <s v="138993"/>
    <s v="135618"/>
  </r>
  <r>
    <s v="138586"/>
    <s v="User is not directed to Error Processing Request page if there is an error generating the Paymentus URL"/>
    <s v="Bug"/>
    <x v="0"/>
    <x v="0"/>
    <s v="35"/>
    <s v="Yokeshwaran Lokanathan"/>
    <x v="13"/>
    <m/>
    <n v="3.151388888888889"/>
    <s v="138993"/>
    <s v="135618"/>
  </r>
  <r>
    <s v="138939"/>
    <s v="User is directed to Error Processing Request page when an invalid account number and last 4 of SSN combination is entered"/>
    <s v="Bug"/>
    <x v="0"/>
    <x v="0"/>
    <s v="35"/>
    <s v="Yokeshwaran Lokanathan"/>
    <x v="13"/>
    <m/>
    <n v="0.7336111111111111"/>
    <s v="138993"/>
    <s v="135618"/>
  </r>
  <r>
    <s v="139088"/>
    <s v="Invalid routing number error not persisting"/>
    <s v="Bug"/>
    <x v="0"/>
    <x v="0"/>
    <s v="36"/>
    <s v="Chirag Khandhar"/>
    <x v="15"/>
    <m/>
    <n v="3.546643518518518"/>
    <m/>
    <s v="138513"/>
  </r>
  <r>
    <s v="139203"/>
    <s v="[BC NEXT] UI Fixes - Incorrect Moneygram url"/>
    <s v="Bug"/>
    <x v="0"/>
    <x v="0"/>
    <s v="36"/>
    <s v="Chirag Khandhar"/>
    <x v="15"/>
    <m/>
    <n v="1.040902777777778"/>
    <m/>
    <s v="138513"/>
  </r>
  <r>
    <s v="140189"/>
    <s v="Missing skeleton card on debit card page"/>
    <s v="Bug"/>
    <x v="0"/>
    <x v="0"/>
    <s v="38"/>
    <s v="Antonio Posada"/>
    <x v="15"/>
    <m/>
    <n v="0.04069444444444444"/>
    <m/>
    <s v="137511"/>
  </r>
  <r>
    <s v="140432"/>
    <s v="Payoff quote page ssp redirection"/>
    <s v="Bug"/>
    <x v="0"/>
    <x v="0"/>
    <s v="39"/>
    <s v="Chirag Khandhar"/>
    <x v="16"/>
    <m/>
    <n v="1.079131944444444"/>
    <s v="141476"/>
    <s v="138132"/>
  </r>
  <r>
    <s v="140513"/>
    <s v="Payoff Quote Variation 3 not closing after redirect"/>
    <s v="Bug"/>
    <x v="0"/>
    <x v="0"/>
    <s v="39"/>
    <s v="Chirag Khandhar and Joseph Kranak"/>
    <x v="16"/>
    <m/>
    <n v="0.9184027777777778"/>
    <s v="141476"/>
    <s v="138132"/>
  </r>
  <r>
    <s v="141353"/>
    <s v="GraphQL data is not being pulled correctly"/>
    <s v="Bug"/>
    <x v="0"/>
    <x v="0"/>
    <s v="41"/>
    <s v="Yokeshwaran Lokanathan"/>
    <x v="1"/>
    <m/>
    <n v="0.002488425925925926"/>
    <s v="141731"/>
    <s v="138952"/>
  </r>
  <r>
    <s v="141592"/>
    <s v="Error in Notation in no margin between cards"/>
    <s v="Bug"/>
    <x v="0"/>
    <x v="0"/>
    <s v="41"/>
    <s v="Chirag Khandhar"/>
    <x v="16"/>
    <m/>
    <n v="0.816724537037037"/>
    <s v="141476"/>
    <s v="138798"/>
  </r>
  <r>
    <s v="141597"/>
    <s v="[BC NEXT] Payoff Quote - Hide print functionality in mobile web and app"/>
    <s v="Bug"/>
    <x v="0"/>
    <x v="0"/>
    <s v="41"/>
    <s v="Chirag Khandhar"/>
    <x v="16"/>
    <m/>
    <n v="0.8820138888888889"/>
    <s v="141476"/>
    <s v="138798"/>
  </r>
  <r>
    <s v="141604"/>
    <s v="Payoff Quote OTP updates bugs"/>
    <s v="Bug"/>
    <x v="0"/>
    <x v="0"/>
    <s v="42"/>
    <s v="Pete Wesselius"/>
    <x v="16"/>
    <m/>
    <n v="2.884270833333333"/>
    <s v="141476"/>
    <s v="138825"/>
  </r>
  <r>
    <s v="141626"/>
    <s v="[BC NEXT] Payoff Quote - Missing FMP and incorrect ARIA label"/>
    <s v="Bug"/>
    <x v="0"/>
    <x v="0"/>
    <s v="41"/>
    <s v="Chirag Khandhar"/>
    <x v="16"/>
    <m/>
    <n v="0.0911111111111111"/>
    <s v="141476"/>
    <s v="138798"/>
  </r>
  <r>
    <s v="141651"/>
    <s v="[BC NEXT[ Payoff Quote - Bugs on OTP flow"/>
    <s v="Bug"/>
    <x v="0"/>
    <x v="0"/>
    <s v="42"/>
    <s v="Pete Wesselius"/>
    <x v="16"/>
    <m/>
    <n v="0.09104166666666666"/>
    <s v="141476"/>
    <s v="138825"/>
  </r>
  <r>
    <s v="141867"/>
    <s v="showing that user icon in both web and mobile"/>
    <s v="Bug"/>
    <x v="0"/>
    <x v="0"/>
    <s v="50"/>
    <m/>
    <x v="1"/>
    <m/>
    <n v="0"/>
    <s v="141937"/>
    <s v="138948"/>
  </r>
  <r>
    <s v="141871"/>
    <s v="missing the vertical line separation as circled in image below"/>
    <s v="Bug"/>
    <x v="0"/>
    <x v="0"/>
    <s v="42"/>
    <m/>
    <x v="1"/>
    <m/>
    <n v="0.1394907407407407"/>
    <s v="141937"/>
    <s v="138948"/>
  </r>
  <r>
    <s v="141875"/>
    <s v="fix the address line height so letters are not cut off."/>
    <s v="Bug"/>
    <x v="0"/>
    <x v="0"/>
    <s v="42"/>
    <m/>
    <x v="1"/>
    <m/>
    <n v="0.1401736111111111"/>
    <s v="141937"/>
    <s v="138948"/>
  </r>
  <r>
    <s v="141934"/>
    <s v="Manage Mods - Connect logic from API | Simple Bugs"/>
    <s v="Bug"/>
    <x v="0"/>
    <x v="0"/>
    <s v="42"/>
    <s v="Joseph Kranak"/>
    <x v="12"/>
    <m/>
    <n v="1.078125"/>
    <s v="143326"/>
    <s v="140431"/>
  </r>
  <r>
    <s v="141936"/>
    <s v="Manage Mods - Connect logic from API | Unexpected Bugs"/>
    <s v="Bug"/>
    <x v="0"/>
    <x v="0"/>
    <s v="42"/>
    <s v="Joseph Kranak"/>
    <x v="12"/>
    <m/>
    <n v="1.024965277777778"/>
    <s v="143326"/>
    <s v="140431"/>
  </r>
  <r>
    <s v="142015"/>
    <s v="Customer support center URLs not accessible in fast networks even with right flag config"/>
    <s v="Bug"/>
    <x v="0"/>
    <x v="0"/>
    <s v="43"/>
    <s v="Antonio Posada"/>
    <x v="17"/>
    <m/>
    <n v="4.029525462962963"/>
    <s v="143326"/>
    <s v="138186"/>
  </r>
  <r>
    <s v="142016"/>
    <s v="Incorrect page names for customer support center subpages"/>
    <s v="Bug"/>
    <x v="0"/>
    <x v="0"/>
    <s v="43"/>
    <s v="Antonio Posada"/>
    <x v="17"/>
    <m/>
    <n v="4.029548611111111"/>
    <s v="143326"/>
    <s v="138186"/>
  </r>
  <r>
    <s v="142094"/>
    <s v="Analytics Fixes"/>
    <s v="Bug"/>
    <x v="0"/>
    <x v="0"/>
    <s v="42"/>
    <s v="Antonio Posada"/>
    <x v="12"/>
    <m/>
    <n v="0.8394212962962962"/>
    <s v="143326"/>
    <s v="140780"/>
  </r>
  <r>
    <s v="142126"/>
    <s v="[BC NEXT] Manage Mods - Missing value in Next Payment Amount field"/>
    <s v="Bug"/>
    <x v="0"/>
    <x v="0"/>
    <s v="42"/>
    <s v="Joseph Kranak"/>
    <x v="12"/>
    <m/>
    <n v="0.9677546296296295"/>
    <s v="143326"/>
    <s v="140431"/>
  </r>
  <r>
    <s v="142145"/>
    <s v="[BC NEXT] Payoff Quote - Add disclosure to bottom of letter"/>
    <s v="Bug"/>
    <x v="0"/>
    <x v="0"/>
    <s v="42"/>
    <s v="Chirag Khandhar"/>
    <x v="16"/>
    <m/>
    <n v="0.1990277777777778"/>
    <s v="142204"/>
    <s v="140944"/>
  </r>
  <r>
    <s v="142194"/>
    <s v="[BC NEXT] Manage Mods - Incorrectly showing Manage Modification link in Account Settings"/>
    <s v="Bug"/>
    <x v="0"/>
    <x v="0"/>
    <s v="43"/>
    <s v="Joseph Kranak"/>
    <x v="12"/>
    <m/>
    <n v="1.874050925925926"/>
    <s v="143326"/>
    <s v="140431"/>
  </r>
  <r>
    <s v="142274"/>
    <s v="Customer Support Center routes and metadata merge issues"/>
    <s v="Bug"/>
    <x v="0"/>
    <x v="0"/>
    <s v="43"/>
    <s v="Antonio Posada"/>
    <x v="17"/>
    <m/>
    <n v="0.9963888888888889"/>
    <s v="143326"/>
    <s v="138186"/>
  </r>
  <r>
    <s v="142305"/>
    <s v="UI related bugs"/>
    <s v="Bug"/>
    <x v="0"/>
    <x v="0"/>
    <s v="44"/>
    <s v="Yokeshwaran Lokanathan"/>
    <x v="1"/>
    <m/>
    <n v="7.891747685185185"/>
    <m/>
    <s v="138961"/>
  </r>
  <r>
    <s v="142307"/>
    <s v="Accessibility bugs"/>
    <s v="Bug"/>
    <x v="0"/>
    <x v="0"/>
    <s v="44"/>
    <s v="Yokeshwaran Lokanathan"/>
    <x v="1"/>
    <m/>
    <n v="9.581377314814814"/>
    <m/>
    <s v="138961"/>
  </r>
  <r>
    <s v="142500"/>
    <s v="focus ring"/>
    <s v="Bug"/>
    <x v="0"/>
    <x v="0"/>
    <s v="45"/>
    <s v="Shyam Senthil Nathan"/>
    <x v="1"/>
    <m/>
    <n v="6.34931712962963"/>
    <m/>
    <s v="139404"/>
  </r>
  <r>
    <s v="143119"/>
    <s v="Mod list continues to duplicate after each page refresh"/>
    <s v="Bug"/>
    <x v="0"/>
    <x v="0"/>
    <s v="45"/>
    <m/>
    <x v="12"/>
    <m/>
    <n v="0"/>
    <s v="143326"/>
    <s v="140431"/>
  </r>
  <r>
    <s v="143120"/>
    <s v="Account was in a signed and submitted state but  didn't show processing state"/>
    <s v="Bug"/>
    <x v="0"/>
    <x v="0"/>
    <s v="45"/>
    <m/>
    <x v="12"/>
    <m/>
    <n v="0"/>
    <s v="143326"/>
    <s v="140431"/>
  </r>
  <r>
    <s v="143122"/>
    <s v="Completion date is missing"/>
    <s v="Bug"/>
    <x v="0"/>
    <x v="0"/>
    <s v="45"/>
    <m/>
    <x v="12"/>
    <m/>
    <n v="0"/>
    <s v="143326"/>
    <s v="140431"/>
  </r>
  <r>
    <s v="143205"/>
    <s v="Plan to Cure - Routes, Metadata, and Scaffolding - Minor Bugs"/>
    <s v="Bug"/>
    <x v="0"/>
    <x v="0"/>
    <s v="44"/>
    <s v="Michael Wang"/>
    <x v="18"/>
    <m/>
    <n v="0"/>
    <m/>
    <s v="135148"/>
  </r>
  <r>
    <s v="143294"/>
    <s v="ARIA label spelling mistake"/>
    <s v="Bug"/>
    <x v="0"/>
    <x v="0"/>
    <s v="45"/>
    <s v="Shyam Senthil Nathan"/>
    <x v="1"/>
    <m/>
    <n v="2.003993055555556"/>
    <m/>
    <s v="139404"/>
  </r>
  <r>
    <s v="143296"/>
    <s v="edit and delete icon are not centered vertical align"/>
    <s v="Bug"/>
    <x v="0"/>
    <x v="0"/>
    <s v="45"/>
    <s v="Shyam Senthil Nathan"/>
    <x v="1"/>
    <m/>
    <n v="1.99681712962963"/>
    <m/>
    <s v="139404"/>
  </r>
  <r>
    <s v="143915"/>
    <s v="[BC NEXT] My Profile - Tabbing order incorrect in delete modal"/>
    <s v="Bug"/>
    <x v="0"/>
    <x v="0"/>
    <s v="45"/>
    <s v="Abbas Shamshi"/>
    <x v="1"/>
    <m/>
    <n v="0.9831365740740741"/>
    <m/>
    <s v="139413"/>
  </r>
  <r>
    <s v="144118"/>
    <s v="[BC NEXT] My Profile - Analytic and tabbing bugs"/>
    <s v="Bug"/>
    <x v="0"/>
    <x v="0"/>
    <s v="46"/>
    <s v="Chirag Khandhar"/>
    <x v="1"/>
    <m/>
    <n v="1.965497685185185"/>
    <s v="144410"/>
    <s v="139149"/>
  </r>
  <r>
    <s v="144145"/>
    <s v="[BC NEXT] My Profile - Email Address and My Vehicle bugs"/>
    <s v="Bug"/>
    <x v="0"/>
    <x v="0"/>
    <s v="50"/>
    <s v="Pete Wesselius"/>
    <x v="1"/>
    <m/>
    <n v="30.73287037037037"/>
    <s v="146568"/>
    <s v="139405"/>
  </r>
  <r>
    <s v="144265"/>
    <s v="[BCNext] Cannot open signing room or view signed loan modification documents when impersonating"/>
    <s v="Bug"/>
    <x v="0"/>
    <x v="0"/>
    <m/>
    <s v="Connor Golobich"/>
    <x v="12"/>
    <m/>
    <n v="36.93550851857292"/>
    <m/>
    <m/>
  </r>
  <r>
    <s v="144385"/>
    <s v="Analytics and ADA related bugs"/>
    <s v="Bug"/>
    <x v="0"/>
    <x v="0"/>
    <s v="47"/>
    <s v="Shyam Senthil Nathan"/>
    <x v="1"/>
    <m/>
    <n v="4.968935185185185"/>
    <s v="144897"/>
    <s v="139151"/>
  </r>
  <r>
    <s v="144854"/>
    <s v="Toggle show more/less not working as expected"/>
    <s v="Bug"/>
    <x v="0"/>
    <x v="0"/>
    <s v="48"/>
    <s v="Michael Wang"/>
    <x v="18"/>
    <m/>
    <n v="0"/>
    <s v="145791"/>
    <s v="141876"/>
  </r>
  <r>
    <s v="145051"/>
    <s v="CSS pixel perfect"/>
    <s v="Bug"/>
    <x v="0"/>
    <x v="0"/>
    <s v="48"/>
    <s v="Michael Wang"/>
    <x v="18"/>
    <m/>
    <n v="0"/>
    <s v="145791"/>
    <s v="141876"/>
  </r>
  <r>
    <s v="145192"/>
    <s v="Ff routing not working as expected"/>
    <s v="Bug"/>
    <x v="0"/>
    <x v="0"/>
    <s v="48"/>
    <s v="Michael Wang"/>
    <x v="18"/>
    <m/>
    <n v="0.6945370370370371"/>
    <s v="145791"/>
    <s v="141876"/>
  </r>
  <r>
    <s v="145207"/>
    <s v="Wrong border lines Desktop"/>
    <s v="Bug"/>
    <x v="0"/>
    <x v="0"/>
    <s v="48"/>
    <s v="Abbas Shamshi"/>
    <x v="18"/>
    <m/>
    <n v="0"/>
    <s v="145791"/>
    <s v="141946"/>
  </r>
  <r>
    <s v="145290"/>
    <s v="[BC NEXT] Plan to Cure - UI Bugs"/>
    <s v="Bug"/>
    <x v="0"/>
    <x v="0"/>
    <s v="48"/>
    <s v="Yokeshwaran Lokanathan"/>
    <x v="18"/>
    <m/>
    <n v="1.305497685185185"/>
    <s v="145791"/>
    <s v="141437"/>
  </r>
  <r>
    <s v="145291"/>
    <s v="[BC NEXT] Plan to Cure - Incorrect Data Bug"/>
    <s v="Bug"/>
    <x v="0"/>
    <x v="0"/>
    <s v="48"/>
    <s v="Yokeshwaran Lokanathan"/>
    <x v="18"/>
    <m/>
    <n v="1.327731481481481"/>
    <s v="145791"/>
    <s v="141437"/>
  </r>
  <r>
    <s v="145294"/>
    <s v="[BC NEXT] Plan to Cure - Update Cancel Link Behavior"/>
    <s v="Bug"/>
    <x v="0"/>
    <x v="0"/>
    <s v="48"/>
    <s v="Yokeshwaran Lokanathan"/>
    <x v="18"/>
    <m/>
    <n v="1.535497685185185"/>
    <s v="145791"/>
    <s v="141437"/>
  </r>
  <r>
    <s v="145414"/>
    <s v="Wrong text on Payment Plan Banner"/>
    <s v="Bug"/>
    <x v="0"/>
    <x v="0"/>
    <s v="48"/>
    <s v="Abbas Shamshi"/>
    <x v="18"/>
    <m/>
    <n v="0.2251041666666667"/>
    <s v="145791"/>
    <s v="141946"/>
  </r>
  <r>
    <s v="145521"/>
    <s v="Add/Edit Address Modals - Various UI/Verification Bugs"/>
    <s v="Bug"/>
    <x v="0"/>
    <x v="0"/>
    <m/>
    <s v="Antonio Posada"/>
    <x v="1"/>
    <m/>
    <n v="21.65013814820254"/>
    <m/>
    <s v="138989"/>
  </r>
  <r>
    <s v="145657"/>
    <s v="Routing not working in web ff in ON"/>
    <s v="Bug"/>
    <x v="0"/>
    <x v="0"/>
    <s v="48"/>
    <s v="Michael Wang"/>
    <x v="18"/>
    <m/>
    <n v="0"/>
    <s v="145791"/>
    <s v="141876"/>
  </r>
  <r>
    <s v="145667"/>
    <s v="Add/Edit Address Modals - Analytic/ADA Bugs"/>
    <s v="Bug"/>
    <x v="0"/>
    <x v="0"/>
    <m/>
    <s v="Antonio Posada"/>
    <x v="1"/>
    <m/>
    <n v="19.99790435190625"/>
    <m/>
    <s v="138989"/>
  </r>
  <r>
    <s v="145694"/>
    <s v="[BC NEXT] Plan to Cure - Change color of Active plan status"/>
    <s v="Bug"/>
    <x v="0"/>
    <x v="0"/>
    <s v="49"/>
    <s v="Yokeshwaran Lokanathan"/>
    <x v="18"/>
    <m/>
    <n v="4.046643518518518"/>
    <s v="145791"/>
    <s v="141437"/>
  </r>
  <r>
    <s v="145806"/>
    <s v="Unable to query PersonAddressID"/>
    <s v="Bug"/>
    <x v="0"/>
    <x v="0"/>
    <s v="50"/>
    <s v="Pete Wesselius"/>
    <x v="1"/>
    <m/>
    <n v="6.077037037037036"/>
    <s v="146647"/>
    <s v="141807"/>
  </r>
  <r>
    <s v="146239"/>
    <s v="[BC NEXT] Customer Support Center - Landing Page | UI Bugs"/>
    <s v="Bug"/>
    <x v="0"/>
    <x v="0"/>
    <s v="50"/>
    <s v="Abbas Shamshi"/>
    <x v="17"/>
    <m/>
    <n v="2.935509259259259"/>
    <s v="146568"/>
    <s v="140305"/>
  </r>
  <r>
    <s v="146240"/>
    <s v="[BC NEXT] Customer Support Center - Landing Page | Top Nav Bug"/>
    <s v="Bug"/>
    <x v="0"/>
    <x v="0"/>
    <s v="50"/>
    <s v="Abbas Shamshi"/>
    <x v="17"/>
    <m/>
    <n v="2.909733796296296"/>
    <s v="146568"/>
    <s v="140305"/>
  </r>
  <r>
    <s v="146241"/>
    <s v="[BC NEXT] Customer Support Center - Landing Page | Dropdown Bugs"/>
    <s v="Bug"/>
    <x v="0"/>
    <x v="0"/>
    <s v="50"/>
    <s v="Abbas Shamshi"/>
    <x v="17"/>
    <m/>
    <n v="2.838171296296296"/>
    <s v="146568"/>
    <s v="140305"/>
  </r>
  <r>
    <s v="146406"/>
    <s v="[BC NEXT] Customer Support Center - Landing Page UI fixes"/>
    <s v="Bug"/>
    <x v="0"/>
    <x v="0"/>
    <s v="50"/>
    <s v="Abbas Shamshi"/>
    <x v="17"/>
    <m/>
    <n v="0.2752893518518518"/>
    <s v="146568"/>
    <s v="140305"/>
  </r>
  <r>
    <s v="146619"/>
    <s v="[BC NEXT] PTC - History Page | UI Bugs"/>
    <s v="Bug"/>
    <x v="0"/>
    <x v="0"/>
    <s v="50"/>
    <s v="Yokeshwaran Lokanathan"/>
    <x v="18"/>
    <m/>
    <n v="0.5744907407407407"/>
    <s v="146744"/>
    <s v="141889"/>
  </r>
  <r>
    <s v="146625"/>
    <s v="[BC NEXT] PTC - History Page | Data format Bugs"/>
    <s v="Bug"/>
    <x v="0"/>
    <x v="0"/>
    <s v="50"/>
    <s v="Yokeshwaran Lokanathan"/>
    <x v="18"/>
    <m/>
    <n v="0"/>
    <s v="146744"/>
    <s v="141889"/>
  </r>
  <r>
    <s v="146627"/>
    <s v="[BC NEXT] PTC - History Page | Analytic &amp; ADA Bugs"/>
    <s v="Bug"/>
    <x v="0"/>
    <x v="0"/>
    <s v="50"/>
    <s v="Yokeshwaran Lokanathan"/>
    <x v="18"/>
    <m/>
    <n v="0.5974189814814814"/>
    <s v="146744"/>
    <s v="141889"/>
  </r>
  <r>
    <s v="146629"/>
    <s v="[BC NEXT] PTC - History Page | Edge Case"/>
    <s v="Bug"/>
    <x v="0"/>
    <x v="0"/>
    <s v="50"/>
    <s v="Yokeshwaran Lokanathan"/>
    <x v="18"/>
    <m/>
    <n v="0"/>
    <s v="146744"/>
    <s v="141889"/>
  </r>
  <r>
    <s v="146741"/>
    <s v="[BC NEXT] Plan to Cure - No space between details card and footer"/>
    <s v="Bug"/>
    <x v="0"/>
    <x v="0"/>
    <s v="50"/>
    <s v="Shyam Senthil Nathan"/>
    <x v="18"/>
    <m/>
    <n v="0.05063657407407407"/>
    <s v="146744"/>
    <s v="145756"/>
  </r>
  <r>
    <s v="146746"/>
    <s v="[BC NEXT] PTC - History Page | Alignment Issues"/>
    <s v="Bug"/>
    <x v="0"/>
    <x v="0"/>
    <s v="50"/>
    <s v="Yokeshwaran Lokanathan"/>
    <x v="18"/>
    <m/>
    <n v="0.1953703703703704"/>
    <s v="146744"/>
    <s v="141889"/>
  </r>
  <r>
    <s v="146818"/>
    <s v="PTC cancelation modal Issues"/>
    <s v="Bug"/>
    <x v="0"/>
    <x v="0"/>
    <s v="51"/>
    <s v="Pete Wesselius"/>
    <x v="18"/>
    <m/>
    <n v="0.9352314814814815"/>
    <s v="146744"/>
    <s v="142001"/>
  </r>
  <r>
    <s v="146842"/>
    <s v="Duplicate information in PTC page"/>
    <s v="Bug"/>
    <x v="0"/>
    <x v="0"/>
    <s v="51"/>
    <s v="Pete Wesselius"/>
    <x v="18"/>
    <m/>
    <n v="0.7744560185185185"/>
    <s v="146744"/>
    <s v="142001"/>
  </r>
  <r>
    <s v="146849"/>
    <s v="12/19 PTC cancelation modal issues 2"/>
    <s v="Bug"/>
    <x v="0"/>
    <x v="0"/>
    <s v="51"/>
    <s v="Pete Wesselius"/>
    <x v="15"/>
    <m/>
    <n v="0.7707638888888888"/>
    <s v="146744"/>
    <m/>
  </r>
  <r>
    <s v="146851"/>
    <s v="[BC NEXT] PTC - Missing Analytics"/>
    <s v="Bug"/>
    <x v="0"/>
    <x v="0"/>
    <s v="51"/>
    <s v="Pete Wesselius"/>
    <x v="18"/>
    <m/>
    <n v="0.866412037037037"/>
    <s v="146744"/>
    <s v="142001"/>
  </r>
  <r>
    <s v="146878"/>
    <s v="Edit Address Modals - Both Addresses Selected On Verify Screen"/>
    <s v="Bug"/>
    <x v="0"/>
    <x v="0"/>
    <m/>
    <m/>
    <x v="1"/>
    <m/>
    <n v="1.957707592646991"/>
    <m/>
    <s v="138989"/>
  </r>
  <r>
    <s v="146882"/>
    <s v="Clicking on Cancel Payment Plan is not opening cancelation modal in mobile view"/>
    <s v="Bug"/>
    <x v="0"/>
    <x v="0"/>
    <s v="51"/>
    <s v="Pete Wesselius"/>
    <x v="18"/>
    <m/>
    <n v="0.04153935185185185"/>
    <s v="146744"/>
    <s v="142001"/>
  </r>
  <r>
    <s v="146883"/>
    <s v="PTC Cancel modal  - delay/caching issues"/>
    <s v="Bug"/>
    <x v="0"/>
    <x v="0"/>
    <s v="51"/>
    <s v="Pete Wesselius"/>
    <x v="18"/>
    <m/>
    <n v="0.06384259259259259"/>
    <s v="146744"/>
    <s v="142001"/>
  </r>
  <r>
    <s v="146884"/>
    <s v="PTC Cancel success issues"/>
    <s v="Bug"/>
    <x v="0"/>
    <x v="0"/>
    <s v="51"/>
    <s v="Pete Wesselius"/>
    <x v="18"/>
    <m/>
    <n v="0.04170138888888889"/>
    <s v="146744"/>
    <s v="142001"/>
  </r>
  <r>
    <s v="125671"/>
    <s v="[OTP] Cancel link is wrapping the L in Cancel on Galaxy S10+"/>
    <s v="Bug"/>
    <x v="0"/>
    <x v="1"/>
    <s v="02"/>
    <s v="Marcus Rogers and Michael Wang"/>
    <x v="5"/>
    <m/>
    <n v="1.973773148148148"/>
    <s v="125594"/>
    <s v="125181"/>
  </r>
  <r>
    <s v="125107"/>
    <s v="When user is on OTP review terms page and clicks on make a payment through new Make a Payment link, then OTP form is not being reset to new one"/>
    <s v="Bug"/>
    <x v="0"/>
    <x v="1"/>
    <s v="01"/>
    <m/>
    <x v="5"/>
    <m/>
    <n v="0"/>
    <m/>
    <s v="124709"/>
  </r>
  <r>
    <s v="125144"/>
    <s v="IOS splash page still showing old icon"/>
    <s v="Bug"/>
    <x v="0"/>
    <x v="1"/>
    <s v="01"/>
    <m/>
    <x v="5"/>
    <m/>
    <n v="0"/>
    <m/>
    <s v="124229"/>
  </r>
  <r>
    <s v="125198"/>
    <s v="Other amount is appending previously entered amount when we click cancel on OTP step1 and come back through bottom nav"/>
    <s v="Bug"/>
    <x v="0"/>
    <x v="1"/>
    <s v="01"/>
    <s v="Akshay Golash"/>
    <x v="5"/>
    <m/>
    <n v="0.04452546296296296"/>
    <m/>
    <s v="124709"/>
  </r>
  <r>
    <s v="125215"/>
    <s v="Page is clearing when pressing outside of cancel link"/>
    <s v="Bug"/>
    <x v="0"/>
    <x v="1"/>
    <s v="01"/>
    <s v="Akshay Golash"/>
    <x v="5"/>
    <m/>
    <n v="0.7088773148148148"/>
    <m/>
    <s v="124709"/>
  </r>
  <r>
    <s v="125242"/>
    <s v="Make a Payment link from Manage Payments after successful payment submission not showing amounts for multiple account user"/>
    <s v="Bug"/>
    <x v="0"/>
    <x v="1"/>
    <s v="01"/>
    <m/>
    <x v="5"/>
    <m/>
    <n v="0"/>
    <m/>
    <s v="124709"/>
  </r>
  <r>
    <s v="125529"/>
    <s v="Add Bank account details are not being retained when we navigate to dashboard and back to MAP through bottom nav for the first time"/>
    <s v="Bug"/>
    <x v="0"/>
    <x v="1"/>
    <s v="02"/>
    <s v="Marcus Rogers"/>
    <x v="5"/>
    <m/>
    <n v="0.6916782407407407"/>
    <s v="125457"/>
    <s v="124818"/>
  </r>
  <r>
    <s v="125532"/>
    <s v="Vehicle name not populating in MAP when going through dashboard and Manage  Payments once we go through bottom nav and cancel"/>
    <s v="Bug"/>
    <x v="0"/>
    <x v="1"/>
    <s v="02"/>
    <s v="Daniel Verhagen"/>
    <x v="5"/>
    <m/>
    <n v="1.004814814814815"/>
    <s v="125457"/>
    <s v="124818"/>
  </r>
  <r>
    <s v="125585"/>
    <s v="cosmetic issues in more IOS devices"/>
    <s v="Bug"/>
    <x v="0"/>
    <x v="1"/>
    <s v="02"/>
    <m/>
    <x v="5"/>
    <m/>
    <n v="0"/>
    <m/>
    <s v="124710"/>
  </r>
  <r>
    <s v="126667"/>
    <s v="fmp analytic not firing for Email verify and Account lookup"/>
    <s v="Bug"/>
    <x v="0"/>
    <x v="1"/>
    <s v="04"/>
    <m/>
    <x v="6"/>
    <m/>
    <n v="0"/>
    <m/>
    <s v="125270"/>
  </r>
  <r>
    <s v="126730"/>
    <s v="Incorrect error message for Confirm bank account number and confirm routing number"/>
    <s v="Bug"/>
    <x v="0"/>
    <x v="1"/>
    <s v="05"/>
    <s v="Daniel Verhagen"/>
    <x v="6"/>
    <m/>
    <n v="0.1256712962962963"/>
    <m/>
    <s v="125974"/>
  </r>
  <r>
    <s v="126928"/>
    <s v="When user has multiples vehicles and one vehicle is PTC enrolled, that account is showing up on AutoPay select Account screen as option to choose"/>
    <s v="Bug"/>
    <x v="0"/>
    <x v="1"/>
    <s v="06"/>
    <m/>
    <x v="6"/>
    <m/>
    <n v="0"/>
    <m/>
    <s v="126216"/>
  </r>
  <r>
    <s v="131355"/>
    <s v="In correct links within library"/>
    <s v="Bug"/>
    <x v="0"/>
    <x v="1"/>
    <s v="18"/>
    <s v="Akshay Golash"/>
    <x v="33"/>
    <m/>
    <n v="0.2327546296296296"/>
    <m/>
    <s v="129752"/>
  </r>
  <r>
    <s v="135060"/>
    <s v="Being forced to login again after validating email"/>
    <s v="Bug"/>
    <x v="0"/>
    <x v="1"/>
    <s v="28"/>
    <s v="Daniel Verhagen"/>
    <x v="31"/>
    <m/>
    <n v="7.197835648148148"/>
    <m/>
    <s v="133813"/>
  </r>
  <r>
    <s v="135424"/>
    <s v="Please add tags to the ADO test cases"/>
    <s v="Bug"/>
    <x v="0"/>
    <x v="1"/>
    <s v="28"/>
    <m/>
    <x v="35"/>
    <m/>
    <n v="0"/>
    <m/>
    <s v="134480"/>
  </r>
  <r>
    <s v="140268"/>
    <s v="Display analytic should be &quot;DisplayModExpiredBanner&quot; not &quot;DisplayExpiredBanner&quot;"/>
    <s v="Bug"/>
    <x v="0"/>
    <x v="1"/>
    <s v="39"/>
    <m/>
    <x v="12"/>
    <m/>
    <n v="0"/>
    <m/>
    <s v="134472"/>
  </r>
  <r>
    <s v="140269"/>
    <s v="Banner icon should resize (smaller) for mobile"/>
    <s v="Bug"/>
    <x v="0"/>
    <x v="1"/>
    <s v="39"/>
    <m/>
    <x v="12"/>
    <m/>
    <n v="0"/>
    <m/>
    <s v="134472"/>
  </r>
  <r>
    <s v="143331"/>
    <s v="[BUG] Loan Mod Experience to Show logic fix"/>
    <s v="Bug"/>
    <x v="0"/>
    <x v="2"/>
    <s v="47"/>
    <s v="Jonathan Escamilla"/>
    <x v="15"/>
    <m/>
    <n v="16.39974537037037"/>
    <s v="144532"/>
    <m/>
  </r>
  <r>
    <s v="126663"/>
    <s v="Previous User Data still Persisting after logout"/>
    <s v="Bug"/>
    <x v="0"/>
    <x v="2"/>
    <s v="05"/>
    <m/>
    <x v="6"/>
    <m/>
    <n v="3.089293981481481"/>
    <m/>
    <s v="125959"/>
  </r>
  <r>
    <s v="126676"/>
    <s v="User able to resume session if they don't have a connection"/>
    <s v="Bug"/>
    <x v="0"/>
    <x v="2"/>
    <s v="05"/>
    <m/>
    <x v="6"/>
    <m/>
    <n v="0.003298611111111111"/>
    <m/>
    <s v="125959"/>
  </r>
  <r>
    <s v="127578"/>
    <s v="Analytics are not flowing through to Snowflake"/>
    <s v="Bug"/>
    <x v="0"/>
    <x v="2"/>
    <s v="07"/>
    <m/>
    <x v="6"/>
    <m/>
    <n v="0"/>
    <m/>
    <s v="127375"/>
  </r>
  <r>
    <s v="127760"/>
    <s v="Out of sync with ADO"/>
    <s v="Bug"/>
    <x v="0"/>
    <x v="2"/>
    <s v="08"/>
    <m/>
    <x v="41"/>
    <m/>
    <n v="0.07804398148148148"/>
    <m/>
    <s v="126565"/>
  </r>
  <r>
    <s v="127834"/>
    <s v="Notification and Transaction History Dates are not dynamic for One Account with Payment Due User"/>
    <s v="Bug"/>
    <x v="0"/>
    <x v="2"/>
    <s v="09"/>
    <m/>
    <x v="41"/>
    <m/>
    <n v="3.779027777777777"/>
    <m/>
    <s v="126565"/>
  </r>
  <r>
    <s v="127968"/>
    <s v="ADO missing some updates"/>
    <s v="Bug"/>
    <x v="0"/>
    <x v="2"/>
    <s v="09"/>
    <m/>
    <x v="41"/>
    <m/>
    <n v="0"/>
    <m/>
    <s v="126568"/>
  </r>
  <r>
    <s v="128259"/>
    <s v="49236 Test Case is failing"/>
    <s v="Bug"/>
    <x v="0"/>
    <x v="2"/>
    <s v="10"/>
    <m/>
    <x v="41"/>
    <m/>
    <n v="0"/>
    <m/>
    <s v="126566"/>
  </r>
  <r>
    <s v="128268"/>
    <s v="Test case tags have not been updated from e2e-candidate to e2e-automated"/>
    <s v="Bug"/>
    <x v="0"/>
    <x v="2"/>
    <s v="10"/>
    <m/>
    <x v="41"/>
    <m/>
    <n v="0"/>
    <m/>
    <s v="126896"/>
  </r>
  <r>
    <s v="128271"/>
    <s v="Test case tags were not updated from e2e-candidate to e2e-automated"/>
    <s v="Bug"/>
    <x v="0"/>
    <x v="2"/>
    <s v="10"/>
    <m/>
    <x v="41"/>
    <m/>
    <n v="1.101585648148148"/>
    <m/>
    <s v="126897"/>
  </r>
  <r>
    <s v="128272"/>
    <s v="Did not see 58195 within the automation tests even though it was flagged to be automated"/>
    <s v="Bug"/>
    <x v="0"/>
    <x v="2"/>
    <s v="10"/>
    <m/>
    <x v="41"/>
    <m/>
    <n v="1.032384259259259"/>
    <m/>
    <s v="126897"/>
  </r>
  <r>
    <s v="128341"/>
    <s v="Test case were not automated but the tags were updated to e2e-automated"/>
    <s v="Bug"/>
    <x v="0"/>
    <x v="2"/>
    <s v="10"/>
    <s v="Jajati Routray"/>
    <x v="41"/>
    <m/>
    <n v="0"/>
    <m/>
    <s v="126895"/>
  </r>
  <r>
    <s v="129204"/>
    <s v="Not seeing test case 55753 in Client Integration Test Run"/>
    <s v="Bug"/>
    <x v="0"/>
    <x v="2"/>
    <s v="13"/>
    <m/>
    <x v="41"/>
    <m/>
    <n v="4.629629629629629e-05"/>
    <m/>
    <s v="126888"/>
  </r>
  <r>
    <s v="129763"/>
    <s v="I receive the &quot;Issue Processing Your Request Page&quot; Upon log in"/>
    <s v="Bug"/>
    <x v="0"/>
    <x v="2"/>
    <s v="15"/>
    <m/>
    <x v="41"/>
    <m/>
    <n v="0"/>
    <m/>
    <s v="126899"/>
  </r>
  <r>
    <s v="131070"/>
    <s v="Validation for Account Number (12 Numeric Characters)"/>
    <s v="Bug"/>
    <x v="0"/>
    <x v="2"/>
    <s v="18"/>
    <s v="Jonathan Escamilla"/>
    <x v="26"/>
    <m/>
    <n v="0"/>
    <m/>
    <s v="128118"/>
  </r>
  <r>
    <s v="131188"/>
    <s v="Red Border for user search field upon Failure"/>
    <s v="Bug"/>
    <x v="0"/>
    <x v="2"/>
    <s v="18"/>
    <s v="Andrew Vu"/>
    <x v="26"/>
    <m/>
    <n v="0"/>
    <m/>
    <s v="128118"/>
  </r>
  <r>
    <s v="131399"/>
    <s v="Components don't match Zeplin comps"/>
    <s v="Bug"/>
    <x v="0"/>
    <x v="2"/>
    <s v="19"/>
    <m/>
    <x v="26"/>
    <m/>
    <n v="0"/>
    <m/>
    <s v="128121"/>
  </r>
  <r>
    <s v="131441"/>
    <s v="Cosmetic fixes"/>
    <s v="Bug"/>
    <x v="0"/>
    <x v="2"/>
    <s v="19"/>
    <m/>
    <x v="26"/>
    <m/>
    <n v="0.8640393518518518"/>
    <m/>
    <s v="128118"/>
  </r>
  <r>
    <s v="131442"/>
    <s v="Status is showing as Not Linked when it should show as Unverified"/>
    <s v="Bug"/>
    <x v="0"/>
    <x v="2"/>
    <s v="19"/>
    <s v="Jajati Routray"/>
    <x v="26"/>
    <m/>
    <n v="0.8377893518518518"/>
    <m/>
    <s v="128119"/>
  </r>
  <r>
    <s v="131945"/>
    <s v="Styling Fixes"/>
    <s v="Bug"/>
    <x v="0"/>
    <x v="2"/>
    <s v="20"/>
    <m/>
    <x v="26"/>
    <m/>
    <n v="7.918900462962963"/>
    <m/>
    <s v="128124"/>
  </r>
  <r>
    <s v="132397"/>
    <s v="Unlock profile button should not be visible"/>
    <s v="Bug"/>
    <x v="0"/>
    <x v="2"/>
    <s v="20"/>
    <m/>
    <x v="26"/>
    <m/>
    <n v="0"/>
    <m/>
    <s v="128122"/>
  </r>
  <r>
    <s v="132420"/>
    <s v="Add Bank Account Styling Fixes"/>
    <s v="Bug"/>
    <x v="0"/>
    <x v="2"/>
    <s v="20"/>
    <m/>
    <x v="26"/>
    <m/>
    <n v="0"/>
    <m/>
    <s v="128124"/>
  </r>
  <r>
    <s v="132421"/>
    <s v="Payment Options Styling Fixes"/>
    <s v="Bug"/>
    <x v="0"/>
    <x v="2"/>
    <s v="20"/>
    <m/>
    <x v="26"/>
    <m/>
    <n v="0"/>
    <m/>
    <s v="128124"/>
  </r>
  <r>
    <s v="132493"/>
    <s v="Device is shows as reassigned"/>
    <s v="Bug"/>
    <x v="0"/>
    <x v="2"/>
    <s v="20"/>
    <m/>
    <x v="26"/>
    <m/>
    <n v="1.08505787037037"/>
    <m/>
    <s v="128122"/>
  </r>
  <r>
    <s v="132593"/>
    <s v="When 'Remove Device' button returns, it doesn't match comps"/>
    <s v="Bug"/>
    <x v="0"/>
    <x v="2"/>
    <s v="21"/>
    <s v="Jonathan Escamilla"/>
    <x v="26"/>
    <m/>
    <n v="0.1196990740740741"/>
    <m/>
    <s v="128122"/>
  </r>
  <r>
    <s v="132676"/>
    <s v="UI on OTP page"/>
    <s v="Bug"/>
    <x v="0"/>
    <x v="2"/>
    <s v="21"/>
    <m/>
    <x v="26"/>
    <m/>
    <n v="0"/>
    <m/>
    <s v="128124"/>
  </r>
  <r>
    <s v="132737"/>
    <s v="AutoPay and Autopay Past Due Styling Fixes"/>
    <s v="Bug"/>
    <x v="0"/>
    <x v="2"/>
    <s v="21"/>
    <m/>
    <x v="26"/>
    <m/>
    <n v="0"/>
    <m/>
    <s v="128124"/>
  </r>
  <r>
    <s v="132933"/>
    <s v="Incorrect adminGUID"/>
    <s v="Bug"/>
    <x v="0"/>
    <x v="2"/>
    <s v="22"/>
    <m/>
    <x v="26"/>
    <m/>
    <n v="6.564305555555555"/>
    <m/>
    <s v="128125"/>
  </r>
  <r>
    <s v="132934"/>
    <s v="Missing admin data for events"/>
    <s v="Bug"/>
    <x v="0"/>
    <x v="2"/>
    <s v="22"/>
    <m/>
    <x v="26"/>
    <m/>
    <n v="6.564293981481481"/>
    <m/>
    <s v="128125"/>
  </r>
  <r>
    <s v="132935"/>
    <s v="Existing events should have Admin data when triggered by an admin during impersonation"/>
    <s v="Bug"/>
    <x v="0"/>
    <x v="2"/>
    <s v="22"/>
    <m/>
    <x v="26"/>
    <m/>
    <n v="0"/>
    <m/>
    <s v="128125"/>
  </r>
  <r>
    <s v="133059"/>
    <s v="Not able to search by account+SSN"/>
    <s v="Bug"/>
    <x v="0"/>
    <x v="2"/>
    <s v="22"/>
    <m/>
    <x v="26"/>
    <m/>
    <n v="0"/>
    <m/>
    <s v="132898"/>
  </r>
  <r>
    <s v="133271"/>
    <s v="Missing admin data elements for Admin Pageview"/>
    <s v="Bug"/>
    <x v="0"/>
    <x v="2"/>
    <s v="23"/>
    <s v="Jonathan Escamilla"/>
    <x v="26"/>
    <m/>
    <n v="0"/>
    <m/>
    <s v="133307"/>
  </r>
  <r>
    <s v="133272"/>
    <s v="UI for Manage Payments not aligned correctly"/>
    <s v="Bug"/>
    <x v="0"/>
    <x v="2"/>
    <s v="22"/>
    <m/>
    <x v="26"/>
    <m/>
    <n v="0.2328587962962963"/>
    <m/>
    <s v="133307"/>
  </r>
  <r>
    <s v="133273"/>
    <s v="No longer see menu"/>
    <s v="Bug"/>
    <x v="0"/>
    <x v="2"/>
    <s v="22"/>
    <m/>
    <x v="26"/>
    <m/>
    <n v="0.2196759259259259"/>
    <m/>
    <s v="133307"/>
  </r>
  <r>
    <s v="133342"/>
    <s v="Unable to delete users from the Admin Portal"/>
    <s v="Bug"/>
    <x v="0"/>
    <x v="2"/>
    <s v="23"/>
    <s v="Jonathan Escamilla"/>
    <x v="26"/>
    <m/>
    <n v="0.0274074074074074"/>
    <m/>
    <s v="132842"/>
  </r>
  <r>
    <s v="133386"/>
    <s v="Impersonation Search should not be case sensitive"/>
    <s v="Bug"/>
    <x v="0"/>
    <x v="2"/>
    <s v="23"/>
    <s v="Jajati Routray"/>
    <x v="26"/>
    <m/>
    <n v="0"/>
    <m/>
    <s v="133307"/>
  </r>
  <r>
    <s v="139591"/>
    <s v="I am not seeing Current Maturity Date"/>
    <s v="Bug"/>
    <x v="0"/>
    <x v="2"/>
    <s v="37"/>
    <m/>
    <x v="43"/>
    <m/>
    <n v="0"/>
    <m/>
    <s v="136512"/>
  </r>
  <r>
    <s v="139595"/>
    <s v="Experience To Show is in accurate prior to signature"/>
    <s v="Bug"/>
    <x v="0"/>
    <x v="2"/>
    <s v="37"/>
    <m/>
    <x v="43"/>
    <m/>
    <n v="0"/>
    <m/>
    <s v="136512"/>
  </r>
  <r>
    <s v="140466"/>
    <s v="When  IsBCNextReq = true, the status does not change to signed and submitted"/>
    <s v="Bug"/>
    <x v="0"/>
    <x v="2"/>
    <s v="39"/>
    <m/>
    <x v="43"/>
    <m/>
    <n v="0"/>
    <m/>
    <s v="138936"/>
  </r>
  <r>
    <s v="142112"/>
    <s v="Invalid format for date within Cancel Reason"/>
    <s v="Bug"/>
    <x v="0"/>
    <x v="2"/>
    <s v="42"/>
    <m/>
    <x v="49"/>
    <m/>
    <n v="0"/>
    <m/>
    <s v="140696"/>
  </r>
  <r>
    <s v="139928"/>
    <s v="(Variation 1, Variation 3) Payment breakdown for non-past-due customers on Mobile view causes card content to be cut off at the top and bottom"/>
    <s v="Bug"/>
    <x v="2"/>
    <x v="0"/>
    <s v="38"/>
    <m/>
    <x v="58"/>
    <m/>
    <n v="0.8671875"/>
    <s v="139925"/>
    <s v="137137"/>
  </r>
  <r>
    <s v="139889"/>
    <s v="Extra space in terms box"/>
    <s v="Bug"/>
    <x v="3"/>
    <x v="0"/>
    <s v="38"/>
    <s v="Abbas Shamshi"/>
    <x v="64"/>
    <m/>
    <n v="0.401412037037037"/>
    <m/>
    <s v="133227"/>
  </r>
  <r>
    <s v="141461"/>
    <s v="[BC NEXT] Multiple Modals Open when Spam Clicking Paymentus Redirect Modal"/>
    <s v="Bug"/>
    <x v="3"/>
    <x v="0"/>
    <s v="41"/>
    <s v="Abbas Shamshi"/>
    <x v="63"/>
    <m/>
    <n v="1.013715277777778"/>
    <s v="142204"/>
    <s v="138659"/>
  </r>
  <r>
    <s v="141813"/>
    <s v="Invalid error message, when user hit confirm without filling any data"/>
    <s v="Bug"/>
    <x v="3"/>
    <x v="0"/>
    <s v="42"/>
    <s v="Yokeshwaran Lokanathan"/>
    <x v="15"/>
    <m/>
    <n v="1.912291666666667"/>
    <s v="142204"/>
    <s v="138658"/>
  </r>
  <r>
    <s v="142134"/>
    <s v="[BC NEXT] Auto-close modal when Yes, Proceed to Site CTA is clicked"/>
    <s v="Bug"/>
    <x v="3"/>
    <x v="0"/>
    <s v="42"/>
    <s v="Abbas Shamshi"/>
    <x v="63"/>
    <m/>
    <n v="0.2203819444444444"/>
    <s v="142204"/>
    <s v="138659"/>
  </r>
  <r>
    <s v="145444"/>
    <s v="[BC NEXT] Payoff Quote - Update footer from 'email' to 'letter'"/>
    <s v="Bug"/>
    <x v="3"/>
    <x v="0"/>
    <s v="48"/>
    <s v="Chirag Khandhar"/>
    <x v="63"/>
    <m/>
    <n v="0.1128009259259259"/>
    <m/>
    <s v="144459"/>
  </r>
  <r>
    <s v="141338"/>
    <s v="SP returns incorrect value for the HomeState of cobuyer"/>
    <s v="Bug"/>
    <x v="3"/>
    <x v="1"/>
    <s v="41"/>
    <s v="Sushma Gurram"/>
    <x v="66"/>
    <m/>
    <n v="2.037361111111111"/>
    <m/>
    <s v="139494"/>
  </r>
  <r>
    <s v="141256"/>
    <s v="DTSE - SendContractModificationEmail throws an exception"/>
    <s v="Bug"/>
    <x v="3"/>
    <x v="1"/>
    <s v="41"/>
    <m/>
    <x v="66"/>
    <m/>
    <n v="0"/>
    <m/>
    <s v="139493"/>
  </r>
  <r>
    <s v="145766"/>
    <s v="Seeing missing legal disclosure and phone number and app icons changes are not up to date"/>
    <s v="Bug"/>
    <x v="3"/>
    <x v="1"/>
    <s v="49"/>
    <m/>
    <x v="68"/>
    <m/>
    <n v="0"/>
    <m/>
    <s v="138283"/>
  </r>
  <r>
    <s v="137386"/>
    <s v="PROD BUG: BFF Server Telemetry Client Memory Leak Issue"/>
    <s v="Bug"/>
    <x v="3"/>
    <x v="2"/>
    <s v="32"/>
    <s v="Venkatmahesh Polur"/>
    <x v="15"/>
    <m/>
    <n v="2.050694444444444"/>
    <s v="137387"/>
    <m/>
  </r>
  <r>
    <s v="145765"/>
    <s v="Some items are masked that were not designated to be - Part 1"/>
    <s v="Bug"/>
    <x v="3"/>
    <x v="2"/>
    <m/>
    <m/>
    <x v="77"/>
    <m/>
    <n v="9.923217297239583"/>
    <s v="147079"/>
    <m/>
  </r>
  <r>
    <s v="146264"/>
    <s v="Some items are masked that were not designated to be - Part 2"/>
    <s v="Bug"/>
    <x v="3"/>
    <x v="2"/>
    <m/>
    <s v="Sri Charan Simha Velpur"/>
    <x v="77"/>
    <m/>
    <n v="12.92129600094329"/>
    <s v="147079"/>
    <s v="145174"/>
  </r>
  <r>
    <m/>
    <m/>
    <m/>
    <x v="4"/>
    <x v="3"/>
    <m/>
    <m/>
    <x v="79"/>
    <m/>
    <m/>
    <m/>
    <m/>
  </r>
</pivotCacheRecords>
</file>

<file path=xl/pivotCache/pivotCacheRecords2.xml><?xml version="1.0" encoding="utf-8"?>
<pivotCacheRecords xmlns="http://schemas.openxmlformats.org/spreadsheetml/2006/main" count="835">
  <r>
    <s v="133021"/>
    <s v="[BC NEXT][APP] User seeing black screen after downloading the app"/>
    <s v="UserStory"/>
    <s v="Servicing: BC Next"/>
    <x v="0"/>
    <s v="29"/>
    <m/>
    <x v="0"/>
    <n v="1"/>
    <n v="50.12478009259259"/>
    <s v="135225"/>
    <m/>
  </r>
  <r>
    <s v="139151"/>
    <s v="[BC NEXT] My Profile - Create Email Address Modals"/>
    <s v="UserStory"/>
    <s v="Servicing: BC Next"/>
    <x v="0"/>
    <s v="47"/>
    <s v="Shyam Senthil Nathan"/>
    <x v="1"/>
    <n v="1"/>
    <n v="26.1574074074074"/>
    <s v="144897"/>
    <m/>
  </r>
  <r>
    <s v="140057"/>
    <s v="[BC NEXT] My Profile - Create Call Window Preferences Mutations"/>
    <s v="UserStory"/>
    <s v="Servicing: BC Next"/>
    <x v="0"/>
    <m/>
    <m/>
    <x v="1"/>
    <m/>
    <m/>
    <m/>
    <m/>
  </r>
  <r>
    <s v="140689"/>
    <s v="[BC NEXT] My Profile - Create Auth0 Login Email Update Mutation"/>
    <s v="UserStory"/>
    <s v="Servicing: BC Next"/>
    <x v="0"/>
    <m/>
    <m/>
    <x v="1"/>
    <m/>
    <m/>
    <m/>
    <m/>
  </r>
  <r>
    <s v="141568"/>
    <s v="[BC NEXT] My Profile - Create Call Preferences Page"/>
    <s v="UserStory"/>
    <s v="Servicing: BC Next"/>
    <x v="0"/>
    <m/>
    <s v="Yokeshwaran Lokanathan"/>
    <x v="1"/>
    <m/>
    <m/>
    <m/>
    <m/>
  </r>
  <r>
    <s v="125437"/>
    <s v="[BC NEXT] Homepage - ADA Compliance"/>
    <s v="UserStory"/>
    <s v="Servicing: BC Next"/>
    <x v="0"/>
    <s v="08"/>
    <s v="Abbas Shamshi"/>
    <x v="2"/>
    <n v="6"/>
    <n v="24.27043981481481"/>
    <s v="127782"/>
    <m/>
  </r>
  <r>
    <s v="126339"/>
    <s v="[BC NEXT] Dashboard: 90% Rule"/>
    <s v="UserStory"/>
    <s v="Servicing: BC Next"/>
    <x v="0"/>
    <s v="06"/>
    <s v="Pete Wesselius"/>
    <x v="3"/>
    <n v="0"/>
    <n v="17.31501157407407"/>
    <s v="126506"/>
    <m/>
  </r>
  <r>
    <s v="126371"/>
    <s v="[BC NEXT][Web] Dashboard - Top Nav"/>
    <s v="UserStory"/>
    <s v="Servicing: BC Next"/>
    <x v="0"/>
    <s v="07"/>
    <s v="Joseph Kranak"/>
    <x v="4"/>
    <n v="4"/>
    <n v="14.15354166666667"/>
    <s v="127093"/>
    <m/>
  </r>
  <r>
    <s v="126374"/>
    <s v="[BC NEXT][Web] Dashboard - Account Summary"/>
    <s v="UserStory"/>
    <s v="Servicing: BC Next"/>
    <x v="0"/>
    <s v="12"/>
    <s v="Chirag Khandhar"/>
    <x v="4"/>
    <n v="11"/>
    <n v="34.97856481481481"/>
    <m/>
    <m/>
  </r>
  <r>
    <s v="126380"/>
    <s v="[BC NEXT][Web] Dashboard - Banners UI"/>
    <s v="UserStory"/>
    <s v="Servicing: BC Next"/>
    <x v="0"/>
    <s v="08"/>
    <s v="Chirag Khandhar"/>
    <x v="4"/>
    <n v="5"/>
    <n v="17.30171296296296"/>
    <m/>
    <m/>
  </r>
  <r>
    <s v="126386"/>
    <s v="[BC NEXT][Web] Dashboard - Recent Activity"/>
    <s v="UserStory"/>
    <s v="Servicing: BC Next"/>
    <x v="0"/>
    <s v="09"/>
    <s v="Joseph Kranak"/>
    <x v="4"/>
    <n v="2"/>
    <n v="20.15010416666667"/>
    <m/>
    <m/>
  </r>
  <r>
    <s v="126536"/>
    <s v="[BC NEXT][Web] Dashboard - Banner Logic"/>
    <s v="UserStory"/>
    <s v="Servicing: BC Next"/>
    <x v="0"/>
    <s v="08"/>
    <s v="Shyam Senthil Nathan"/>
    <x v="4"/>
    <n v="5"/>
    <n v="18.28605324074074"/>
    <m/>
    <m/>
  </r>
  <r>
    <s v="126557"/>
    <s v="[BC NEXT] Dashboard: Amount Due and Due Date Updates"/>
    <s v="UserStory"/>
    <s v="Servicing: BC Next"/>
    <x v="0"/>
    <s v="06"/>
    <s v="Yokeshwaran Lokanathan"/>
    <x v="5"/>
    <n v="0"/>
    <n v="9.574652777777777"/>
    <s v="126506"/>
    <m/>
  </r>
  <r>
    <s v="126834"/>
    <s v="[BC NEXT][WEB] Dropdown Component Update"/>
    <s v="UserStory"/>
    <s v="Servicing: BC Next"/>
    <x v="0"/>
    <s v="13"/>
    <s v="Shyam Senthil Nathan"/>
    <x v="4"/>
    <n v="8"/>
    <n v="43.04510416666667"/>
    <m/>
    <m/>
  </r>
  <r>
    <s v="126954"/>
    <s v="[BC NEXT] OTP: 90% Rule"/>
    <s v="UserStory"/>
    <s v="Servicing: BC Next"/>
    <x v="0"/>
    <s v="06"/>
    <s v="Yokeshwaran Lokanathan"/>
    <x v="3"/>
    <n v="0"/>
    <n v="2.569918981481481"/>
    <s v="126506"/>
    <m/>
  </r>
  <r>
    <s v="127001"/>
    <s v="[BC NEXT][Web] Dashboard - Side Nav"/>
    <s v="UserStory"/>
    <s v="Servicing: BC Next"/>
    <x v="0"/>
    <s v="10"/>
    <s v="Abbas Shamshi"/>
    <x v="4"/>
    <n v="8"/>
    <n v="15.0133912037037"/>
    <s v="128241"/>
    <m/>
  </r>
  <r>
    <s v="127170"/>
    <s v="[BC NEXT][Web] Keep User Logged In After Page Refresh"/>
    <s v="UserStory"/>
    <s v="Servicing: BC Next"/>
    <x v="0"/>
    <s v="10"/>
    <s v="Yokeshwaran Lokanathan"/>
    <x v="2"/>
    <n v="2"/>
    <n v="16.14922453703704"/>
    <s v="128241"/>
    <m/>
  </r>
  <r>
    <s v="127450"/>
    <s v="[BC NEXT][APP] MoneyGram link not working as expected"/>
    <s v="UserStory"/>
    <s v="Servicing: BC Next"/>
    <x v="0"/>
    <s v="26"/>
    <s v="Antonio Posada and Shyam Senthil Nathan"/>
    <x v="0"/>
    <n v="5"/>
    <n v="20.30810185185185"/>
    <s v="134694"/>
    <m/>
  </r>
  <r>
    <s v="127609"/>
    <s v="[BC NEXT][DASHBOARD] Add unit tests and fix final bugs for app launch"/>
    <s v="UserStory"/>
    <s v="Servicing: BC Next"/>
    <x v="0"/>
    <s v="07"/>
    <s v="Connor Golobich and Yokeshwaran Lokanathan and Pete Wesselius"/>
    <x v="6"/>
    <n v="0"/>
    <n v="0.1656365740740741"/>
    <s v="127658"/>
    <m/>
  </r>
  <r>
    <s v="128225"/>
    <s v="[BC NEXT] Maintain one global selected vehicle"/>
    <s v="UserStory"/>
    <s v="Servicing: BC Next"/>
    <x v="0"/>
    <s v="17"/>
    <s v="Shyam Senthil Nathan"/>
    <x v="7"/>
    <n v="3"/>
    <n v="27.23298611111111"/>
    <s v="130431"/>
    <m/>
  </r>
  <r>
    <s v="128556"/>
    <s v="[BC NEXT] Customer data clearing page refreshes/duplication to new tab/redirects"/>
    <s v="UserStory"/>
    <s v="Servicing: BC Next"/>
    <x v="0"/>
    <s v="20"/>
    <s v="Shyam Senthil Nathan"/>
    <x v="7"/>
    <n v="17"/>
    <n v="28.97296296296296"/>
    <s v="131389"/>
    <m/>
  </r>
  <r>
    <s v="128611"/>
    <s v="[BC NEXT] Add route based feature flags to control app access"/>
    <s v="UserStory"/>
    <s v="Servicing: BC Next"/>
    <x v="0"/>
    <s v="13"/>
    <s v="Shyam Senthil Nathan"/>
    <x v="8"/>
    <n v="2"/>
    <n v="8.444108796296296"/>
    <s v="129428"/>
    <m/>
  </r>
  <r>
    <s v="129035"/>
    <s v="Seeing Issue Processing page when session times out first time and user logs back in"/>
    <s v="UserStory"/>
    <s v="Servicing: BC Next"/>
    <x v="0"/>
    <s v="30"/>
    <s v="Pete Wesselius"/>
    <x v="9"/>
    <n v="1"/>
    <n v="106.0593287037037"/>
    <m/>
    <m/>
  </r>
  <r>
    <s v="129329"/>
    <s v="[BC NEXT][WEB] Account Settings - Manage Payments"/>
    <s v="UserStory"/>
    <s v="Servicing: BC Next"/>
    <x v="0"/>
    <s v="22"/>
    <s v="Yokeshwaran Lokanathan"/>
    <x v="10"/>
    <n v="4"/>
    <n v="39.37425925925925"/>
    <s v="133005"/>
    <m/>
  </r>
  <r>
    <s v="129450"/>
    <s v="[BC NEXT][WEB] Account Settings - Manage Debit Card and Manage Bank Accounts Modals"/>
    <s v="UserStory"/>
    <s v="Servicing: BC Next"/>
    <x v="0"/>
    <s v="25"/>
    <s v="Abbas Shamshi and Pete Wesselius"/>
    <x v="10"/>
    <n v="6"/>
    <n v="56.23140046296296"/>
    <s v="134248"/>
    <m/>
  </r>
  <r>
    <s v="129533"/>
    <s v="[BC NEXT][WEB] Account Settings - Accounts Settings"/>
    <s v="UserStory"/>
    <s v="Servicing: BC Next"/>
    <x v="0"/>
    <s v="22"/>
    <s v="Joseph Kranak"/>
    <x v="10"/>
    <n v="2"/>
    <n v="28.85519675925926"/>
    <s v="133076"/>
    <m/>
  </r>
  <r>
    <s v="129667"/>
    <s v="[SSP][EXP] Payoff Quote Survey"/>
    <s v="UserStory"/>
    <s v="Servicing: BC Next"/>
    <x v="0"/>
    <s v="20"/>
    <s v="Connor Golobich"/>
    <x v="11"/>
    <n v="3"/>
    <n v="28.19167824074074"/>
    <s v="132143"/>
    <m/>
  </r>
  <r>
    <s v="133891"/>
    <s v="[BC NEXT] Ionic Upgrade - Modals"/>
    <s v="UserStory"/>
    <s v="Servicing: BC Next"/>
    <x v="0"/>
    <s v="32"/>
    <s v="Abbas Shamshi"/>
    <x v="9"/>
    <n v="7"/>
    <n v="43.79290509259259"/>
    <s v="137348"/>
    <m/>
  </r>
  <r>
    <s v="134409"/>
    <s v="[BC NEXT] Manage Mods - Manage Modifications Page New Mod Section"/>
    <s v="UserStory"/>
    <s v="Servicing: BC Next"/>
    <x v="0"/>
    <s v="31"/>
    <s v="Yokeshwaran Lokanathan"/>
    <x v="12"/>
    <n v="6"/>
    <n v="21.92913194444444"/>
    <s v="136946"/>
    <m/>
  </r>
  <r>
    <s v="134469"/>
    <s v="[BC NEXT] Manage Mods - Manage Modifications Completed Modifications Section"/>
    <s v="UserStory"/>
    <s v="Servicing: BC Next"/>
    <x v="0"/>
    <s v="34"/>
    <s v="Antonio Posada"/>
    <x v="12"/>
    <n v="1"/>
    <n v="41.87325231481481"/>
    <s v="136946"/>
    <m/>
  </r>
  <r>
    <s v="134939"/>
    <s v="[BC NEXT] Redirect after login not working when hitting direct routes"/>
    <s v="UserStory"/>
    <s v="Servicing: BC Next"/>
    <x v="0"/>
    <s v="31"/>
    <s v="Yokeshwaran Lokanathan"/>
    <x v="9"/>
    <n v="19"/>
    <n v="26.22917824074074"/>
    <s v="136925"/>
    <m/>
  </r>
  <r>
    <s v="135428"/>
    <s v="[BC NEXT] Paymentus Quick Access - Login Page UI"/>
    <s v="UserStory"/>
    <s v="Servicing: BC Next"/>
    <x v="0"/>
    <s v="32"/>
    <s v="Chirag Khandhar"/>
    <x v="13"/>
    <n v="1"/>
    <n v="13.07752314814815"/>
    <s v="138993"/>
    <m/>
  </r>
  <r>
    <s v="135468"/>
    <s v="[BC NEXT] App Update Modal"/>
    <s v="UserStory"/>
    <s v="Servicing: BC Next"/>
    <x v="0"/>
    <s v="34"/>
    <s v="Connor Golobich"/>
    <x v="14"/>
    <n v="3"/>
    <n v="33.18545138888889"/>
    <s v="138158"/>
    <m/>
  </r>
  <r>
    <s v="135618"/>
    <s v="[BC NEXT] Paymentus Quick Access - Login Logic"/>
    <s v="UserStory"/>
    <s v="Servicing: BC Next"/>
    <x v="0"/>
    <s v="36"/>
    <s v="Yokeshwaran Lokanathan"/>
    <x v="13"/>
    <n v="5"/>
    <n v="29.29069444444444"/>
    <s v="138993"/>
    <m/>
  </r>
  <r>
    <s v="136983"/>
    <s v="[BC NEXT][RESEARCH] Account Settings - Understand backend connections"/>
    <s v="UserStory"/>
    <s v="Servicing: BC Next"/>
    <x v="0"/>
    <s v="36"/>
    <s v="Pete Wesselius"/>
    <x v="1"/>
    <n v="0"/>
    <n v="28.06665509259259"/>
    <m/>
    <m/>
  </r>
  <r>
    <s v="138513"/>
    <s v="[BC NEXT] UI fixes"/>
    <s v="UserStory"/>
    <s v="Servicing: BC Next"/>
    <x v="0"/>
    <s v="37"/>
    <s v="Chirag Khandhar"/>
    <x v="15"/>
    <n v="6"/>
    <n v="19.97923611111111"/>
    <s v="139500"/>
    <m/>
  </r>
  <r>
    <s v="138798"/>
    <s v="[BC NEXT] Payoff Quote - Payoff Quote Page"/>
    <s v="UserStory"/>
    <s v="Servicing: BC Next"/>
    <x v="0"/>
    <s v="42"/>
    <s v="Chirag Khandhar"/>
    <x v="16"/>
    <n v="3"/>
    <n v="24.36258101851852"/>
    <s v="141476"/>
    <m/>
  </r>
  <r>
    <s v="138825"/>
    <s v="[BC NEXT] Payoff Quote - Payoff Today OTP Updates"/>
    <s v="UserStory"/>
    <s v="Servicing: BC Next"/>
    <x v="0"/>
    <s v="42"/>
    <s v="Yokeshwaran Lokanathan and Pete Wesselius"/>
    <x v="16"/>
    <n v="0"/>
    <n v="24.28986111111111"/>
    <s v="141476"/>
    <m/>
  </r>
  <r>
    <s v="138961"/>
    <s v="[BC NEXT] My Profile - Create My Address UI on My Profile Page"/>
    <s v="UserStory"/>
    <s v="Servicing: BC Next"/>
    <x v="0"/>
    <s v="46"/>
    <s v="Yokeshwaran Lokanathan"/>
    <x v="1"/>
    <n v="12"/>
    <n v="41.23458333333333"/>
    <s v="144279"/>
    <m/>
  </r>
  <r>
    <s v="138989"/>
    <s v="[BC NEXT] My Profile - Create Address Modals"/>
    <s v="UserStory"/>
    <s v="Servicing: BC Next"/>
    <x v="0"/>
    <m/>
    <s v="Antonio Posada"/>
    <x v="1"/>
    <m/>
    <n v="57.66025349042361"/>
    <m/>
    <m/>
  </r>
  <r>
    <s v="139149"/>
    <s v="[BC NEXT] My Profile - Create Phone Number Modals"/>
    <s v="UserStory"/>
    <s v="Servicing: BC Next"/>
    <x v="0"/>
    <s v="46"/>
    <s v="Chirag Khandhar"/>
    <x v="1"/>
    <n v="6"/>
    <n v="24.1880787037037"/>
    <s v="144410"/>
    <m/>
  </r>
  <r>
    <s v="139405"/>
    <s v="[BC NEXT] My Profile - Create My Vehicles and My Email Addresses UI on My Profile Page"/>
    <s v="UserStory"/>
    <s v="Servicing: BC Next"/>
    <x v="0"/>
    <s v="46"/>
    <s v="Pete Wesselius"/>
    <x v="1"/>
    <n v="2"/>
    <n v="36.23829861111111"/>
    <s v="144279"/>
    <m/>
  </r>
  <r>
    <s v="139413"/>
    <s v="[BC NEXT] My Profile - Create Delete Modals"/>
    <s v="UserStory"/>
    <s v="Servicing: BC Next"/>
    <x v="0"/>
    <s v="46"/>
    <s v="Abbas Shamshi"/>
    <x v="1"/>
    <n v="0"/>
    <n v="26.94497685185185"/>
    <s v="144279"/>
    <m/>
  </r>
  <r>
    <s v="139436"/>
    <s v="[BC NEXT] My Profile - Connect Address Modals Logic"/>
    <s v="UserStory"/>
    <s v="Servicing: BC Next"/>
    <x v="0"/>
    <m/>
    <m/>
    <x v="1"/>
    <m/>
    <m/>
    <m/>
    <m/>
  </r>
  <r>
    <s v="139437"/>
    <s v="[BC NEXT] My Profile - Create Address Mutations"/>
    <s v="UserStory"/>
    <s v="Servicing: BC Next"/>
    <x v="0"/>
    <m/>
    <s v="Connor Golobich"/>
    <x v="1"/>
    <m/>
    <n v="7.954061360793981"/>
    <m/>
    <m/>
  </r>
  <r>
    <s v="139439"/>
    <s v="[BC NEXT] My Profile - Connect Phone Number Modals Logic"/>
    <s v="UserStory"/>
    <s v="Servicing: BC Next"/>
    <x v="0"/>
    <m/>
    <m/>
    <x v="1"/>
    <m/>
    <m/>
    <m/>
    <m/>
  </r>
  <r>
    <s v="139441"/>
    <s v="[BC NEXT] My Profile - Connect Call Preferences Page Logic"/>
    <s v="UserStory"/>
    <s v="Servicing: BC Next"/>
    <x v="0"/>
    <m/>
    <m/>
    <x v="1"/>
    <m/>
    <m/>
    <m/>
    <m/>
  </r>
  <r>
    <s v="139442"/>
    <s v="[BC NEXT] My Profile - Email Address Modals Logic"/>
    <s v="UserStory"/>
    <s v="Servicing: BC Next"/>
    <x v="0"/>
    <m/>
    <m/>
    <x v="1"/>
    <m/>
    <m/>
    <m/>
    <m/>
  </r>
  <r>
    <s v="139730"/>
    <s v="[BC NEXT] My Profile - Create Phone Number Mutations"/>
    <s v="UserStory"/>
    <s v="Servicing: BC Next"/>
    <x v="0"/>
    <m/>
    <s v="Yokeshwaran Lokanathan"/>
    <x v="1"/>
    <m/>
    <m/>
    <m/>
    <m/>
  </r>
  <r>
    <s v="139732"/>
    <s v="[BC NEXT] My Profile - Create Email Address Mutations"/>
    <s v="UserStory"/>
    <s v="Servicing: BC Next"/>
    <x v="0"/>
    <m/>
    <m/>
    <x v="1"/>
    <m/>
    <m/>
    <m/>
    <m/>
  </r>
  <r>
    <s v="140305"/>
    <s v="[BC NEXT] Customer Support Center - Create Customer Support Center landing page"/>
    <s v="UserStory"/>
    <s v="Servicing: BC Next"/>
    <x v="0"/>
    <s v="50"/>
    <s v="Abbas Shamshi"/>
    <x v="17"/>
    <n v="2"/>
    <n v="25.59097222222222"/>
    <s v="146568"/>
    <m/>
  </r>
  <r>
    <s v="140331"/>
    <s v="[BC NEXT] Customer Support Center - Create My Bridgecrest Account page"/>
    <s v="UserStory"/>
    <s v="Servicing: BC Next"/>
    <x v="0"/>
    <m/>
    <s v="Abbas Shamshi"/>
    <x v="17"/>
    <m/>
    <n v="13.98139933532523"/>
    <m/>
    <m/>
  </r>
  <r>
    <s v="140351"/>
    <s v="[BC NEXT] Customer Support Center - Create Search component"/>
    <s v="UserStory"/>
    <s v="Servicing: BC Next"/>
    <x v="0"/>
    <m/>
    <m/>
    <x v="17"/>
    <m/>
    <m/>
    <m/>
    <m/>
  </r>
  <r>
    <s v="140431"/>
    <s v="[BC NEXT] Manage Mods - Connect logic from API"/>
    <s v="UserStory"/>
    <s v="Servicing: BC Next"/>
    <x v="0"/>
    <s v="45"/>
    <s v="Joseph Kranak"/>
    <x v="12"/>
    <n v="3"/>
    <n v="32.55596064814814"/>
    <s v="143326"/>
    <m/>
  </r>
  <r>
    <s v="140507"/>
    <s v="[BC NEXT] Customer Support Center - Document Request section UI in My Profile"/>
    <s v="UserStory"/>
    <s v="Servicing: BC Next"/>
    <x v="0"/>
    <m/>
    <m/>
    <x v="17"/>
    <m/>
    <m/>
    <m/>
    <m/>
  </r>
  <r>
    <s v="140704"/>
    <s v="[BC NEXT] Manage Mods - Connect DocuSign and retrieve completed mods logic"/>
    <s v="UserStory"/>
    <s v="Servicing: BC Next"/>
    <x v="0"/>
    <s v="46"/>
    <s v="Connor Golobich"/>
    <x v="12"/>
    <n v="5"/>
    <n v="35.21525462962963"/>
    <s v="144073"/>
    <m/>
  </r>
  <r>
    <s v="141437"/>
    <s v="[BC NEXT] Plan to Cure - Active Payment Plan Summary Card"/>
    <s v="UserStory"/>
    <s v="Servicing: BC Next"/>
    <x v="0"/>
    <s v="50"/>
    <s v="Yokeshwaran Lokanathan"/>
    <x v="18"/>
    <n v="11"/>
    <n v="34.23311342592592"/>
    <s v="145791"/>
    <m/>
  </r>
  <r>
    <s v="141876"/>
    <s v="[BC NEXT] Plan to Cure - Active Payment Plan Details Card"/>
    <s v="UserStory"/>
    <s v="Servicing: BC Next"/>
    <x v="0"/>
    <s v="50"/>
    <s v="Michael Wang"/>
    <x v="18"/>
    <n v="11"/>
    <n v="32.12848379629629"/>
    <s v="145791"/>
    <m/>
  </r>
  <r>
    <s v="141889"/>
    <s v="[BC NEXT] Plan to Cure - Payment Plan History Page"/>
    <s v="UserStory"/>
    <s v="Servicing: BC Next"/>
    <x v="0"/>
    <s v="51"/>
    <s v="Yokeshwaran Lokanathan"/>
    <x v="18"/>
    <n v="5"/>
    <n v="21.26195601851852"/>
    <s v="146744"/>
    <m/>
  </r>
  <r>
    <s v="141946"/>
    <s v="[BC NEXT] Plan to Cure - Update Manage Payments to include PTC"/>
    <s v="UserStory"/>
    <s v="Servicing: BC Next"/>
    <x v="0"/>
    <s v="50"/>
    <s v="Shyam Senthil Nathan and Abbas Shamshi"/>
    <x v="18"/>
    <n v="13"/>
    <n v="24.23708333333333"/>
    <s v="145791"/>
    <m/>
  </r>
  <r>
    <s v="142001"/>
    <s v="[BC NEXT] Plan to Cure - Payment Plan Cancellation Modals"/>
    <s v="UserStory"/>
    <s v="Servicing: BC Next"/>
    <x v="0"/>
    <s v="51"/>
    <s v="Pete Wesselius"/>
    <x v="18"/>
    <n v="0"/>
    <n v="22.25833333333333"/>
    <s v="146744"/>
    <m/>
  </r>
  <r>
    <s v="125161"/>
    <s v="[BC NEXT][WEB BACKEND][RESEARCH] Research and POC for redirects between SSP and BC Next"/>
    <s v="UserStory"/>
    <s v="Servicing: BC Next"/>
    <x v="0"/>
    <s v="02"/>
    <s v="Connor Golobich"/>
    <x v="19"/>
    <n v="0"/>
    <n v="1.968032407407407"/>
    <m/>
    <m/>
  </r>
  <r>
    <s v="125180"/>
    <s v="[BC NEXT][WEB] Homepage - Learn More CTAs"/>
    <s v="UserStory"/>
    <s v="Servicing: BC Next"/>
    <x v="0"/>
    <s v="05"/>
    <s v="Abbas Shamshi"/>
    <x v="2"/>
    <n v="4"/>
    <n v="17.0462037037037"/>
    <s v="126633"/>
    <m/>
  </r>
  <r>
    <s v="125530"/>
    <s v="[BC NEXT] Dashboard - Fees Paid in Full"/>
    <s v="UserStory"/>
    <s v="Servicing: BC Next"/>
    <x v="0"/>
    <s v="02"/>
    <s v="Yokeshwaran Lokanathan"/>
    <x v="5"/>
    <n v="0"/>
    <n v="3.216805555555555"/>
    <s v="125462"/>
    <m/>
  </r>
  <r>
    <s v="125686"/>
    <s v="[BC NEXT][OBSERVATION][2] AutoPay - Pending Payment Modal Cancel Button"/>
    <s v="UserStory"/>
    <s v="Servicing: BC Next"/>
    <x v="0"/>
    <s v="08"/>
    <s v="Antonio Posada"/>
    <x v="5"/>
    <n v="6"/>
    <n v="28.22208333333333"/>
    <s v="127782"/>
    <m/>
  </r>
  <r>
    <s v="126072"/>
    <s v="[BC NEXT][RESEARCH] Feature Flag Not Updating"/>
    <s v="UserStory"/>
    <s v="Servicing: BC Next"/>
    <x v="0"/>
    <s v="04"/>
    <s v="Pete Wesselius"/>
    <x v="5"/>
    <n v="0"/>
    <n v="6.337997685185185"/>
    <m/>
    <m/>
  </r>
  <r>
    <s v="126073"/>
    <s v="[BC NEXT][WEB BACKEND] Redirect Between Subdomain and Primary"/>
    <s v="UserStory"/>
    <s v="Servicing: BC Next"/>
    <x v="0"/>
    <s v="10"/>
    <s v="Connor Golobich"/>
    <x v="19"/>
    <n v="2"/>
    <n v="29.27748842592592"/>
    <s v="128244"/>
    <m/>
  </r>
  <r>
    <s v="126074"/>
    <s v="[BC NEXT][WEB BACKEND] Search Engine Optimization - Robots.txt and SiteMap"/>
    <s v="UserStory"/>
    <s v="Servicing: BC Next"/>
    <x v="0"/>
    <s v="11"/>
    <s v="Pete Wesselius"/>
    <x v="19"/>
    <n v="0"/>
    <n v="36.15490740740741"/>
    <m/>
    <m/>
  </r>
  <r>
    <s v="126240"/>
    <s v="[BC NEXT] Handle Routing Through Login"/>
    <s v="UserStory"/>
    <s v="Servicing: BC Next"/>
    <x v="0"/>
    <s v="08"/>
    <s v="Connor Golobich"/>
    <x v="20"/>
    <n v="5"/>
    <n v="25.24355324074074"/>
    <s v="127674"/>
    <m/>
  </r>
  <r>
    <s v="126376"/>
    <s v="[BC NEXT][Web] Dashboard - Customer Service/Payoff Quote"/>
    <s v="UserStory"/>
    <s v="Servicing: BC Next"/>
    <x v="0"/>
    <s v="08"/>
    <s v="Namratha Chilukuri"/>
    <x v="4"/>
    <n v="3"/>
    <n v="12.07537037037037"/>
    <m/>
    <m/>
  </r>
  <r>
    <s v="126415"/>
    <s v="[BC NEXT] Homepage - Update Button Component"/>
    <s v="UserStory"/>
    <s v="Servicing: BC Next"/>
    <x v="0"/>
    <s v="06"/>
    <s v="Chirag Khandhar"/>
    <x v="2"/>
    <n v="7"/>
    <n v="10.68351851851852"/>
    <s v="126881"/>
    <m/>
  </r>
  <r>
    <s v="126492"/>
    <s v="[BC NEXT] Dashboard Enhancements"/>
    <s v="UserStory"/>
    <s v="Servicing: BC Next"/>
    <x v="0"/>
    <s v="13"/>
    <s v="Connor Golobich"/>
    <x v="4"/>
    <n v="16"/>
    <n v="37.52298611111111"/>
    <s v="129029"/>
    <m/>
  </r>
  <r>
    <s v="126530"/>
    <s v="[BC NEXT][WEB] Dashboard - Add Vehicle Dropdown"/>
    <s v="UserStory"/>
    <s v="Servicing: BC Next"/>
    <x v="0"/>
    <s v="13"/>
    <s v="Jesse McMahon"/>
    <x v="4"/>
    <n v="3"/>
    <n v="27.12028935185185"/>
    <m/>
    <m/>
  </r>
  <r>
    <s v="126542"/>
    <s v="[BC NEXT] Payment Options Page Enhancements - Non Logged In User"/>
    <s v="UserStory"/>
    <s v="Servicing: BC Next"/>
    <x v="0"/>
    <s v="07"/>
    <s v="Chirag Khandhar"/>
    <x v="2"/>
    <n v="7"/>
    <n v="16.91871527777778"/>
    <s v="127093"/>
    <m/>
  </r>
  <r>
    <s v="126910"/>
    <s v="[BC NEXT][OBSERVATIONS][2] Update Account Registration/EmailVerify Page UI to match comps"/>
    <s v="UserStory"/>
    <s v="Servicing: BC Next"/>
    <x v="0"/>
    <s v="10"/>
    <s v="Antonio Posada"/>
    <x v="6"/>
    <n v="2"/>
    <n v="18.8918287037037"/>
    <s v="128241"/>
    <m/>
  </r>
  <r>
    <s v="126963"/>
    <s v="[BC NEXT][WEB] Payment Options - Payment Cards"/>
    <s v="UserStory"/>
    <s v="Servicing: BC Next"/>
    <x v="0"/>
    <s v="19"/>
    <s v="Chirag Khandhar"/>
    <x v="21"/>
    <n v="5"/>
    <n v="19.90601851851852"/>
    <s v="131615"/>
    <m/>
  </r>
  <r>
    <s v="126964"/>
    <s v="[BC NEXT][WEB] Payment Options - More Payment Options"/>
    <s v="UserStory"/>
    <s v="Servicing: BC Next"/>
    <x v="0"/>
    <s v="24"/>
    <s v="Yokeshwaran Lokanathan"/>
    <x v="21"/>
    <n v="28"/>
    <n v="60.19204861111111"/>
    <s v="132448"/>
    <m/>
  </r>
  <r>
    <s v="127177"/>
    <s v="[BC NEXT][Web] Dashboard - ADA - Footer/Banners/Payoff Quote"/>
    <s v="UserStory"/>
    <s v="Servicing: BC Next"/>
    <x v="0"/>
    <s v="09"/>
    <s v="Joseph Kranak"/>
    <x v="4"/>
    <n v="7"/>
    <n v="9.088020833333333"/>
    <m/>
    <m/>
  </r>
  <r>
    <s v="127564"/>
    <s v="[BC NEXT][WEB] Homepage Pixel Perfect"/>
    <s v="UserStory"/>
    <s v="Servicing: BC Next"/>
    <x v="0"/>
    <s v="10"/>
    <s v="Jesse McMahon"/>
    <x v="2"/>
    <n v="7"/>
    <n v="15.02006944444444"/>
    <s v="128278"/>
    <m/>
  </r>
  <r>
    <s v="127574"/>
    <s v="[BC NEXT][WEB] Dashboard Pixel Perfect"/>
    <s v="UserStory"/>
    <s v="Servicing: BC Next"/>
    <x v="0"/>
    <s v="13"/>
    <s v="Joseph Kranak"/>
    <x v="4"/>
    <n v="0"/>
    <n v="18.20792824074074"/>
    <s v="129522"/>
    <m/>
  </r>
  <r>
    <s v="127701"/>
    <s v="[BC NEXT][WEB] OTP - Step 1: Account Summary Card"/>
    <s v="UserStory"/>
    <s v="Servicing: BC Next"/>
    <x v="0"/>
    <s v="17"/>
    <s v="Antonio Posada"/>
    <x v="22"/>
    <n v="3"/>
    <n v="42.00329861111111"/>
    <s v="130431"/>
    <m/>
  </r>
  <r>
    <s v="127766"/>
    <s v="[BC  NEXT] Clean up Auth0 bypass logic"/>
    <s v="UserStory"/>
    <s v="Servicing: BC Next"/>
    <x v="0"/>
    <s v="13"/>
    <s v="Pete Wesselius"/>
    <x v="8"/>
    <n v="11"/>
    <n v="32.51497685185185"/>
    <s v="129029"/>
    <m/>
  </r>
  <r>
    <s v="127921"/>
    <s v="[BC NEXT][WEB] OTP - Step Indicator, Bottom Links, Footer"/>
    <s v="UserStory"/>
    <s v="Servicing: BC Next"/>
    <x v="0"/>
    <s v="13"/>
    <s v="Joseph Kranak"/>
    <x v="22"/>
    <n v="8"/>
    <n v="28.48253472222222"/>
    <s v="129428"/>
    <m/>
  </r>
  <r>
    <s v="127931"/>
    <s v="[BC NEXT][WEB] OTP - Modals"/>
    <s v="UserStory"/>
    <s v="Servicing: BC Next"/>
    <x v="0"/>
    <s v="11"/>
    <s v="Abbas Shamshi"/>
    <x v="22"/>
    <n v="5"/>
    <n v="12.79777777777778"/>
    <m/>
    <m/>
  </r>
  <r>
    <s v="127945"/>
    <s v="[BC NEXT][WEB] AutoPay - Select Account Page and Footer"/>
    <s v="UserStory"/>
    <s v="Servicing: BC Next"/>
    <x v="0"/>
    <s v="16"/>
    <s v="Yokeshwaran Lokanathan"/>
    <x v="23"/>
    <n v="1"/>
    <n v="21.54020833333333"/>
    <s v="131354"/>
    <m/>
  </r>
  <r>
    <s v="127947"/>
    <s v="[BC NEXT][WEB] AutoPay - Step 1: Account Summary Card"/>
    <s v="UserStory"/>
    <s v="Servicing: BC Next"/>
    <x v="0"/>
    <s v="17"/>
    <s v="Joseph Kranak"/>
    <x v="23"/>
    <n v="5"/>
    <n v="31.80099537037037"/>
    <s v="131354"/>
    <m/>
  </r>
  <r>
    <s v="127960"/>
    <s v="[BC NEXT][WEB] AutoPay - Step Indicator and Step 1 Acknowledgement Box"/>
    <s v="UserStory"/>
    <s v="Servicing: BC Next"/>
    <x v="0"/>
    <s v="16"/>
    <s v="Chirag Khandhar"/>
    <x v="23"/>
    <n v="1"/>
    <n v="23.16153935185185"/>
    <s v="131354"/>
    <m/>
  </r>
  <r>
    <s v="127963"/>
    <s v="[BC NEXT][WEB] AutoPay - Step 2: Entire Page"/>
    <s v="UserStory"/>
    <s v="Servicing: BC Next"/>
    <x v="0"/>
    <s v="16"/>
    <s v="Jesse McMahon"/>
    <x v="23"/>
    <n v="8"/>
    <n v="25.53914351851852"/>
    <s v="131354"/>
    <m/>
  </r>
  <r>
    <s v="127976"/>
    <s v="[BC NEXT] Fix Login Loop on Android"/>
    <s v="UserStory"/>
    <s v="Servicing: BC Next"/>
    <x v="0"/>
    <s v="14"/>
    <s v="Pete Wesselius"/>
    <x v="8"/>
    <n v="1"/>
    <n v="27.97141203703704"/>
    <s v="129660"/>
    <m/>
  </r>
  <r>
    <s v="127980"/>
    <s v="[BC NEXT][RESEARCH] Understand how Auth0 Adaptive MFA Impacts Code"/>
    <s v="UserStory"/>
    <s v="Servicing: BC Next"/>
    <x v="0"/>
    <s v="23"/>
    <m/>
    <x v="24"/>
    <n v="0"/>
    <n v="5.787037037037037e-05"/>
    <m/>
    <m/>
  </r>
  <r>
    <s v="127981"/>
    <s v="[BC NEXT] Research the space below top nav on Android issue"/>
    <s v="UserStory"/>
    <s v="Servicing: BC Next"/>
    <x v="0"/>
    <s v="13"/>
    <s v="Yokeshwaran Lokanathan"/>
    <x v="8"/>
    <n v="6"/>
    <n v="18.58457175925926"/>
    <s v="129294"/>
    <m/>
  </r>
  <r>
    <s v="128024"/>
    <s v="[BC NEXT] OTP - Fix 'Other Amount' field to account for pending payments"/>
    <s v="UserStory"/>
    <s v="Servicing: BC Next"/>
    <x v="0"/>
    <s v="13"/>
    <s v="Yokeshwaran Lokanathan"/>
    <x v="8"/>
    <n v="2"/>
    <n v="9.544270833333332"/>
    <s v="129428"/>
    <m/>
  </r>
  <r>
    <s v="128269"/>
    <s v="[BC NEXT][WEB] Deploy Robots.txt and SiteMap"/>
    <s v="UserStory"/>
    <s v="Servicing: BC Next"/>
    <x v="0"/>
    <s v="33"/>
    <s v="Pete Wesselius"/>
    <x v="9"/>
    <n v="6"/>
    <n v="9.279155092592593"/>
    <s v="137715"/>
    <m/>
  </r>
  <r>
    <s v="128314"/>
    <s v="[BC NEXT][WEB] Dashboard - Hide links in Top/Side Nav for No Accounts Found Experience"/>
    <s v="UserStory"/>
    <s v="Servicing: BC Next"/>
    <x v="0"/>
    <s v="16"/>
    <s v="Abbas Shamshi"/>
    <x v="4"/>
    <n v="4"/>
    <n v="31.18899305555555"/>
    <s v="130138"/>
    <m/>
  </r>
  <r>
    <s v="128593"/>
    <s v="[BC NEXT][WEB] APPD - Step 1: OTP"/>
    <s v="UserStory"/>
    <s v="Servicing: BC Next"/>
    <x v="0"/>
    <s v="19"/>
    <s v="Abbas Shamshi"/>
    <x v="25"/>
    <n v="5"/>
    <n v="13.67516203703704"/>
    <m/>
    <m/>
  </r>
  <r>
    <s v="128613"/>
    <s v="[BC NEXT][WEB] APPD - Step 2: AutoPay Enrollment"/>
    <s v="UserStory"/>
    <s v="Servicing: BC Next"/>
    <x v="0"/>
    <s v="19"/>
    <s v="Joseph Kranak"/>
    <x v="25"/>
    <n v="8"/>
    <n v="26.00592592592593"/>
    <m/>
    <m/>
  </r>
  <r>
    <s v="128672"/>
    <s v="[BC NEXT][WEB] APPD - Step 3: Review"/>
    <s v="UserStory"/>
    <s v="Servicing: BC Next"/>
    <x v="0"/>
    <s v="17"/>
    <s v="Chirag Khandhar"/>
    <x v="25"/>
    <n v="5"/>
    <n v="16.24719907407408"/>
    <m/>
    <m/>
  </r>
  <r>
    <s v="128916"/>
    <s v="Ability to choose which Old or New Admin Portal login page"/>
    <s v="UserStory"/>
    <s v="Servicing: BC Next"/>
    <x v="0"/>
    <s v="20"/>
    <s v="Connor Golobich"/>
    <x v="26"/>
    <n v="4"/>
    <n v="24.19351851851852"/>
    <s v="132143"/>
    <m/>
  </r>
  <r>
    <s v="129134"/>
    <s v="[BC NEXT][BUG] OTP - Issue persisting data when navigating between fields"/>
    <s v="UserStory"/>
    <s v="Servicing: BC Next"/>
    <x v="0"/>
    <s v="24"/>
    <s v="Joseph Kranak"/>
    <x v="0"/>
    <n v="4"/>
    <n v="8.229849537037037"/>
    <s v="133957"/>
    <m/>
  </r>
  <r>
    <s v="129324"/>
    <s v="[BC NEXT][WEB] Account Settings - Manage Debit Cards"/>
    <s v="UserStory"/>
    <s v="Servicing: BC Next"/>
    <x v="0"/>
    <s v="19"/>
    <s v="Abbas Shamshi"/>
    <x v="10"/>
    <n v="6"/>
    <n v="19.95084490740741"/>
    <s v="131615"/>
    <m/>
  </r>
  <r>
    <s v="129328"/>
    <s v="[BC NEXT][WEB] Account Settings - Manage Bank Accounts"/>
    <s v="UserStory"/>
    <s v="Servicing: BC Next"/>
    <x v="0"/>
    <s v="19"/>
    <s v="Antonio Posada"/>
    <x v="10"/>
    <n v="5"/>
    <n v="20.99159722222222"/>
    <s v="131615"/>
    <m/>
  </r>
  <r>
    <s v="129551"/>
    <s v="[BC NEXT][WEB] Create experiment in Launch Darkly to control percentage rollout of new site"/>
    <s v="UserStory"/>
    <s v="Servicing: BC Next"/>
    <x v="0"/>
    <s v="26"/>
    <s v="Roxanne  Ross"/>
    <x v="27"/>
    <n v="0"/>
    <n v="4.97954861111111"/>
    <m/>
    <m/>
  </r>
  <r>
    <s v="129647"/>
    <s v="[BC NEXT][WEB][RESEARCH] Remove Pre-Login Page from Web"/>
    <s v="UserStory"/>
    <s v="Servicing: BC Next"/>
    <x v="0"/>
    <s v="23"/>
    <s v="Yokeshwaran Lokanathan"/>
    <x v="7"/>
    <n v="0"/>
    <n v="21.18974537037037"/>
    <m/>
    <m/>
  </r>
  <r>
    <s v="129716"/>
    <s v="[BC NEXT][WEB] Logout Modals"/>
    <s v="UserStory"/>
    <s v="Servicing: BC Next"/>
    <x v="0"/>
    <s v="19"/>
    <s v="Abbas Shamshi"/>
    <x v="28"/>
    <n v="1"/>
    <n v="8.042407407407406"/>
    <s v="132045"/>
    <m/>
  </r>
  <r>
    <s v="129816"/>
    <s v="[BC NEXT][WEB] Create logged in Homepage experience"/>
    <s v="UserStory"/>
    <s v="Servicing: BC Next"/>
    <x v="0"/>
    <s v="26"/>
    <s v="Antonio Posada"/>
    <x v="7"/>
    <n v="9"/>
    <n v="15.07787037037037"/>
    <s v="135384"/>
    <m/>
  </r>
  <r>
    <s v="130037"/>
    <s v="[BC NEXT][AUTOPAY] Bypass Select Account page when user has only 1 account"/>
    <s v="UserStory"/>
    <s v="Servicing: BC Next"/>
    <x v="0"/>
    <s v="24"/>
    <s v="Antonio Posada"/>
    <x v="0"/>
    <n v="2"/>
    <n v="17.07384259259259"/>
    <s v="134034"/>
    <m/>
  </r>
  <r>
    <s v="130102"/>
    <s v="[BC NEXT][WEB] AutoPay Pixel Perfect"/>
    <s v="UserStory"/>
    <s v="Servicing: BC Next"/>
    <x v="0"/>
    <s v="18"/>
    <s v="Joseph Kranak"/>
    <x v="23"/>
    <n v="4"/>
    <n v="11.14549768518518"/>
    <s v="131354"/>
    <m/>
  </r>
  <r>
    <s v="130157"/>
    <s v="[BC NEXT][WEB] AutoPay Past Due Pixel Perfect"/>
    <s v="UserStory"/>
    <s v="Servicing: BC Next"/>
    <x v="0"/>
    <s v="24"/>
    <s v="Shyam Senthil Nathan"/>
    <x v="25"/>
    <n v="26"/>
    <n v="39.16517361111111"/>
    <s v="132448"/>
    <m/>
  </r>
  <r>
    <s v="130412"/>
    <s v="[BC NEXT][WEB] OTP Pixel Perfect"/>
    <s v="UserStory"/>
    <s v="Servicing: BC Next"/>
    <x v="0"/>
    <s v="24"/>
    <s v="Antonio Posada"/>
    <x v="22"/>
    <n v="27"/>
    <n v="48.8009375"/>
    <s v="132448"/>
    <m/>
  </r>
  <r>
    <s v="130414"/>
    <s v="[BC NEXT][WEB] Login Pages - Account Lookup"/>
    <s v="UserStory"/>
    <s v="Servicing: BC Next"/>
    <x v="0"/>
    <s v="21"/>
    <s v="Chirag Khandhar"/>
    <x v="29"/>
    <n v="5"/>
    <n v="20.16615740740741"/>
    <s v="132710"/>
    <m/>
  </r>
  <r>
    <s v="130767"/>
    <s v="[BC NEXT][WEB] Legal Pages - Privacy Policy and Terms of Use"/>
    <s v="UserStory"/>
    <s v="Servicing: BC Next"/>
    <x v="0"/>
    <s v="22"/>
    <s v="Abbas Shamshi"/>
    <x v="28"/>
    <n v="5"/>
    <n v="13.12527777777778"/>
    <s v="133005"/>
    <m/>
  </r>
  <r>
    <s v="130826"/>
    <s v="[BC NEXT][WEB] Open link in new tab"/>
    <s v="UserStory"/>
    <s v="Servicing: BC Next"/>
    <x v="0"/>
    <s v="24"/>
    <s v="Shyam Senthil Nathan"/>
    <x v="7"/>
    <n v="8"/>
    <n v="24.39236111111111"/>
    <s v="134034"/>
    <m/>
  </r>
  <r>
    <s v="130962"/>
    <s v="[BC NEXT] PTC - Update Pending Payments Modal to reflect payment plan"/>
    <s v="UserStory"/>
    <s v="Servicing: BC Next"/>
    <x v="0"/>
    <s v="24"/>
    <s v="Shyam Senthil Nathan"/>
    <x v="30"/>
    <n v="4"/>
    <n v="11.29446759259259"/>
    <s v="133957"/>
    <m/>
  </r>
  <r>
    <s v="131617"/>
    <s v="[BC NEXT] AutoPay - Other Amount showing as required incorrectly"/>
    <s v="UserStory"/>
    <s v="Servicing: BC Next"/>
    <x v="0"/>
    <s v="23"/>
    <s v="Joseph Kranak"/>
    <x v="7"/>
    <n v="1"/>
    <n v="19.05012731481482"/>
    <s v="133564"/>
    <m/>
  </r>
  <r>
    <s v="132164"/>
    <s v="[BC NEXT][WEB] Skip to Content not always working correctly"/>
    <s v="UserStory"/>
    <s v="Servicing: BC Next"/>
    <x v="0"/>
    <s v="24"/>
    <s v="Abbas Shamshi"/>
    <x v="0"/>
    <n v="1"/>
    <n v="11.22612268518519"/>
    <s v="133957"/>
    <m/>
  </r>
  <r>
    <s v="132197"/>
    <s v="[BC NEXT][WEB] Top Nav links loading slowly when logged in"/>
    <s v="UserStory"/>
    <s v="Servicing: BC Next"/>
    <x v="0"/>
    <s v="26"/>
    <s v="Shyam Senthil Nathan"/>
    <x v="0"/>
    <n v="2"/>
    <n v="7.844849537037037"/>
    <s v="135384"/>
    <m/>
  </r>
  <r>
    <s v="132214"/>
    <s v="[BCNEXT][WEB] Dashboard - Add print option to Dashboard"/>
    <s v="UserStory"/>
    <s v="Servicing: BC Next"/>
    <x v="0"/>
    <s v="25"/>
    <s v="Chirag Khandhar"/>
    <x v="7"/>
    <n v="6"/>
    <n v="20.18417824074074"/>
    <s v="134248"/>
    <m/>
  </r>
  <r>
    <s v="133210"/>
    <s v="[BC NEXT][RESEARCH] Mods - How do we connect to DocuSign"/>
    <s v="UserStory"/>
    <s v="Servicing: BC Next"/>
    <x v="0"/>
    <s v="24"/>
    <s v="Connor Golobich"/>
    <x v="12"/>
    <n v="0"/>
    <n v="4.199421296296296"/>
    <m/>
    <m/>
  </r>
  <r>
    <s v="133537"/>
    <s v="[BC NEXT][WEB] Bypass/Hide Pre-Login Page from Web"/>
    <s v="UserStory"/>
    <s v="Servicing: BC Next"/>
    <x v="0"/>
    <s v="31"/>
    <s v="Yokeshwaran Lokanathan"/>
    <x v="9"/>
    <n v="25"/>
    <n v="42.94203703703703"/>
    <s v="136925"/>
    <m/>
  </r>
  <r>
    <s v="133565"/>
    <s v="[BC NEXT][WEB] Update When Outage Modal Displayed"/>
    <s v="UserStory"/>
    <s v="Servicing: BC Next"/>
    <x v="0"/>
    <s v="26"/>
    <s v="Abbas Shamshi"/>
    <x v="0"/>
    <n v="3"/>
    <n v="10.07748842592593"/>
    <s v="135384"/>
    <m/>
  </r>
  <r>
    <s v="133863"/>
    <s v="[BC NEXT] Pending Payments Modal popping at odd times"/>
    <s v="UserStory"/>
    <s v="Servicing: BC Next"/>
    <x v="0"/>
    <s v="33"/>
    <s v="Abbas Shamshi"/>
    <x v="9"/>
    <n v="8"/>
    <n v="21.33076388888889"/>
    <s v="137715"/>
    <m/>
  </r>
  <r>
    <s v="133877"/>
    <s v="[BC NEXT] Page Loading Spinner bug on OTP"/>
    <s v="UserStory"/>
    <s v="Servicing: BC Next"/>
    <x v="0"/>
    <s v="26"/>
    <s v="Joseph Kranak"/>
    <x v="0"/>
    <n v="3"/>
    <n v="13.05239583333333"/>
    <s v="135384"/>
    <m/>
  </r>
  <r>
    <s v="133892"/>
    <s v="[BC NEXT] Ionic Upgrade - Accordions"/>
    <s v="UserStory"/>
    <s v="Servicing: BC Next"/>
    <x v="0"/>
    <s v="32"/>
    <s v="Shyam Senthil Nathan"/>
    <x v="9"/>
    <n v="6"/>
    <n v="42.93504629629629"/>
    <s v="137348"/>
    <m/>
  </r>
  <r>
    <s v="133931"/>
    <s v="[BC NEXT][WEB] Refetch data upon successful payment/autopay enrollment mutation call"/>
    <s v="UserStory"/>
    <s v="Servicing: BC Next"/>
    <x v="0"/>
    <s v="26"/>
    <s v="Chirag Khandhar"/>
    <x v="0"/>
    <n v="3"/>
    <n v="14.09967592592593"/>
    <s v="135384"/>
    <m/>
  </r>
  <r>
    <s v="134028"/>
    <s v="[BC NEXT] Update code references to new subdomain"/>
    <s v="UserStory"/>
    <s v="Servicing: BC Next"/>
    <x v="0"/>
    <s v="25"/>
    <s v="Shyam Senthil Nathan"/>
    <x v="7"/>
    <n v="0"/>
    <n v="5.133090277777778"/>
    <s v="134248"/>
    <m/>
  </r>
  <r>
    <s v="134398"/>
    <s v="[BC NEXT] Manage Mods - Scaffolding"/>
    <s v="UserStory"/>
    <s v="Servicing: BC Next"/>
    <x v="0"/>
    <s v="29"/>
    <s v="Chirag Khandhar"/>
    <x v="12"/>
    <n v="7"/>
    <n v="13.25201388888889"/>
    <s v="136946"/>
    <m/>
  </r>
  <r>
    <s v="134405"/>
    <s v="[BC NEXT] Manage Mods - Landing Pages"/>
    <s v="UserStory"/>
    <s v="Servicing: BC Next"/>
    <x v="0"/>
    <s v="30"/>
    <s v="Chirag Khandhar and Pete Wesselius"/>
    <x v="12"/>
    <n v="1"/>
    <n v="20.99702546296296"/>
    <s v="136946"/>
    <m/>
  </r>
  <r>
    <s v="134417"/>
    <s v="[BC NEXT][WEB] Update Loading Spinner Page in AP Flows to add top nav and footer"/>
    <s v="UserStory"/>
    <s v="Servicing: BC Next"/>
    <x v="0"/>
    <s v="29"/>
    <s v="Antonio Posada"/>
    <x v="0"/>
    <n v="15"/>
    <n v="28.28340277777778"/>
    <s v="135225"/>
    <m/>
  </r>
  <r>
    <s v="134419"/>
    <s v="[BC NEXT][WEB][RESEARCH]Share login across tabs"/>
    <s v="UserStory"/>
    <s v="Servicing: BC Next"/>
    <x v="0"/>
    <s v="26"/>
    <s v="Joseph Kranak"/>
    <x v="0"/>
    <n v="0"/>
    <n v="5.818831018518519"/>
    <m/>
    <m/>
  </r>
  <r>
    <s v="134478"/>
    <s v="[BC NEXT] Manage Mods - Update Recent Activity and Account Settings for Mods"/>
    <s v="UserStory"/>
    <s v="Servicing: BC Next"/>
    <x v="0"/>
    <s v="30"/>
    <s v="Joseph Kranak"/>
    <x v="12"/>
    <n v="6"/>
    <n v="26.98940972222222"/>
    <s v="136946"/>
    <m/>
  </r>
  <r>
    <s v="134636"/>
    <s v="[SSP] Update Launch Darkly SDK to pass second key"/>
    <s v="UserStory"/>
    <s v="Servicing: BC Next"/>
    <x v="0"/>
    <s v="27"/>
    <s v="Connor Golobich"/>
    <x v="27"/>
    <n v="7"/>
    <n v="11.09138888888889"/>
    <s v="134997"/>
    <m/>
  </r>
  <r>
    <s v="135148"/>
    <s v="[BC NEXT] Plan to Cure - Routes, Metadata, and Scaffolding"/>
    <s v="UserStory"/>
    <s v="Servicing: BC Next"/>
    <x v="0"/>
    <s v="46"/>
    <s v="Michael Wang"/>
    <x v="18"/>
    <n v="11"/>
    <n v="22.06533564814815"/>
    <s v="144073"/>
    <m/>
  </r>
  <r>
    <s v="135427"/>
    <s v="[BC NEXT][RESEARCH] Understand connection from Quick Access page to Paymentus account page"/>
    <s v="UserStory"/>
    <s v="Servicing: BC Next"/>
    <x v="0"/>
    <s v="28"/>
    <s v="Connor Golobich"/>
    <x v="13"/>
    <n v="0"/>
    <n v="1.21875"/>
    <m/>
    <m/>
  </r>
  <r>
    <s v="135774"/>
    <s v="[BC NEXT] OUTAGE - Duplicate payments processing for some accounts"/>
    <s v="UserStory"/>
    <s v="Servicing: BC Next"/>
    <x v="0"/>
    <s v="29"/>
    <s v="Akshay Golash and Camilo Guerrero and Venkatmahesh Polur"/>
    <x v="0"/>
    <n v="0"/>
    <n v="0.3135532407407407"/>
    <s v="135788"/>
    <m/>
  </r>
  <r>
    <s v="135843"/>
    <s v="[BC NEXT] Paymentus Quick Access - Success Page"/>
    <s v="UserStory"/>
    <s v="Servicing: BC Next"/>
    <x v="0"/>
    <s v="33"/>
    <s v="Shyam Senthil Nathan"/>
    <x v="13"/>
    <n v="2"/>
    <n v="16.01138888888889"/>
    <s v="138993"/>
    <m/>
  </r>
  <r>
    <s v="136546"/>
    <s v="[BC NEXT] Missing Analytics"/>
    <s v="UserStory"/>
    <s v="Servicing: BC Next"/>
    <x v="0"/>
    <s v="34"/>
    <s v="Joseph Kranak"/>
    <x v="9"/>
    <n v="20"/>
    <n v="28.26121527777778"/>
    <s v="138249"/>
    <m/>
  </r>
  <r>
    <s v="136551"/>
    <s v="[BC NEXT][PROD BUG] Infinite spinner with bad payment method on AutoPay flows"/>
    <s v="UserStory"/>
    <s v="Servicing: BC Next"/>
    <x v="0"/>
    <s v="34"/>
    <s v="Abbas Shamshi"/>
    <x v="15"/>
    <n v="9"/>
    <n v="22.93922453703703"/>
    <s v="138249"/>
    <m/>
  </r>
  <r>
    <s v="136661"/>
    <s v="[BC NEXT] Manage Mods - Create Feature Flag for Mods Experience"/>
    <s v="UserStory"/>
    <s v="Servicing: BC Next"/>
    <x v="0"/>
    <s v="32"/>
    <s v="Yokeshwaran Lokanathan"/>
    <x v="12"/>
    <n v="3"/>
    <n v="14.02826388888889"/>
    <s v="136946"/>
    <m/>
  </r>
  <r>
    <s v="136880"/>
    <s v="[BC NEXT] Upgrade to Capacitor 4"/>
    <s v="UserStory"/>
    <s v="Servicing: BC Next"/>
    <x v="0"/>
    <s v="32"/>
    <s v="Connor Golobich"/>
    <x v="9"/>
    <n v="1"/>
    <n v="6.926273148148148"/>
    <s v="137348"/>
    <m/>
  </r>
  <r>
    <s v="137052"/>
    <s v="PageName and PageSubname using where you are being directed to vs. the page you took the action"/>
    <s v="UserStory"/>
    <s v="Servicing: BC Next"/>
    <x v="0"/>
    <s v="41"/>
    <s v="Shyam Senthil Nathan"/>
    <x v="31"/>
    <n v="9"/>
    <n v="33.94245370370371"/>
    <s v="141385"/>
    <m/>
  </r>
  <r>
    <s v="137140"/>
    <s v="[BC NEXT][RESEARCH] Plan to Cure - Understand Stored Procedures"/>
    <s v="UserStory"/>
    <s v="Servicing: BC Next"/>
    <x v="0"/>
    <s v="34"/>
    <s v="Joseph Kranak"/>
    <x v="18"/>
    <n v="0"/>
    <n v="6.207974537037037"/>
    <m/>
    <m/>
  </r>
  <r>
    <s v="137203"/>
    <s v="[BC NEXT] Paymentus Quick Access Deployment"/>
    <s v="UserStory"/>
    <s v="Servicing: BC Next"/>
    <x v="0"/>
    <s v="36"/>
    <s v="Yokeshwaran Lokanathan"/>
    <x v="13"/>
    <n v="5"/>
    <n v="12.2631712962963"/>
    <s v="138993"/>
    <m/>
  </r>
  <r>
    <s v="137292"/>
    <s v="[BC NEXT][WEB] Update Impersonation delete user modal functionality"/>
    <s v="UserStory"/>
    <s v="Servicing: BC Next"/>
    <x v="0"/>
    <s v="40"/>
    <s v="Connor Golobich"/>
    <x v="15"/>
    <n v="14"/>
    <n v="36.30108796296296"/>
    <s v="140516"/>
    <m/>
  </r>
  <r>
    <s v="137511"/>
    <s v="[BC NEXT] Add Image Replacer Library"/>
    <s v="UserStory"/>
    <s v="Servicing: BC Next"/>
    <x v="0"/>
    <s v="40"/>
    <s v="Chirag Khandhar and Antonio Posada"/>
    <x v="15"/>
    <n v="12"/>
    <n v="40.23490740740741"/>
    <s v="140516"/>
    <m/>
  </r>
  <r>
    <s v="138132"/>
    <s v="[BC NEXT] Payoff Quote - Routes, Metadata, and Scaffolding"/>
    <s v="UserStory"/>
    <s v="Servicing: BC Next"/>
    <x v="0"/>
    <s v="40"/>
    <s v="Chirag Khandhar"/>
    <x v="16"/>
    <n v="4"/>
    <n v="12.06613425925926"/>
    <s v="141476"/>
    <m/>
  </r>
  <r>
    <s v="138186"/>
    <s v="[BC NEXT] Customer Support Center - Routes, Metadata, and Scaffolding"/>
    <s v="UserStory"/>
    <s v="Servicing: BC Next"/>
    <x v="0"/>
    <s v="45"/>
    <s v="Antonio Posada"/>
    <x v="17"/>
    <n v="13"/>
    <n v="49.01876157407407"/>
    <s v="143326"/>
    <m/>
  </r>
  <r>
    <s v="138948"/>
    <s v="[BC NEXT] My Profile - Update Account Settings Page"/>
    <s v="UserStory"/>
    <s v="Servicing: BC Next"/>
    <x v="0"/>
    <s v="50"/>
    <s v="Abbas Shamshi"/>
    <x v="1"/>
    <n v="56"/>
    <n v="63.88324074074074"/>
    <s v="141937"/>
    <m/>
  </r>
  <r>
    <s v="138952"/>
    <s v="[BC NEXT] My Profile - Routes, Metadata, and Scaffolding"/>
    <s v="UserStory"/>
    <s v="Servicing: BC Next"/>
    <x v="0"/>
    <s v="42"/>
    <s v="Yokeshwaran Lokanathan"/>
    <x v="1"/>
    <n v="6"/>
    <n v="20.13115740740741"/>
    <s v="141731"/>
    <m/>
  </r>
  <r>
    <s v="139404"/>
    <s v="[BC NEXT] My Profile - Create My Contact Numbers UI on My Profile Page"/>
    <s v="UserStory"/>
    <s v="Servicing: BC Next"/>
    <x v="0"/>
    <s v="46"/>
    <s v="Shyam Senthil Nathan"/>
    <x v="1"/>
    <n v="7"/>
    <n v="36.31730324074074"/>
    <s v="144279"/>
    <m/>
  </r>
  <r>
    <s v="139444"/>
    <s v="[BC NEXT] My Profile - Change Login Email Address Modal Logic"/>
    <s v="UserStory"/>
    <s v="Servicing: BC Next"/>
    <x v="0"/>
    <m/>
    <m/>
    <x v="1"/>
    <m/>
    <m/>
    <m/>
    <m/>
  </r>
  <r>
    <s v="140342"/>
    <s v="[BC NEXT] Customer Support Center - Create My Profile page"/>
    <s v="UserStory"/>
    <s v="Servicing: BC Next"/>
    <x v="0"/>
    <m/>
    <m/>
    <x v="17"/>
    <m/>
    <m/>
    <m/>
    <m/>
  </r>
  <r>
    <s v="140343"/>
    <s v="[BC NEXT] Customer Support Center - Create My Payments page"/>
    <s v="UserStory"/>
    <s v="Servicing: BC Next"/>
    <x v="0"/>
    <m/>
    <m/>
    <x v="17"/>
    <m/>
    <m/>
    <m/>
    <m/>
  </r>
  <r>
    <s v="140344"/>
    <s v="[BC NEXT] Customer Support Center - Create Insurance and Claims page"/>
    <s v="UserStory"/>
    <s v="Servicing: BC Next"/>
    <x v="0"/>
    <m/>
    <m/>
    <x v="17"/>
    <m/>
    <m/>
    <m/>
    <m/>
  </r>
  <r>
    <s v="140345"/>
    <s v="[BC NEXT] Customer Support Center - Create My Vehicle page"/>
    <s v="UserStory"/>
    <s v="Servicing: BC Next"/>
    <x v="0"/>
    <m/>
    <m/>
    <x v="17"/>
    <m/>
    <m/>
    <m/>
    <m/>
  </r>
  <r>
    <s v="140346"/>
    <s v="[BC NEXT] Customer Support Center - Create Simple Interest page"/>
    <s v="UserStory"/>
    <s v="Servicing: BC Next"/>
    <x v="0"/>
    <m/>
    <m/>
    <x v="17"/>
    <m/>
    <m/>
    <m/>
    <m/>
  </r>
  <r>
    <s v="140347"/>
    <s v="[BC NEXT] Customer Support Center - Create My AutoPay page"/>
    <s v="UserStory"/>
    <s v="Servicing: BC Next"/>
    <x v="0"/>
    <m/>
    <m/>
    <x v="17"/>
    <m/>
    <m/>
    <m/>
    <m/>
  </r>
  <r>
    <s v="140348"/>
    <s v="[BC NEXT] Customer Support Center - Create My Title page"/>
    <s v="UserStory"/>
    <s v="Servicing: BC Next"/>
    <x v="0"/>
    <m/>
    <m/>
    <x v="17"/>
    <m/>
    <m/>
    <m/>
    <m/>
  </r>
  <r>
    <s v="140349"/>
    <s v="[BC NEXT] Customer Support Center - Create Tax Refund Benefits page"/>
    <s v="UserStory"/>
    <s v="Servicing: BC Next"/>
    <x v="0"/>
    <m/>
    <m/>
    <x v="17"/>
    <m/>
    <m/>
    <m/>
    <m/>
  </r>
  <r>
    <s v="140350"/>
    <s v="[BC NEXT] Customer Support Center - Create Skip a Payment page"/>
    <s v="UserStory"/>
    <s v="Servicing: BC Next"/>
    <x v="0"/>
    <m/>
    <m/>
    <x v="17"/>
    <m/>
    <m/>
    <m/>
    <m/>
  </r>
  <r>
    <s v="140699"/>
    <s v="[BC NEXT] My Profile - Create Vision Classic comments for Vision Classic"/>
    <s v="UserStory"/>
    <s v="Servicing: BC Next"/>
    <x v="0"/>
    <m/>
    <m/>
    <x v="1"/>
    <m/>
    <m/>
    <m/>
    <m/>
  </r>
  <r>
    <s v="140780"/>
    <s v="[BC NEXT] Manage Mods - Opt Out Page"/>
    <s v="UserStory"/>
    <s v="Servicing: BC Next"/>
    <x v="0"/>
    <s v="45"/>
    <s v="Antonio Posada"/>
    <x v="12"/>
    <n v="20"/>
    <n v="32.60943287037037"/>
    <s v="143326"/>
    <m/>
  </r>
  <r>
    <s v="141305"/>
    <s v="[BCAPI] Allow querying of PayoffQuote within SelfServiceCustomer Queries"/>
    <s v="UserStory"/>
    <s v="Servicing: BC Next"/>
    <x v="0"/>
    <s v="41"/>
    <s v="Connor Golobich"/>
    <x v="16"/>
    <n v="0"/>
    <n v="2.102800925925926"/>
    <s v="141481"/>
    <m/>
  </r>
  <r>
    <s v="141807"/>
    <s v="[BC API] My Profile - Update BC API to capture identifiers"/>
    <s v="UserStory"/>
    <s v="Servicing: BC Next"/>
    <x v="0"/>
    <s v="50"/>
    <s v="Pete Wesselius"/>
    <x v="1"/>
    <n v="8"/>
    <n v="44.25616898148148"/>
    <s v="146647"/>
    <m/>
  </r>
  <r>
    <s v="143001"/>
    <s v="Upgrade Cypress Version"/>
    <s v="UserStory"/>
    <s v="Servicing: BC Next"/>
    <x v="0"/>
    <s v="46"/>
    <s v="Abbas Shamshi"/>
    <x v="15"/>
    <n v="1"/>
    <n v="12.98189814814815"/>
    <s v="144410"/>
    <m/>
  </r>
  <r>
    <s v="144024"/>
    <s v="[BC NEXT] Manage Modifications - Automation"/>
    <s v="UserStory"/>
    <s v="Servicing: BC Next"/>
    <x v="0"/>
    <s v="49"/>
    <s v="Connor Golobich"/>
    <x v="12"/>
    <n v="2"/>
    <n v="7.584907407407407"/>
    <s v="145895"/>
    <m/>
  </r>
  <r>
    <s v="144523"/>
    <s v="[BC NEXT] My Profile - Inaccurate Email Validation"/>
    <s v="UserStory"/>
    <s v="Servicing: BC Next"/>
    <x v="0"/>
    <s v="49"/>
    <s v="Shyam Senthil Nathan"/>
    <x v="1"/>
    <n v="14"/>
    <n v="20.53694444444444"/>
    <s v="145895"/>
    <m/>
  </r>
  <r>
    <s v="145756"/>
    <s v="[BC NEXT] Plan to Cure - Feature Clean Up"/>
    <s v="UserStory"/>
    <s v="Servicing: BC Next"/>
    <x v="0"/>
    <s v="51"/>
    <s v="Shyam Senthil Nathan"/>
    <x v="18"/>
    <n v="4"/>
    <n v="11.25756944444444"/>
    <s v="146744"/>
    <m/>
  </r>
  <r>
    <s v="125523"/>
    <s v="[BC NEXT][BUG] Dashboard - Date Due Same Day"/>
    <s v="UserStory"/>
    <s v="Servicing: BC Next"/>
    <x v="0"/>
    <s v="02"/>
    <s v="Yokeshwaran Lokanathan"/>
    <x v="5"/>
    <n v="3"/>
    <n v="4.075439814814815"/>
    <s v="125462"/>
    <m/>
  </r>
  <r>
    <s v="125691"/>
    <s v="[BC NEXT][OBSERVATION][2] AutoPay - Sorting by Sale Date"/>
    <s v="UserStory"/>
    <s v="Servicing: BC Next"/>
    <x v="0"/>
    <s v="04"/>
    <s v="Connor Golobich"/>
    <x v="5"/>
    <n v="1"/>
    <n v="4.605150462962963"/>
    <s v="126491"/>
    <m/>
  </r>
  <r>
    <s v="126241"/>
    <s v="[SSP][Research] Login &amp; Multi-Factor Auth"/>
    <s v="UserStory"/>
    <s v="Servicing: BC Next"/>
    <x v="0"/>
    <s v="04"/>
    <s v="Connor Golobich"/>
    <x v="20"/>
    <n v="0"/>
    <n v="1.998113425925926"/>
    <m/>
    <m/>
  </r>
  <r>
    <s v="126798"/>
    <s v="[BC NEXT][WEB BACKEND] Search Engine Optimization - Open Graph Data"/>
    <s v="UserStory"/>
    <s v="Servicing: BC Next"/>
    <x v="0"/>
    <s v="11"/>
    <s v="Yokeshwaran Lokanathan"/>
    <x v="19"/>
    <n v="4"/>
    <n v="8.900532407407407"/>
    <s v="128571"/>
    <m/>
  </r>
  <r>
    <s v="126817"/>
    <s v="[BC NEXT] Fault Injection"/>
    <s v="UserStory"/>
    <s v="Servicing: BC Next"/>
    <x v="0"/>
    <s v="09"/>
    <s v="Pete Wesselius"/>
    <x v="19"/>
    <n v="2"/>
    <n v="28.23494212962963"/>
    <s v="128068"/>
    <m/>
  </r>
  <r>
    <s v="127693"/>
    <s v="[BC NEXT] [WEB BACKEND] Update link redirects for AutoPay flows"/>
    <s v="UserStory"/>
    <s v="Servicing: BC Next"/>
    <x v="0"/>
    <s v="09"/>
    <s v="Shyam Senthil Nathan"/>
    <x v="19"/>
    <n v="3"/>
    <n v="7.256284722222222"/>
    <s v="128068"/>
    <m/>
  </r>
  <r>
    <s v="127710"/>
    <s v="[BC NEXT][WEB] OTP - Step 2: Review"/>
    <s v="UserStory"/>
    <s v="Servicing: BC Next"/>
    <x v="0"/>
    <s v="13"/>
    <s v="Chirag Khandhar"/>
    <x v="22"/>
    <n v="13"/>
    <n v="26.37381944444444"/>
    <s v="129428"/>
    <m/>
  </r>
  <r>
    <s v="127927"/>
    <s v="[BC NEXT][WEB] OTP - Loading Spinner"/>
    <s v="UserStory"/>
    <s v="Servicing: BC Next"/>
    <x v="0"/>
    <s v="13"/>
    <s v="Abbas Shamshi"/>
    <x v="22"/>
    <n v="5"/>
    <n v="15.10184027777778"/>
    <s v="129294"/>
    <m/>
  </r>
  <r>
    <s v="127930"/>
    <s v="[BC NEXT][WEB] OTP - Success Page"/>
    <s v="UserStory"/>
    <s v="Servicing: BC Next"/>
    <x v="0"/>
    <s v="13"/>
    <s v="Shyam Senthil Nathan"/>
    <x v="22"/>
    <n v="2"/>
    <n v="21.5912962962963"/>
    <s v="129428"/>
    <m/>
  </r>
  <r>
    <s v="127977"/>
    <s v="[BC NEXT] The logo is cut off on the pre-login page"/>
    <s v="UserStory"/>
    <s v="Servicing: BC Next"/>
    <x v="0"/>
    <s v="11"/>
    <s v="Connor Golobich"/>
    <x v="8"/>
    <n v="5"/>
    <n v="10.02373842592593"/>
    <s v="128571"/>
    <m/>
  </r>
  <r>
    <s v="127979"/>
    <s v="[BC NEXT] Verify Email Button Does Not Open In Gmail app"/>
    <s v="UserStory"/>
    <s v="Servicing: BC Next"/>
    <x v="0"/>
    <s v="09"/>
    <s v="Ari Pace"/>
    <x v="20"/>
    <n v="0"/>
    <n v="0.04813657407407407"/>
    <m/>
    <m/>
  </r>
  <r>
    <s v="128048"/>
    <s v="[BC NEXT][WEB] AutoPay - Modals"/>
    <s v="UserStory"/>
    <s v="Servicing: BC Next"/>
    <x v="0"/>
    <s v="16"/>
    <s v="Abbas Shamshi"/>
    <x v="23"/>
    <n v="5"/>
    <n v="25.24636574074074"/>
    <s v="131354"/>
    <m/>
  </r>
  <r>
    <s v="128051"/>
    <s v="[BC NEXT][WEB] AutoPay - Success Page"/>
    <s v="UserStory"/>
    <s v="Servicing: BC Next"/>
    <x v="0"/>
    <s v="16"/>
    <s v="Connor Golobich"/>
    <x v="23"/>
    <n v="6"/>
    <n v="21.00982638888889"/>
    <s v="131354"/>
    <m/>
  </r>
  <r>
    <s v="128058"/>
    <s v="[BC NEXT][LAUNCH DARKLY] RESEARCH Bucketing on SSP"/>
    <s v="UserStory"/>
    <s v="Servicing: BC Next"/>
    <x v="0"/>
    <s v="15"/>
    <s v="Connor Golobich"/>
    <x v="19"/>
    <n v="28"/>
    <n v="33.99760416666666"/>
    <m/>
    <m/>
  </r>
  <r>
    <s v="128227"/>
    <s v="[BC NEXT][WEB] Update links to point at correct environment"/>
    <s v="UserStory"/>
    <s v="Servicing: BC Next"/>
    <x v="0"/>
    <s v="12"/>
    <s v="Chirag Khandhar"/>
    <x v="8"/>
    <n v="1"/>
    <n v="2.185092592592592"/>
    <m/>
    <m/>
  </r>
  <r>
    <s v="128264"/>
    <s v="[BC NEXT][WEB] Dashboard - No Accounts Found"/>
    <s v="UserStory"/>
    <s v="Servicing: BC Next"/>
    <x v="0"/>
    <s v="12"/>
    <s v="Chirag Khandhar"/>
    <x v="4"/>
    <n v="6"/>
    <n v="14.1743287037037"/>
    <m/>
    <m/>
  </r>
  <r>
    <s v="128300"/>
    <s v="[BC NEXT] Fix logic to show Sign Up button"/>
    <s v="UserStory"/>
    <s v="Servicing: BC Next"/>
    <x v="0"/>
    <s v="13"/>
    <s v="Shyam Senthil Nathan"/>
    <x v="8"/>
    <n v="14"/>
    <n v="17.47784722222222"/>
    <s v="129029"/>
    <m/>
  </r>
  <r>
    <s v="128673"/>
    <s v="[BC NEXT][WEB] APPD - Modals"/>
    <s v="UserStory"/>
    <s v="Servicing: BC Next"/>
    <x v="0"/>
    <s v="16"/>
    <s v="Abbas Shamshi"/>
    <x v="25"/>
    <n v="5"/>
    <n v="21.93204861111111"/>
    <s v="131354"/>
    <m/>
  </r>
  <r>
    <s v="128674"/>
    <s v="[BC NEXT][WEB] APPD - Success"/>
    <s v="UserStory"/>
    <s v="Servicing: BC Next"/>
    <x v="0"/>
    <s v="17"/>
    <s v="Connor Golobich"/>
    <x v="25"/>
    <n v="0"/>
    <n v="15.17359953703704"/>
    <m/>
    <m/>
  </r>
  <r>
    <s v="128963"/>
    <s v="[BC NEXT][WEB] Fix Amount Due logic when Amount Due is $0"/>
    <s v="UserStory"/>
    <s v="Servicing: BC Next"/>
    <x v="0"/>
    <s v="13"/>
    <s v="Shyam Senthil Nathan"/>
    <x v="15"/>
    <n v="7"/>
    <n v="7.462893518518518"/>
    <s v="129294"/>
    <m/>
  </r>
  <r>
    <s v="129253"/>
    <s v="[BC NEXT][WEB] Dashboard - Hide additional links in Top/Side Nav for No Accounts Found Experience"/>
    <s v="UserStory"/>
    <s v="Servicing: BC Next"/>
    <x v="0"/>
    <s v="16"/>
    <s v="Abbas Shamshi"/>
    <x v="4"/>
    <n v="4"/>
    <n v="16.96393518518519"/>
    <s v="130138"/>
    <m/>
  </r>
  <r>
    <s v="129714"/>
    <s v="[BC NEXT][WEB] Payment Ineligibility Page"/>
    <s v="UserStory"/>
    <s v="Servicing: BC Next"/>
    <x v="0"/>
    <s v="24"/>
    <s v="Antonio Posada"/>
    <x v="28"/>
    <n v="27"/>
    <n v="41.09260416666667"/>
    <s v="132448"/>
    <m/>
  </r>
  <r>
    <s v="129715"/>
    <s v="[BC NEXT][WEB] Issue Processing Request Page"/>
    <s v="UserStory"/>
    <s v="Servicing: BC Next"/>
    <x v="0"/>
    <s v="19"/>
    <s v="Joseph Kranak"/>
    <x v="28"/>
    <n v="7"/>
    <n v="14.7341087962963"/>
    <s v="131615"/>
    <m/>
  </r>
  <r>
    <s v="129717"/>
    <s v="[BC NEXT][WEB] Outage Modal"/>
    <s v="UserStory"/>
    <s v="Servicing: BC Next"/>
    <x v="0"/>
    <s v="22"/>
    <s v="Antonio Posada"/>
    <x v="28"/>
    <n v="2"/>
    <n v="15.9684375"/>
    <s v="133076"/>
    <m/>
  </r>
  <r>
    <s v="129784"/>
    <s v="[BC NEXT] Dashboard - Update Account Summary Card message for accounts due today"/>
    <s v="UserStory"/>
    <s v="Servicing: BC Next"/>
    <x v="0"/>
    <s v="22"/>
    <s v="Joseph Kranak"/>
    <x v="7"/>
    <n v="6"/>
    <n v="13.14855324074074"/>
    <s v="133005"/>
    <m/>
  </r>
  <r>
    <s v="129786"/>
    <s v="[BC NEXT] Manage Payments - Not pulling AutoPay payments after enrolled"/>
    <s v="UserStory"/>
    <s v="Servicing: BC Next"/>
    <x v="0"/>
    <s v="22"/>
    <s v="Yokeshwaran Lokanathan"/>
    <x v="7"/>
    <n v="14"/>
    <n v="21.0621875"/>
    <s v="133005"/>
    <m/>
  </r>
  <r>
    <s v="131616"/>
    <s v="[BC NEXT][RESEARCH] Manage Debit Cards - Cards not syncing in Paymentus"/>
    <s v="UserStory"/>
    <s v="Servicing: BC Next"/>
    <x v="0"/>
    <s v="20"/>
    <s v="Pete Wesselius"/>
    <x v="7"/>
    <n v="0"/>
    <n v="4.169409722222222"/>
    <m/>
    <m/>
  </r>
  <r>
    <s v="132144"/>
    <s v="[BC NEXT][WEB] Login Pages - Verify Email"/>
    <s v="UserStory"/>
    <s v="Servicing: BC Next"/>
    <x v="0"/>
    <s v="21"/>
    <s v="Chirag Khandhar"/>
    <x v="29"/>
    <n v="2"/>
    <n v="6.182152777777778"/>
    <s v="132710"/>
    <m/>
  </r>
  <r>
    <s v="132152"/>
    <s v="[BC NEXT] Take user through login to land on logged in Contact Us page"/>
    <s v="UserStory"/>
    <s v="Servicing: BC Next"/>
    <x v="0"/>
    <s v="24"/>
    <s v="Yokeshwaran Lokanathan"/>
    <x v="7"/>
    <n v="5"/>
    <n v="6.194699074074074"/>
    <s v="133957"/>
    <m/>
  </r>
  <r>
    <s v="132156"/>
    <s v="[BC NEXT][WEB] Payment Options - Pay with Debit Card link broken pre-login"/>
    <s v="UserStory"/>
    <s v="Servicing: BC Next"/>
    <x v="0"/>
    <s v="23"/>
    <s v="Antonio Posada"/>
    <x v="7"/>
    <n v="2"/>
    <n v="15.01596064814815"/>
    <s v="133564"/>
    <m/>
  </r>
  <r>
    <s v="133226"/>
    <s v="[BC NEXT][WEB] Invalid route should land user on homepage/dashboard"/>
    <s v="UserStory"/>
    <s v="Servicing: BC Next"/>
    <x v="0"/>
    <s v="26"/>
    <s v="Yokeshwaran Lokanathan"/>
    <x v="0"/>
    <n v="7"/>
    <n v="11.28616898148148"/>
    <s v="134694"/>
    <m/>
  </r>
  <r>
    <s v="133482"/>
    <s v="[BC NEXT][WEB] Fix Footer"/>
    <s v="UserStory"/>
    <s v="Servicing: BC Next"/>
    <x v="0"/>
    <s v="26"/>
    <s v="Abbas Shamshi"/>
    <x v="0"/>
    <n v="7"/>
    <n v="11.17648148148148"/>
    <s v="134694"/>
    <m/>
  </r>
  <r>
    <s v="133563"/>
    <s v="[BC NEXT] Fix relative paths"/>
    <s v="UserStory"/>
    <s v="Servicing: BC Next"/>
    <x v="0"/>
    <s v="23"/>
    <s v="Joseph Kranak"/>
    <x v="15"/>
    <n v="0"/>
    <n v="0.1849074074074074"/>
    <s v="133564"/>
    <m/>
  </r>
  <r>
    <s v="133860"/>
    <s v="[BC NEXT][RESEARCH] Contact Us Backend in SSP"/>
    <s v="UserStory"/>
    <s v="Servicing: BC Next"/>
    <x v="0"/>
    <s v="28"/>
    <s v="Yokeshwaran Lokanathan"/>
    <x v="17"/>
    <n v="7"/>
    <n v="11.99210648148148"/>
    <m/>
    <m/>
  </r>
  <r>
    <s v="133897"/>
    <s v="[BC NEXT] Redirect Select Account page to Issue Processing Request when API error"/>
    <s v="UserStory"/>
    <s v="Servicing: BC Next"/>
    <x v="0"/>
    <s v="26"/>
    <s v="Yokeshwaran Lokanathan"/>
    <x v="15"/>
    <n v="10"/>
    <n v="13.82783564814815"/>
    <m/>
    <m/>
  </r>
  <r>
    <s v="134037"/>
    <s v="[BC NEXT] Update linting to enforce private names to start with underscore"/>
    <s v="UserStory"/>
    <s v="Servicing: BC Next"/>
    <x v="0"/>
    <s v="24"/>
    <s v="Joseph Kranak"/>
    <x v="15"/>
    <n v="1"/>
    <n v="1.350740740740741"/>
    <s v="134034"/>
    <m/>
  </r>
  <r>
    <s v="134084"/>
    <s v="[SSP] Update Launch Darkly SDK"/>
    <s v="UserStory"/>
    <s v="Servicing: BC Next"/>
    <x v="0"/>
    <s v="25"/>
    <s v="Connor Golobich"/>
    <x v="7"/>
    <n v="0"/>
    <n v="1.217418981481482"/>
    <s v="134413"/>
    <m/>
  </r>
  <r>
    <s v="134179"/>
    <s v="[BC NEXT] Manage Mods - Routes and Metadata"/>
    <s v="UserStory"/>
    <s v="Servicing: BC Next"/>
    <x v="0"/>
    <s v="29"/>
    <s v="Antonio Posada"/>
    <x v="12"/>
    <n v="8"/>
    <n v="19.14414351851852"/>
    <s v="136946"/>
    <m/>
  </r>
  <r>
    <s v="134705"/>
    <s v="[SSP] Update SSP redirect exclusion list to include additional URLS"/>
    <s v="UserStory"/>
    <s v="Servicing: BC Next"/>
    <x v="0"/>
    <s v="27"/>
    <s v="Connor Golobich"/>
    <x v="27"/>
    <n v="7"/>
    <n v="7.988136574074074"/>
    <s v="134997"/>
    <m/>
  </r>
  <r>
    <s v="135103"/>
    <s v="[BC NEXT] Manage Mods - Update Redirect for /manage-modifications for non-qualifying accounts"/>
    <s v="UserStory"/>
    <s v="Servicing: BC Next"/>
    <x v="0"/>
    <s v="30"/>
    <s v="Chirag Khandhar"/>
    <x v="12"/>
    <n v="1"/>
    <n v="5.9953125"/>
    <s v="136946"/>
    <m/>
  </r>
  <r>
    <s v="135410"/>
    <s v="[BC NEXT] Paymentus Quick Access - Routes, Metadata, and Scaffolding"/>
    <s v="UserStory"/>
    <s v="Servicing: BC Next"/>
    <x v="0"/>
    <s v="31"/>
    <s v="Chirag Khandhar"/>
    <x v="13"/>
    <n v="0"/>
    <n v="9.258472222222222"/>
    <s v="138993"/>
    <m/>
  </r>
  <r>
    <s v="135922"/>
    <s v="[BC NEXT] Manage Modifications Deployment"/>
    <s v="UserStory"/>
    <s v="Servicing: BC Next"/>
    <x v="0"/>
    <s v="39"/>
    <s v="Chirag Khandhar"/>
    <x v="12"/>
    <n v="0"/>
    <n v="50.01322916666666"/>
    <s v="136946"/>
    <m/>
  </r>
  <r>
    <s v="136623"/>
    <s v="[BC NEXT] APP - Add version number to Account Settings Page"/>
    <s v="UserStory"/>
    <s v="Servicing: BC Next"/>
    <x v="0"/>
    <s v="33"/>
    <s v="Joseph Kranak"/>
    <x v="9"/>
    <n v="7"/>
    <n v="9.05429398148148"/>
    <s v="137715"/>
    <m/>
  </r>
  <r>
    <s v="136651"/>
    <s v="[BC NEXT] Debit Cards not syncing with Paymentus when added through Manage Debit Cards page"/>
    <s v="UserStory"/>
    <s v="Servicing: BC Next"/>
    <x v="0"/>
    <s v="31"/>
    <s v="Camilo Guerrero"/>
    <x v="9"/>
    <n v="4"/>
    <n v="6.205925925925926"/>
    <s v="136925"/>
    <m/>
  </r>
  <r>
    <s v="139238"/>
    <s v="[BC NEXT][RESEARCH] Payoff Quote - How is Payoff Quote Summary document created"/>
    <s v="UserStory"/>
    <s v="Servicing: BC Next"/>
    <x v="0"/>
    <s v="39"/>
    <s v="Chirag Khandhar"/>
    <x v="16"/>
    <n v="0"/>
    <n v="5.206377314814815"/>
    <m/>
    <m/>
  </r>
  <r>
    <s v="139705"/>
    <s v="[BC NEXT] Hide Non Logged-in Debit Card Experience"/>
    <s v="UserStory"/>
    <s v="Servicing: BC Next"/>
    <x v="0"/>
    <s v="37"/>
    <s v="Abbas Shamshi"/>
    <x v="15"/>
    <n v="1"/>
    <n v="0.8947222222222222"/>
    <s v="139752"/>
    <m/>
  </r>
  <r>
    <s v="140200"/>
    <s v="[BC NEXT] Add disclaimer to Account Lookup page"/>
    <s v="UserStory"/>
    <s v="Servicing: BC Next"/>
    <x v="0"/>
    <s v="40"/>
    <s v="Abbas Shamshi"/>
    <x v="15"/>
    <n v="8"/>
    <n v="12.09701388888889"/>
    <s v="140516"/>
    <m/>
  </r>
  <r>
    <s v="140796"/>
    <s v="[BC NEXT][SSP] Add Manage Modifications URLs to redirect flag"/>
    <s v="UserStory"/>
    <s v="Servicing: BC Next"/>
    <x v="0"/>
    <s v="42"/>
    <s v="Connor Golobich"/>
    <x v="12"/>
    <n v="6"/>
    <n v="14.05828703703704"/>
    <m/>
    <m/>
  </r>
  <r>
    <s v="140944"/>
    <s v="[BC NEXT] Payoff Quote - Update Payoff Quote Letter"/>
    <s v="UserStory"/>
    <s v="Servicing: BC Next"/>
    <x v="0"/>
    <s v="43"/>
    <s v="Chirag Khandhar"/>
    <x v="16"/>
    <n v="3"/>
    <n v="4.254525462962963"/>
    <s v="142204"/>
    <m/>
  </r>
  <r>
    <s v="145321"/>
    <s v="[BC NEXT] My Profile - Create unit tests for email validation"/>
    <s v="UserStory"/>
    <s v="Servicing: BC Next"/>
    <x v="0"/>
    <s v="50"/>
    <s v="Michael Wang"/>
    <x v="1"/>
    <n v="0"/>
    <n v="7.579490740740741"/>
    <s v="146568"/>
    <m/>
  </r>
  <r>
    <s v="125514"/>
    <s v="[BC NEXT] App Pilot - SSP Banner Links"/>
    <s v="UserStory"/>
    <s v="Servicing: BC Next"/>
    <x v="0"/>
    <s v="02"/>
    <s v="Pete Wesselius"/>
    <x v="32"/>
    <n v="1"/>
    <n v="0.974849537037037"/>
    <s v="124683"/>
    <m/>
  </r>
  <r>
    <s v="129645"/>
    <s v="[BC NEXT][WEB] Update Homepage Login Button to Blue Button"/>
    <s v="UserStory"/>
    <s v="Servicing: BC Next"/>
    <x v="0"/>
    <s v="20"/>
    <s v="Shyam Senthil Nathan"/>
    <x v="7"/>
    <n v="0"/>
    <n v="12.24811342592593"/>
    <m/>
    <m/>
  </r>
  <r>
    <s v="132151"/>
    <s v="[BC NEXT][WEB] Update favicon"/>
    <s v="UserStory"/>
    <s v="Servicing: BC Next"/>
    <x v="0"/>
    <s v="22"/>
    <s v="Antonio Posada"/>
    <x v="7"/>
    <n v="2"/>
    <n v="2.836296296296296"/>
    <s v="133076"/>
    <m/>
  </r>
  <r>
    <s v="133224"/>
    <s v="[BC NEXT][APP] Update button on pre-login page"/>
    <s v="UserStory"/>
    <s v="Servicing: BC Next"/>
    <x v="0"/>
    <s v="23"/>
    <s v="Joseph Kranak"/>
    <x v="0"/>
    <n v="0"/>
    <n v="1.043726851851852"/>
    <s v="133564"/>
    <m/>
  </r>
  <r>
    <s v="135036"/>
    <s v="[BC NEXT] Update language on Payment Options page"/>
    <s v="UserStory"/>
    <s v="Servicing: BC Next"/>
    <x v="0"/>
    <s v="28"/>
    <s v="Chirag Khandhar"/>
    <x v="0"/>
    <n v="11"/>
    <n v="11.14648148148148"/>
    <s v="135384"/>
    <m/>
  </r>
  <r>
    <s v="142086"/>
    <s v="[BC NEXT][SSP] Deploy Manage Modifications redirects"/>
    <s v="UserStory"/>
    <s v="Servicing: BC Next"/>
    <x v="0"/>
    <s v="48"/>
    <s v="Connor Golobich"/>
    <x v="12"/>
    <n v="12"/>
    <n v="11.73509259259259"/>
    <s v="144706"/>
    <m/>
  </r>
  <r>
    <s v="125432"/>
    <s v="[BC NEXT][OBSERVATIONS][1] Transaction History is not showing recent payments"/>
    <s v="UserStory"/>
    <s v="Servicing: BC Next"/>
    <x v="0"/>
    <s v="02"/>
    <m/>
    <x v="5"/>
    <n v="0"/>
    <n v="2.314814814814815e-05"/>
    <m/>
    <m/>
  </r>
  <r>
    <s v="125763"/>
    <s v="[BC NEXT] [RESEARCH] Understand how payment reversals and fees are delivered through BCAPI"/>
    <s v="UserStory"/>
    <s v="Servicing: BC Next"/>
    <x v="0"/>
    <s v="03"/>
    <s v="Connor Golobich"/>
    <x v="5"/>
    <n v="0"/>
    <n v="0.9633912037037037"/>
    <m/>
    <m/>
  </r>
  <r>
    <s v="127975"/>
    <s v="[BC NEXT] Fix Bio-auth Error on Login"/>
    <s v="UserStory"/>
    <s v="Servicing: BC Next"/>
    <x v="0"/>
    <s v="14"/>
    <m/>
    <x v="7"/>
    <n v="0"/>
    <n v="0.2047222222222222"/>
    <m/>
    <m/>
  </r>
  <r>
    <s v="134998"/>
    <s v="[BC NEXT][WEB] Deploy int branch from code freeze"/>
    <s v="UserStory"/>
    <s v="Servicing: BC Next"/>
    <x v="0"/>
    <s v="28"/>
    <m/>
    <x v="0"/>
    <n v="1"/>
    <n v="1.151412037037037"/>
    <s v="135384"/>
    <m/>
  </r>
  <r>
    <s v="136358"/>
    <s v="[BC NEXT] HOT FIX - AutoPay Enrollment for Same Day Sales"/>
    <s v="UserStory"/>
    <s v="Servicing: BC Next"/>
    <x v="0"/>
    <s v="30"/>
    <s v="Camilo Guerrero"/>
    <x v="0"/>
    <n v="0"/>
    <n v="0.3003009259259259"/>
    <s v="136362"/>
    <m/>
  </r>
  <r>
    <s v="140745"/>
    <s v="[BC NEXT] Customer Support Center - Document Request section send request logic"/>
    <s v="UserStory"/>
    <s v="Servicing: BC Next"/>
    <x v="0"/>
    <m/>
    <m/>
    <x v="17"/>
    <m/>
    <m/>
    <m/>
    <m/>
  </r>
  <r>
    <s v="146841"/>
    <s v="[BC NEXT] My Profile - Create Auth0 Password Update Mutation"/>
    <s v="UserStory"/>
    <s v="Servicing: BC Next"/>
    <x v="0"/>
    <m/>
    <m/>
    <x v="1"/>
    <m/>
    <m/>
    <m/>
    <m/>
  </r>
  <r>
    <s v="129702"/>
    <s v="Email &amp; Text App Launch Communications for Current"/>
    <s v="UserStory"/>
    <s v="Servicing: BC Next"/>
    <x v="1"/>
    <s v="20"/>
    <s v="Sushma Gurram and Julie Ramos and Aditi Sharma"/>
    <x v="33"/>
    <n v="7"/>
    <n v="36.10170138888888"/>
    <s v="132158"/>
    <m/>
  </r>
  <r>
    <s v="133813"/>
    <s v="Implement new Success and Error registration pages with deep linking"/>
    <s v="UserStory"/>
    <s v="Servicing: BC Next"/>
    <x v="1"/>
    <s v="29"/>
    <s v="Manuel Tenorio and Daniel Verhagen"/>
    <x v="31"/>
    <n v="9"/>
    <n v="36.79193287037037"/>
    <s v="135225"/>
    <m/>
  </r>
  <r>
    <s v="125958"/>
    <s v="[BC NEXT][OBSERVATIONS][1] Same Day Sale shows error page"/>
    <s v="UserStory"/>
    <s v="Servicing: BC Next"/>
    <x v="1"/>
    <s v="04"/>
    <s v="Akshay Golash and Marcus Rogers and Aditi Sharma"/>
    <x v="6"/>
    <n v="1"/>
    <n v="7.218368055555556"/>
    <s v="126335"/>
    <m/>
  </r>
  <r>
    <s v="127408"/>
    <s v="[RESEARCH SPIKE] Document options for push notifications"/>
    <s v="UserStory"/>
    <s v="Servicing: BC Next"/>
    <x v="1"/>
    <s v="10"/>
    <s v="Marcus Rogers and Aditi Sharma"/>
    <x v="34"/>
    <n v="0"/>
    <n v="12.23158564814815"/>
    <m/>
    <m/>
  </r>
  <r>
    <s v="130908"/>
    <s v="[BC NEXT] PTC Banner - Active Payment Plan Banner"/>
    <s v="UserStory"/>
    <s v="Servicing: BC Next"/>
    <x v="1"/>
    <s v="22"/>
    <s v="Aditi Sharma"/>
    <x v="30"/>
    <n v="11"/>
    <n v="18.03398148148148"/>
    <s v="132566"/>
    <m/>
  </r>
  <r>
    <s v="131712"/>
    <s v="[BC NEXT] PTC Banner - View Payment Plans Options Banner"/>
    <s v="UserStory"/>
    <s v="Servicing: BC Next"/>
    <x v="1"/>
    <s v="22"/>
    <s v="Aditi Sharma"/>
    <x v="30"/>
    <n v="2"/>
    <n v="13.03303240740741"/>
    <s v="133201"/>
    <m/>
  </r>
  <r>
    <s v="132103"/>
    <s v="[BC NEXT] Implement TWT Widget on BC Next"/>
    <s v="UserStory"/>
    <s v="Servicing: BC Next"/>
    <x v="1"/>
    <s v="25"/>
    <s v="Marcus Rogers and Aditi Sharma"/>
    <x v="35"/>
    <n v="1"/>
    <n v="21.67188657407407"/>
    <s v="134382"/>
    <m/>
  </r>
  <r>
    <s v="132624"/>
    <s v="Implement Smart App Banner"/>
    <s v="UserStory"/>
    <s v="Servicing: BC Next"/>
    <x v="1"/>
    <s v="31"/>
    <s v="Aditi Sharma and Michael Wang"/>
    <x v="36"/>
    <n v="12"/>
    <n v="33.8587962962963"/>
    <s v="136788"/>
    <m/>
  </r>
  <r>
    <s v="132628"/>
    <s v="Research Deep Linking for Verification Email"/>
    <s v="UserStory"/>
    <s v="Servicing: BC Next"/>
    <x v="1"/>
    <s v="24"/>
    <s v="Daniel Verhagen"/>
    <x v="31"/>
    <n v="0"/>
    <n v="12.98395833333333"/>
    <m/>
    <m/>
  </r>
  <r>
    <s v="134472"/>
    <s v="[BC NEXT] Manage Mods - Expired Modification Banner"/>
    <s v="UserStory"/>
    <s v="Servicing: BC Next"/>
    <x v="1"/>
    <s v="40"/>
    <s v="Marcus Rogers"/>
    <x v="12"/>
    <n v="7"/>
    <n v="35.77670138888889"/>
    <s v="140775"/>
    <m/>
  </r>
  <r>
    <s v="134480"/>
    <s v="[BC NEXT] Visibility to TWT Widget when impersonating a user"/>
    <s v="UserStory"/>
    <s v="Servicing: BC Next"/>
    <x v="1"/>
    <s v="29"/>
    <s v="Michael Wang"/>
    <x v="35"/>
    <n v="13"/>
    <n v="15.91232638888889"/>
    <s v="135225"/>
    <m/>
  </r>
  <r>
    <s v="139857"/>
    <s v="[BC NEXT] Manage Mods - Processing and Completed Modification Banner"/>
    <s v="UserStory"/>
    <s v="Servicing: BC Next"/>
    <x v="1"/>
    <s v="40"/>
    <s v="Marcus Rogers"/>
    <x v="12"/>
    <n v="1"/>
    <n v="11.90665509259259"/>
    <s v="140775"/>
    <m/>
  </r>
  <r>
    <s v="125181"/>
    <s v="[BC NEXT][OBSERVATIONS][1] MAP/AP/AP Past Due is showing previously logged in vehicle's info"/>
    <s v="UserStory"/>
    <s v="Servicing: BC Next"/>
    <x v="1"/>
    <s v="02"/>
    <s v="Akshay Golash"/>
    <x v="5"/>
    <n v="0"/>
    <n v="10.01972222222222"/>
    <s v="125594"/>
    <m/>
  </r>
  <r>
    <s v="125270"/>
    <s v="[BC NEXT][OBSERVATIONS][1] Create events within Account Lookup/Email Verification Flow"/>
    <s v="UserStory"/>
    <s v="Servicing: BC Next"/>
    <x v="1"/>
    <s v="05"/>
    <s v="Marcus Rogers and Michael Wang"/>
    <x v="6"/>
    <n v="3"/>
    <n v="16.7605787037037"/>
    <s v="126564"/>
    <m/>
  </r>
  <r>
    <s v="125982"/>
    <s v="[MAR RC][BC NEXT][OBSERVATIONS][2] Cancel is not clearing AutoPay"/>
    <s v="UserStory"/>
    <s v="Servicing: BC Next"/>
    <x v="1"/>
    <s v="08"/>
    <s v="Marcus Rogers"/>
    <x v="6"/>
    <n v="1"/>
    <n v="28.96145833333333"/>
    <s v="127779"/>
    <m/>
  </r>
  <r>
    <s v="126626"/>
    <s v="[FEB RC][BC NEXT][OBSERVATIONS][1] Date is incorrect in the calendar"/>
    <s v="UserStory"/>
    <s v="Servicing: BC Next"/>
    <x v="1"/>
    <s v="06"/>
    <s v="Daniel Verhagen and Michael Wang"/>
    <x v="6"/>
    <n v="3"/>
    <n v="9.763865740740741"/>
    <s v="126944"/>
    <m/>
  </r>
  <r>
    <s v="126759"/>
    <s v="[BC NEXT][OBSERVATIONS][2] Analytic Bug Bunch"/>
    <s v="UserStory"/>
    <s v="Servicing: BC Next"/>
    <x v="1"/>
    <s v="09"/>
    <s v="Marcus Rogers and Daniel Verhagen and Michael Wang"/>
    <x v="6"/>
    <n v="3"/>
    <n v="22.75611111111111"/>
    <s v="128000"/>
    <m/>
  </r>
  <r>
    <s v="126926"/>
    <s v="[BC NEXT][OBSERVATIONS][2] Setup Victor Ops Alerts for BC Next AI Alerts"/>
    <s v="UserStory"/>
    <s v="Servicing: BC Next"/>
    <x v="1"/>
    <s v="07"/>
    <s v="Aditi Sharma"/>
    <x v="6"/>
    <n v="1"/>
    <n v="6.774039351851852"/>
    <m/>
    <m/>
  </r>
  <r>
    <s v="129752"/>
    <s v="Configure different route for android and iOS deeplinks"/>
    <s v="UserStory"/>
    <s v="Servicing: BC Next"/>
    <x v="1"/>
    <s v="19"/>
    <s v="Daniel Verhagen"/>
    <x v="33"/>
    <n v="7"/>
    <n v="22.25795138888889"/>
    <s v="131389"/>
    <m/>
  </r>
  <r>
    <s v="130766"/>
    <s v="[BC Next][BC API] Add endpoint in BC API to /api/loan/loanModSummary in Bc.Data.Collections"/>
    <s v="UserStory"/>
    <s v="Servicing: BC Next"/>
    <x v="1"/>
    <s v="22"/>
    <s v="Akshay Golash"/>
    <x v="30"/>
    <n v="14"/>
    <n v="20.05809027777778"/>
    <s v="132547"/>
    <m/>
  </r>
  <r>
    <s v="130909"/>
    <s v="[BC NEXT] Mod Banner - Approved and Pending Signature Banner"/>
    <s v="UserStory"/>
    <s v="Servicing: BC Next"/>
    <x v="1"/>
    <s v="22"/>
    <s v="Marcus Rogers"/>
    <x v="30"/>
    <n v="11"/>
    <n v="17.86966435185185"/>
    <s v="132566"/>
    <m/>
  </r>
  <r>
    <s v="132436"/>
    <s v="[BC Next] Research TWT widget implementation on BcNext"/>
    <s v="UserStory"/>
    <s v="Servicing: BC Next"/>
    <x v="1"/>
    <s v="22"/>
    <s v="Marcus Rogers"/>
    <x v="35"/>
    <n v="1"/>
    <n v="11.87793981481481"/>
    <m/>
    <m/>
  </r>
  <r>
    <s v="133789"/>
    <s v="[BC Next] Modify BC Next Banner Hierarchy"/>
    <s v="UserStory"/>
    <s v="Servicing: BC Next"/>
    <x v="1"/>
    <s v="25"/>
    <s v="Manuel Tenorio and Michael Wang"/>
    <x v="30"/>
    <n v="5"/>
    <n v="6.996585648148148"/>
    <s v="134334"/>
    <m/>
  </r>
  <r>
    <s v="133954"/>
    <s v="Web Launch Email Aug 24th"/>
    <s v="UserStory"/>
    <s v="Servicing: BC Next"/>
    <x v="1"/>
    <s v="34"/>
    <s v="Sushma Gurram and Aditi Sharma"/>
    <x v="37"/>
    <n v="0"/>
    <n v="5.834814814814814"/>
    <s v="133902"/>
    <m/>
  </r>
  <r>
    <s v="134421"/>
    <s v="[BC NEXT] Implement TWT Widget on BC Next on Android &amp; iOS devices"/>
    <s v="UserStory"/>
    <s v="Servicing: BC Next"/>
    <x v="1"/>
    <s v="29"/>
    <s v="Manuel Tenorio and Michael Wang"/>
    <x v="35"/>
    <n v="15"/>
    <n v="27.9974537037037"/>
    <s v="135225"/>
    <m/>
  </r>
  <r>
    <s v="136676"/>
    <s v="Implement CTA for IOS Smart Banner Workflow"/>
    <s v="UserStory"/>
    <s v="Servicing: BC Next"/>
    <x v="1"/>
    <s v="33"/>
    <s v="Daniel Verhagen"/>
    <x v="36"/>
    <n v="8"/>
    <n v="13.66135416666667"/>
    <s v="137482"/>
    <m/>
  </r>
  <r>
    <s v="125230"/>
    <s v="[BC NEXT][OBSERVATIONS][1] No events within Register Account Success Modal"/>
    <s v="UserStory"/>
    <s v="Servicing: BC Next"/>
    <x v="1"/>
    <s v="02"/>
    <s v="Marcus Rogers"/>
    <x v="5"/>
    <n v="3"/>
    <n v="6.996967592592592"/>
    <s v="125457"/>
    <m/>
  </r>
  <r>
    <s v="125974"/>
    <s v="[MAR RC][BC NEXT][OBSERVATIONS][1] Deleting Routing Number issue and error message issue"/>
    <s v="UserStory"/>
    <s v="Servicing: BC Next"/>
    <x v="1"/>
    <s v="05"/>
    <s v="Daniel Verhagen"/>
    <x v="6"/>
    <n v="1"/>
    <n v="9.090474537037037"/>
    <s v="126785"/>
    <m/>
  </r>
  <r>
    <s v="126216"/>
    <s v="[MAR RC][BC NEXT][OBSERVATIONS][1] Dashboard AutoPay Eligibility"/>
    <s v="UserStory"/>
    <s v="Servicing: BC Next"/>
    <x v="1"/>
    <s v="06"/>
    <s v="Aditi Sharma"/>
    <x v="6"/>
    <n v="2"/>
    <n v="16.63559027777778"/>
    <s v="127077"/>
    <m/>
  </r>
  <r>
    <s v="126562"/>
    <s v="[BC Next][OBSERVATIONS][2] Cosmetic Issues"/>
    <s v="UserStory"/>
    <s v="Servicing: BC Next"/>
    <x v="1"/>
    <s v="08"/>
    <s v="Daniel Verhagen and Michael Wang"/>
    <x v="6"/>
    <n v="5"/>
    <n v="19.7846412037037"/>
    <s v="127656"/>
    <m/>
  </r>
  <r>
    <s v="126625"/>
    <s v="[MAR RC][BC NEXT][OBSERVATIONS][1] See Additional Payment Options button on Payment ineligibility page is not working and Issue processing request page displays"/>
    <s v="UserStory"/>
    <s v="Servicing: BC Next"/>
    <x v="1"/>
    <s v="07"/>
    <s v="Aditi Sharma"/>
    <x v="6"/>
    <n v="1"/>
    <n v="15.74782407407407"/>
    <s v="127103"/>
    <m/>
  </r>
  <r>
    <s v="127050"/>
    <s v="[SSP][Tax Time][Emails][Multivariate][1] Update Email Templates with new field and comps"/>
    <s v="UserStory"/>
    <s v="Servicing: BC Next"/>
    <x v="1"/>
    <s v="06"/>
    <s v="Marcus Rogers and Aditi Sharma"/>
    <x v="38"/>
    <n v="2"/>
    <n v="3.801898148148148"/>
    <m/>
    <m/>
  </r>
  <r>
    <s v="129701"/>
    <s v="Vision Classic |SSP - App Launch Communications"/>
    <s v="UserStory"/>
    <s v="Servicing: BC Next"/>
    <x v="1"/>
    <s v="17"/>
    <s v="Akshay Golash and Aditi Sharma"/>
    <x v="33"/>
    <n v="5"/>
    <n v="11.89391203703704"/>
    <s v="130368"/>
    <m/>
  </r>
  <r>
    <s v="132679"/>
    <s v="Update the DNC sproc"/>
    <s v="UserStory"/>
    <s v="Servicing: BC Next"/>
    <x v="1"/>
    <s v="22"/>
    <s v="Sushma Gurram"/>
    <x v="33"/>
    <n v="6"/>
    <n v="6.982986111111111"/>
    <s v="132623"/>
    <m/>
  </r>
  <r>
    <s v="133953"/>
    <s v="App Launch Email/Texts - Aug 3rd, 10th, 17th"/>
    <s v="UserStory"/>
    <s v="Servicing: BC Next"/>
    <x v="1"/>
    <s v="33"/>
    <s v="Sushma Gurram"/>
    <x v="37"/>
    <n v="0"/>
    <n v="16.35383101851852"/>
    <m/>
    <m/>
  </r>
  <r>
    <s v="134229"/>
    <s v="[BcNext] Add deep linking config for new BcNext subdomain (www2.bridgecrest.com)"/>
    <s v="UserStory"/>
    <s v="Servicing: BC Next"/>
    <x v="1"/>
    <s v="25"/>
    <s v="Daniel Verhagen"/>
    <x v="31"/>
    <n v="5"/>
    <n v="5.208530092592593"/>
    <s v="134248"/>
    <m/>
  </r>
  <r>
    <s v="139479"/>
    <s v="[Platform SMS] Update twilio validation to accept custom attributes"/>
    <s v="UserStory"/>
    <s v="Servicing: BC Next"/>
    <x v="1"/>
    <s v="38"/>
    <s v="Aditi Sharma"/>
    <x v="15"/>
    <n v="6"/>
    <n v="6.945011574074074"/>
    <s v="139612"/>
    <m/>
  </r>
  <r>
    <s v="125164"/>
    <s v="[BC NEXT][OBSERVATIONS]Continue and Cancel buttons are sending analytics with 'OneTimePayment' category"/>
    <s v="UserStory"/>
    <s v="Servicing: BC Next"/>
    <x v="1"/>
    <s v="01"/>
    <s v="Michael Wang"/>
    <x v="5"/>
    <n v="2"/>
    <n v="2.047905092592592"/>
    <m/>
    <m/>
  </r>
  <r>
    <s v="125439"/>
    <s v="[BC NEXT][OBSERVATIONS][1]Hide Hello World from Production/Stage App Menu"/>
    <s v="UserStory"/>
    <s v="Servicing: BC Next"/>
    <x v="1"/>
    <s v="02"/>
    <s v="Daniel Verhagen and Michael Wang"/>
    <x v="5"/>
    <n v="2"/>
    <n v="3.028564814814815"/>
    <s v="125457"/>
    <m/>
  </r>
  <r>
    <s v="126632"/>
    <s v="[BC NEXT][OBSERVATIONS][2] Amount Due = 0 is showing as a Payment option to select"/>
    <s v="UserStory"/>
    <s v="Servicing: BC Next"/>
    <x v="1"/>
    <s v="06"/>
    <s v="Daniel Verhagen"/>
    <x v="6"/>
    <n v="3"/>
    <n v="8.916365740740741"/>
    <s v="127077"/>
    <m/>
  </r>
  <r>
    <s v="126703"/>
    <s v="[FEB RC][BC API] GQL 4 Upgrade + Same Day Sale fix"/>
    <s v="UserStory"/>
    <s v="Servicing: BC Next"/>
    <x v="1"/>
    <s v="05"/>
    <s v="Aditi Sharma"/>
    <x v="15"/>
    <n v="2"/>
    <n v="2.988368055555556"/>
    <s v="126784"/>
    <m/>
  </r>
  <r>
    <s v="132612"/>
    <s v="Update BC App Rollout MMS Message Template in Prod"/>
    <s v="UserStory"/>
    <s v="Servicing: BC Next"/>
    <x v="1"/>
    <s v="22"/>
    <s v="Sushma Gurram"/>
    <x v="33"/>
    <n v="8"/>
    <n v="7.997256944444444"/>
    <s v="132623"/>
    <m/>
  </r>
  <r>
    <s v="132672"/>
    <s v="Clean up MMS Azure Function logging"/>
    <s v="UserStory"/>
    <s v="Servicing: BC Next"/>
    <x v="1"/>
    <s v="22"/>
    <s v="Marcus Rogers"/>
    <x v="33"/>
    <n v="7"/>
    <n v="7.009583333333333"/>
    <s v="132623"/>
    <m/>
  </r>
  <r>
    <s v="135577"/>
    <s v="[Auth0][CC] Email Verification Redirect"/>
    <s v="UserStory"/>
    <s v="Servicing: BC Next"/>
    <x v="1"/>
    <s v="46"/>
    <s v="Daniel Verhagen"/>
    <x v="15"/>
    <n v="1"/>
    <n v="0.9226157407407407"/>
    <m/>
    <m/>
  </r>
  <r>
    <s v="125389"/>
    <s v="[REGRESSION] Test Group 1 iPhone"/>
    <s v="UserStory"/>
    <s v="Servicing: BC Next"/>
    <x v="1"/>
    <s v="03"/>
    <s v="Shyam Senthil Nathan"/>
    <x v="6"/>
    <n v="0"/>
    <n v="1.612453703703704"/>
    <m/>
    <m/>
  </r>
  <r>
    <s v="125390"/>
    <s v="[REGRESSION] Test Group 1 Android"/>
    <s v="UserStory"/>
    <s v="Servicing: BC Next"/>
    <x v="1"/>
    <s v="03"/>
    <s v="Abbas Shamshi"/>
    <x v="6"/>
    <n v="0"/>
    <n v="1.458333333333333"/>
    <m/>
    <m/>
  </r>
  <r>
    <s v="125430"/>
    <s v="[BC NEXT][OBSERVATIONS][1] Build number on the devices do not match the build number in Azure Release"/>
    <s v="UserStory"/>
    <s v="Servicing: BC Next"/>
    <x v="1"/>
    <s v="02"/>
    <m/>
    <x v="5"/>
    <n v="0"/>
    <n v="3.472222222222222e-05"/>
    <m/>
    <m/>
  </r>
  <r>
    <s v="125770"/>
    <s v="[REGRESSION] Test Group 2 iPhone"/>
    <s v="UserStory"/>
    <s v="Servicing: BC Next"/>
    <x v="1"/>
    <s v="03"/>
    <s v="Joseph Kranak and Yokeshwaran Lokanathan and Andrew Vu"/>
    <x v="6"/>
    <n v="0"/>
    <n v="1.540231481481481"/>
    <m/>
    <m/>
  </r>
  <r>
    <s v="125771"/>
    <s v="[REGRESSION] Test Group 2 Android"/>
    <s v="UserStory"/>
    <s v="Servicing: BC Next"/>
    <x v="1"/>
    <s v="03"/>
    <s v="Namratha Chilukuri and Jonathan Escamilla and Ite Pandit"/>
    <x v="6"/>
    <n v="0"/>
    <n v="1.540208333333333"/>
    <m/>
    <m/>
  </r>
  <r>
    <s v="125772"/>
    <s v="[REGRESSION] Test Group 3 iPhone"/>
    <s v="UserStory"/>
    <s v="Servicing: BC Next"/>
    <x v="1"/>
    <s v="03"/>
    <s v="Jesse McMahon"/>
    <x v="6"/>
    <n v="0"/>
    <n v="1.559583333333333"/>
    <m/>
    <m/>
  </r>
  <r>
    <s v="125773"/>
    <s v="[REGRESSION] Test Group 3 Android"/>
    <s v="UserStory"/>
    <s v="Servicing: BC Next"/>
    <x v="1"/>
    <s v="03"/>
    <s v="Pete Wesselius"/>
    <x v="6"/>
    <n v="0"/>
    <n v="1.55900462962963"/>
    <m/>
    <m/>
  </r>
  <r>
    <s v="125774"/>
    <s v="[REGRESSION] Test Group 4 iPhone"/>
    <s v="UserStory"/>
    <s v="Servicing: BC Next"/>
    <x v="1"/>
    <s v="03"/>
    <s v="Lavanya Raghavender"/>
    <x v="6"/>
    <n v="0"/>
    <n v="1.533553240740741"/>
    <m/>
    <m/>
  </r>
  <r>
    <s v="125775"/>
    <s v="[REGRESSION] Test Group 4 Android"/>
    <s v="UserStory"/>
    <s v="Servicing: BC Next"/>
    <x v="1"/>
    <s v="03"/>
    <s v="Marcus Rogers"/>
    <x v="6"/>
    <n v="0"/>
    <n v="1.559629629629629"/>
    <m/>
    <m/>
  </r>
  <r>
    <s v="125776"/>
    <s v="[REGRESSION] Test Group 5 iPhone"/>
    <s v="UserStory"/>
    <s v="Servicing: BC Next"/>
    <x v="1"/>
    <s v="03"/>
    <s v="Chirag Khandhar"/>
    <x v="6"/>
    <n v="0"/>
    <n v="1.559050925925926"/>
    <m/>
    <m/>
  </r>
  <r>
    <s v="125777"/>
    <s v="[REGRESSION] Test Group 5 Android"/>
    <s v="UserStory"/>
    <s v="Servicing: BC Next"/>
    <x v="1"/>
    <s v="03"/>
    <s v="Jonathan Escamilla"/>
    <x v="6"/>
    <n v="1"/>
    <n v="1.485266203703704"/>
    <m/>
    <m/>
  </r>
  <r>
    <s v="125778"/>
    <s v="[REGRESSION] Test Group 6 iPhone"/>
    <s v="UserStory"/>
    <s v="Servicing: BC Next"/>
    <x v="1"/>
    <s v="03"/>
    <s v="Andrew Vu"/>
    <x v="6"/>
    <n v="0"/>
    <n v="1.533703703703704"/>
    <m/>
    <m/>
  </r>
  <r>
    <s v="125779"/>
    <s v="[REGRESSION] Test Group 6 Android"/>
    <s v="UserStory"/>
    <s v="Servicing: BC Next"/>
    <x v="1"/>
    <s v="03"/>
    <s v="Aditi Sharma"/>
    <x v="6"/>
    <n v="0"/>
    <n v="1.535625"/>
    <m/>
    <m/>
  </r>
  <r>
    <s v="125780"/>
    <s v="[REGRESSION] Test Group 7 iPhone"/>
    <s v="UserStory"/>
    <s v="Servicing: BC Next"/>
    <x v="1"/>
    <s v="03"/>
    <s v="Joseph Kranak"/>
    <x v="6"/>
    <n v="1"/>
    <n v="1.560763888888889"/>
    <m/>
    <m/>
  </r>
  <r>
    <s v="125781"/>
    <s v="[REGRESSION] Test Group 7 Android"/>
    <s v="UserStory"/>
    <s v="Servicing: BC Next"/>
    <x v="1"/>
    <s v="03"/>
    <s v="Namratha Chilukuri"/>
    <x v="6"/>
    <n v="0"/>
    <n v="1.48474537037037"/>
    <m/>
    <m/>
  </r>
  <r>
    <s v="125782"/>
    <s v="[REGRESSION] Test Group 8 iPhone"/>
    <s v="UserStory"/>
    <s v="Servicing: BC Next"/>
    <x v="1"/>
    <s v="03"/>
    <s v="Michael Wang"/>
    <x v="6"/>
    <n v="0"/>
    <n v="1.485636574074074"/>
    <m/>
    <m/>
  </r>
  <r>
    <s v="125783"/>
    <s v="[REGRESSION] Test Group 8 Android"/>
    <s v="UserStory"/>
    <s v="Servicing: BC Next"/>
    <x v="1"/>
    <s v="03"/>
    <s v="Jonathan Escamilla"/>
    <x v="6"/>
    <n v="0"/>
    <n v="0.4940046296296296"/>
    <m/>
    <m/>
  </r>
  <r>
    <s v="125785"/>
    <s v="[REGRESSION] Test Group 9 iPhone"/>
    <s v="UserStory"/>
    <s v="Servicing: BC Next"/>
    <x v="1"/>
    <s v="03"/>
    <s v="Sri Charan Simha Velpur"/>
    <x v="6"/>
    <n v="0"/>
    <n v="1.484328703703704"/>
    <m/>
    <m/>
  </r>
  <r>
    <s v="125786"/>
    <s v="[REGRESSION] Test Group 9 Android"/>
    <s v="UserStory"/>
    <s v="Servicing: BC Next"/>
    <x v="1"/>
    <s v="03"/>
    <s v="Aditi Sharma and Pete Wesselius"/>
    <x v="6"/>
    <n v="0"/>
    <n v="1.559224537037037"/>
    <m/>
    <m/>
  </r>
  <r>
    <s v="125960"/>
    <s v="[BC NEXT][OBSERVATIONS] Android events are missing"/>
    <s v="UserStory"/>
    <s v="Servicing: BC Next"/>
    <x v="1"/>
    <s v="03"/>
    <s v="Akshay Golash and Marcus Rogers"/>
    <x v="6"/>
    <n v="0"/>
    <n v="3.472222222222222e-05"/>
    <m/>
    <m/>
  </r>
  <r>
    <s v="125983"/>
    <s v="[FEB RC][BC NEXT][OBSERVATIONS][1] Not reauthenticating"/>
    <s v="UserStory"/>
    <s v="Servicing: BC Next"/>
    <x v="1"/>
    <s v="06"/>
    <m/>
    <x v="6"/>
    <n v="0"/>
    <n v="3.472222222222222e-05"/>
    <m/>
    <m/>
  </r>
  <r>
    <s v="126187"/>
    <s v="[BC NEXT][App] Create potential list of keywords for Corp Support"/>
    <s v="UserStory"/>
    <s v="Servicing: BC Next"/>
    <x v="1"/>
    <s v="04"/>
    <m/>
    <x v="15"/>
    <n v="1"/>
    <n v="3.9996875"/>
    <m/>
    <m/>
  </r>
  <r>
    <s v="126698"/>
    <s v="[SSP][Tax Time][Emails][Multivariate][1] Tax Time Emails Multivariate Testing Setup"/>
    <s v="UserStory"/>
    <s v="Servicing: BC Next"/>
    <x v="1"/>
    <s v="06"/>
    <s v="Bindu Dudipala"/>
    <x v="38"/>
    <n v="0"/>
    <n v="8.101851851851852e-05"/>
    <m/>
    <m/>
  </r>
  <r>
    <s v="126868"/>
    <s v="[FEB RC] Newly registered accounts not able to OTP, AutoPay, etc."/>
    <s v="UserStory"/>
    <s v="Servicing: BC Next"/>
    <x v="1"/>
    <s v="06"/>
    <s v="Akshay Golash"/>
    <x v="15"/>
    <n v="3"/>
    <n v="4.675671296296296"/>
    <s v="126944"/>
    <m/>
  </r>
  <r>
    <s v="147164"/>
    <s v="[PLACE HOLDER] Implement new Charged Off Campaign"/>
    <s v="UserStory"/>
    <s v="Servicing: BC Next"/>
    <x v="1"/>
    <m/>
    <m/>
    <x v="39"/>
    <m/>
    <m/>
    <m/>
    <m/>
  </r>
  <r>
    <s v="147165"/>
    <s v="[PLACE HOLDER] Implement new PCO Campaign"/>
    <s v="UserStory"/>
    <s v="Servicing: BC Next"/>
    <x v="1"/>
    <m/>
    <m/>
    <x v="40"/>
    <m/>
    <m/>
    <m/>
    <m/>
  </r>
  <r>
    <s v="126888"/>
    <s v="[BC NEXT][AUTO TESTS] [2] AutoPay"/>
    <s v="UserStory"/>
    <s v="Servicing: BC Next"/>
    <x v="2"/>
    <s v="13"/>
    <s v="Jonathan Escamilla and Sri Charan Simha Velpur and Andrew Vu"/>
    <x v="41"/>
    <n v="6"/>
    <n v="37.48035879629629"/>
    <s v="129247"/>
    <m/>
  </r>
  <r>
    <s v="126895"/>
    <s v="[BC NEXT][AUTO TESTS] [2] Dashboard"/>
    <s v="UserStory"/>
    <s v="Servicing: BC Next"/>
    <x v="2"/>
    <s v="11"/>
    <s v="Jajati Routray"/>
    <x v="41"/>
    <n v="4"/>
    <n v="25.16181712962963"/>
    <s v="128579"/>
    <m/>
  </r>
  <r>
    <s v="126899"/>
    <s v="[BC NEXT][AUTO TESTS] [2] Manage Payments"/>
    <s v="UserStory"/>
    <s v="Servicing: BC Next"/>
    <x v="2"/>
    <s v="15"/>
    <s v="Andrew Vu"/>
    <x v="41"/>
    <n v="5"/>
    <n v="21.18803240740741"/>
    <s v="129805"/>
    <m/>
  </r>
  <r>
    <s v="126903"/>
    <s v="[BC NEXT][AUTO TESTS] [2] Privacy Policy and Terms of Use"/>
    <s v="UserStory"/>
    <s v="Servicing: BC Next"/>
    <x v="2"/>
    <s v="13"/>
    <s v="Sri Charan Simha Velpur"/>
    <x v="41"/>
    <n v="2"/>
    <n v="10.97265046296296"/>
    <s v="129373"/>
    <m/>
  </r>
  <r>
    <s v="127576"/>
    <s v="[BC NEXT][AUTO TESTS] [2] AutoPay Past Due"/>
    <s v="UserStory"/>
    <s v="Servicing: BC Next"/>
    <x v="2"/>
    <s v="15"/>
    <s v="Taalaibek Ergeshov and Andrew Vu"/>
    <x v="41"/>
    <n v="3"/>
    <n v="44.02924768518518"/>
    <s v="129974"/>
    <m/>
  </r>
  <r>
    <s v="128117"/>
    <s v="Login/logout of Bridgecrest Admin Portal"/>
    <s v="UserStory"/>
    <s v="Servicing: BC Next"/>
    <x v="2"/>
    <s v="18"/>
    <s v="Sri Charan Simha Velpur and Andrew Vu"/>
    <x v="26"/>
    <n v="5"/>
    <n v="25.03988425925926"/>
    <s v="130896"/>
    <m/>
  </r>
  <r>
    <s v="128118"/>
    <s v="Manage Users and User Search"/>
    <s v="UserStory"/>
    <s v="Servicing: BC Next"/>
    <x v="2"/>
    <s v="19"/>
    <s v="Jonathan Escamilla and Andrew Vu"/>
    <x v="26"/>
    <n v="6"/>
    <n v="22.87001157407407"/>
    <s v="131728"/>
    <m/>
  </r>
  <r>
    <s v="128123"/>
    <s v="Delete User"/>
    <s v="UserStory"/>
    <s v="Servicing: BC Next"/>
    <x v="2"/>
    <s v="21"/>
    <s v="Jajati Routray and Sri Charan Simha Velpur"/>
    <x v="26"/>
    <n v="1"/>
    <n v="22.17420138888889"/>
    <s v="132477"/>
    <m/>
  </r>
  <r>
    <s v="128124"/>
    <s v="Impersonate"/>
    <s v="UserStory"/>
    <s v="Servicing: BC Next"/>
    <x v="2"/>
    <s v="21"/>
    <s v="Andrew Vu"/>
    <x v="26"/>
    <n v="14"/>
    <n v="30.83269675925926"/>
    <s v="132267"/>
    <m/>
  </r>
  <r>
    <s v="130830"/>
    <s v="Research Seamless Login between BC Next and SSP"/>
    <s v="UserStory"/>
    <s v="Servicing: BC Next"/>
    <x v="2"/>
    <s v="20"/>
    <s v="Venkatmahesh Polur"/>
    <x v="42"/>
    <n v="3"/>
    <n v="7.958587962962962"/>
    <m/>
    <m/>
  </r>
  <r>
    <s v="134662"/>
    <s v="Research how expose status of modification with supporting data"/>
    <s v="UserStory"/>
    <s v="Servicing: BC Next"/>
    <x v="2"/>
    <s v="28"/>
    <s v="Andrew Vu"/>
    <x v="43"/>
    <n v="2"/>
    <n v="15.95130787037037"/>
    <m/>
    <m/>
  </r>
  <r>
    <s v="135609"/>
    <s v="[EXPOSE MOD STATUS] Calling DTSE API for loan mod in hardships subgraph"/>
    <s v="UserStory"/>
    <s v="Servicing: BC Next"/>
    <x v="2"/>
    <s v="37"/>
    <s v="Jonathan Escamilla and Andrew Vu"/>
    <x v="43"/>
    <n v="4"/>
    <n v="36.04973379629629"/>
    <s v="139625"/>
    <m/>
  </r>
  <r>
    <s v="135613"/>
    <s v="[POC] Create Node JS Apollo gateway"/>
    <s v="UserStory"/>
    <s v="Servicing: BC Next"/>
    <x v="2"/>
    <s v="30"/>
    <s v="Sri Charan Simha Velpur and Andrew Vu"/>
    <x v="43"/>
    <n v="0"/>
    <n v="12.91655092592593"/>
    <m/>
    <m/>
  </r>
  <r>
    <s v="135614"/>
    <s v="[POC] Create .NET 6 GraphQL API"/>
    <s v="UserStory"/>
    <s v="Servicing: BC Next"/>
    <x v="2"/>
    <s v="30"/>
    <s v="Jonathan Escamilla and Isaac Ng"/>
    <x v="43"/>
    <n v="0"/>
    <n v="12.99989583333333"/>
    <m/>
    <m/>
  </r>
  <r>
    <s v="140925"/>
    <s v="Research How to Expose Charge Off Accounts to BC Next"/>
    <s v="UserStory"/>
    <s v="Servicing: BC Next"/>
    <x v="2"/>
    <s v="44"/>
    <s v="Sri Charan Simha Velpur"/>
    <x v="44"/>
    <n v="1"/>
    <n v="11.02457175925926"/>
    <m/>
    <m/>
  </r>
  <r>
    <s v="142537"/>
    <s v="[PCO] Modify Safety Net Logic and Azure API Permissions on BCNext Token"/>
    <s v="UserStory"/>
    <s v="Servicing: BC Next"/>
    <x v="2"/>
    <m/>
    <s v="Jonathan Escamilla"/>
    <x v="44"/>
    <m/>
    <n v="2.960265282314815"/>
    <m/>
    <m/>
  </r>
  <r>
    <s v="142538"/>
    <s v="[PCO] Integrate Accounts API into BC Accounts Subgraph"/>
    <s v="UserStory"/>
    <s v="Servicing: BC Next"/>
    <x v="2"/>
    <m/>
    <s v="Jonathan Escamilla"/>
    <x v="44"/>
    <m/>
    <n v="29.91782315268518"/>
    <m/>
    <m/>
  </r>
  <r>
    <s v="142539"/>
    <s v="[PCO] [DB] Expose Charge-off accounts data to BCNext Application"/>
    <s v="UserStory"/>
    <s v="Servicing: BC Next"/>
    <x v="2"/>
    <s v="47"/>
    <s v="Sri Charan Simha Velpur"/>
    <x v="44"/>
    <n v="6"/>
    <n v="18.0517824074074"/>
    <m/>
    <m/>
  </r>
  <r>
    <s v="144277"/>
    <s v="[PCO] Expose person details in selfServiceCustomer from Person Subgrpah"/>
    <s v="UserStory"/>
    <s v="Servicing: BC Next"/>
    <x v="2"/>
    <m/>
    <s v="Sri Charan Simha Velpur"/>
    <x v="44"/>
    <m/>
    <n v="2.059443703773148"/>
    <m/>
    <m/>
  </r>
  <r>
    <s v="125595"/>
    <s v="[BC NEXT] Research Guardian MFA in Auth0"/>
    <s v="UserStory"/>
    <s v="Servicing: BC Next"/>
    <x v="2"/>
    <s v="27"/>
    <s v="Isaac Ng and Andrew Vu"/>
    <x v="24"/>
    <n v="5"/>
    <n v="15.00575231481481"/>
    <s v="135018"/>
    <m/>
  </r>
  <r>
    <s v="125959"/>
    <s v="[FEB RC][BC NEXT][OBSERVATIONS][1] Previous customer persisted after logging in with new customer"/>
    <s v="UserStory"/>
    <s v="Servicing: BC Next"/>
    <x v="2"/>
    <s v="05"/>
    <s v="Sri Charan Simha Velpur and Andrew Vu"/>
    <x v="6"/>
    <n v="1"/>
    <n v="8.079317129629629"/>
    <s v="126609"/>
    <m/>
  </r>
  <r>
    <s v="126565"/>
    <s v="[BC NEXT][AUTO TESTS] [2] OTP - Terms Page Automation"/>
    <s v="UserStory"/>
    <s v="Servicing: BC Next"/>
    <x v="2"/>
    <s v="09"/>
    <s v="Andrew Vu"/>
    <x v="41"/>
    <n v="8"/>
    <n v="21.93538194444444"/>
    <s v="127984"/>
    <m/>
  </r>
  <r>
    <s v="126566"/>
    <s v="[BC NEXT][AUTO TESTS] [2] OTP - Review Terms Page Automation"/>
    <s v="UserStory"/>
    <s v="Servicing: BC Next"/>
    <x v="2"/>
    <s v="11"/>
    <s v="Taalaibek Ergeshov"/>
    <x v="41"/>
    <n v="6"/>
    <n v="34.74961805555555"/>
    <s v="128386"/>
    <m/>
  </r>
  <r>
    <s v="126568"/>
    <s v="[BC NEXT][AUTO TESTS] [2] OTP - Success/Error/Ineligible pages Automation"/>
    <s v="UserStory"/>
    <s v="Servicing: BC Next"/>
    <x v="2"/>
    <s v="09"/>
    <s v="Sri Charan Simha Velpur"/>
    <x v="41"/>
    <n v="3"/>
    <n v="21.01303240740741"/>
    <s v="128035"/>
    <m/>
  </r>
  <r>
    <s v="126896"/>
    <s v="[BC NEXT][AUTO TESTS] [2] Payment Options"/>
    <s v="UserStory"/>
    <s v="Servicing: BC Next"/>
    <x v="2"/>
    <s v="10"/>
    <s v="Andrew Vu"/>
    <x v="41"/>
    <n v="3"/>
    <n v="17.93635416666666"/>
    <s v="128286"/>
    <m/>
  </r>
  <r>
    <s v="126897"/>
    <s v="[BC NEXT][AUTO TESTS] [2] Manage Debit Cards"/>
    <s v="UserStory"/>
    <s v="Servicing: BC Next"/>
    <x v="2"/>
    <s v="10"/>
    <s v="Sri Charan Simha Velpur"/>
    <x v="41"/>
    <n v="3"/>
    <n v="17.13194444444444"/>
    <s v="128286"/>
    <m/>
  </r>
  <r>
    <s v="126898"/>
    <s v="[BC NEXT][AUTO TESTS] [2] Manage Bank Accounts"/>
    <s v="UserStory"/>
    <s v="Servicing: BC Next"/>
    <x v="2"/>
    <s v="12"/>
    <s v="Sri Charan Simha Velpur"/>
    <x v="41"/>
    <n v="3"/>
    <n v="18.01484953703704"/>
    <s v="128896"/>
    <m/>
  </r>
  <r>
    <s v="126900"/>
    <s v="[BC NEXT][AUTO TESTS] [2] Account Settings and App Menu"/>
    <s v="UserStory"/>
    <s v="Servicing: BC Next"/>
    <x v="2"/>
    <s v="12"/>
    <s v="Namratha Chilukuri"/>
    <x v="41"/>
    <n v="0"/>
    <n v="20.12831018518519"/>
    <s v="128896"/>
    <m/>
  </r>
  <r>
    <s v="126907"/>
    <s v="[BC NEXT][AUTO TESTS] [2] Session Timeout/Logout"/>
    <s v="UserStory"/>
    <s v="Servicing: BC Next"/>
    <x v="2"/>
    <s v="13"/>
    <s v="Namratha Chilukuri"/>
    <x v="41"/>
    <n v="2"/>
    <n v="10.19502314814815"/>
    <s v="129373"/>
    <m/>
  </r>
  <r>
    <s v="128037"/>
    <s v="[BC NEXT][RESEARCH][IMPERSONATION] Add DDR for Impersonation design"/>
    <s v="UserStory"/>
    <s v="Servicing: BC Next"/>
    <x v="2"/>
    <s v="11"/>
    <s v="Jajati Routray"/>
    <x v="26"/>
    <n v="1"/>
    <n v="8.799351851851851"/>
    <m/>
    <m/>
  </r>
  <r>
    <s v="128119"/>
    <s v="Verification Email"/>
    <s v="UserStory"/>
    <s v="Servicing: BC Next"/>
    <x v="2"/>
    <s v="19"/>
    <s v="Namratha Chilukuri and Jajati Routray"/>
    <x v="26"/>
    <n v="6"/>
    <n v="23.12298611111111"/>
    <s v="131728"/>
    <m/>
  </r>
  <r>
    <s v="128125"/>
    <s v="Analytic Events"/>
    <s v="UserStory"/>
    <s v="Servicing: BC Next"/>
    <x v="2"/>
    <s v="22"/>
    <s v="Jonathan Escamilla"/>
    <x v="26"/>
    <n v="8"/>
    <n v="25.34078703703704"/>
    <s v="133298"/>
    <m/>
  </r>
  <r>
    <s v="129761"/>
    <s v="Research Impersonation display options"/>
    <s v="UserStory"/>
    <s v="Servicing: BC Next"/>
    <x v="2"/>
    <s v="16"/>
    <s v="Jonathan Escamilla"/>
    <x v="26"/>
    <n v="0"/>
    <n v="7.06105324074074"/>
    <m/>
    <m/>
  </r>
  <r>
    <s v="130440"/>
    <s v="[BC NEXT] Update order of registration pages in login flow"/>
    <s v="UserStory"/>
    <s v="Servicing: BC Next"/>
    <x v="2"/>
    <s v="26"/>
    <s v="Connor Golobich"/>
    <x v="29"/>
    <n v="21"/>
    <n v="40.06238425925926"/>
    <s v="134254"/>
    <m/>
  </r>
  <r>
    <s v="132100"/>
    <s v="[BC NEXT] Research alternate BIO Auth path options"/>
    <s v="UserStory"/>
    <s v="Servicing: BC Next"/>
    <x v="2"/>
    <s v="24"/>
    <s v="Jonathan Escamilla"/>
    <x v="45"/>
    <n v="0"/>
    <n v="11.80766203703704"/>
    <m/>
    <m/>
  </r>
  <r>
    <s v="132102"/>
    <s v="Research Google Analytics 4 on BC Next"/>
    <s v="UserStory"/>
    <s v="Servicing: BC Next"/>
    <x v="2"/>
    <s v="24"/>
    <s v="Sri Charan Simha Velpur"/>
    <x v="46"/>
    <n v="0"/>
    <n v="14.02765046296296"/>
    <m/>
    <m/>
  </r>
  <r>
    <s v="132594"/>
    <s v="[BC NEXT] Research Auth0 Emails"/>
    <s v="UserStory"/>
    <s v="Servicing: BC Next"/>
    <x v="2"/>
    <s v="24"/>
    <s v="Isaac Ng"/>
    <x v="47"/>
    <n v="0"/>
    <n v="7.05744212962963"/>
    <m/>
    <m/>
  </r>
  <r>
    <s v="132904"/>
    <s v="Implement Google Analytics 4 on BC Next"/>
    <s v="UserStory"/>
    <s v="Servicing: BC Next"/>
    <x v="2"/>
    <s v="28"/>
    <s v="Sri Charan Simha Velpur"/>
    <x v="46"/>
    <n v="7"/>
    <n v="27.12940972222222"/>
    <s v="135512"/>
    <m/>
  </r>
  <r>
    <s v="133592"/>
    <s v="Adjust Customer Admin Portal to correspond with the New Registration Workflow on BC Next"/>
    <s v="UserStory"/>
    <s v="Servicing: BC Next"/>
    <x v="2"/>
    <s v="26"/>
    <s v="Andrew Vu"/>
    <x v="29"/>
    <n v="8"/>
    <n v="14.92423611111111"/>
    <s v="134254"/>
    <m/>
  </r>
  <r>
    <s v="134663"/>
    <s v="Research how to expose a method to inform the modification process the documents have been signed"/>
    <s v="UserStory"/>
    <s v="Servicing: BC Next"/>
    <x v="2"/>
    <s v="28"/>
    <s v="Sri Charan Simha Velpur"/>
    <x v="43"/>
    <n v="1"/>
    <n v="8.916574074074074"/>
    <m/>
    <m/>
  </r>
  <r>
    <s v="134665"/>
    <s v="Research how to save the document identity so it can be retrieved for the future"/>
    <s v="UserStory"/>
    <s v="Servicing: BC Next"/>
    <x v="2"/>
    <s v="28"/>
    <s v="Isaac Ng"/>
    <x v="43"/>
    <n v="0"/>
    <n v="7.051747685185185"/>
    <m/>
    <m/>
  </r>
  <r>
    <s v="135610"/>
    <s v="[EXPOSE MOD STATUS] Spin up Apollo Server (S)"/>
    <s v="UserStory"/>
    <s v="Servicing: BC Next"/>
    <x v="2"/>
    <s v="33"/>
    <s v="Isaac Ng"/>
    <x v="43"/>
    <n v="3"/>
    <n v="21.06291666666667"/>
    <s v="138042"/>
    <m/>
  </r>
  <r>
    <s v="135612"/>
    <s v="[EXPOSE MOD STATUS] Integrate Apollo Server into BFF server (S)"/>
    <s v="UserStory"/>
    <s v="Servicing: BC Next"/>
    <x v="2"/>
    <s v="40"/>
    <s v="Isaac Ng"/>
    <x v="43"/>
    <n v="18"/>
    <n v="38.22168981481482"/>
    <s v="140049"/>
    <m/>
  </r>
  <r>
    <s v="135615"/>
    <s v="[POC] Implement stitching of New API and BCAPI into BFF Server"/>
    <s v="UserStory"/>
    <s v="Servicing: BC Next"/>
    <x v="2"/>
    <s v="30"/>
    <m/>
    <x v="43"/>
    <n v="0"/>
    <n v="3.472222222222222e-05"/>
    <m/>
    <m/>
  </r>
  <r>
    <s v="135847"/>
    <s v="DO NOT invoke the MFA process for the customer admin portal"/>
    <s v="UserStory"/>
    <s v="Servicing: BC Next"/>
    <x v="2"/>
    <s v="29"/>
    <s v="Jonathan Escamilla"/>
    <x v="48"/>
    <n v="0"/>
    <n v="1.114884259259259"/>
    <s v="136028"/>
    <m/>
  </r>
  <r>
    <s v="136200"/>
    <s v="[EXPOSE MOD STATUS] Add docusign webhook &amp; forwarding logic to BFF Server, Hardship, DTSE"/>
    <s v="UserStory"/>
    <s v="Servicing: BC Next"/>
    <x v="2"/>
    <s v="40"/>
    <s v="Andrew Vu"/>
    <x v="43"/>
    <n v="13"/>
    <n v="26.21931712962963"/>
    <s v="140012"/>
    <m/>
  </r>
  <r>
    <s v="136512"/>
    <s v="[EXPOSE MOD STATUS] Build status logic"/>
    <s v="UserStory"/>
    <s v="Servicing: BC Next"/>
    <x v="2"/>
    <s v="37"/>
    <s v="Isaac Ng"/>
    <x v="43"/>
    <n v="4"/>
    <n v="28.14376157407407"/>
    <s v="139625"/>
    <m/>
  </r>
  <r>
    <s v="136517"/>
    <s v="[CAPTURE SIGNED DOCUMENT] Get Signed Status save documents in Smart Search"/>
    <s v="UserStory"/>
    <s v="Servicing: BC Next"/>
    <x v="2"/>
    <s v="40"/>
    <s v="Sri Charan Simha Velpur"/>
    <x v="43"/>
    <n v="19"/>
    <n v="41.16668981481482"/>
    <s v="139999"/>
    <m/>
  </r>
  <r>
    <s v="136600"/>
    <s v="[EXPOSE MOD STATUS] Federate BCAPI Subgraph into gateway"/>
    <s v="UserStory"/>
    <s v="Servicing: BC Next"/>
    <x v="2"/>
    <s v="35"/>
    <s v="Andrew Vu"/>
    <x v="43"/>
    <n v="5"/>
    <n v="20.99571759259259"/>
    <s v="138677"/>
    <m/>
  </r>
  <r>
    <s v="136899"/>
    <s v="[EXPOSE MOD STATUS] Implement Process Type Logic"/>
    <s v="UserStory"/>
    <s v="Servicing: BC Next"/>
    <x v="2"/>
    <s v="37"/>
    <s v="Sri Charan Simha Velpur"/>
    <x v="43"/>
    <n v="15"/>
    <n v="28.29537037037037"/>
    <s v="138940"/>
    <m/>
  </r>
  <r>
    <s v="138262"/>
    <s v="Enable additional MFA options &amp; send communications"/>
    <s v="UserStory"/>
    <s v="Servicing: BC Next"/>
    <x v="2"/>
    <s v="42"/>
    <s v="Andrew Vu"/>
    <x v="48"/>
    <n v="17"/>
    <n v="28.88820601851852"/>
    <s v="141157"/>
    <m/>
  </r>
  <r>
    <s v="138936"/>
    <s v="[EXPOSE MOD STATUS] Move SSP-DTSE update loan mod logic to Hardship API"/>
    <s v="UserStory"/>
    <s v="Servicing: BC Next"/>
    <x v="2"/>
    <s v="40"/>
    <s v="Jonathan Escamilla"/>
    <x v="43"/>
    <n v="5"/>
    <n v="19.01121527777778"/>
    <s v="140001"/>
    <m/>
  </r>
  <r>
    <s v="139223"/>
    <s v="Expose PTC - Research current plan"/>
    <s v="UserStory"/>
    <s v="Servicing: BC Next"/>
    <x v="2"/>
    <s v="39"/>
    <s v="Sri Charan Simha Velpur"/>
    <x v="49"/>
    <n v="0"/>
    <n v="7.202986111111111"/>
    <m/>
    <m/>
  </r>
  <r>
    <s v="139592"/>
    <s v="Expose PTC - Research PTC History"/>
    <s v="UserStory"/>
    <s v="Servicing: BC Next"/>
    <x v="2"/>
    <s v="39"/>
    <s v="Isaac Ng"/>
    <x v="49"/>
    <n v="0"/>
    <n v="7.191539351851851"/>
    <m/>
    <m/>
  </r>
  <r>
    <s v="139593"/>
    <s v="Expose PTC - Research PTC upcoming/scheduled payments"/>
    <s v="UserStory"/>
    <s v="Servicing: BC Next"/>
    <x v="2"/>
    <s v="39"/>
    <s v="Andrew Vu"/>
    <x v="49"/>
    <n v="0"/>
    <n v="2.248831018518518"/>
    <m/>
    <m/>
  </r>
  <r>
    <s v="139594"/>
    <s v="Expose PTC - Research PTC cancel flow"/>
    <s v="UserStory"/>
    <s v="Servicing: BC Next"/>
    <x v="2"/>
    <s v="39"/>
    <s v="Jonathan Escamilla"/>
    <x v="49"/>
    <n v="0"/>
    <n v="6.989490740740741"/>
    <m/>
    <m/>
  </r>
  <r>
    <s v="140694"/>
    <s v="[PTC] Create graphql schema for PTC"/>
    <s v="UserStory"/>
    <s v="Servicing: BC Next"/>
    <x v="2"/>
    <s v="43"/>
    <s v="Sri Charan Simha Velpur"/>
    <x v="49"/>
    <n v="6"/>
    <n v="20.09626157407407"/>
    <s v="142193"/>
    <m/>
  </r>
  <r>
    <s v="140696"/>
    <s v="[PTC] Create graphql query in Hardship to fetch Payment Plan Data from DTSE"/>
    <s v="UserStory"/>
    <s v="Servicing: BC Next"/>
    <x v="2"/>
    <s v="43"/>
    <s v="Isaac Ng"/>
    <x v="49"/>
    <n v="6"/>
    <n v="20.07234953703704"/>
    <s v="142193"/>
    <m/>
  </r>
  <r>
    <s v="140698"/>
    <s v="[PTC] Create graphql mutation in Hardship to Cancel a Payment Plan"/>
    <s v="UserStory"/>
    <s v="Servicing: BC Next"/>
    <x v="2"/>
    <s v="43"/>
    <s v="Jonathan Escamilla"/>
    <x v="49"/>
    <n v="6"/>
    <n v="19.07004629629629"/>
    <s v="142193"/>
    <m/>
  </r>
  <r>
    <s v="142536"/>
    <s v="[PCO] Onboard Charge-off customers into BCNext Application - Auth0"/>
    <s v="UserStory"/>
    <s v="Servicing: BC Next"/>
    <x v="2"/>
    <s v="50"/>
    <s v="Jonathan Escamilla"/>
    <x v="44"/>
    <n v="0"/>
    <n v="43.2516087962963"/>
    <s v="145704"/>
    <m/>
  </r>
  <r>
    <s v="143151"/>
    <s v="[BC NEXT] My Profile - Set up Person subgraph"/>
    <s v="UserStory"/>
    <s v="Servicing: BC Next"/>
    <x v="2"/>
    <s v="49"/>
    <s v="Sri Charan Simha Velpur"/>
    <x v="1"/>
    <n v="4"/>
    <n v="19.19505787037037"/>
    <s v="145775"/>
    <m/>
  </r>
  <r>
    <s v="143768"/>
    <s v="[PCO] Move &amp; stich selfServiceCustomer schema into BC Accounts Subgraph"/>
    <s v="UserStory"/>
    <s v="Servicing: BC Next"/>
    <x v="2"/>
    <m/>
    <s v="Sri Charan Simha Velpur"/>
    <x v="44"/>
    <m/>
    <n v="22.93560111118055"/>
    <m/>
    <m/>
  </r>
  <r>
    <s v="144846"/>
    <s v="[PCO] [DB] Expose Charge-off accounts data to BCNext Application"/>
    <s v="UserStory"/>
    <s v="Servicing: BC Next"/>
    <x v="2"/>
    <m/>
    <s v="Isaac Ng"/>
    <x v="44"/>
    <m/>
    <n v="2.960589537106481"/>
    <m/>
    <m/>
  </r>
  <r>
    <s v="145175"/>
    <s v="Create Feature Flag on BC Accounts Subgraph"/>
    <s v="UserStory"/>
    <s v="Servicing: BC Next"/>
    <x v="2"/>
    <m/>
    <s v="Sri Charan Simha Velpur"/>
    <x v="44"/>
    <m/>
    <n v="12.92252240747685"/>
    <m/>
    <m/>
  </r>
  <r>
    <s v="126012"/>
    <s v="[FEB RC][BC NEXT][OBSERVATIONS][1] Android/iOS app compatibility communication"/>
    <s v="UserStory"/>
    <s v="Servicing: BC Next"/>
    <x v="2"/>
    <s v="06"/>
    <s v="Jajati Routray"/>
    <x v="6"/>
    <n v="2"/>
    <n v="14.9816087962963"/>
    <s v="127099"/>
    <m/>
  </r>
  <r>
    <s v="127375"/>
    <s v="[RC MARCH][BC NEXT] Ensure AnalyticsSessionID and AnalyticsUserid remains static throughout a users session for all events"/>
    <s v="UserStory"/>
    <s v="Servicing: BC Next"/>
    <x v="2"/>
    <s v="07"/>
    <s v="Jajati Routray and Sri Charan Simha Velpur"/>
    <x v="6"/>
    <n v="3"/>
    <n v="6.998263888888888"/>
    <s v="127378"/>
    <m/>
  </r>
  <r>
    <s v="128121"/>
    <s v="Unlock Profile"/>
    <s v="UserStory"/>
    <s v="Servicing: BC Next"/>
    <x v="2"/>
    <s v="19"/>
    <s v="Sri Charan Simha Velpur"/>
    <x v="26"/>
    <n v="3"/>
    <n v="15.27792824074074"/>
    <s v="131894"/>
    <m/>
  </r>
  <r>
    <s v="128122"/>
    <s v="Bio Auth Status"/>
    <s v="UserStory"/>
    <s v="Servicing: BC Next"/>
    <x v="2"/>
    <s v="21"/>
    <s v="Jonathan Escamilla"/>
    <x v="26"/>
    <m/>
    <n v="24.15686342592592"/>
    <s v="132267"/>
    <m/>
  </r>
  <r>
    <s v="130381"/>
    <s v="Add/Fix correlation ID in BFF server logs"/>
    <s v="UserStory"/>
    <s v="Servicing: BC Next"/>
    <x v="2"/>
    <s v="22"/>
    <s v="Venkatmahesh Polur"/>
    <x v="26"/>
    <n v="2"/>
    <n v="15.04042824074074"/>
    <s v="133152"/>
    <m/>
  </r>
  <r>
    <s v="130902"/>
    <s v="Remove Verification Email for Admin Users"/>
    <s v="UserStory"/>
    <s v="Servicing: BC Next"/>
    <x v="2"/>
    <s v="21"/>
    <s v="Andrew Vu"/>
    <x v="42"/>
    <n v="2"/>
    <n v="18.23364583333333"/>
    <s v="132477"/>
    <m/>
  </r>
  <r>
    <s v="130958"/>
    <s v="Tech Debt - Add unit tests to pre-commit git hook &amp; Use .editorconfig to format .NET code"/>
    <s v="UserStory"/>
    <s v="Servicing: BC Next"/>
    <x v="2"/>
    <s v="19"/>
    <s v="Jajati Routray"/>
    <x v="26"/>
    <n v="1"/>
    <n v="9.143148148148148"/>
    <s v="131728"/>
    <m/>
  </r>
  <r>
    <s v="131794"/>
    <s v="Log Out"/>
    <s v="UserStory"/>
    <s v="Servicing: BC Next"/>
    <x v="2"/>
    <s v="21"/>
    <s v="Isaac Ng"/>
    <x v="26"/>
    <n v="1"/>
    <n v="11.00586805555555"/>
    <s v="132477"/>
    <m/>
  </r>
  <r>
    <s v="132842"/>
    <s v="Assign Admin or Customer Service roles"/>
    <s v="UserStory"/>
    <s v="Servicing: BC Next"/>
    <x v="2"/>
    <s v="23"/>
    <s v="Andrew Vu"/>
    <x v="26"/>
    <n v="1"/>
    <n v="6.053611111111111"/>
    <s v="133366"/>
    <m/>
  </r>
  <r>
    <s v="132975"/>
    <s v="Fix Admins impersonate users after signing up"/>
    <s v="UserStory"/>
    <s v="Servicing: BC Next"/>
    <x v="2"/>
    <s v="23"/>
    <s v="Isaac Ng"/>
    <x v="26"/>
    <n v="1"/>
    <n v="6.849155092592592"/>
    <s v="133366"/>
    <m/>
  </r>
  <r>
    <s v="133307"/>
    <s v="Address UI and Analytic Bug Fixes"/>
    <s v="UserStory"/>
    <s v="Servicing: BC Next"/>
    <x v="2"/>
    <s v="23"/>
    <s v="Jonathan Escamilla and Andrew Vu"/>
    <x v="26"/>
    <n v="1"/>
    <n v="3.945011574074074"/>
    <s v="133366"/>
    <m/>
  </r>
  <r>
    <s v="133817"/>
    <s v="Redirect registration emails"/>
    <s v="UserStory"/>
    <s v="Servicing: BC Next"/>
    <x v="2"/>
    <s v="33"/>
    <s v="Jajati Routray"/>
    <x v="47"/>
    <n v="0"/>
    <n v="0.1618287037037037"/>
    <m/>
    <m/>
  </r>
  <r>
    <s v="135607"/>
    <s v="[EXPOSE MOD STATUS] Add missing fields into Collection API to get Mod Data (XS)"/>
    <s v="UserStory"/>
    <s v="Servicing: BC Next"/>
    <x v="2"/>
    <s v="32"/>
    <s v="Andrew Vu"/>
    <x v="43"/>
    <n v="3"/>
    <n v="14.17571759259259"/>
    <s v="137479"/>
    <m/>
  </r>
  <r>
    <s v="135608"/>
    <s v="[EXPOSE MOD STATUS] Spin up Hardships Subgraph and make it federation ready (XS)"/>
    <s v="UserStory"/>
    <s v="Servicing: BC Next"/>
    <x v="2"/>
    <s v="33"/>
    <s v="Sri Charan Simha Velpur"/>
    <x v="43"/>
    <n v="1"/>
    <n v="21.14957175925926"/>
    <s v="138042"/>
    <m/>
  </r>
  <r>
    <s v="135846"/>
    <s v="FORCE invoke the MFA process only for sessions that are deemed high risk"/>
    <s v="UserStory"/>
    <s v="Servicing: BC Next"/>
    <x v="2"/>
    <s v="32"/>
    <s v="Jajati Routray"/>
    <x v="48"/>
    <n v="3"/>
    <n v="13.04119212962963"/>
    <s v="137480"/>
    <m/>
  </r>
  <r>
    <s v="139825"/>
    <s v="Update prod-canary in release pipelines for GraphQL gateway &amp; subgraphs"/>
    <s v="UserStory"/>
    <s v="Servicing: BC Next"/>
    <x v="2"/>
    <s v="40"/>
    <s v="Jajati Routray"/>
    <x v="43"/>
    <n v="15"/>
    <n v="19.12061342592592"/>
    <s v="139999"/>
    <m/>
  </r>
  <r>
    <s v="142113"/>
    <s v="[Loan Mod] Provide ability for BC Next to filter out loan mod types not equal to Payment Frequency or Extension"/>
    <s v="UserStory"/>
    <s v="Servicing: BC Next"/>
    <x v="2"/>
    <s v="45"/>
    <s v="Jajati Routray"/>
    <x v="49"/>
    <n v="6"/>
    <n v="12.11256944444444"/>
    <s v="142977"/>
    <m/>
  </r>
  <r>
    <s v="142510"/>
    <s v="[PTC] Integrate PTC changes into BFF"/>
    <s v="UserStory"/>
    <s v="Servicing: BC Next"/>
    <x v="2"/>
    <s v="45"/>
    <s v="Jonathan Escamilla"/>
    <x v="49"/>
    <n v="5"/>
    <n v="10.1743287037037"/>
    <s v="143271"/>
    <m/>
  </r>
  <r>
    <s v="128755"/>
    <s v="[BC NEXT] Create Swagger page for REST endpoints in BFF server"/>
    <s v="UserStory"/>
    <s v="Servicing: BC Next"/>
    <x v="2"/>
    <s v="16"/>
    <s v="Jonathan Escamilla and Venkatmahesh Polur"/>
    <x v="26"/>
    <n v="1"/>
    <n v="21.2253125"/>
    <s v="129670"/>
    <m/>
  </r>
  <r>
    <s v="130069"/>
    <s v="[BC NEXT] Fix Verification Email endpoint to override the Authorization process added in Swagger story"/>
    <s v="UserStory"/>
    <s v="Servicing: BC Next"/>
    <x v="2"/>
    <s v="18"/>
    <s v="Sri Charan Simha Velpur and Andrew Vu"/>
    <x v="26"/>
    <n v="5"/>
    <n v="17.93427083333333"/>
    <s v="130896"/>
    <m/>
  </r>
  <r>
    <s v="132898"/>
    <s v="Fix Alignment in Review Step for AutoPay and AutoPay Past Due"/>
    <s v="UserStory"/>
    <s v="Servicing: BC Next"/>
    <x v="2"/>
    <s v="22"/>
    <s v="Andrew Vu"/>
    <x v="26"/>
    <n v="2"/>
    <n v="5.989143518518518"/>
    <s v="133152"/>
    <m/>
  </r>
  <r>
    <s v="126754"/>
    <s v="[FEB RC][OBSERVATIONS][1] User stuck on login loop &amp; User not always redirected to auth0 login"/>
    <s v="UserStory"/>
    <s v="Servicing: BC Next"/>
    <x v="2"/>
    <s v="06"/>
    <s v="Sri Charan Simha Velpur"/>
    <x v="6"/>
    <n v="4"/>
    <n v="9.997754629629629"/>
    <s v="127042"/>
    <m/>
  </r>
  <r>
    <s v="127285"/>
    <s v="[BUG] Test env console error: &quot;TypeError: this._analyticService.logAnalytic is not a function&quot;"/>
    <s v="UserStory"/>
    <s v="Servicing: BC Next"/>
    <x v="2"/>
    <s v="06"/>
    <m/>
    <x v="6"/>
    <n v="0"/>
    <n v="0"/>
    <s v="126506"/>
    <m/>
  </r>
  <r>
    <s v="130201"/>
    <s v="Prohibited Admin Events Report"/>
    <s v="UserStory"/>
    <s v="Servicing: BC Next"/>
    <x v="2"/>
    <s v="29"/>
    <m/>
    <x v="26"/>
    <n v="0"/>
    <n v="3.472222222222222e-05"/>
    <m/>
    <m/>
  </r>
  <r>
    <s v="142114"/>
    <s v="[PTC] Modify the mapping for Agent Canceled PTC"/>
    <s v="UserStory"/>
    <s v="Servicing: BC Next"/>
    <x v="2"/>
    <s v="43"/>
    <s v="Jonathan Escamilla"/>
    <x v="49"/>
    <n v="4"/>
    <n v="4.066134259259259"/>
    <s v="142193"/>
    <m/>
  </r>
  <r>
    <s v="145295"/>
    <s v="[New CO][1] Create Dashboard Summary"/>
    <s v="UserStory"/>
    <s v="Servicing: BC Next"/>
    <x v="2"/>
    <m/>
    <m/>
    <x v="50"/>
    <m/>
    <m/>
    <m/>
    <m/>
  </r>
  <r>
    <s v="145300"/>
    <s v="[New CO][1] Create Dashboard CO Options"/>
    <s v="UserStory"/>
    <s v="Servicing: BC Next"/>
    <x v="2"/>
    <m/>
    <m/>
    <x v="50"/>
    <m/>
    <m/>
    <m/>
    <m/>
  </r>
  <r>
    <s v="145301"/>
    <s v="[New CO][1] Create Charge Off Banner"/>
    <s v="UserStory"/>
    <s v="Servicing: BC Next"/>
    <x v="2"/>
    <m/>
    <m/>
    <x v="50"/>
    <m/>
    <m/>
    <m/>
    <m/>
  </r>
  <r>
    <s v="145302"/>
    <s v="[PCO Member][2] Create PCO Dashboard Summary"/>
    <s v="UserStory"/>
    <s v="Servicing: BC Next"/>
    <x v="2"/>
    <m/>
    <m/>
    <x v="50"/>
    <m/>
    <m/>
    <m/>
    <m/>
  </r>
  <r>
    <s v="145303"/>
    <s v="[PCO Member][2] Create Manage PCO Payment Plan"/>
    <s v="UserStory"/>
    <s v="Servicing: BC Next"/>
    <x v="2"/>
    <m/>
    <m/>
    <x v="50"/>
    <m/>
    <m/>
    <m/>
    <m/>
  </r>
  <r>
    <s v="145304"/>
    <s v="[PCO Member][2] Create make a payment workflow"/>
    <s v="UserStory"/>
    <s v="Servicing: BC Next"/>
    <x v="2"/>
    <m/>
    <m/>
    <x v="50"/>
    <m/>
    <m/>
    <m/>
    <m/>
  </r>
  <r>
    <s v="145340"/>
    <s v="DELETE [PCO Member] Capture PCO Terms customer agreed to"/>
    <s v="UserStory"/>
    <s v="Servicing: BC Next"/>
    <x v="2"/>
    <m/>
    <m/>
    <x v="50"/>
    <m/>
    <m/>
    <m/>
    <m/>
  </r>
  <r>
    <s v="145341"/>
    <s v="[PCO Member][2] Build process to manage incoming for PCO Plan"/>
    <s v="UserStory"/>
    <s v="Servicing: BC Next"/>
    <x v="2"/>
    <m/>
    <m/>
    <x v="50"/>
    <m/>
    <m/>
    <m/>
    <m/>
  </r>
  <r>
    <s v="145923"/>
    <s v="[NEW CO][1] Identify customer in order to send them to the correct dashboard experience"/>
    <s v="UserStory"/>
    <s v="Servicing: BC Next"/>
    <x v="2"/>
    <m/>
    <m/>
    <x v="50"/>
    <m/>
    <m/>
    <m/>
    <m/>
  </r>
  <r>
    <s v="145924"/>
    <s v="[New CO][1.0] Create PCO calculator"/>
    <s v="UserStory"/>
    <s v="Servicing: BC Next"/>
    <x v="2"/>
    <m/>
    <m/>
    <x v="50"/>
    <m/>
    <m/>
    <m/>
    <m/>
  </r>
  <r>
    <s v="145951"/>
    <s v="DELETE [NEW PCO] Add first payment date to comment"/>
    <s v="UserStory"/>
    <s v="Servicing: BC Next"/>
    <x v="2"/>
    <m/>
    <m/>
    <x v="50"/>
    <m/>
    <m/>
    <m/>
    <m/>
  </r>
  <r>
    <s v="145952"/>
    <s v="DELETE [NEW PCO] Persist from excel the new First Payment Date field to the database"/>
    <s v="UserStory"/>
    <s v="Servicing: BC Next"/>
    <x v="2"/>
    <m/>
    <m/>
    <x v="50"/>
    <m/>
    <m/>
    <m/>
    <m/>
  </r>
  <r>
    <s v="145953"/>
    <s v="DELETE [NEW PCO] Create a process to persist terms in a production environment that can be consumed"/>
    <s v="UserStory"/>
    <s v="Servicing: BC Next"/>
    <x v="2"/>
    <m/>
    <m/>
    <x v="50"/>
    <m/>
    <m/>
    <m/>
    <m/>
  </r>
  <r>
    <s v="145955"/>
    <s v="[New CO][1.0] Move customer vehicle into PCO route 'C91' systematically"/>
    <s v="UserStory"/>
    <s v="Servicing: BC Next"/>
    <x v="2"/>
    <m/>
    <m/>
    <x v="50"/>
    <m/>
    <m/>
    <m/>
    <m/>
  </r>
  <r>
    <s v="145956"/>
    <s v="[PCO Member][2] Cancel plan when customer vehicle has been removed from 'C91' route"/>
    <s v="UserStory"/>
    <s v="Servicing: BC Next"/>
    <x v="2"/>
    <m/>
    <m/>
    <x v="50"/>
    <m/>
    <m/>
    <m/>
    <m/>
  </r>
  <r>
    <s v="146727"/>
    <s v="[PCO Member][UX][2] Payment Plan Designs"/>
    <s v="UserStory"/>
    <s v="Servicing: BC Next"/>
    <x v="2"/>
    <m/>
    <m/>
    <x v="50"/>
    <m/>
    <m/>
    <m/>
    <m/>
  </r>
  <r>
    <s v="146728"/>
    <s v="[New CO][UX][2] PCO Charge Off Dashboard Design"/>
    <s v="UserStory"/>
    <s v="Servicing: BC Next"/>
    <x v="2"/>
    <m/>
    <m/>
    <x v="50"/>
    <m/>
    <m/>
    <m/>
    <m/>
  </r>
  <r>
    <s v="146729"/>
    <s v="[New CO][UX][2] Make a PCO Payment Design"/>
    <s v="UserStory"/>
    <s v="Servicing: BC Next"/>
    <x v="2"/>
    <m/>
    <m/>
    <x v="50"/>
    <m/>
    <m/>
    <m/>
    <m/>
  </r>
  <r>
    <s v="127641"/>
    <s v="[RESEARCH SPIKE] Document existing Email campaign workflow"/>
    <s v="UserStory"/>
    <s v="BC Digital - 1:1:1"/>
    <x v="1"/>
    <s v="11"/>
    <s v="Akshay Golash and Marcus Rogers and Aditi Sharma"/>
    <x v="51"/>
    <n v="0"/>
    <n v="6.205717592592593"/>
    <m/>
    <m/>
  </r>
  <r>
    <s v="132801"/>
    <s v="Research Business rules and Data Elements necessary to support our Mod email campaigns"/>
    <s v="UserStory"/>
    <s v="BC Digital - 1:1:1"/>
    <x v="1"/>
    <s v="26"/>
    <s v="Sushma Gurram and Aditi Sharma"/>
    <x v="51"/>
    <n v="1"/>
    <n v="19.9977662037037"/>
    <m/>
    <m/>
  </r>
  <r>
    <s v="133612"/>
    <s v="Research Business rules and Data Elements necessary to support our Collections email campaigns"/>
    <s v="UserStory"/>
    <s v="BC Digital - 1:1:1"/>
    <x v="1"/>
    <s v="30"/>
    <s v="Sushma Gurram"/>
    <x v="51"/>
    <n v="1"/>
    <n v="12.84609953703704"/>
    <m/>
    <m/>
  </r>
  <r>
    <s v="133804"/>
    <s v="Research Business rules and Data Elements necessary to support our Clear Credit email campaigns"/>
    <s v="UserStory"/>
    <s v="BC Digital - 1:1:1"/>
    <x v="1"/>
    <s v="28"/>
    <s v="Sushma Gurram"/>
    <x v="51"/>
    <n v="0"/>
    <n v="9.164930555555555"/>
    <m/>
    <m/>
  </r>
  <r>
    <s v="133807"/>
    <s v="Research Business rules and Data Elements necessary to support our Payment email campaigns"/>
    <s v="UserStory"/>
    <s v="BC Digital - 1:1:1"/>
    <x v="1"/>
    <s v="35"/>
    <s v="Sushma Gurram"/>
    <x v="51"/>
    <n v="1"/>
    <n v="13.02086805555555"/>
    <m/>
    <m/>
  </r>
  <r>
    <s v="135902"/>
    <s v="Research Business rules and Data Elements necessary to support our Clear Repo email campaigns"/>
    <s v="UserStory"/>
    <s v="BC Digital - 1:1:1"/>
    <x v="1"/>
    <s v="32"/>
    <s v="Sushma Gurram"/>
    <x v="51"/>
    <n v="1"/>
    <n v="12.00662037037037"/>
    <m/>
    <m/>
  </r>
  <r>
    <s v="143443"/>
    <s v="Research look and feel configurations"/>
    <s v="UserStory"/>
    <s v="BC Digital - 1:1:1"/>
    <x v="1"/>
    <s v="48"/>
    <s v="Daniel Verhagen"/>
    <x v="52"/>
    <n v="5"/>
    <n v="14.99537037037037"/>
    <m/>
    <m/>
  </r>
  <r>
    <s v="143444"/>
    <s v="Research BE events"/>
    <s v="UserStory"/>
    <s v="BC Digital - 1:1:1"/>
    <x v="1"/>
    <m/>
    <s v="Daniel Verhagen"/>
    <x v="52"/>
    <m/>
    <n v="20.81310591599884"/>
    <m/>
    <m/>
  </r>
  <r>
    <s v="143445"/>
    <s v="Research existing Quick Pay functionality"/>
    <s v="UserStory"/>
    <s v="BC Digital - 1:1:1"/>
    <x v="1"/>
    <m/>
    <m/>
    <x v="52"/>
    <m/>
    <m/>
    <m/>
    <m/>
  </r>
  <r>
    <s v="143673"/>
    <s v="[BCNext] Support Payment DropOff Email Test"/>
    <s v="UserStory"/>
    <s v="BC Digital - 1:1:1"/>
    <x v="1"/>
    <m/>
    <s v="Aditi Sharma"/>
    <x v="53"/>
    <m/>
    <m/>
    <m/>
    <m/>
  </r>
  <r>
    <s v="143675"/>
    <s v="Automate Clear Charge Off Emails"/>
    <s v="UserStory"/>
    <s v="BC Digital - 1:1:1"/>
    <x v="1"/>
    <m/>
    <m/>
    <x v="54"/>
    <m/>
    <m/>
    <m/>
    <m/>
  </r>
  <r>
    <s v="135052"/>
    <s v="Research New Twilio Shortlink Pilot"/>
    <s v="UserStory"/>
    <s v="BC Digital - 1:1:1"/>
    <x v="1"/>
    <s v="28"/>
    <s v="Akshay Golash"/>
    <x v="55"/>
    <n v="2"/>
    <n v="13.83930555555555"/>
    <m/>
    <m/>
  </r>
  <r>
    <s v="143668"/>
    <s v="Implement updated verbiage to text campaigns"/>
    <s v="UserStory"/>
    <s v="BC Digital - 1:1:1"/>
    <x v="1"/>
    <m/>
    <s v="Sushma Gurram"/>
    <x v="56"/>
    <m/>
    <n v="8.946566564146991"/>
    <m/>
    <m/>
  </r>
  <r>
    <s v="143671"/>
    <s v="Add 3 Texts to the MMS pipeline"/>
    <s v="UserStory"/>
    <s v="BC Digital - 1:1:1"/>
    <x v="1"/>
    <m/>
    <s v="Aditi Sharma"/>
    <x v="57"/>
    <m/>
    <n v="6.83182119377662"/>
    <m/>
    <m/>
  </r>
  <r>
    <s v="144130"/>
    <s v="Fix (fka) CACS Comments for the Clear Charge Off Email Process"/>
    <s v="UserStory"/>
    <s v="BC Digital - 1:1:1"/>
    <x v="1"/>
    <s v="47"/>
    <s v="Sushma Gurram"/>
    <x v="54"/>
    <n v="0"/>
    <n v="3.2334375"/>
    <m/>
    <m/>
  </r>
  <r>
    <s v="133814"/>
    <s v="Segment Research"/>
    <s v="UserStory"/>
    <s v="BC Digital - 1:1:1"/>
    <x v="2"/>
    <s v="28"/>
    <s v="Jonathan Escamilla and Isaac Ng and Jajati Routray"/>
    <x v="51"/>
    <n v="7"/>
    <n v="25.99270833333333"/>
    <m/>
    <m/>
  </r>
  <r>
    <s v="137137"/>
    <s v="[BC NEXT][EXP] Account Balance - Variations 1, 2, and 3"/>
    <s v="UserStory"/>
    <s v="Bridgecrest Experimentation"/>
    <x v="0"/>
    <s v="38"/>
    <s v="Joseph Kranak"/>
    <x v="58"/>
    <n v="1"/>
    <n v="30.11721064814815"/>
    <s v="139925"/>
    <m/>
  </r>
  <r>
    <s v="140604"/>
    <s v="[BC NEXT][EXP] Account Balance Experiment - Analytics firing incorrectly"/>
    <s v="UserStory"/>
    <s v="Bridgecrest Experimentation"/>
    <x v="0"/>
    <s v="40"/>
    <s v="Connor Golobich and Joseph Kranak"/>
    <x v="58"/>
    <n v="0"/>
    <n v="5.610381944444444"/>
    <s v="140487"/>
    <m/>
  </r>
  <r>
    <s v="141523"/>
    <s v="[BC NEXT][EXP] Account Balance - Hide all variations from same day sales"/>
    <s v="UserStory"/>
    <s v="Bridgecrest Experimentation"/>
    <x v="0"/>
    <s v="42"/>
    <s v="Joseph Kranak"/>
    <x v="58"/>
    <n v="3"/>
    <n v="4.732465277777777"/>
    <s v="141476"/>
    <m/>
  </r>
  <r>
    <s v="126336"/>
    <s v="Create CSV file and CACS Comments"/>
    <s v="UserStory"/>
    <s v="Bridgecrest Experimentation"/>
    <x v="1"/>
    <s v="04"/>
    <s v="Bindu Dudipala"/>
    <x v="59"/>
    <n v="0"/>
    <n v="2.805613425925926"/>
    <m/>
    <m/>
  </r>
  <r>
    <s v="128928"/>
    <s v="CSO Email Multivariate Testing Phase 2"/>
    <s v="UserStory"/>
    <s v="Bridgecrest Experimentation"/>
    <x v="1"/>
    <s v="12"/>
    <m/>
    <x v="60"/>
    <n v="1"/>
    <n v="3.783333333333333"/>
    <m/>
    <m/>
  </r>
  <r>
    <s v="130765"/>
    <s v="[BC NEXT] Upgrade to Ionic 6.1.3"/>
    <s v="UserStory"/>
    <s v="BC Digital - Ongoing Fixes and Enhancements"/>
    <x v="0"/>
    <s v="32"/>
    <s v="Connor Golobich"/>
    <x v="61"/>
    <n v="21"/>
    <n v="63.94025462962963"/>
    <m/>
    <m/>
  </r>
  <r>
    <s v="135331"/>
    <s v="[BC NEXT][AUTOMATION] AutoPay Enrollment"/>
    <s v="UserStory"/>
    <s v="BC Digital - Ongoing Fixes and Enhancements"/>
    <x v="0"/>
    <s v="33"/>
    <s v="Joseph Kranak"/>
    <x v="61"/>
    <n v="2"/>
    <n v="35.94972222222222"/>
    <m/>
    <m/>
  </r>
  <r>
    <s v="135332"/>
    <s v="[BC NEXT][AUTOMATION] AutoPay Past Due"/>
    <s v="UserStory"/>
    <s v="BC Digital - Ongoing Fixes and Enhancements"/>
    <x v="0"/>
    <s v="50"/>
    <s v="Shyam Senthil Nathan"/>
    <x v="61"/>
    <n v="0"/>
    <n v="76.06449074074074"/>
    <s v="141937"/>
    <m/>
  </r>
  <r>
    <s v="135335"/>
    <s v="[BC NEXT][AUTOMATION] Manage Bank Accounts"/>
    <s v="UserStory"/>
    <s v="BC Digital - Ongoing Fixes and Enhancements"/>
    <x v="0"/>
    <s v="38"/>
    <s v="Joseph Kranak"/>
    <x v="61"/>
    <n v="7"/>
    <n v="26.77587962962963"/>
    <m/>
    <m/>
  </r>
  <r>
    <s v="135336"/>
    <s v="[BC NEXT][AUTOMATION] Manage Payments"/>
    <s v="UserStory"/>
    <s v="BC Digital - Ongoing Fixes and Enhancements"/>
    <x v="0"/>
    <s v="38"/>
    <s v="Yokeshwaran Lokanathan"/>
    <x v="61"/>
    <n v="2"/>
    <n v="26.90292824074074"/>
    <m/>
    <m/>
  </r>
  <r>
    <s v="136891"/>
    <s v="[BC NEXT] Upgrade HotChocolate"/>
    <s v="UserStory"/>
    <s v="BC Digital - Ongoing Fixes and Enhancements"/>
    <x v="0"/>
    <s v="38"/>
    <s v="Pete Wesselius"/>
    <x v="62"/>
    <n v="0"/>
    <n v="23.21835648148148"/>
    <s v="139925"/>
    <m/>
  </r>
  <r>
    <s v="137508"/>
    <s v="[BC NEXT] Pending Payments Modal Enhancements"/>
    <s v="UserStory"/>
    <s v="BC Digital - Ongoing Fixes and Enhancements"/>
    <x v="0"/>
    <m/>
    <s v="Michael Wang"/>
    <x v="63"/>
    <m/>
    <n v="13.81081282882292"/>
    <m/>
    <m/>
  </r>
  <r>
    <s v="138659"/>
    <s v="[BC NEXT] Create and Implement Paymentus Redirect Modal"/>
    <s v="UserStory"/>
    <s v="BC Digital - Ongoing Fixes and Enhancements"/>
    <x v="0"/>
    <s v="43"/>
    <s v="Abbas Shamshi"/>
    <x v="63"/>
    <n v="11"/>
    <n v="31.27759259259259"/>
    <s v="142204"/>
    <m/>
  </r>
  <r>
    <s v="139995"/>
    <s v="[BC API] Prod bug: Allow Charge Off users to pay with debit card on logged out experience"/>
    <s v="UserStory"/>
    <s v="BC Digital - Ongoing Fixes and Enhancements"/>
    <x v="0"/>
    <s v="40"/>
    <s v="Connor Golobich"/>
    <x v="62"/>
    <n v="2"/>
    <n v="13.95163194444444"/>
    <s v="140854"/>
    <m/>
  </r>
  <r>
    <s v="144488"/>
    <s v="[BC NEXT] Manage Modification - Completed Mods experience not showing as expected"/>
    <s v="UserStory"/>
    <s v="BC Digital - Ongoing Fixes and Enhancements"/>
    <x v="0"/>
    <s v="49"/>
    <s v="Joseph Kranak"/>
    <x v="63"/>
    <n v="15"/>
    <n v="15.49431712962963"/>
    <s v="145895"/>
    <m/>
  </r>
  <r>
    <s v="127603"/>
    <s v="[BC NEXT][RESEARCH] Research steps in code to share email addresses"/>
    <s v="UserStory"/>
    <s v="BC Digital - Ongoing Fixes and Enhancements"/>
    <x v="0"/>
    <s v="10"/>
    <s v="Namratha Chilukuri"/>
    <x v="61"/>
    <n v="0"/>
    <n v="6.601689814814814"/>
    <m/>
    <m/>
  </r>
  <r>
    <s v="133227"/>
    <s v="[BC NEXT] AutoPay/APPD Enrollment Authorization Updates"/>
    <s v="UserStory"/>
    <s v="BC Digital - Ongoing Fixes and Enhancements"/>
    <x v="0"/>
    <s v="38"/>
    <s v="Abbas Shamshi"/>
    <x v="64"/>
    <n v="2"/>
    <n v="23.23541666666667"/>
    <s v="139925"/>
    <m/>
  </r>
  <r>
    <s v="135334"/>
    <s v="[BC NEXT][AUTOMATION] Account Settings"/>
    <s v="UserStory"/>
    <s v="BC Digital - Ongoing Fixes and Enhancements"/>
    <x v="0"/>
    <s v="50"/>
    <s v="Pete Wesselius"/>
    <x v="61"/>
    <n v="0"/>
    <n v="134.9286111111111"/>
    <s v="141937"/>
    <m/>
  </r>
  <r>
    <s v="135337"/>
    <s v="[BC NEXT][AUTOMATION] Manage Debit Cards"/>
    <s v="UserStory"/>
    <s v="BC Digital - Ongoing Fixes and Enhancements"/>
    <x v="0"/>
    <s v="34"/>
    <s v="Joseph Kranak"/>
    <x v="61"/>
    <n v="2"/>
    <n v="7.243506944444444"/>
    <m/>
    <m/>
  </r>
  <r>
    <s v="135338"/>
    <s v="[BC NEXT][AUTOMATION] Homepage"/>
    <s v="UserStory"/>
    <s v="BC Digital - Ongoing Fixes and Enhancements"/>
    <x v="0"/>
    <s v="34"/>
    <s v="Joseph Kranak"/>
    <x v="61"/>
    <n v="7"/>
    <n v="21.10900462962963"/>
    <m/>
    <m/>
  </r>
  <r>
    <s v="135339"/>
    <s v="[BC NEXT][AUTOMATION] Top/Side Nav"/>
    <s v="UserStory"/>
    <s v="BC Digital - Ongoing Fixes and Enhancements"/>
    <x v="0"/>
    <s v="46"/>
    <s v="Joseph Kranak"/>
    <x v="61"/>
    <n v="2"/>
    <n v="23.15775462962963"/>
    <s v="144410"/>
    <m/>
  </r>
  <r>
    <s v="137509"/>
    <s v="[BC NEXT] Update how reporting platforms in Ionic 6"/>
    <s v="UserStory"/>
    <s v="BC Digital - Ongoing Fixes and Enhancements"/>
    <x v="0"/>
    <s v="37"/>
    <s v="Shyam Senthil Nathan"/>
    <x v="15"/>
    <n v="6"/>
    <n v="20.09512731481481"/>
    <s v="139500"/>
    <m/>
  </r>
  <r>
    <s v="138658"/>
    <s v="[BC NEXT] Refactor global text entry component"/>
    <s v="UserStory"/>
    <s v="BC Digital - Ongoing Fixes and Enhancements"/>
    <x v="0"/>
    <s v="43"/>
    <s v="Yokeshwaran Lokanathan"/>
    <x v="15"/>
    <n v="11"/>
    <n v="24.24701388888889"/>
    <s v="142204"/>
    <m/>
  </r>
  <r>
    <s v="144268"/>
    <s v="[BC NEXT] Fix Missing Analytics"/>
    <s v="UserStory"/>
    <s v="BC Digital - Ongoing Fixes and Enhancements"/>
    <x v="0"/>
    <s v="46"/>
    <s v="Joseph Kranak"/>
    <x v="63"/>
    <n v="1"/>
    <n v="2.131770833333333"/>
    <s v="144410"/>
    <m/>
  </r>
  <r>
    <s v="144459"/>
    <s v="[BC NEXT] Payoff Quote - Update footer disclosure to follow state specific disclaimers"/>
    <s v="UserStory"/>
    <s v="BC Digital - Ongoing Fixes and Enhancements"/>
    <x v="0"/>
    <s v="49"/>
    <s v="Chirag Khandhar"/>
    <x v="63"/>
    <n v="8"/>
    <n v="13.5030787037037"/>
    <s v="145895"/>
    <m/>
  </r>
  <r>
    <s v="125746"/>
    <s v="[BC NEXT] Full Page Loading Spinner - Page Position"/>
    <s v="UserStory"/>
    <s v="BC Digital - Ongoing Fixes and Enhancements"/>
    <x v="0"/>
    <s v="03"/>
    <s v="Joseph Kranak"/>
    <x v="61"/>
    <n v="5"/>
    <n v="5.972986111111111"/>
    <m/>
    <m/>
  </r>
  <r>
    <s v="127920"/>
    <s v="[BC NEXT][CLEAN UP] Rename Cookie service"/>
    <s v="UserStory"/>
    <s v="BC Digital - Ongoing Fixes and Enhancements"/>
    <x v="0"/>
    <s v="11"/>
    <s v="Antonio Posada"/>
    <x v="61"/>
    <n v="5"/>
    <n v="13.80930555555556"/>
    <m/>
    <m/>
  </r>
  <r>
    <s v="132395"/>
    <s v="[BC NEXT] Delete Demo Pages"/>
    <s v="UserStory"/>
    <s v="BC Digital - Ongoing Fixes and Enhancements"/>
    <x v="0"/>
    <s v="21"/>
    <s v="Connor Golobich"/>
    <x v="61"/>
    <n v="1"/>
    <n v="6.96392361111111"/>
    <m/>
    <m/>
  </r>
  <r>
    <s v="133231"/>
    <s v="[BC NEXT]  Payment Authorization Modal Updates"/>
    <s v="UserStory"/>
    <s v="BC Digital - Ongoing Fixes and Enhancements"/>
    <x v="0"/>
    <s v="38"/>
    <s v="Antonio Posada"/>
    <x v="64"/>
    <n v="33"/>
    <n v="34.94814814814815"/>
    <s v="139925"/>
    <m/>
  </r>
  <r>
    <s v="138636"/>
    <s v="[BC NEXT][HOT FIX] Fix Pay With Debit Card not opening in Safari browsers"/>
    <s v="UserStory"/>
    <s v="BC Digital - Ongoing Fixes and Enhancements"/>
    <x v="0"/>
    <s v="35"/>
    <s v="Ari Pace"/>
    <x v="62"/>
    <n v="2"/>
    <n v="1.745"/>
    <m/>
    <m/>
  </r>
  <r>
    <s v="139167"/>
    <s v="[BC NEXT][SSP] Add Paymentus Quick Access URLs to redirect flag"/>
    <s v="UserStory"/>
    <s v="BC Digital - Ongoing Fixes and Enhancements"/>
    <x v="0"/>
    <s v="41"/>
    <s v="Pete Wesselius"/>
    <x v="63"/>
    <n v="4"/>
    <n v="20.91380787037037"/>
    <s v="141527"/>
    <m/>
  </r>
  <r>
    <s v="139883"/>
    <s v="[BC NEXT] PROD BUG - Pointing to TEST environment"/>
    <s v="UserStory"/>
    <s v="BC Digital - Ongoing Fixes and Enhancements"/>
    <x v="0"/>
    <s v="38"/>
    <s v="Abbas Shamshi"/>
    <x v="62"/>
    <n v="0"/>
    <n v="0.05972222222222222"/>
    <s v="139803"/>
    <m/>
  </r>
  <r>
    <s v="139886"/>
    <s v="Add linting to prevent wrong Environment input"/>
    <s v="UserStory"/>
    <s v="BC Digital - Ongoing Fixes and Enhancements"/>
    <x v="0"/>
    <s v="38"/>
    <s v="Joseph Kranak"/>
    <x v="61"/>
    <n v="2"/>
    <n v="1.935231481481481"/>
    <m/>
    <m/>
  </r>
  <r>
    <s v="143914"/>
    <s v="[BC NEXT] Prod Bug - Incorrect Disclaimer on Linked Account Success page"/>
    <s v="UserStory"/>
    <s v="BC Digital - Ongoing Fixes and Enhancements"/>
    <x v="0"/>
    <s v="46"/>
    <s v="Abbas Shamshi"/>
    <x v="63"/>
    <n v="4"/>
    <n v="5.081226851851851"/>
    <s v="144073"/>
    <m/>
  </r>
  <r>
    <s v="145320"/>
    <s v="[BC NEXT] Update dotnet version"/>
    <s v="UserStory"/>
    <s v="BC Digital - Ongoing Fixes and Enhancements"/>
    <x v="0"/>
    <m/>
    <s v="Connor Golobich"/>
    <x v="63"/>
    <m/>
    <n v="21.72613690289699"/>
    <m/>
    <m/>
  </r>
  <r>
    <s v="146441"/>
    <s v="[BC NEXT] Update Manage Modifications Integration tests"/>
    <s v="UserStory"/>
    <s v="BC Digital - Ongoing Fixes and Enhancements"/>
    <x v="0"/>
    <s v="50"/>
    <s v="Connor Golobich"/>
    <x v="63"/>
    <n v="0"/>
    <n v="0.5221527777777778"/>
    <s v="146568"/>
    <m/>
  </r>
  <r>
    <s v="146779"/>
    <s v="[BC NEXT] Update Payoff Quote footer with CA specific disclosure"/>
    <s v="UserStory"/>
    <s v="BC Digital - Ongoing Fixes and Enhancements"/>
    <x v="0"/>
    <m/>
    <s v="Michael Wang"/>
    <x v="63"/>
    <m/>
    <n v="3.007930884378472"/>
    <m/>
    <m/>
  </r>
  <r>
    <s v="144455"/>
    <s v="[SSP] Add PTP/PDP question to FAQ"/>
    <s v="UserStory"/>
    <s v="BC Digital - Ongoing Fixes and Enhancements"/>
    <x v="0"/>
    <s v="47"/>
    <s v="Connor Golobich"/>
    <x v="63"/>
    <n v="3"/>
    <n v="3.126585648148148"/>
    <s v="144834"/>
    <m/>
  </r>
  <r>
    <s v="125707"/>
    <s v="[BC NEXT][Dashboard] - Incorrect description for pending reversals in trans history"/>
    <s v="UserStory"/>
    <s v="BC Digital - Ongoing Fixes and Enhancements"/>
    <x v="0"/>
    <m/>
    <m/>
    <x v="61"/>
    <m/>
    <m/>
    <m/>
    <m/>
  </r>
  <r>
    <s v="128600"/>
    <s v="Dashboard Integration Tests"/>
    <s v="UserStory"/>
    <s v="BC Digital - Ongoing Fixes and Enhancements"/>
    <x v="0"/>
    <m/>
    <m/>
    <x v="61"/>
    <m/>
    <m/>
    <m/>
    <m/>
  </r>
  <r>
    <s v="128618"/>
    <s v="[BC NEXT][RESEARCH] GraphQL - Add Authentication on Evict mutation"/>
    <s v="UserStory"/>
    <s v="BC Digital - Ongoing Fixes and Enhancements"/>
    <x v="0"/>
    <m/>
    <m/>
    <x v="61"/>
    <m/>
    <m/>
    <m/>
    <m/>
  </r>
  <r>
    <s v="128924"/>
    <s v="[BC NEXT][WEB] APPD - Update Amount Due and Amount Due Popover"/>
    <s v="UserStory"/>
    <s v="BC Digital - Ongoing Fixes and Enhancements"/>
    <x v="0"/>
    <m/>
    <m/>
    <x v="61"/>
    <m/>
    <m/>
    <m/>
    <m/>
  </r>
  <r>
    <s v="135333"/>
    <s v="[BC NEXT][AUTOMATION] OneTime Payment"/>
    <s v="UserStory"/>
    <s v="BC Digital - Ongoing Fixes and Enhancements"/>
    <x v="0"/>
    <m/>
    <m/>
    <x v="61"/>
    <m/>
    <m/>
    <m/>
    <m/>
  </r>
  <r>
    <s v="139386"/>
    <s v="[BC NEXT][UX] Hide debit card"/>
    <s v="UserStory"/>
    <s v="BC Digital - Ongoing Fixes and Enhancements"/>
    <x v="0"/>
    <s v="47"/>
    <s v="Jennifer Box and Shaden Handal"/>
    <x v="61"/>
    <n v="14"/>
    <n v="57.07954861111111"/>
    <m/>
    <m/>
  </r>
  <r>
    <s v="141945"/>
    <s v="[BC NEXT] Plan to Cure - Automation"/>
    <s v="UserStory"/>
    <s v="BC Digital - Ongoing Fixes and Enhancements"/>
    <x v="0"/>
    <m/>
    <m/>
    <x v="61"/>
    <m/>
    <m/>
    <m/>
    <m/>
  </r>
  <r>
    <s v="143934"/>
    <s v="[BC NEXT] Update Vision Classic Comment for Web Access"/>
    <s v="UserStory"/>
    <s v="BC Digital - Ongoing Fixes and Enhancements"/>
    <x v="0"/>
    <m/>
    <m/>
    <x v="61"/>
    <m/>
    <m/>
    <m/>
    <m/>
  </r>
  <r>
    <s v="147118"/>
    <s v="[BC NEXT] Add space so TWT widget does not cover any CTA"/>
    <s v="UserStory"/>
    <s v="BC Digital - Ongoing Fixes and Enhancements"/>
    <x v="0"/>
    <m/>
    <m/>
    <x v="61"/>
    <m/>
    <m/>
    <m/>
    <m/>
  </r>
  <r>
    <s v="147125"/>
    <s v="[BC NEXT][OTP] Payoff Today Persisting Incorrectly"/>
    <s v="UserStory"/>
    <s v="BC Digital - Ongoing Fixes and Enhancements"/>
    <x v="0"/>
    <m/>
    <m/>
    <x v="61"/>
    <m/>
    <m/>
    <m/>
    <m/>
  </r>
  <r>
    <s v="134640"/>
    <s v="Create and trigger Red Eligibility Extension Text"/>
    <s v="UserStory"/>
    <s v="BC Digital - Ongoing Fixes and Enhancements"/>
    <x v="1"/>
    <s v="33"/>
    <s v="Marcus Rogers and Aditi Sharma and Daniel Verhagen"/>
    <x v="55"/>
    <n v="7"/>
    <n v="29.99390046296296"/>
    <s v="137618"/>
    <m/>
  </r>
  <r>
    <s v="134641"/>
    <s v="Trigger Extension Emails"/>
    <s v="UserStory"/>
    <s v="BC Digital - Ongoing Fixes and Enhancements"/>
    <x v="1"/>
    <s v="34"/>
    <s v="Manuel Tenorio and Michael Wang"/>
    <x v="55"/>
    <n v="5"/>
    <n v="31.95196759259259"/>
    <s v="138014"/>
    <m/>
  </r>
  <r>
    <s v="134642"/>
    <s v="Trigger 24 and 48 hour reminder texts Development"/>
    <s v="UserStory"/>
    <s v="BC Digital - Ongoing Fixes and Enhancements"/>
    <x v="1"/>
    <s v="35"/>
    <s v="Aditi Sharma and Manuel Tenorio and Michael Wang"/>
    <x v="55"/>
    <n v="0"/>
    <n v="14.95390046296296"/>
    <s v="139036"/>
    <m/>
  </r>
  <r>
    <s v="134643"/>
    <s v="Trigger Success/Unsuccessful emails"/>
    <s v="UserStory"/>
    <s v="BC Digital - Ongoing Fixes and Enhancements"/>
    <x v="1"/>
    <s v="36"/>
    <s v="Marcus Rogers and Daniel Verhagen"/>
    <x v="55"/>
    <n v="13"/>
    <n v="21.81560185185185"/>
    <s v="138348"/>
    <m/>
  </r>
  <r>
    <s v="138972"/>
    <s v="[Research &amp; Implement][Manual Repo Assignments] Post Repo Texts"/>
    <s v="UserStory"/>
    <s v="BC Digital - Ongoing Fixes and Enhancements"/>
    <x v="1"/>
    <m/>
    <s v="Aditi Sharma and Manuel Tenorio"/>
    <x v="65"/>
    <m/>
    <n v="44.78301158821412"/>
    <s v="146703"/>
    <m/>
  </r>
  <r>
    <s v="139497"/>
    <s v="[SQL] - Update nightly email jobs to pass in legal disclosure email attribute"/>
    <s v="UserStory"/>
    <s v="BC Digital - Ongoing Fixes and Enhancements"/>
    <x v="1"/>
    <s v="43"/>
    <s v="Sushma Gurram"/>
    <x v="66"/>
    <n v="4"/>
    <n v="32.09342592592593"/>
    <s v="142157"/>
    <m/>
  </r>
  <r>
    <s v="139606"/>
    <s v="[SQL, API driven emails] - Adding Legal Disclosure Attribute to Email Payload E2E testing &amp; Deployment"/>
    <s v="UserStory"/>
    <s v="BC Digital - Ongoing Fixes and Enhancements"/>
    <x v="1"/>
    <s v="43"/>
    <m/>
    <x v="66"/>
    <n v="4"/>
    <n v="8.084837962962963"/>
    <s v="142157"/>
    <m/>
  </r>
  <r>
    <s v="141940"/>
    <s v="[Research &amp; Deveopment] Vision Classic - Payoff Quote"/>
    <s v="UserStory"/>
    <s v="BC Digital - Ongoing Fixes and Enhancements"/>
    <x v="1"/>
    <s v="45"/>
    <s v="Marcus Rogers and Manuel Tenorio and Andrew Vu"/>
    <x v="66"/>
    <n v="7"/>
    <n v="21.95305555555555"/>
    <s v="143290"/>
    <m/>
  </r>
  <r>
    <s v="142246"/>
    <s v="Add mini miranda to manual sends"/>
    <s v="UserStory"/>
    <s v="BC Digital - Ongoing Fixes and Enhancements"/>
    <x v="1"/>
    <s v="49"/>
    <s v="Sushma Gurram and Marcus Rogers"/>
    <x v="66"/>
    <n v="4"/>
    <n v="31.18552083333333"/>
    <s v="146175"/>
    <m/>
  </r>
  <r>
    <s v="132792"/>
    <s v="MMS pipeline improvements"/>
    <s v="UserStory"/>
    <s v="BC Digital - Ongoing Fixes and Enhancements"/>
    <x v="1"/>
    <s v="29"/>
    <s v="Marcus Rogers"/>
    <x v="55"/>
    <n v="5"/>
    <n v="13.92893518518519"/>
    <m/>
    <m/>
  </r>
  <r>
    <s v="134644"/>
    <s v="Trigger Payment Frequency Email"/>
    <s v="UserStory"/>
    <s v="BC Digital - Ongoing Fixes and Enhancements"/>
    <x v="1"/>
    <s v="34"/>
    <s v="Manuel Tenorio"/>
    <x v="55"/>
    <n v="5"/>
    <n v="24.9934837962963"/>
    <s v="138014"/>
    <m/>
  </r>
  <r>
    <s v="134645"/>
    <s v="Provide Metrics for Measurement"/>
    <s v="UserStory"/>
    <s v="BC Digital - Ongoing Fixes and Enhancements"/>
    <x v="1"/>
    <s v="38"/>
    <m/>
    <x v="55"/>
    <n v="0"/>
    <n v="3.472222222222222e-05"/>
    <m/>
    <m/>
  </r>
  <r>
    <s v="136786"/>
    <s v="Research options to address 'No Thanks' redirect"/>
    <s v="UserStory"/>
    <s v="BC Digital - Ongoing Fixes and Enhancements"/>
    <x v="1"/>
    <s v="37"/>
    <s v="Daniel Verhagen"/>
    <x v="67"/>
    <n v="0"/>
    <n v="12.8012037037037"/>
    <m/>
    <m/>
  </r>
  <r>
    <s v="137496"/>
    <s v="Trigger 24 and 48 hour reminder texts End to End Testing"/>
    <s v="UserStory"/>
    <s v="BC Digital - Ongoing Fixes and Enhancements"/>
    <x v="1"/>
    <s v="36"/>
    <m/>
    <x v="55"/>
    <n v="8"/>
    <n v="9.995578703703703"/>
    <s v="139036"/>
    <m/>
  </r>
  <r>
    <s v="137930"/>
    <s v="[DTSE] Clean up short term FFs for loan mod enhancement feature"/>
    <s v="UserStory"/>
    <s v="BC Digital - Ongoing Fixes and Enhancements"/>
    <x v="1"/>
    <s v="38"/>
    <s v="Manuel Tenorio"/>
    <x v="55"/>
    <n v="4"/>
    <n v="18.01042824074074"/>
    <s v="139902"/>
    <m/>
  </r>
  <r>
    <s v="138971"/>
    <s v="Send Saturday emails to 1 - 60 DPD"/>
    <s v="UserStory"/>
    <s v="BC Digital - Ongoing Fixes and Enhancements"/>
    <x v="1"/>
    <m/>
    <s v="Sushma Gurram"/>
    <x v="68"/>
    <m/>
    <m/>
    <m/>
    <m/>
  </r>
  <r>
    <s v="139493"/>
    <s v="[DTSE,Comm API &amp; BCAPI] - Adding Legal Disclosure Attribute to Email Payload Development"/>
    <s v="UserStory"/>
    <s v="BC Digital - Ongoing Fixes and Enhancements"/>
    <x v="1"/>
    <s v="42"/>
    <s v="Aditi Sharma and Michael Wang"/>
    <x v="66"/>
    <n v="8"/>
    <n v="29.74200231481481"/>
    <s v="141623"/>
    <m/>
  </r>
  <r>
    <s v="139494"/>
    <s v="[SLD API, Comm API &amp; SP] - Add 2 new endpoints for legal disclosure"/>
    <s v="UserStory"/>
    <s v="BC Digital - Ongoing Fixes and Enhancements"/>
    <x v="1"/>
    <s v="42"/>
    <s v="Sushma Gurram and Manuel Tenorio and Daniel Verhagen"/>
    <x v="66"/>
    <n v="8"/>
    <n v="33.99054398148148"/>
    <s v="141565"/>
    <m/>
  </r>
  <r>
    <s v="139495"/>
    <s v="[MJML] - Add new variable in all BC MJML email templates for legal disclousure"/>
    <s v="UserStory"/>
    <s v="BC Digital - Ongoing Fixes and Enhancements"/>
    <x v="1"/>
    <s v="42"/>
    <s v="Daniel Verhagen"/>
    <x v="66"/>
    <n v="0"/>
    <n v="14.74635416666667"/>
    <m/>
    <m/>
  </r>
  <r>
    <s v="139496"/>
    <s v="[Salesforce] - Update all BC Emails to have legal disclosure variable"/>
    <s v="UserStory"/>
    <s v="BC Digital - Ongoing Fixes and Enhancements"/>
    <x v="1"/>
    <s v="42"/>
    <s v="Aditi Sharma"/>
    <x v="66"/>
    <n v="0"/>
    <n v="12.01853009259259"/>
    <m/>
    <m/>
  </r>
  <r>
    <s v="139787"/>
    <s v="[MJML &amp; Salesforce] Add App Links to and Remove Phone Number from Emails"/>
    <s v="UserStory"/>
    <s v="BC Digital - Ongoing Fixes and Enhancements"/>
    <x v="1"/>
    <s v="45"/>
    <s v="Aditi Sharma and Daniel Verhagen"/>
    <x v="66"/>
    <n v="7"/>
    <n v="18.68436342592593"/>
    <s v="142983"/>
    <m/>
  </r>
  <r>
    <s v="140919"/>
    <s v="Modify Clear Charge Off audience to include a random split"/>
    <s v="UserStory"/>
    <s v="BC Digital - Ongoing Fixes and Enhancements"/>
    <x v="1"/>
    <s v="42"/>
    <s v="Sushma Gurram"/>
    <x v="69"/>
    <n v="4"/>
    <n v="7.014398148148148"/>
    <s v="141154"/>
    <m/>
  </r>
  <r>
    <s v="140922"/>
    <s v="[Salesforce] Payoff Quote to match new UX designs"/>
    <s v="UserStory"/>
    <s v="BC Digital - Ongoing Fixes and Enhancements"/>
    <x v="1"/>
    <s v="45"/>
    <s v="Aditi Sharma"/>
    <x v="66"/>
    <n v="7"/>
    <n v="21.93866898148148"/>
    <s v="143290"/>
    <m/>
  </r>
  <r>
    <s v="141948"/>
    <s v="[DTSE &amp; BC Comm Api &amp; DE Automation] PTC, Clear Repo &amp; Small Balance New Legal Disclosure changes"/>
    <s v="UserStory"/>
    <s v="BC Digital - Ongoing Fixes and Enhancements"/>
    <x v="1"/>
    <s v="45"/>
    <s v="Sushma Gurram and Daniel Verhagen"/>
    <x v="66"/>
    <n v="2"/>
    <n v="9.065104166666666"/>
    <s v="143291"/>
    <m/>
  </r>
  <r>
    <s v="143758"/>
    <s v="[Research &amp; Implement][Automated Repo Assignments] Post Repo texts"/>
    <s v="UserStory"/>
    <s v="BC Digital - Ongoing Fixes and Enhancements"/>
    <x v="1"/>
    <m/>
    <s v="Marcus Rogers"/>
    <x v="65"/>
    <m/>
    <n v="6.869875014140046"/>
    <s v="146703"/>
    <m/>
  </r>
  <r>
    <s v="129153"/>
    <s v="Create a process to Alert the team of any text campaign failures"/>
    <s v="UserStory"/>
    <s v="BC Digital - Ongoing Fixes and Enhancements"/>
    <x v="1"/>
    <s v="24"/>
    <s v="Aditi Sharma"/>
    <x v="67"/>
    <n v="6"/>
    <n v="12.06822916666667"/>
    <m/>
    <m/>
  </r>
  <r>
    <s v="136540"/>
    <s v="KM2 PROD Outage Emails and Texts - Round 2"/>
    <s v="UserStory"/>
    <s v="BC Digital - Ongoing Fixes and Enhancements"/>
    <x v="1"/>
    <s v="31"/>
    <s v="Sushma Gurram"/>
    <x v="70"/>
    <n v="1"/>
    <n v="4.99386574074074"/>
    <m/>
    <m/>
  </r>
  <r>
    <s v="138283"/>
    <s v="Salesforce configuration"/>
    <s v="UserStory"/>
    <s v="BC Digital - Ongoing Fixes and Enhancements"/>
    <x v="1"/>
    <s v="49"/>
    <s v="Marcus Rogers"/>
    <x v="68"/>
    <n v="9"/>
    <n v="35.14013888888888"/>
    <s v="143293"/>
    <m/>
  </r>
  <r>
    <s v="138284"/>
    <s v="DE Automation to generate audience file"/>
    <s v="UserStory"/>
    <s v="BC Digital - Ongoing Fixes and Enhancements"/>
    <x v="1"/>
    <s v="49"/>
    <s v="Sushma Gurram"/>
    <x v="68"/>
    <n v="36"/>
    <n v="44.14770833333333"/>
    <s v="143293"/>
    <m/>
  </r>
  <r>
    <s v="138285"/>
    <s v="Alerts &amp; Analytics"/>
    <s v="UserStory"/>
    <s v="BC Digital - Ongoing Fixes and Enhancements"/>
    <x v="1"/>
    <s v="46"/>
    <m/>
    <x v="68"/>
    <n v="0"/>
    <n v="4.629629629629629e-05"/>
    <m/>
    <m/>
  </r>
  <r>
    <s v="138334"/>
    <s v="Research Clear Charge Off Campaigns"/>
    <s v="UserStory"/>
    <s v="BC Digital - Ongoing Fixes and Enhancements"/>
    <x v="1"/>
    <s v="37"/>
    <s v="Sushma Gurram"/>
    <x v="67"/>
    <n v="1"/>
    <n v="12.0024537037037"/>
    <m/>
    <m/>
  </r>
  <r>
    <s v="139498"/>
    <s v="[Salesforce] Move new version of emails to prod folder"/>
    <s v="UserStory"/>
    <s v="BC Digital - Ongoing Fixes and Enhancements"/>
    <x v="1"/>
    <s v="43"/>
    <m/>
    <x v="66"/>
    <n v="0"/>
    <n v="1.083969907407407"/>
    <s v="142157"/>
    <m/>
  </r>
  <r>
    <s v="144052"/>
    <s v="Send Annual Privacy Policy Email"/>
    <s v="UserStory"/>
    <s v="BC Digital - Ongoing Fixes and Enhancements"/>
    <x v="1"/>
    <s v="51"/>
    <s v="Sushma Gurram and Marcus Rogers"/>
    <x v="71"/>
    <n v="6"/>
    <n v="11.68758101851852"/>
    <s v="146428"/>
    <m/>
  </r>
  <r>
    <s v="132615"/>
    <s v="Correct date format of field LDMDate used for the Early Credit Reporting email"/>
    <s v="UserStory"/>
    <s v="BC Digital - Ongoing Fixes and Enhancements"/>
    <x v="1"/>
    <s v="24"/>
    <s v="Akshay Golash"/>
    <x v="67"/>
    <n v="2"/>
    <n v="12.78371527777778"/>
    <m/>
    <m/>
  </r>
  <r>
    <s v="135650"/>
    <s v="KM2 PROD Outage Emails and Texts - Round 1"/>
    <s v="UserStory"/>
    <s v="BC Digital - Ongoing Fixes and Enhancements"/>
    <x v="1"/>
    <s v="30"/>
    <s v="Sushma Gurram"/>
    <x v="70"/>
    <n v="0"/>
    <n v="13.73951388888889"/>
    <m/>
    <m/>
  </r>
  <r>
    <s v="136360"/>
    <s v="PROD OUTAGE:  Duplicate Payment Email/Text communications"/>
    <s v="UserStory"/>
    <s v="BC Digital - Ongoing Fixes and Enhancements"/>
    <x v="1"/>
    <s v="30"/>
    <s v="Sushma Gurram"/>
    <x v="72"/>
    <n v="0"/>
    <n v="5.642569444444444"/>
    <m/>
    <m/>
  </r>
  <r>
    <s v="138330"/>
    <s v="Modify existing Clear Repo Text Template"/>
    <s v="UserStory"/>
    <s v="BC Digital - Ongoing Fixes and Enhancements"/>
    <x v="1"/>
    <s v="38"/>
    <s v="Sushma Gurram"/>
    <x v="65"/>
    <n v="3"/>
    <n v="5.776412037037037"/>
    <s v="139740"/>
    <m/>
  </r>
  <r>
    <s v="139685"/>
    <s v="Update CACS comments for CSO manual Test"/>
    <s v="UserStory"/>
    <s v="BC Digital - Ongoing Fixes and Enhancements"/>
    <x v="1"/>
    <s v="39"/>
    <s v="Sushma Gurram"/>
    <x v="15"/>
    <n v="7"/>
    <n v="11.75204861111111"/>
    <s v="139874"/>
    <m/>
  </r>
  <r>
    <s v="143669"/>
    <s v="Add new templates for CSO texts to be sent on December 26 and Jan 2"/>
    <s v="UserStory"/>
    <s v="BC Digital - Ongoing Fixes and Enhancements"/>
    <x v="1"/>
    <s v="50"/>
    <s v="Sushma Gurram"/>
    <x v="68"/>
    <n v="0"/>
    <n v="6.927928240740741"/>
    <m/>
    <m/>
  </r>
  <r>
    <s v="143759"/>
    <s v="[Database] Add Post Repo Template &amp; Update template descriptions for template ids 56, 57 &amp; 58"/>
    <s v="UserStory"/>
    <s v="BC Digital - Ongoing Fixes and Enhancements"/>
    <x v="1"/>
    <s v="46"/>
    <s v="Sushma Gurram and Aditi Sharma"/>
    <x v="65"/>
    <n v="1"/>
    <n v="7.024305555555555"/>
    <s v="144719"/>
    <m/>
  </r>
  <r>
    <s v="132970"/>
    <s v="Update NueStar logic in DNC sproc"/>
    <s v="UserStory"/>
    <s v="BC Digital - Ongoing Fixes and Enhancements"/>
    <x v="1"/>
    <s v="22"/>
    <s v="Sushma Gurram"/>
    <x v="67"/>
    <n v="2"/>
    <n v="1.826597222222222"/>
    <m/>
    <m/>
  </r>
  <r>
    <s v="137690"/>
    <s v="Update Privacy notice PDF copy"/>
    <s v="UserStory"/>
    <s v="BC Digital - Ongoing Fixes and Enhancements"/>
    <x v="1"/>
    <s v="33"/>
    <s v="Akshay Golash"/>
    <x v="15"/>
    <n v="0"/>
    <n v="0.04759259259259259"/>
    <s v="137691"/>
    <m/>
  </r>
  <r>
    <s v="139967"/>
    <s v="[Function] Chore - Disable AI Sampling &amp; add exception logging"/>
    <s v="UserStory"/>
    <s v="BC Digital - Ongoing Fixes and Enhancements"/>
    <x v="1"/>
    <s v="38"/>
    <s v="Aditi Sharma"/>
    <x v="15"/>
    <n v="1"/>
    <n v="1.750891203703704"/>
    <s v="139969"/>
    <m/>
  </r>
  <r>
    <s v="140067"/>
    <s v="OUTAGE: Identify @privaterelay.appleid.com impacts"/>
    <s v="UserStory"/>
    <s v="BC Digital - Ongoing Fixes and Enhancements"/>
    <x v="1"/>
    <s v="38"/>
    <m/>
    <x v="15"/>
    <n v="0"/>
    <n v="0.0001273148148148148"/>
    <m/>
    <m/>
  </r>
  <r>
    <s v="147097"/>
    <s v="Hard code disclaimer to payoff quote email template in order to meet 1/1/23 deadline"/>
    <s v="UserStory"/>
    <s v="BC Digital - Ongoing Fixes and Enhancements"/>
    <x v="1"/>
    <m/>
    <m/>
    <x v="73"/>
    <m/>
    <m/>
    <m/>
    <m/>
  </r>
  <r>
    <s v="147098"/>
    <s v="Dynamically add disclaimer to payoff quote for CA residents and include the administrator information"/>
    <s v="UserStory"/>
    <s v="BC Digital - Ongoing Fixes and Enhancements"/>
    <x v="1"/>
    <m/>
    <m/>
    <x v="73"/>
    <m/>
    <m/>
    <m/>
    <m/>
  </r>
  <r>
    <s v="147114"/>
    <s v="2023 Tax Communication Emails"/>
    <s v="UserStory"/>
    <s v="BC Digital - Ongoing Fixes and Enhancements"/>
    <x v="1"/>
    <m/>
    <m/>
    <x v="74"/>
    <m/>
    <m/>
    <m/>
    <m/>
  </r>
  <r>
    <s v="147115"/>
    <s v="2023 Tax Communication Texts"/>
    <s v="UserStory"/>
    <s v="BC Digital - Ongoing Fixes and Enhancements"/>
    <x v="1"/>
    <m/>
    <m/>
    <x v="74"/>
    <m/>
    <m/>
    <m/>
    <m/>
  </r>
  <r>
    <s v="147116"/>
    <s v="2023 Tax Communication Modal and Banner"/>
    <s v="UserStory"/>
    <s v="BC Digital - Ongoing Fixes and Enhancements"/>
    <x v="1"/>
    <m/>
    <m/>
    <x v="74"/>
    <m/>
    <m/>
    <m/>
    <m/>
  </r>
  <r>
    <s v="147158"/>
    <s v="Suppress Batch Emails"/>
    <s v="UserStory"/>
    <s v="BC Digital - Ongoing Fixes and Enhancements"/>
    <x v="1"/>
    <m/>
    <m/>
    <x v="75"/>
    <m/>
    <m/>
    <m/>
    <m/>
  </r>
  <r>
    <s v="147159"/>
    <s v="Replace Batch DC Email Suppression and suppress (batch &amp; triggered) non critical emails"/>
    <s v="UserStory"/>
    <s v="BC Digital - Ongoing Fixes and Enhancements"/>
    <x v="1"/>
    <m/>
    <m/>
    <x v="75"/>
    <m/>
    <m/>
    <m/>
    <m/>
  </r>
  <r>
    <s v="140924"/>
    <s v="Research Fullstory vs. Datadog"/>
    <s v="UserStory"/>
    <s v="BC Digital - Ongoing Fixes and Enhancements"/>
    <x v="2"/>
    <s v="44"/>
    <s v="Isaac Ng"/>
    <x v="76"/>
    <n v="3"/>
    <n v="8.992835648148148"/>
    <m/>
    <m/>
  </r>
  <r>
    <s v="141621"/>
    <s v="Fullstory: Integrate SDK into BC-Next"/>
    <s v="UserStory"/>
    <s v="BC Digital - Ongoing Fixes and Enhancements"/>
    <x v="2"/>
    <s v="49"/>
    <s v="Isaac Ng"/>
    <x v="77"/>
    <n v="3"/>
    <n v="32.18297453703703"/>
    <s v="145789"/>
    <m/>
  </r>
  <r>
    <s v="145173"/>
    <s v="Asset Uploader"/>
    <s v="UserStory"/>
    <s v="BC Digital - Ongoing Fixes and Enhancements"/>
    <x v="2"/>
    <m/>
    <s v="Isaac Ng"/>
    <x v="77"/>
    <m/>
    <n v="22.72130610353125"/>
    <s v="147079"/>
    <m/>
  </r>
  <r>
    <s v="136960"/>
    <s v="PROD BUG:  Health Check Enhancements"/>
    <s v="UserStory"/>
    <s v="BC Digital - Ongoing Fixes and Enhancements"/>
    <x v="2"/>
    <s v="31"/>
    <s v="Venkatmahesh Polur"/>
    <x v="78"/>
    <n v="1"/>
    <n v="4.188124999999999"/>
    <s v="137313"/>
    <m/>
  </r>
  <r>
    <s v="139327"/>
    <s v="[synthetic Tests] BC Next Login Module"/>
    <s v="UserStory"/>
    <s v="BC Digital - Ongoing Fixes and Enhancements"/>
    <x v="2"/>
    <s v="38"/>
    <s v="Venkatmahesh Polur"/>
    <x v="78"/>
    <n v="0"/>
    <n v="11.09640046296296"/>
    <m/>
    <m/>
  </r>
  <r>
    <s v="144088"/>
    <s v="Hide only PII data"/>
    <s v="UserStory"/>
    <s v="BC Digital - Ongoing Fixes and Enhancements"/>
    <x v="2"/>
    <s v="49"/>
    <s v="Isaac Ng"/>
    <x v="77"/>
    <n v="3"/>
    <n v="14.21982638888889"/>
    <s v="145789"/>
    <m/>
  </r>
  <r>
    <s v="127918"/>
    <s v="[BC NEXT][CLEAN UP] Mock Capacitor core plugin"/>
    <s v="UserStory"/>
    <s v="BC Digital - Ongoing Fixes and Enhancements"/>
    <x v="2"/>
    <s v="24"/>
    <s v="Andrew Vu"/>
    <x v="78"/>
    <n v="0"/>
    <n v="5.032627314814815"/>
    <m/>
    <m/>
  </r>
  <r>
    <s v="136111"/>
    <s v="PROD BUG:  Issues logging into Customer Admin Portal"/>
    <s v="UserStory"/>
    <s v="BC Digital - Ongoing Fixes and Enhancements"/>
    <x v="2"/>
    <s v="32"/>
    <s v="Jonathan Escamilla"/>
    <x v="78"/>
    <n v="5"/>
    <n v="13.88211805555556"/>
    <s v="136956"/>
    <m/>
  </r>
  <r>
    <s v="140475"/>
    <s v="Integrate Datadog into new GraphQL applications"/>
    <s v="UserStory"/>
    <s v="BC Digital - Ongoing Fixes and Enhancements"/>
    <x v="2"/>
    <s v="43"/>
    <s v="Jajati Routray"/>
    <x v="78"/>
    <n v="4"/>
    <n v="24.94700231481481"/>
    <s v="142193"/>
    <m/>
  </r>
  <r>
    <s v="145174"/>
    <s v="Extend Feature Flag for each platform"/>
    <s v="UserStory"/>
    <s v="BC Digital - Ongoing Fixes and Enhancements"/>
    <x v="2"/>
    <m/>
    <s v="Sri Charan Simha Velpur"/>
    <x v="77"/>
    <m/>
    <n v="15.73961628871643"/>
    <s v="147079"/>
    <m/>
  </r>
  <r>
    <s v="133782"/>
    <s v="Production Bug: Ability to search for any email address without any case sensitivity restrictions"/>
    <s v="UserStory"/>
    <s v="BC Digital - Ongoing Fixes and Enhancements"/>
    <x v="2"/>
    <s v="24"/>
    <s v="Jajati Routray"/>
    <x v="78"/>
    <n v="3"/>
    <n v="3.895173611111111"/>
    <m/>
    <m/>
  </r>
  <r>
    <s v="138359"/>
    <s v="[MFA FIX] Skip MFA for Roxanne's account in production due to App store review"/>
    <s v="UserStory"/>
    <s v="BC Digital - Ongoing Fixes and Enhancements"/>
    <x v="2"/>
    <s v="34"/>
    <s v="Jajati Routray"/>
    <x v="15"/>
    <n v="0"/>
    <n v="0.07422453703703703"/>
    <s v="138360"/>
    <m/>
  </r>
  <r>
    <s v="139294"/>
    <s v="Introduce authentication in BC Apollo Federation Gateway"/>
    <s v="UserStory"/>
    <s v="BC Digital - Ongoing Fixes and Enhancements"/>
    <x v="2"/>
    <s v="37"/>
    <s v="Jajati Routray"/>
    <x v="15"/>
    <n v="2"/>
    <n v="5.968935185185185"/>
    <s v="139623"/>
    <m/>
  </r>
  <r>
    <s v="146180"/>
    <s v="Update FullStory Org ID in BC Next application"/>
    <s v="UserStory"/>
    <s v="BC Digital - Ongoing Fixes and Enhancements"/>
    <x v="2"/>
    <m/>
    <m/>
    <x v="77"/>
    <m/>
    <m/>
    <m/>
    <m/>
  </r>
  <r>
    <s v="146984"/>
    <s v="Android &amp; iOS dropdown for Bank Account is not masked"/>
    <s v="UserStory"/>
    <s v="BC Digital - Ongoing Fixes and Enhancements"/>
    <x v="2"/>
    <m/>
    <s v="Isaac Ng"/>
    <x v="77"/>
    <m/>
    <n v="7.921201936864583"/>
    <m/>
    <m/>
  </r>
  <r>
    <s v="125183"/>
    <s v="[BC NEXT] App Pilot - SSP Banner: The banner icon on Mobile does not match the comps"/>
    <s v="Bug"/>
    <s v="Servicing: BC Next"/>
    <x v="0"/>
    <s v="02"/>
    <s v="Pete Wesselius"/>
    <x v="32"/>
    <m/>
    <n v="5.156793981481481"/>
    <s v="124683"/>
    <s v="122762"/>
  </r>
  <r>
    <s v="125184"/>
    <s v="[BC NEXT] App Pilot - SSP Banner: The background color of the banner does not match the comps"/>
    <s v="Bug"/>
    <s v="Servicing: BC Next"/>
    <x v="0"/>
    <s v="02"/>
    <s v="Pete Wesselius"/>
    <x v="32"/>
    <m/>
    <n v="5.122442129629629"/>
    <s v="124683"/>
    <s v="122762"/>
  </r>
  <r>
    <s v="125189"/>
    <s v="[BC NEXT] App Pilot - SSP Banner: The banner text styling does not match the comps"/>
    <s v="Bug"/>
    <s v="Servicing: BC Next"/>
    <x v="0"/>
    <s v="02"/>
    <s v="Pete Wesselius"/>
    <x v="32"/>
    <m/>
    <n v="5.122650462962962"/>
    <s v="124683"/>
    <s v="122762"/>
  </r>
  <r>
    <s v="125255"/>
    <s v="[BC NEXT] [PROD BUG] Paymentus: The email on the Paymentus is not coming correctly"/>
    <s v="Bug"/>
    <s v="Servicing: BC Next"/>
    <x v="0"/>
    <s v="01"/>
    <s v="Antonio Posada"/>
    <x v="5"/>
    <m/>
    <n v="0.940162037037037"/>
    <m/>
    <s v="123940"/>
  </r>
  <r>
    <s v="125264"/>
    <s v="[BC NEXT] Homepage Routes &amp; Metadata - Top Nav Text"/>
    <s v="Bug"/>
    <s v="Servicing: BC Next"/>
    <x v="0"/>
    <s v="02"/>
    <s v="Abbas Shamshi"/>
    <x v="2"/>
    <m/>
    <n v="6.00037037037037"/>
    <s v="125535"/>
    <s v="124829"/>
  </r>
  <r>
    <s v="125265"/>
    <s v="[BC NEXT] Dashboard: Amount Due Popover for Fees-  The popover should not show the regular payment amount unless the entire fees is paid"/>
    <s v="Bug"/>
    <s v="Servicing: BC Next"/>
    <x v="0"/>
    <s v="02"/>
    <s v="Yokeshwaran Lokanathan"/>
    <x v="5"/>
    <m/>
    <n v="5.087962962962963"/>
    <s v="125462"/>
    <s v="124508"/>
  </r>
  <r>
    <s v="125266"/>
    <s v="[BC NEXT] Homepage - Routing"/>
    <s v="Bug"/>
    <s v="Servicing: BC Next"/>
    <x v="0"/>
    <s v="02"/>
    <s v="Abbas Shamshi"/>
    <x v="2"/>
    <m/>
    <n v="6.000486111111111"/>
    <s v="125535"/>
    <s v="124829"/>
  </r>
  <r>
    <s v="125466"/>
    <s v="[BC NEXT] Update Buttons Font Size- the button size of the logout button on the popover is not as expected which is 16px"/>
    <s v="Bug"/>
    <s v="Servicing: BC Next"/>
    <x v="0"/>
    <s v="02"/>
    <s v="Antonio Posada"/>
    <x v="5"/>
    <m/>
    <n v="3.236377314814815"/>
    <s v="125462"/>
    <m/>
  </r>
  <r>
    <s v="125581"/>
    <s v="[BC NEXT] OTP Success Page - AutoPay CTA not displayed when customer is eligible for autopay but needs to make a payment first"/>
    <s v="Bug"/>
    <s v="Servicing: BC Next"/>
    <x v="0"/>
    <s v="02"/>
    <s v="Antonio Posada"/>
    <x v="5"/>
    <m/>
    <n v="1.873958333333333"/>
    <s v="125463"/>
    <s v="124648"/>
  </r>
  <r>
    <s v="125604"/>
    <s v="[BC NEXT] Dashboard - Remove Date from Payment Alert"/>
    <s v="Bug"/>
    <s v="Servicing: BC Next"/>
    <x v="0"/>
    <s v="02"/>
    <s v="Pete Wesselius"/>
    <x v="5"/>
    <m/>
    <n v="2.040798611111111"/>
    <s v="125462"/>
    <s v="125530"/>
  </r>
  <r>
    <s v="125710"/>
    <s v="Dashboard - Fees Paid in Full: Payment breakdown not calculating correctly."/>
    <s v="Bug"/>
    <s v="Servicing: BC Next"/>
    <x v="0"/>
    <s v="02"/>
    <s v="Yokeshwaran Lokanathan"/>
    <x v="5"/>
    <m/>
    <n v="0.8656828703703703"/>
    <s v="125462"/>
    <s v="125530"/>
  </r>
  <r>
    <s v="125766"/>
    <s v="FF not working to remove Add Debit Card CTA"/>
    <s v="Bug"/>
    <s v="Servicing: BC Next"/>
    <x v="0"/>
    <s v="02"/>
    <s v="Pete Wesselius"/>
    <x v="5"/>
    <m/>
    <n v="0.7725810185185185"/>
    <s v="125745"/>
    <s v="124995"/>
  </r>
  <r>
    <s v="126507"/>
    <s v="Homepage - Register Link Account Hover State"/>
    <s v="Bug"/>
    <s v="Servicing: BC Next"/>
    <x v="0"/>
    <s v="04"/>
    <s v="Chirag Khandhar"/>
    <x v="2"/>
    <m/>
    <n v="1.01693287037037"/>
    <m/>
    <s v="125068"/>
  </r>
  <r>
    <s v="126545"/>
    <s v="[BC NEXT] Dashboard: 90% Paid Ahead: Due today and Regular payment are listed in the popover"/>
    <s v="Bug"/>
    <s v="Servicing: BC Next"/>
    <x v="0"/>
    <s v="05"/>
    <s v="Pete Wesselius"/>
    <x v="3"/>
    <m/>
    <n v="4.278402777777778"/>
    <s v="126506"/>
    <s v="126339"/>
  </r>
  <r>
    <s v="126591"/>
    <s v="[BC NEXT] Dashboard: Popover updates for 90% paid ahead accounts"/>
    <s v="Bug"/>
    <s v="Servicing: BC Next"/>
    <x v="0"/>
    <s v="05"/>
    <m/>
    <x v="3"/>
    <m/>
    <n v="4.1565625"/>
    <s v="126506"/>
    <s v="126339"/>
  </r>
  <r>
    <s v="126601"/>
    <s v="[BC NEXT[Web] Learn More CTAs - Header Padding"/>
    <s v="Bug"/>
    <s v="Servicing: BC Next"/>
    <x v="0"/>
    <s v="04"/>
    <s v="Abbas Shamshi"/>
    <x v="2"/>
    <m/>
    <n v="1.0578125"/>
    <m/>
    <s v="125180"/>
  </r>
  <r>
    <s v="126621"/>
    <s v="[BC NEXT] Dashboard: 90% Paid Ahead: The Remaining balance is still showing when the payment is made with the exact amount that is reaming"/>
    <s v="Bug"/>
    <s v="Servicing: BC Next"/>
    <x v="0"/>
    <s v="05"/>
    <m/>
    <x v="3"/>
    <m/>
    <n v="3.293171296296296"/>
    <s v="126506"/>
    <s v="126339"/>
  </r>
  <r>
    <s v="126674"/>
    <s v="[BC NEXT] Homepage - Top Nav Analytics Category"/>
    <s v="Bug"/>
    <s v="Servicing: BC Next"/>
    <x v="0"/>
    <s v="04"/>
    <s v="Joseph Kranak"/>
    <x v="2"/>
    <m/>
    <n v="0.01496527777777778"/>
    <m/>
    <s v="124834"/>
  </r>
  <r>
    <s v="126684"/>
    <s v="[BC NEXT] Logout Analytic -The Log out analytic is not fired when the user is logged out"/>
    <s v="Bug"/>
    <s v="Servicing: BC Next"/>
    <x v="0"/>
    <s v="07"/>
    <s v="Antonio Posada"/>
    <x v="5"/>
    <m/>
    <n v="14.2675462962963"/>
    <m/>
    <s v="123780"/>
  </r>
  <r>
    <s v="126709"/>
    <s v="Analytic is is not fired when the session time out modal logs out the customer"/>
    <s v="Bug"/>
    <s v="Servicing: BC Next"/>
    <x v="0"/>
    <s v="07"/>
    <s v="Antonio Posada"/>
    <x v="5"/>
    <m/>
    <n v="14.2771875"/>
    <m/>
    <s v="123780"/>
  </r>
  <r>
    <s v="126927"/>
    <s v="[BC NEXT] Dashboard: Should not be showing the remaining balance for the following condition: when its 90% scenario, and the customer is not due today and customer is not due within 3 days"/>
    <s v="Bug"/>
    <s v="Servicing: BC Next"/>
    <x v="0"/>
    <s v="06"/>
    <s v="Yokeshwaran Lokanathan"/>
    <x v="5"/>
    <m/>
    <n v="2.793125"/>
    <s v="126506"/>
    <s v="126557"/>
  </r>
  <r>
    <s v="127082"/>
    <s v="[BC NEXT] Dashboard: the Popover should only show Past due, should not show due today"/>
    <s v="Bug"/>
    <s v="Servicing: BC Next"/>
    <x v="0"/>
    <s v="06"/>
    <s v="Yokeshwaran Lokanathan"/>
    <x v="5"/>
    <m/>
    <n v="1.508877314814815"/>
    <s v="126506"/>
    <s v="126557"/>
  </r>
  <r>
    <s v="127107"/>
    <s v="[BC NEXT] Homepage - Image Slideshow - Preferences button always links to prod route"/>
    <s v="Bug"/>
    <s v="Servicing: BC Next"/>
    <x v="0"/>
    <s v="06"/>
    <s v="Shyam Senthil Nathan"/>
    <x v="2"/>
    <m/>
    <n v="0.9607870370370371"/>
    <s v="127093"/>
    <s v="124839"/>
  </r>
  <r>
    <s v="127291"/>
    <s v="[BC NEXT] Dashboard: Incorrect popover breakdown for current customer with fees and pending reversal"/>
    <s v="Bug"/>
    <s v="Servicing: BC Next"/>
    <x v="0"/>
    <s v="06"/>
    <s v="Yokeshwaran Lokanathan"/>
    <x v="5"/>
    <m/>
    <n v="0.1666666666666667"/>
    <s v="126506"/>
    <s v="126557"/>
  </r>
  <r>
    <s v="127292"/>
    <s v="[BC NEXT] DASHBOARD: Incorrect amount due, due date and popover showing for current customer, no fees with pending reversal"/>
    <s v="Bug"/>
    <s v="Servicing: BC Next"/>
    <x v="0"/>
    <s v="07"/>
    <s v="Yokeshwaran Lokanathan"/>
    <x v="5"/>
    <m/>
    <n v="4.031481481481482"/>
    <s v="126506"/>
    <s v="126557"/>
  </r>
  <r>
    <s v="127299"/>
    <s v="[BC NEXT][DASHBOARD]Current customer with past due (90% rule) no fees with pending reversal- The Payment breakdown is not correct"/>
    <s v="Bug"/>
    <s v="Servicing: BC Next"/>
    <x v="0"/>
    <s v="07"/>
    <s v="Yokeshwaran Lokanathan"/>
    <x v="3"/>
    <m/>
    <n v="4.015729166666667"/>
    <s v="126506"/>
    <s v="126339"/>
  </r>
  <r>
    <s v="127300"/>
    <s v="[BC NEXT] OTP: We are not able to make a One Time payment using amount due selection in the OTP flow"/>
    <s v="Bug"/>
    <s v="Servicing: BC Next"/>
    <x v="0"/>
    <s v="06"/>
    <s v="Connor Golobich"/>
    <x v="3"/>
    <m/>
    <n v="0.153912037037037"/>
    <s v="126506"/>
    <s v="126954"/>
  </r>
  <r>
    <s v="127301"/>
    <s v="[BC NEXT] Dashboard: For Past Due customer, account should not show the regular payment in the popover"/>
    <s v="Bug"/>
    <s v="Servicing: BC Next"/>
    <x v="0"/>
    <s v="07"/>
    <s v="Yokeshwaran Lokanathan"/>
    <x v="5"/>
    <m/>
    <n v="4.012523148148148"/>
    <s v="126506"/>
    <s v="126557"/>
  </r>
  <r>
    <s v="127332"/>
    <s v="[BC NEXT][Web] Dashboard - Top Nav Bridgecrest logo not refreshing page on click"/>
    <s v="Bug"/>
    <s v="Servicing: BC Next"/>
    <x v="0"/>
    <s v="06"/>
    <s v="Joseph Kranak"/>
    <x v="4"/>
    <m/>
    <n v="0.1015972222222222"/>
    <m/>
    <s v="126371"/>
  </r>
  <r>
    <s v="127367"/>
    <s v="[BC NEXT][Web] Dashboard - Top Nav - Cursor not changing to pointer when hovering over bridgecrest logo"/>
    <s v="Bug"/>
    <s v="Servicing: BC Next"/>
    <x v="0"/>
    <s v="06"/>
    <s v="Joseph Kranak"/>
    <x v="4"/>
    <m/>
    <n v="0.04347222222222222"/>
    <m/>
    <s v="126371"/>
  </r>
  <r>
    <s v="127400"/>
    <s v="[BC NEXT][Web] Dashboard - Top Nav - Links not staying underlined when active"/>
    <s v="Bug"/>
    <s v="Servicing: BC Next"/>
    <x v="0"/>
    <s v="07"/>
    <s v="Joseph Kranak"/>
    <x v="4"/>
    <m/>
    <n v="2.974953703703703"/>
    <s v="127093"/>
    <s v="126371"/>
  </r>
  <r>
    <s v="127449"/>
    <s v="[BC NEXT] AutoPay: Pending Modal showing on select an account page"/>
    <s v="Bug"/>
    <s v="Servicing: BC Next"/>
    <x v="0"/>
    <s v="07"/>
    <s v="Antonio Posada"/>
    <x v="5"/>
    <m/>
    <n v="3.955856481481481"/>
    <m/>
    <s v="125686"/>
  </r>
  <r>
    <s v="127451"/>
    <s v="[BC NEXT] AutoPay: Header(Bridgecrest) is cutting off"/>
    <s v="Bug"/>
    <s v="Servicing: BC Next"/>
    <x v="0"/>
    <s v="07"/>
    <m/>
    <x v="5"/>
    <m/>
    <n v="0"/>
    <m/>
    <s v="125686"/>
  </r>
  <r>
    <s v="127483"/>
    <s v="[BC NEXT][Web] Dashboard - Banners UI Banner width not aligning on larger screens"/>
    <s v="Bug"/>
    <s v="Servicing: BC Next"/>
    <x v="0"/>
    <s v="07"/>
    <s v="Chirag Khandhar"/>
    <x v="4"/>
    <m/>
    <n v="1.707743055555556"/>
    <m/>
    <s v="126380"/>
  </r>
  <r>
    <s v="127607"/>
    <s v="[BC NEXT] AutoPay - Pending Payment Modal: On AP past due flow, the pen modal is not displayed on step 1"/>
    <s v="Bug"/>
    <s v="Servicing: BC Next"/>
    <x v="0"/>
    <s v="07"/>
    <s v="Antonio Posada"/>
    <x v="5"/>
    <m/>
    <n v="1.090115740740741"/>
    <m/>
    <s v="125686"/>
  </r>
  <r>
    <s v="127628"/>
    <s v="Customer service/payoff quote alignment differing from comps"/>
    <s v="Bug"/>
    <s v="Servicing: BC Next"/>
    <x v="0"/>
    <s v="07"/>
    <s v="Namratha Chilukuri"/>
    <x v="4"/>
    <m/>
    <n v="1.072083333333333"/>
    <m/>
    <s v="126376"/>
  </r>
  <r>
    <s v="127828"/>
    <s v="[BC NEXT][Web] Dashboard - Recent Activity - ADA elements not being selected when hitting 'enter'"/>
    <s v="Bug"/>
    <s v="Servicing: BC Next"/>
    <x v="0"/>
    <s v="09"/>
    <s v="Joseph Kranak"/>
    <x v="4"/>
    <m/>
    <n v="4.983668981481482"/>
    <m/>
    <s v="126386"/>
  </r>
  <r>
    <s v="127919"/>
    <s v="[BC NEXT][Web] Dashboard - Recent Activity - Stepper in AP flows not tabbing correctly"/>
    <s v="Bug"/>
    <s v="Servicing: BC Next"/>
    <x v="0"/>
    <s v="09"/>
    <s v="Joseph Kranak"/>
    <x v="4"/>
    <m/>
    <n v="1.041597222222222"/>
    <m/>
    <s v="126386"/>
  </r>
  <r>
    <s v="128005"/>
    <s v="[BC NEXT][Web] Dashboard - Side Nav: Fixing Footer Margin"/>
    <s v="Bug"/>
    <s v="Servicing: BC Next"/>
    <x v="0"/>
    <s v="09"/>
    <s v="Abbas Shamshi"/>
    <x v="4"/>
    <m/>
    <n v="0.953761574074074"/>
    <s v="128241"/>
    <s v="127001"/>
  </r>
  <r>
    <s v="128026"/>
    <s v="[BC NEXT][WEB] Dashboard - Side Nav: Missing ARIA labels"/>
    <s v="Bug"/>
    <s v="Servicing: BC Next"/>
    <x v="0"/>
    <s v="10"/>
    <s v="Abbas Shamshi"/>
    <x v="4"/>
    <m/>
    <n v="5.019155092592593"/>
    <s v="128241"/>
    <s v="127001"/>
  </r>
  <r>
    <s v="128028"/>
    <s v="[BC NEXT][WEB] Dashboard - Side Nav/Footer: App bottom nav not hidden"/>
    <s v="Bug"/>
    <s v="Servicing: BC Next"/>
    <x v="0"/>
    <s v="10"/>
    <s v="Abbas Shamshi"/>
    <x v="4"/>
    <m/>
    <n v="5.010347222222222"/>
    <s v="128241"/>
    <s v="127001"/>
  </r>
  <r>
    <s v="128031"/>
    <s v="Footer white background not extending till screen's bottom"/>
    <s v="Bug"/>
    <s v="Servicing: BC Next"/>
    <x v="0"/>
    <s v="09"/>
    <s v="Jesse McMahon"/>
    <x v="2"/>
    <m/>
    <n v="1.103553240740741"/>
    <m/>
    <m/>
  </r>
  <r>
    <s v="128070"/>
    <s v="[BC NEXT][OBSERVATIONS][2] Email Verify Page Spacing Fix"/>
    <s v="Bug"/>
    <s v="Servicing: BC Next"/>
    <x v="0"/>
    <s v="09"/>
    <s v="Antonio Posada"/>
    <x v="6"/>
    <m/>
    <n v="0.8927777777777778"/>
    <s v="128241"/>
    <s v="126910"/>
  </r>
  <r>
    <s v="128072"/>
    <s v="[BC NEXT][OBSERVATIONS][2] Account Lookup Page : Error message fix"/>
    <s v="Bug"/>
    <s v="Servicing: BC Next"/>
    <x v="0"/>
    <s v="09"/>
    <s v="Antonio Posada"/>
    <x v="6"/>
    <m/>
    <n v="0.8932523148148148"/>
    <s v="128241"/>
    <s v="126910"/>
  </r>
  <r>
    <s v="128091"/>
    <s v="[BC NEXT][WEB] Dashboard - Replace app menu with side nav on mobile browser view"/>
    <s v="Bug"/>
    <s v="Servicing: BC Next"/>
    <x v="0"/>
    <s v="10"/>
    <s v="Abbas Shamshi"/>
    <x v="4"/>
    <m/>
    <n v="0.8801273148148148"/>
    <s v="128241"/>
    <s v="127001"/>
  </r>
  <r>
    <s v="128105"/>
    <s v="[BC NEXT][OBSERVATIONS][2] Email registration page"/>
    <s v="Bug"/>
    <s v="Servicing: BC Next"/>
    <x v="0"/>
    <s v="10"/>
    <s v="Antonio Posada"/>
    <x v="6"/>
    <m/>
    <n v="3.703599537037037"/>
    <s v="128241"/>
    <s v="126910"/>
  </r>
  <r>
    <s v="128159"/>
    <s v="[BC NEXT][OBSERVATIONS] Bridgecrest logo &amp; Dashboard title overlapping on web mobile view"/>
    <s v="Bug"/>
    <s v="Servicing: BC Next"/>
    <x v="0"/>
    <s v="10"/>
    <s v="Yokeshwaran Lokanathan"/>
    <x v="2"/>
    <m/>
    <n v="0.04079861111111111"/>
    <s v="128241"/>
    <s v="127170"/>
  </r>
  <r>
    <s v="128182"/>
    <s v="Homepage Pixel Perfect - UAT Feedback from UX"/>
    <s v="Bug"/>
    <s v="Servicing: BC Next"/>
    <x v="0"/>
    <s v="10"/>
    <s v="Shyam Senthil Nathan"/>
    <x v="2"/>
    <m/>
    <n v="0.9108564814814815"/>
    <s v="128278"/>
    <s v="127564"/>
  </r>
  <r>
    <s v="128220"/>
    <s v="Update Registration Page - Line not breaking to 2 when text too long"/>
    <s v="Bug"/>
    <s v="Servicing: BC Next"/>
    <x v="0"/>
    <s v="10"/>
    <m/>
    <x v="6"/>
    <m/>
    <n v="0.008379629629629629"/>
    <s v="128241"/>
    <s v="126910"/>
  </r>
  <r>
    <s v="128387"/>
    <s v="[BC NEXT][WEB] Dashboard - Top and bottom padding on Account Summary Card off from comps"/>
    <s v="Bug"/>
    <s v="Servicing: BC Next"/>
    <x v="0"/>
    <s v="10"/>
    <s v="Chirag Khandhar"/>
    <x v="4"/>
    <m/>
    <n v="0"/>
    <m/>
    <s v="126374"/>
  </r>
  <r>
    <s v="128397"/>
    <s v="#128264 [BC NEXT][WEB] Analytic label"/>
    <s v="Bug"/>
    <s v="Servicing: BC Next"/>
    <x v="0"/>
    <s v="11"/>
    <s v="Chirag Khandhar"/>
    <x v="4"/>
    <m/>
    <n v="1.228333333333333"/>
    <m/>
    <s v="128264"/>
  </r>
  <r>
    <s v="128455"/>
    <s v="[BC NEXT][WEB] Modals - Scrollbar appearing when not needed"/>
    <s v="Bug"/>
    <s v="Servicing: BC Next"/>
    <x v="0"/>
    <s v="11"/>
    <s v="Abbas Shamshi"/>
    <x v="22"/>
    <m/>
    <n v="0.1360763888888889"/>
    <s v="128571"/>
    <s v="127931"/>
  </r>
  <r>
    <s v="128604"/>
    <s v="OTP step 2 responsiveness off"/>
    <s v="Bug"/>
    <s v="Servicing: BC Next"/>
    <x v="0"/>
    <s v="11"/>
    <s v="Chirag Khandhar"/>
    <x v="22"/>
    <m/>
    <n v="3.003356481481481"/>
    <s v="129428"/>
    <s v="127710"/>
  </r>
  <r>
    <s v="128829"/>
    <s v="OTP Swirly Visibility and Appearance"/>
    <s v="Bug"/>
    <s v="Servicing: BC Next"/>
    <x v="0"/>
    <s v="12"/>
    <s v="Joseph Kranak"/>
    <x v="22"/>
    <m/>
    <n v="4.937719907407407"/>
    <s v="129428"/>
    <s v="127921"/>
  </r>
  <r>
    <s v="128833"/>
    <s v="Select a vehicle should be action sheet in app, not popover"/>
    <s v="Bug"/>
    <s v="Servicing: BC Next"/>
    <x v="0"/>
    <s v="12"/>
    <s v="Jesse McMahon"/>
    <x v="4"/>
    <m/>
    <n v="4.018472222222222"/>
    <m/>
    <s v="126530"/>
  </r>
  <r>
    <s v="128894"/>
    <s v="[BC NEXT][WEB] No Accounts Found - Customer Service link pointing to wrong environment"/>
    <s v="Bug"/>
    <s v="Servicing: BC Next"/>
    <x v="0"/>
    <s v="12"/>
    <s v="Chirag Khandhar"/>
    <x v="4"/>
    <m/>
    <n v="0.9296412037037036"/>
    <m/>
    <s v="128264"/>
  </r>
  <r>
    <s v="128962"/>
    <s v="[BC NEXT][WEB] Update action sheet/dropdown border colors to match comps"/>
    <s v="Bug"/>
    <s v="Servicing: BC Next"/>
    <x v="0"/>
    <s v="12"/>
    <s v="Shyam Senthil Nathan"/>
    <x v="4"/>
    <m/>
    <n v="3.034918981481481"/>
    <m/>
    <s v="126834"/>
  </r>
  <r>
    <s v="128992"/>
    <s v="Account Summary Slides size not equal on vehicle change"/>
    <s v="Bug"/>
    <s v="Servicing: BC Next"/>
    <x v="0"/>
    <s v="12"/>
    <s v="Chirag Khandhar"/>
    <x v="4"/>
    <m/>
    <n v="1.880729166666667"/>
    <m/>
    <s v="126530"/>
  </r>
  <r>
    <s v="129080"/>
    <s v="[BC NEXT][WEB] Incorrect analytic event on dropdown"/>
    <s v="Bug"/>
    <s v="Servicing: BC Next"/>
    <x v="0"/>
    <s v="12"/>
    <s v="Jesse McMahon"/>
    <x v="4"/>
    <m/>
    <n v="1.183611111111111"/>
    <m/>
    <s v="126530"/>
  </r>
  <r>
    <s v="129192"/>
    <s v="[BC NEXT][WEB] OTP - Success Page - Image and text not aligning with comps"/>
    <s v="Bug"/>
    <s v="Servicing: BC Next"/>
    <x v="0"/>
    <s v="13"/>
    <s v="Shyam Senthil Nathan"/>
    <x v="22"/>
    <m/>
    <n v="1.031539351851852"/>
    <s v="129428"/>
    <s v="127930"/>
  </r>
  <r>
    <s v="129244"/>
    <s v="[BC NEXT] [WEB] Footer not showing in OTP Success Page"/>
    <s v="Bug"/>
    <s v="Servicing: BC Next"/>
    <x v="0"/>
    <s v="13"/>
    <s v="Joseph Kranak"/>
    <x v="22"/>
    <m/>
    <n v="0.06863425925925926"/>
    <s v="129428"/>
    <s v="127921"/>
  </r>
  <r>
    <s v="129293"/>
    <s v="[BC NEXT][WEB] Button size does not match comps"/>
    <s v="Bug"/>
    <s v="Servicing: BC Next"/>
    <x v="0"/>
    <s v="13"/>
    <s v="Chirag Khandhar"/>
    <x v="22"/>
    <m/>
    <n v="1.611921296296296"/>
    <s v="129428"/>
    <s v="127710"/>
  </r>
  <r>
    <s v="129375"/>
    <s v="[BC NEXT][WEB] Banners and vehicle dropdown not aligned with card"/>
    <s v="Bug"/>
    <s v="Servicing: BC Next"/>
    <x v="0"/>
    <s v="13"/>
    <s v="Joseph Kranak"/>
    <x v="4"/>
    <m/>
    <n v="1.203576388888889"/>
    <s v="129522"/>
    <s v="127574"/>
  </r>
  <r>
    <s v="129376"/>
    <s v="[BC NEXT][WEB] Alignment off on second account summary card"/>
    <s v="Bug"/>
    <s v="Servicing: BC Next"/>
    <x v="0"/>
    <s v="13"/>
    <s v="Joseph Kranak"/>
    <x v="4"/>
    <m/>
    <n v="1.203668981481481"/>
    <s v="129522"/>
    <s v="127574"/>
  </r>
  <r>
    <s v="129568"/>
    <s v="Dashboard - Hide links in Top/Side Nav"/>
    <s v="Bug"/>
    <s v="Servicing: BC Next"/>
    <x v="0"/>
    <s v="15"/>
    <s v="Abbas Shamshi"/>
    <x v="4"/>
    <m/>
    <n v="9.116990740740741"/>
    <m/>
    <s v="128314"/>
  </r>
  <r>
    <s v="129743"/>
    <s v="Incorrect Swirly Position in the mobile view"/>
    <s v="Bug"/>
    <s v="Servicing: BC Next"/>
    <x v="0"/>
    <s v="15"/>
    <s v="Connor Golobich"/>
    <x v="23"/>
    <m/>
    <n v="4.928425925925926"/>
    <s v="131354"/>
    <s v="128051"/>
  </r>
  <r>
    <s v="129747"/>
    <s v="Pending payments modal buttons spacing off"/>
    <s v="Bug"/>
    <s v="Servicing: BC Next"/>
    <x v="0"/>
    <s v="15"/>
    <s v="Abbas Shamshi"/>
    <x v="23"/>
    <m/>
    <n v="3.163553240740741"/>
    <s v="131354"/>
    <s v="128048"/>
  </r>
  <r>
    <s v="129869"/>
    <s v="#127960 [BC NEXT][WEB] AutoPay - Step 1: Bug: aria-label, Swirl not expanding, Aria label on checkbox"/>
    <s v="Bug"/>
    <s v="Servicing: BC Next"/>
    <x v="0"/>
    <s v="15"/>
    <s v="Chirag Khandhar"/>
    <x v="23"/>
    <m/>
    <n v="1.106504629629629"/>
    <s v="131354"/>
    <s v="127960"/>
  </r>
  <r>
    <s v="129897"/>
    <s v="Fix spinners and fix ADA"/>
    <s v="Bug"/>
    <s v="Servicing: BC Next"/>
    <x v="0"/>
    <s v="16"/>
    <s v="Yokeshwaran Lokanathan"/>
    <x v="23"/>
    <m/>
    <n v="7.758437499999999"/>
    <s v="131354"/>
    <s v="127945"/>
  </r>
  <r>
    <s v="129948"/>
    <s v="Incorrect screen reader behavior for SSL icon and Submit button"/>
    <s v="Bug"/>
    <s v="Servicing: BC Next"/>
    <x v="0"/>
    <s v="15"/>
    <s v="Chirag Khandhar"/>
    <x v="23"/>
    <m/>
    <n v="0.1317708333333333"/>
    <s v="131354"/>
    <s v="127963"/>
  </r>
  <r>
    <s v="130083"/>
    <s v="#127960 [BC NEXT][WEB] AutoPay - Step 1: Bug: Incorrect Aria label for Step indicators"/>
    <s v="Bug"/>
    <s v="Servicing: BC Next"/>
    <x v="0"/>
    <s v="16"/>
    <s v="Chirag Khandhar"/>
    <x v="23"/>
    <m/>
    <n v="4.766956018518519"/>
    <s v="131354"/>
    <s v="127960"/>
  </r>
  <r>
    <s v="130095"/>
    <s v="SSL image cut off when resizing"/>
    <s v="Bug"/>
    <s v="Servicing: BC Next"/>
    <x v="0"/>
    <s v="16"/>
    <s v="Joseph Kranak"/>
    <x v="23"/>
    <m/>
    <n v="4.286643518518519"/>
    <s v="131354"/>
    <s v="127947"/>
  </r>
  <r>
    <s v="130149"/>
    <s v="Fix success page footer"/>
    <s v="Bug"/>
    <s v="Servicing: BC Next"/>
    <x v="0"/>
    <s v="16"/>
    <s v="Yokeshwaran Lokanathan"/>
    <x v="23"/>
    <m/>
    <n v="1.097488425925926"/>
    <s v="131354"/>
    <s v="127945"/>
  </r>
  <r>
    <s v="130150"/>
    <s v="Error messages are not displayed properly"/>
    <s v="Bug"/>
    <s v="Servicing: BC Next"/>
    <x v="0"/>
    <s v="16"/>
    <s v="Joseph Kranak"/>
    <x v="23"/>
    <m/>
    <n v="1.309814814814815"/>
    <s v="131354"/>
    <s v="127947"/>
  </r>
  <r>
    <s v="130241"/>
    <s v="Remove %AccountNumber% from Label in analytic event"/>
    <s v="Bug"/>
    <s v="Servicing: BC Next"/>
    <x v="0"/>
    <s v="16"/>
    <s v="Yokeshwaran Lokanathan"/>
    <x v="23"/>
    <m/>
    <n v="0.1160648148148148"/>
    <s v="131354"/>
    <s v="127945"/>
  </r>
  <r>
    <s v="130243"/>
    <s v="New analytics missing"/>
    <s v="Bug"/>
    <s v="Servicing: BC Next"/>
    <x v="0"/>
    <s v="16"/>
    <s v="Joseph Kranak"/>
    <x v="23"/>
    <m/>
    <n v="1.31287037037037"/>
    <s v="131354"/>
    <s v="127947"/>
  </r>
  <r>
    <s v="130287"/>
    <s v="Fix spinner footer"/>
    <s v="Bug"/>
    <s v="Servicing: BC Next"/>
    <x v="0"/>
    <s v="16"/>
    <m/>
    <x v="23"/>
    <m/>
    <n v="0.235474537037037"/>
    <s v="131354"/>
    <s v="127945"/>
  </r>
  <r>
    <s v="130324"/>
    <s v="#128672 [BC NEXT][WEB] APPD - Step 3: Review - Missing Analytics"/>
    <s v="Bug"/>
    <s v="Servicing: BC Next"/>
    <x v="0"/>
    <s v="16"/>
    <s v="Chirag Khandhar"/>
    <x v="25"/>
    <m/>
    <n v="1.023321759259259"/>
    <m/>
    <s v="128672"/>
  </r>
  <r>
    <s v="130341"/>
    <s v="Analytics &amp; SSL Icon"/>
    <s v="Bug"/>
    <s v="Servicing: BC Next"/>
    <x v="0"/>
    <s v="16"/>
    <s v="Antonio Posada"/>
    <x v="22"/>
    <m/>
    <n v="0.9260185185185185"/>
    <s v="130431"/>
    <s v="127701"/>
  </r>
  <r>
    <s v="130385"/>
    <s v="New SSL Icon"/>
    <s v="Bug"/>
    <s v="Servicing: BC Next"/>
    <x v="0"/>
    <s v="16"/>
    <s v="Antonio Posada"/>
    <x v="22"/>
    <m/>
    <n v="0.0761111111111111"/>
    <s v="130431"/>
    <s v="127701"/>
  </r>
  <r>
    <s v="130411"/>
    <s v="Pixel Perfect bugs"/>
    <s v="Bug"/>
    <s v="Servicing: BC Next"/>
    <x v="0"/>
    <s v="17"/>
    <s v="Connor Golobich"/>
    <x v="25"/>
    <m/>
    <n v="1.801030092592593"/>
    <m/>
    <s v="128674"/>
  </r>
  <r>
    <s v="130524"/>
    <s v="Line after header not as comps"/>
    <s v="Bug"/>
    <s v="Servicing: BC Next"/>
    <x v="0"/>
    <s v="17"/>
    <s v="Abbas Shamshi"/>
    <x v="25"/>
    <m/>
    <n v="0.216099537037037"/>
    <m/>
    <s v="128593"/>
  </r>
  <r>
    <s v="130527"/>
    <s v="Old SSL icon on mobile"/>
    <s v="Bug"/>
    <s v="Servicing: BC Next"/>
    <x v="0"/>
    <s v="17"/>
    <s v="Abbas Shamshi"/>
    <x v="25"/>
    <m/>
    <n v="2.092824074074074"/>
    <m/>
    <s v="128593"/>
  </r>
  <r>
    <s v="130528"/>
    <s v="Focus Ring without styling on Payment Breakdown CTA"/>
    <s v="Bug"/>
    <s v="Servicing: BC Next"/>
    <x v="0"/>
    <s v="17"/>
    <s v="Abbas Shamshi"/>
    <x v="25"/>
    <m/>
    <n v="2.077824074074074"/>
    <m/>
    <s v="128593"/>
  </r>
  <r>
    <s v="130770"/>
    <s v="Footer not sticking to the bottom of manage bank accounts page"/>
    <s v="Bug"/>
    <s v="Servicing: BC Next"/>
    <x v="0"/>
    <s v="18"/>
    <s v="Antonio Posada"/>
    <x v="15"/>
    <m/>
    <n v="6.969004629629629"/>
    <m/>
    <m/>
  </r>
  <r>
    <s v="130771"/>
    <s v="Confirm delete bank account popup opening twice if opened with keyboard"/>
    <s v="Bug"/>
    <s v="Servicing: BC Next"/>
    <x v="0"/>
    <s v="18"/>
    <s v="Antonio Posada"/>
    <x v="15"/>
    <m/>
    <n v="3.061967592592592"/>
    <m/>
    <m/>
  </r>
  <r>
    <s v="130806"/>
    <s v="APPD - Step 2: AutoPay Enrollment outline on ssl icon"/>
    <s v="Bug"/>
    <s v="Servicing: BC Next"/>
    <x v="0"/>
    <s v="18"/>
    <s v="Joseph Kranak"/>
    <x v="25"/>
    <m/>
    <n v="4.891435185185185"/>
    <m/>
    <s v="128613"/>
  </r>
  <r>
    <s v="130808"/>
    <s v="APPD - Step 2: AutoPay Enrollment: Tabbing Order"/>
    <s v="Bug"/>
    <s v="Servicing: BC Next"/>
    <x v="0"/>
    <s v="18"/>
    <s v="Joseph Kranak"/>
    <x v="25"/>
    <m/>
    <n v="3.942326388888889"/>
    <m/>
    <s v="128613"/>
  </r>
  <r>
    <s v="130842"/>
    <s v="APPD Step 2: UI not matching with comps"/>
    <s v="Bug"/>
    <s v="Servicing: BC Next"/>
    <x v="0"/>
    <s v="18"/>
    <s v="Joseph Kranak"/>
    <x v="25"/>
    <m/>
    <n v="4.227002314814815"/>
    <m/>
    <s v="128613"/>
  </r>
  <r>
    <s v="130971"/>
    <s v="[BC NEXT][WEB] AutoPay PP - Update padding in footer and dropdown components in step 1"/>
    <s v="Bug"/>
    <s v="Servicing: BC Next"/>
    <x v="0"/>
    <s v="18"/>
    <s v="Joseph Kranak"/>
    <x v="23"/>
    <m/>
    <n v="0.1988425925925926"/>
    <s v="131354"/>
    <s v="130102"/>
  </r>
  <r>
    <s v="131029"/>
    <s v="Issue Processing Page"/>
    <s v="Bug"/>
    <s v="Servicing: BC Next"/>
    <x v="0"/>
    <s v="18"/>
    <s v="Joseph Kranak"/>
    <x v="28"/>
    <m/>
    <n v="1.008125"/>
    <s v="131615"/>
    <s v="129715"/>
  </r>
  <r>
    <s v="131197"/>
    <s v="Pixel-Perfect Bug"/>
    <s v="Bug"/>
    <s v="Servicing: BC Next"/>
    <x v="0"/>
    <s v="18"/>
    <s v="Abbas Shamshi"/>
    <x v="10"/>
    <m/>
    <n v="0.9255208333333333"/>
    <s v="131615"/>
    <s v="129324"/>
  </r>
  <r>
    <s v="131236"/>
    <s v="Spiral Position"/>
    <s v="Bug"/>
    <s v="Servicing: BC Next"/>
    <x v="0"/>
    <s v="18"/>
    <s v="Joseph Kranak"/>
    <x v="28"/>
    <m/>
    <n v="0.13"/>
    <s v="131615"/>
    <s v="129715"/>
  </r>
  <r>
    <s v="131347"/>
    <s v="Footer Position Issue"/>
    <s v="Bug"/>
    <s v="Servicing: BC Next"/>
    <x v="0"/>
    <s v="18"/>
    <s v="Abbas Shamshi"/>
    <x v="10"/>
    <m/>
    <n v="0.06931712962962963"/>
    <s v="131615"/>
    <s v="129324"/>
  </r>
  <r>
    <s v="131381"/>
    <s v="More payment options title icons are a bit smaller than in the comps"/>
    <s v="Bug"/>
    <s v="Servicing: BC Next"/>
    <x v="0"/>
    <s v="20"/>
    <s v="Yokeshwaran Lokanathan"/>
    <x v="21"/>
    <m/>
    <n v="6.974907407407407"/>
    <m/>
    <s v="126964"/>
  </r>
  <r>
    <s v="131382"/>
    <s v="Top edge missing from tab outline of links in first line of more payment options description"/>
    <s v="Bug"/>
    <s v="Servicing: BC Next"/>
    <x v="0"/>
    <s v="20"/>
    <s v="Yokeshwaran Lokanathan"/>
    <x v="21"/>
    <m/>
    <n v="6.975023148148148"/>
    <m/>
    <s v="126964"/>
  </r>
  <r>
    <s v="131385"/>
    <s v="[BC NEXT] Manage Debit Cards - Update padding when card has scheduled payment"/>
    <s v="Bug"/>
    <s v="Servicing: BC Next"/>
    <x v="0"/>
    <s v="19"/>
    <s v="Abbas Shamshi"/>
    <x v="10"/>
    <m/>
    <n v="3.256377314814815"/>
    <s v="131615"/>
    <s v="129324"/>
  </r>
  <r>
    <s v="131397"/>
    <s v="OTP Pixel Perfect Misc Alignment Issues"/>
    <s v="Bug"/>
    <s v="Servicing: BC Next"/>
    <x v="0"/>
    <s v="20"/>
    <s v="Antonio Posada and Abbas Shamshi"/>
    <x v="22"/>
    <m/>
    <n v="4.988784722222222"/>
    <m/>
    <s v="130412"/>
  </r>
  <r>
    <s v="131821"/>
    <s v="Having login loop"/>
    <s v="Bug"/>
    <s v="Servicing: BC Next"/>
    <x v="0"/>
    <s v="30"/>
    <s v="Pete Wesselius"/>
    <x v="15"/>
    <m/>
    <n v="75.99855324074073"/>
    <m/>
    <s v="129035"/>
  </r>
  <r>
    <s v="131910"/>
    <s v="[SSP][EXP] Payoff Quote Survey - Underline too long on mobile view"/>
    <s v="Bug"/>
    <s v="Servicing: BC Next"/>
    <x v="0"/>
    <s v="19"/>
    <s v="Connor Golobich"/>
    <x v="11"/>
    <m/>
    <n v="1.074884259259259"/>
    <m/>
    <s v="129667"/>
  </r>
  <r>
    <s v="132305"/>
    <s v="[BC NEXT]Manage Payments - lag refreshing the page"/>
    <s v="Bug"/>
    <s v="Servicing: BC Next"/>
    <x v="0"/>
    <s v="21"/>
    <s v="Yokeshwaran Lokanathan"/>
    <x v="7"/>
    <m/>
    <n v="6.977488425925926"/>
    <s v="133005"/>
    <s v="129786"/>
  </r>
  <r>
    <s v="132306"/>
    <s v="Mobile view Misc Misalignments"/>
    <s v="Bug"/>
    <s v="Servicing: BC Next"/>
    <x v="0"/>
    <s v="20"/>
    <s v="Antonio Posada"/>
    <x v="22"/>
    <m/>
    <n v="0.03241898148148148"/>
    <m/>
    <s v="130412"/>
  </r>
  <r>
    <s v="132314"/>
    <s v="Cancel Payment Modal"/>
    <s v="Bug"/>
    <s v="Servicing: BC Next"/>
    <x v="0"/>
    <s v="20"/>
    <s v="Yokeshwaran Lokanathan"/>
    <x v="10"/>
    <m/>
    <n v="1.515046296296296"/>
    <s v="133005"/>
    <s v="129329"/>
  </r>
  <r>
    <s v="132341"/>
    <s v="Unenroll from Autopay"/>
    <s v="Bug"/>
    <s v="Servicing: BC Next"/>
    <x v="0"/>
    <s v="21"/>
    <s v="Yokeshwaran Lokanathan"/>
    <x v="10"/>
    <m/>
    <n v="4.926701388888889"/>
    <s v="133005"/>
    <s v="129329"/>
  </r>
  <r>
    <s v="132342"/>
    <s v="Manage Payment UI"/>
    <s v="Bug"/>
    <s v="Servicing: BC Next"/>
    <x v="0"/>
    <s v="20"/>
    <s v="Yokeshwaran Lokanathan"/>
    <x v="10"/>
    <m/>
    <n v="0"/>
    <s v="133005"/>
    <s v="129329"/>
  </r>
  <r>
    <s v="132349"/>
    <s v="Pixel Perfect Bug - Footer"/>
    <s v="Bug"/>
    <s v="Servicing: BC Next"/>
    <x v="0"/>
    <s v="20"/>
    <s v="Antonio Posada"/>
    <x v="28"/>
    <m/>
    <n v="0.09849537037037037"/>
    <m/>
    <s v="129714"/>
  </r>
  <r>
    <s v="132351"/>
    <s v="E-consent modal"/>
    <s v="Bug"/>
    <s v="Servicing: BC Next"/>
    <x v="0"/>
    <s v="20"/>
    <s v="Yokeshwaran Lokanathan"/>
    <x v="10"/>
    <m/>
    <n v="1.430358796296296"/>
    <s v="133005"/>
    <s v="129329"/>
  </r>
  <r>
    <s v="132391"/>
    <s v="Pixel Perfect- Footer"/>
    <s v="Bug"/>
    <s v="Servicing: BC Next"/>
    <x v="0"/>
    <s v="20"/>
    <s v="Shyam Senthil Nathan"/>
    <x v="25"/>
    <m/>
    <n v="0.7646412037037037"/>
    <m/>
    <s v="130157"/>
  </r>
  <r>
    <s v="132537"/>
    <s v="Footer is not sticking to bottom of the page"/>
    <s v="Bug"/>
    <s v="Servicing: BC Next"/>
    <x v="0"/>
    <s v="21"/>
    <s v="Yokeshwaran Lokanathan"/>
    <x v="10"/>
    <m/>
    <n v="3.081203703703704"/>
    <s v="133005"/>
    <s v="129329"/>
  </r>
  <r>
    <s v="132616"/>
    <s v="Footer not matching the comps &amp; Page able to scroll without a lot of content"/>
    <s v="Bug"/>
    <s v="Servicing: BC Next"/>
    <x v="0"/>
    <s v="21"/>
    <s v="Chirag Khandhar"/>
    <x v="29"/>
    <m/>
    <n v="0.0274537037037037"/>
    <s v="132710"/>
    <s v="132144"/>
  </r>
  <r>
    <s v="132759"/>
    <s v="Apollo Service Console error"/>
    <s v="Bug"/>
    <s v="Servicing: BC Next"/>
    <x v="0"/>
    <s v="22"/>
    <s v="Joseph Kranak"/>
    <x v="10"/>
    <m/>
    <n v="6.833854166666667"/>
    <s v="133076"/>
    <s v="129533"/>
  </r>
  <r>
    <s v="132766"/>
    <s v="Responsive Breakpoint Bug"/>
    <s v="Bug"/>
    <s v="Servicing: BC Next"/>
    <x v="0"/>
    <s v="21"/>
    <s v="Abbas Shamshi"/>
    <x v="28"/>
    <m/>
    <n v="0.2394907407407407"/>
    <s v="133005"/>
    <s v="130767"/>
  </r>
  <r>
    <s v="132769"/>
    <s v="Due Date Message Error"/>
    <s v="Bug"/>
    <s v="Servicing: BC Next"/>
    <x v="0"/>
    <s v="21"/>
    <s v="Joseph Kranak"/>
    <x v="7"/>
    <m/>
    <n v="0.09883101851851851"/>
    <s v="133005"/>
    <s v="129784"/>
  </r>
  <r>
    <s v="132894"/>
    <s v="[BC NEXT] Terms of Use - Remove JAMS from Arbitration"/>
    <s v="Bug"/>
    <s v="Servicing: BC Next"/>
    <x v="0"/>
    <s v="21"/>
    <s v="Abbas Shamshi"/>
    <x v="28"/>
    <m/>
    <n v="0.18125"/>
    <s v="133005"/>
    <s v="130767"/>
  </r>
  <r>
    <s v="132912"/>
    <s v="Wrong gold color in icons"/>
    <s v="Bug"/>
    <s v="Servicing: BC Next"/>
    <x v="0"/>
    <s v="22"/>
    <s v="Joseph Kranak"/>
    <x v="10"/>
    <m/>
    <n v="5.723009259259259"/>
    <s v="133076"/>
    <s v="129533"/>
  </r>
  <r>
    <s v="132952"/>
    <s v="Side Nav menu Options overlapping"/>
    <s v="Bug"/>
    <s v="Servicing: BC Next"/>
    <x v="0"/>
    <s v="22"/>
    <s v="Joseph Kranak"/>
    <x v="10"/>
    <m/>
    <n v="0.9896643518518519"/>
    <s v="133076"/>
    <s v="129533"/>
  </r>
  <r>
    <s v="132985"/>
    <s v="Other amount persist even after logout and login"/>
    <s v="Bug"/>
    <s v="Servicing: BC Next"/>
    <x v="0"/>
    <s v="23"/>
    <s v="Joseph Kranak"/>
    <x v="7"/>
    <m/>
    <n v="6.2803125"/>
    <s v="133564"/>
    <s v="131617"/>
  </r>
  <r>
    <s v="133068"/>
    <s v="There should not be any changes to the regular logged in experience."/>
    <s v="Bug"/>
    <s v="Servicing: BC Next"/>
    <x v="0"/>
    <s v="23"/>
    <s v="Antonio Posada"/>
    <x v="7"/>
    <m/>
    <n v="5.285416666666666"/>
    <s v="133564"/>
    <s v="132156"/>
  </r>
  <r>
    <s v="133146"/>
    <s v="Add debit card modal header position off"/>
    <s v="Bug"/>
    <s v="Servicing: BC Next"/>
    <x v="0"/>
    <s v="23"/>
    <s v="Pete Wesselius"/>
    <x v="10"/>
    <m/>
    <n v="7.771898148148148"/>
    <s v="134248"/>
    <s v="129450"/>
  </r>
  <r>
    <s v="133147"/>
    <s v="X (Close) button is not tabbable in account settings modals"/>
    <s v="Bug"/>
    <s v="Servicing: BC Next"/>
    <x v="0"/>
    <s v="24"/>
    <s v="Pete Wesselius"/>
    <x v="10"/>
    <m/>
    <n v="11.05930555555556"/>
    <s v="134248"/>
    <s v="129450"/>
  </r>
  <r>
    <s v="133150"/>
    <s v="Ac setting modals show scrollbar at all times in web"/>
    <s v="Bug"/>
    <s v="Servicing: BC Next"/>
    <x v="0"/>
    <s v="24"/>
    <s v="Pete Wesselius"/>
    <x v="10"/>
    <m/>
    <n v="14.2496875"/>
    <s v="134248"/>
    <s v="129450"/>
  </r>
  <r>
    <s v="133151"/>
    <s v="Extra area/division in the bottom and right edges of add bank account modal"/>
    <s v="Bug"/>
    <s v="Servicing: BC Next"/>
    <x v="0"/>
    <s v="24"/>
    <s v="Pete Wesselius"/>
    <x v="10"/>
    <m/>
    <n v="11.21099537037037"/>
    <s v="134248"/>
    <s v="129450"/>
  </r>
  <r>
    <s v="133153"/>
    <s v="Account setting modal interactive elements do not have specified aria labels"/>
    <s v="Bug"/>
    <s v="Servicing: BC Next"/>
    <x v="0"/>
    <s v="24"/>
    <s v="Pete Wesselius"/>
    <x v="15"/>
    <m/>
    <n v="11.99134259259259"/>
    <m/>
    <m/>
  </r>
  <r>
    <s v="133514"/>
    <s v="Update unenroll and cancel payment"/>
    <s v="Bug"/>
    <s v="Servicing: BC Next"/>
    <x v="0"/>
    <s v="24"/>
    <s v="Shyam Senthil Nathan"/>
    <x v="7"/>
    <m/>
    <n v="5.197314814814814"/>
    <s v="134034"/>
    <s v="130826"/>
  </r>
  <r>
    <s v="133907"/>
    <s v="Add/Remove Bank Account Modal cut off on small screen sizes"/>
    <s v="Bug"/>
    <s v="Servicing: BC Next"/>
    <x v="0"/>
    <s v="24"/>
    <s v="Pete Wesselius"/>
    <x v="10"/>
    <m/>
    <n v="2.053703703703704"/>
    <s v="134248"/>
    <s v="129450"/>
  </r>
  <r>
    <s v="133979"/>
    <s v="Web Modals don't match with comps"/>
    <s v="Bug"/>
    <s v="Servicing: BC Next"/>
    <x v="0"/>
    <s v="24"/>
    <s v="Pete Wesselius"/>
    <x v="10"/>
    <m/>
    <n v="2.053101851851852"/>
    <s v="134248"/>
    <s v="129450"/>
  </r>
  <r>
    <s v="134196"/>
    <s v="[BC NEXT] Modal error message wrapping and loading button different size"/>
    <s v="Bug"/>
    <s v="Servicing: BC Next"/>
    <x v="0"/>
    <s v="24"/>
    <m/>
    <x v="10"/>
    <m/>
    <n v="0.1209837962962963"/>
    <s v="134248"/>
    <s v="129450"/>
  </r>
  <r>
    <s v="134256"/>
    <s v="No footer margin close of 930px"/>
    <s v="Bug"/>
    <s v="Servicing: BC Next"/>
    <x v="0"/>
    <s v="25"/>
    <s v="Abbas Shamshi"/>
    <x v="0"/>
    <m/>
    <n v="2.858344907407407"/>
    <m/>
    <s v="133482"/>
  </r>
  <r>
    <s v="134401"/>
    <s v="Logged in homepage accessibility, analytics, Contact Us"/>
    <s v="Bug"/>
    <s v="Servicing: BC Next"/>
    <x v="0"/>
    <s v="25"/>
    <s v="Antonio Posada"/>
    <x v="7"/>
    <m/>
    <n v="0.2835648148148148"/>
    <s v="135384"/>
    <s v="129816"/>
  </r>
  <r>
    <s v="134479"/>
    <s v="Ineligible account Chip on payment options"/>
    <s v="Bug"/>
    <s v="Servicing: BC Next"/>
    <x v="0"/>
    <s v="25"/>
    <s v="Chirag Khandhar"/>
    <x v="0"/>
    <m/>
    <n v="0.2666898148148148"/>
    <s v="135384"/>
    <s v="133931"/>
  </r>
  <r>
    <s v="134539"/>
    <s v="Signup button on select account when accounts are enrolled"/>
    <s v="Bug"/>
    <s v="Servicing: BC Next"/>
    <x v="0"/>
    <s v="26"/>
    <s v="Chirag Khandhar"/>
    <x v="0"/>
    <m/>
    <n v="4.278217592592592"/>
    <s v="135384"/>
    <s v="133931"/>
  </r>
  <r>
    <s v="134540"/>
    <s v="Redirected to Enroll AP after unenrolling from AP"/>
    <s v="Bug"/>
    <s v="Servicing: BC Next"/>
    <x v="0"/>
    <s v="26"/>
    <s v="Chirag Khandhar"/>
    <x v="0"/>
    <m/>
    <n v="4.108703703703704"/>
    <s v="135384"/>
    <s v="133931"/>
  </r>
  <r>
    <s v="134552"/>
    <s v="Fix Logout Console Error"/>
    <s v="Bug"/>
    <s v="Servicing: BC Next"/>
    <x v="0"/>
    <s v="25"/>
    <m/>
    <x v="0"/>
    <m/>
    <n v="0"/>
    <s v="135384"/>
    <s v="133877"/>
  </r>
  <r>
    <s v="134852"/>
    <s v="Email not persisting in login page after pre-login page bypass"/>
    <s v="Bug"/>
    <s v="Servicing: BC Next"/>
    <x v="0"/>
    <s v="27"/>
    <s v="Yokeshwaran Lokanathan"/>
    <x v="0"/>
    <m/>
    <n v="6.983564814814814"/>
    <s v="136925"/>
    <s v="133537"/>
  </r>
  <r>
    <s v="134853"/>
    <s v="[BC NEXT] Fix removeClass Exceptions"/>
    <s v="Bug"/>
    <s v="Servicing: BC Next"/>
    <x v="0"/>
    <s v="28"/>
    <s v="Joseph Kranak"/>
    <x v="0"/>
    <m/>
    <n v="13.1583912037037"/>
    <s v="135384"/>
    <m/>
  </r>
  <r>
    <s v="135194"/>
    <s v="[BC NEXT] [WEB] Incorrect loading spinner before AP/APPD Success"/>
    <s v="Bug"/>
    <s v="Servicing: BC Next"/>
    <x v="0"/>
    <s v="28"/>
    <s v="Antonio Posada"/>
    <x v="0"/>
    <m/>
    <n v="5.186377314814814"/>
    <m/>
    <s v="134417"/>
  </r>
  <r>
    <s v="135508"/>
    <s v="Wrong Analytics label - Manage Mods Pages"/>
    <s v="Bug"/>
    <s v="Servicing: BC Next"/>
    <x v="0"/>
    <s v="28"/>
    <s v="Chirag Khandhar"/>
    <x v="12"/>
    <m/>
    <n v="0.04516203703703704"/>
    <s v="136946"/>
    <s v="134398"/>
  </r>
  <r>
    <s v="135910"/>
    <s v="Manage Mods Link not shown for applicable accounts"/>
    <s v="Bug"/>
    <s v="Servicing: BC Next"/>
    <x v="0"/>
    <s v="29"/>
    <s v="Joseph Kranak"/>
    <x v="12"/>
    <m/>
    <n v="0.975162037037037"/>
    <s v="136946"/>
    <s v="134478"/>
  </r>
  <r>
    <s v="135911"/>
    <s v="User getting duplicate Manage-mods link on App"/>
    <s v="Bug"/>
    <s v="Servicing: BC Next"/>
    <x v="0"/>
    <s v="29"/>
    <s v="Joseph Kranak"/>
    <x v="12"/>
    <m/>
    <n v="0.9752314814814814"/>
    <s v="136946"/>
    <s v="134478"/>
  </r>
  <r>
    <s v="136373"/>
    <s v="[BC NEXT] Manage Mods - Account Settings link not working as expected"/>
    <s v="Bug"/>
    <s v="Servicing: BC Next"/>
    <x v="0"/>
    <s v="30"/>
    <s v="Joseph Kranak"/>
    <x v="12"/>
    <m/>
    <n v="0.8649421296296296"/>
    <s v="136946"/>
    <s v="134478"/>
  </r>
  <r>
    <s v="136464"/>
    <s v="UI bugs on Dashboard and payment options page"/>
    <s v="Bug"/>
    <s v="Servicing: BC Next"/>
    <x v="0"/>
    <s v="31"/>
    <s v="Shyam Senthil Nathan"/>
    <x v="9"/>
    <m/>
    <n v="8.05412037037037"/>
    <m/>
    <s v="133892"/>
  </r>
  <r>
    <s v="136479"/>
    <s v="Lag while opening and closing accordions"/>
    <s v="Bug"/>
    <s v="Servicing: BC Next"/>
    <x v="0"/>
    <s v="31"/>
    <s v="Shyam Senthil Nathan"/>
    <x v="9"/>
    <m/>
    <n v="6.068541666666667"/>
    <m/>
    <s v="133892"/>
  </r>
  <r>
    <s v="136555"/>
    <s v="no/agent-intro-modification main text"/>
    <s v="Bug"/>
    <s v="Servicing: BC Next"/>
    <x v="0"/>
    <s v="30"/>
    <s v="Chirag Khandhar"/>
    <x v="12"/>
    <m/>
    <n v="0.03828703703703704"/>
    <s v="136946"/>
    <s v="134405"/>
  </r>
  <r>
    <s v="136663"/>
    <s v="Skip to content entering tabbing context when it shouldn't"/>
    <s v="Bug"/>
    <s v="Servicing: BC Next"/>
    <x v="0"/>
    <s v="31"/>
    <s v="Abbas Shamshi"/>
    <x v="9"/>
    <m/>
    <n v="4.365266203703704"/>
    <m/>
    <s v="133891"/>
  </r>
  <r>
    <s v="136664"/>
    <s v="Add button is add debit card modal is pushed down to invisibility if all fields error out"/>
    <s v="Bug"/>
    <s v="Servicing: BC Next"/>
    <x v="0"/>
    <s v="31"/>
    <s v="Abbas Shamshi"/>
    <x v="9"/>
    <m/>
    <n v="5.31712962962963"/>
    <m/>
    <s v="133891"/>
  </r>
  <r>
    <s v="136802"/>
    <s v="Impersonation mobile view mismatch"/>
    <s v="Bug"/>
    <s v="Servicing: BC Next"/>
    <x v="0"/>
    <s v="30"/>
    <s v="Yokeshwaran Lokanathan"/>
    <x v="12"/>
    <m/>
    <n v="0.1650578703703704"/>
    <s v="136946"/>
    <s v="134409"/>
  </r>
  <r>
    <s v="136945"/>
    <s v="[BC NEXT] Manage Mods - Images in new mod section too far right for processing mods"/>
    <s v="Bug"/>
    <s v="Servicing: BC Next"/>
    <x v="0"/>
    <s v="31"/>
    <s v="Yokeshwaran Lokanathan"/>
    <x v="12"/>
    <m/>
    <n v="0.9199189814814814"/>
    <s v="136946"/>
    <s v="134409"/>
  </r>
  <r>
    <s v="136959"/>
    <s v="Outline on Cancel OTP| Unenroll AP"/>
    <s v="Bug"/>
    <s v="Servicing: BC Next"/>
    <x v="0"/>
    <s v="32"/>
    <s v="Shyam Senthil Nathan"/>
    <x v="9"/>
    <m/>
    <n v="3.215162037037037"/>
    <m/>
    <s v="133892"/>
  </r>
  <r>
    <s v="137164"/>
    <s v="Fix Loan Modification Service"/>
    <s v="Bug"/>
    <s v="Servicing: BC Next"/>
    <x v="0"/>
    <s v="32"/>
    <s v="Joseph Kranak"/>
    <x v="12"/>
    <m/>
    <n v="6.186342592592593"/>
    <s v="136946"/>
    <s v="134478"/>
  </r>
  <r>
    <s v="137202"/>
    <s v="One-Time Payment &quot;Submit&quot; analytic does not include the expected &quot;value&quot; property"/>
    <s v="Bug"/>
    <s v="Servicing: BC Next"/>
    <x v="0"/>
    <s v="31"/>
    <s v="Joseph Kranak"/>
    <x v="9"/>
    <m/>
    <n v="1.144050925925926"/>
    <s v="138249"/>
    <s v="136546"/>
  </r>
  <r>
    <s v="137378"/>
    <s v="Fix Side Nav Swipe Gesture"/>
    <s v="Bug"/>
    <s v="Servicing: BC Next"/>
    <x v="0"/>
    <s v="32"/>
    <s v="Chirag Khandhar"/>
    <x v="13"/>
    <m/>
    <n v="1.934270833333333"/>
    <s v="138993"/>
    <s v="135428"/>
  </r>
  <r>
    <s v="137400"/>
    <s v="[BC NEXT] Missing Analytics - Analytic event double firing"/>
    <s v="Bug"/>
    <s v="Servicing: BC Next"/>
    <x v="0"/>
    <s v="33"/>
    <s v="Joseph Kranak"/>
    <x v="9"/>
    <m/>
    <n v="5.804166666666666"/>
    <s v="138249"/>
    <s v="136546"/>
  </r>
  <r>
    <s v="137471"/>
    <s v="Misc Errors"/>
    <s v="Bug"/>
    <s v="Servicing: BC Next"/>
    <x v="0"/>
    <s v="32"/>
    <s v="Chirag Khandhar"/>
    <x v="13"/>
    <m/>
    <n v="0.157650462962963"/>
    <s v="138993"/>
    <s v="135428"/>
  </r>
  <r>
    <s v="137503"/>
    <s v="[BC NEXT] Manage Mods - Due Date Change showing in trans history"/>
    <s v="Bug"/>
    <s v="Servicing: BC Next"/>
    <x v="0"/>
    <s v="32"/>
    <s v="Yokeshwaran Lokanathan"/>
    <x v="12"/>
    <m/>
    <n v="0.08302083333333334"/>
    <s v="136946"/>
    <s v="136661"/>
  </r>
  <r>
    <s v="137505"/>
    <s v="Build number missing"/>
    <s v="Bug"/>
    <s v="Servicing: BC Next"/>
    <x v="0"/>
    <s v="32"/>
    <s v="Joseph Kranak"/>
    <x v="15"/>
    <m/>
    <n v="0.1007986111111111"/>
    <m/>
    <s v="136623"/>
  </r>
  <r>
    <s v="137682"/>
    <s v="SVG not responsive"/>
    <s v="Bug"/>
    <s v="Servicing: BC Next"/>
    <x v="0"/>
    <s v="33"/>
    <s v="Shyam Senthil Nathan"/>
    <x v="13"/>
    <m/>
    <n v="0.193912037037037"/>
    <s v="138993"/>
    <s v="135843"/>
  </r>
  <r>
    <s v="138261"/>
    <s v="[BC NEXT] Manage Mods - ARIA label incorrect"/>
    <s v="Bug"/>
    <s v="Servicing: BC Next"/>
    <x v="0"/>
    <s v="34"/>
    <s v="Antonio Posada"/>
    <x v="12"/>
    <m/>
    <n v="0.7898379629629629"/>
    <s v="136946"/>
    <s v="134469"/>
  </r>
  <r>
    <s v="138577"/>
    <s v="Error analytic is not logged when an invalid account number and SSN last 4 combination is entered"/>
    <s v="Bug"/>
    <s v="Servicing: BC Next"/>
    <x v="0"/>
    <s v="35"/>
    <s v="Yokeshwaran Lokanathan"/>
    <x v="13"/>
    <m/>
    <n v="3.151111111111111"/>
    <s v="138993"/>
    <s v="135618"/>
  </r>
  <r>
    <s v="138586"/>
    <s v="User is not directed to Error Processing Request page if there is an error generating the Paymentus URL"/>
    <s v="Bug"/>
    <s v="Servicing: BC Next"/>
    <x v="0"/>
    <s v="35"/>
    <s v="Yokeshwaran Lokanathan"/>
    <x v="13"/>
    <m/>
    <n v="3.151388888888889"/>
    <s v="138993"/>
    <s v="135618"/>
  </r>
  <r>
    <s v="138939"/>
    <s v="User is directed to Error Processing Request page when an invalid account number and last 4 of SSN combination is entered"/>
    <s v="Bug"/>
    <s v="Servicing: BC Next"/>
    <x v="0"/>
    <s v="35"/>
    <s v="Yokeshwaran Lokanathan"/>
    <x v="13"/>
    <m/>
    <n v="0.7336111111111111"/>
    <s v="138993"/>
    <s v="135618"/>
  </r>
  <r>
    <s v="139088"/>
    <s v="Invalid routing number error not persisting"/>
    <s v="Bug"/>
    <s v="Servicing: BC Next"/>
    <x v="0"/>
    <s v="36"/>
    <s v="Chirag Khandhar"/>
    <x v="15"/>
    <m/>
    <n v="3.546643518518518"/>
    <m/>
    <s v="138513"/>
  </r>
  <r>
    <s v="139203"/>
    <s v="[BC NEXT] UI Fixes - Incorrect Moneygram url"/>
    <s v="Bug"/>
    <s v="Servicing: BC Next"/>
    <x v="0"/>
    <s v="36"/>
    <s v="Chirag Khandhar"/>
    <x v="15"/>
    <m/>
    <n v="1.040902777777778"/>
    <m/>
    <s v="138513"/>
  </r>
  <r>
    <s v="140189"/>
    <s v="Missing skeleton card on debit card page"/>
    <s v="Bug"/>
    <s v="Servicing: BC Next"/>
    <x v="0"/>
    <s v="38"/>
    <s v="Antonio Posada"/>
    <x v="15"/>
    <m/>
    <n v="0.04069444444444444"/>
    <m/>
    <s v="137511"/>
  </r>
  <r>
    <s v="140432"/>
    <s v="Payoff quote page ssp redirection"/>
    <s v="Bug"/>
    <s v="Servicing: BC Next"/>
    <x v="0"/>
    <s v="39"/>
    <s v="Chirag Khandhar"/>
    <x v="16"/>
    <m/>
    <n v="1.079131944444444"/>
    <s v="141476"/>
    <s v="138132"/>
  </r>
  <r>
    <s v="140513"/>
    <s v="Payoff Quote Variation 3 not closing after redirect"/>
    <s v="Bug"/>
    <s v="Servicing: BC Next"/>
    <x v="0"/>
    <s v="39"/>
    <s v="Chirag Khandhar and Joseph Kranak"/>
    <x v="16"/>
    <m/>
    <n v="0.9184027777777778"/>
    <s v="141476"/>
    <s v="138132"/>
  </r>
  <r>
    <s v="141353"/>
    <s v="GraphQL data is not being pulled correctly"/>
    <s v="Bug"/>
    <s v="Servicing: BC Next"/>
    <x v="0"/>
    <s v="41"/>
    <s v="Yokeshwaran Lokanathan"/>
    <x v="1"/>
    <m/>
    <n v="0.002488425925925926"/>
    <s v="141731"/>
    <s v="138952"/>
  </r>
  <r>
    <s v="141592"/>
    <s v="Error in Notation in no margin between cards"/>
    <s v="Bug"/>
    <s v="Servicing: BC Next"/>
    <x v="0"/>
    <s v="41"/>
    <s v="Chirag Khandhar"/>
    <x v="16"/>
    <m/>
    <n v="0.816724537037037"/>
    <s v="141476"/>
    <s v="138798"/>
  </r>
  <r>
    <s v="141597"/>
    <s v="[BC NEXT] Payoff Quote - Hide print functionality in mobile web and app"/>
    <s v="Bug"/>
    <s v="Servicing: BC Next"/>
    <x v="0"/>
    <s v="41"/>
    <s v="Chirag Khandhar"/>
    <x v="16"/>
    <m/>
    <n v="0.8820138888888889"/>
    <s v="141476"/>
    <s v="138798"/>
  </r>
  <r>
    <s v="141604"/>
    <s v="Payoff Quote OTP updates bugs"/>
    <s v="Bug"/>
    <s v="Servicing: BC Next"/>
    <x v="0"/>
    <s v="42"/>
    <s v="Pete Wesselius"/>
    <x v="16"/>
    <m/>
    <n v="2.884270833333333"/>
    <s v="141476"/>
    <s v="138825"/>
  </r>
  <r>
    <s v="141626"/>
    <s v="[BC NEXT] Payoff Quote - Missing FMP and incorrect ARIA label"/>
    <s v="Bug"/>
    <s v="Servicing: BC Next"/>
    <x v="0"/>
    <s v="41"/>
    <s v="Chirag Khandhar"/>
    <x v="16"/>
    <m/>
    <n v="0.0911111111111111"/>
    <s v="141476"/>
    <s v="138798"/>
  </r>
  <r>
    <s v="141651"/>
    <s v="[BC NEXT[ Payoff Quote - Bugs on OTP flow"/>
    <s v="Bug"/>
    <s v="Servicing: BC Next"/>
    <x v="0"/>
    <s v="42"/>
    <s v="Pete Wesselius"/>
    <x v="16"/>
    <m/>
    <n v="0.09104166666666666"/>
    <s v="141476"/>
    <s v="138825"/>
  </r>
  <r>
    <s v="141867"/>
    <s v="showing that user icon in both web and mobile"/>
    <s v="Bug"/>
    <s v="Servicing: BC Next"/>
    <x v="0"/>
    <s v="50"/>
    <m/>
    <x v="1"/>
    <m/>
    <n v="0"/>
    <s v="141937"/>
    <s v="138948"/>
  </r>
  <r>
    <s v="141871"/>
    <s v="missing the vertical line separation as circled in image below"/>
    <s v="Bug"/>
    <s v="Servicing: BC Next"/>
    <x v="0"/>
    <s v="42"/>
    <m/>
    <x v="1"/>
    <m/>
    <n v="0.1394907407407407"/>
    <s v="141937"/>
    <s v="138948"/>
  </r>
  <r>
    <s v="141875"/>
    <s v="fix the address line height so letters are not cut off."/>
    <s v="Bug"/>
    <s v="Servicing: BC Next"/>
    <x v="0"/>
    <s v="42"/>
    <m/>
    <x v="1"/>
    <m/>
    <n v="0.1401736111111111"/>
    <s v="141937"/>
    <s v="138948"/>
  </r>
  <r>
    <s v="141934"/>
    <s v="Manage Mods - Connect logic from API | Simple Bugs"/>
    <s v="Bug"/>
    <s v="Servicing: BC Next"/>
    <x v="0"/>
    <s v="42"/>
    <s v="Joseph Kranak"/>
    <x v="12"/>
    <m/>
    <n v="1.078125"/>
    <s v="143326"/>
    <s v="140431"/>
  </r>
  <r>
    <s v="141936"/>
    <s v="Manage Mods - Connect logic from API | Unexpected Bugs"/>
    <s v="Bug"/>
    <s v="Servicing: BC Next"/>
    <x v="0"/>
    <s v="42"/>
    <s v="Joseph Kranak"/>
    <x v="12"/>
    <m/>
    <n v="1.024965277777778"/>
    <s v="143326"/>
    <s v="140431"/>
  </r>
  <r>
    <s v="142015"/>
    <s v="Customer support center URLs not accessible in fast networks even with right flag config"/>
    <s v="Bug"/>
    <s v="Servicing: BC Next"/>
    <x v="0"/>
    <s v="43"/>
    <s v="Antonio Posada"/>
    <x v="17"/>
    <m/>
    <n v="4.029525462962963"/>
    <s v="143326"/>
    <s v="138186"/>
  </r>
  <r>
    <s v="142016"/>
    <s v="Incorrect page names for customer support center subpages"/>
    <s v="Bug"/>
    <s v="Servicing: BC Next"/>
    <x v="0"/>
    <s v="43"/>
    <s v="Antonio Posada"/>
    <x v="17"/>
    <m/>
    <n v="4.029548611111111"/>
    <s v="143326"/>
    <s v="138186"/>
  </r>
  <r>
    <s v="142094"/>
    <s v="Analytics Fixes"/>
    <s v="Bug"/>
    <s v="Servicing: BC Next"/>
    <x v="0"/>
    <s v="42"/>
    <s v="Antonio Posada"/>
    <x v="12"/>
    <m/>
    <n v="0.8394212962962962"/>
    <s v="143326"/>
    <s v="140780"/>
  </r>
  <r>
    <s v="142126"/>
    <s v="[BC NEXT] Manage Mods - Missing value in Next Payment Amount field"/>
    <s v="Bug"/>
    <s v="Servicing: BC Next"/>
    <x v="0"/>
    <s v="42"/>
    <s v="Joseph Kranak"/>
    <x v="12"/>
    <m/>
    <n v="0.9677546296296295"/>
    <s v="143326"/>
    <s v="140431"/>
  </r>
  <r>
    <s v="142145"/>
    <s v="[BC NEXT] Payoff Quote - Add disclosure to bottom of letter"/>
    <s v="Bug"/>
    <s v="Servicing: BC Next"/>
    <x v="0"/>
    <s v="42"/>
    <s v="Chirag Khandhar"/>
    <x v="16"/>
    <m/>
    <n v="0.1990277777777778"/>
    <s v="142204"/>
    <s v="140944"/>
  </r>
  <r>
    <s v="142194"/>
    <s v="[BC NEXT] Manage Mods - Incorrectly showing Manage Modification link in Account Settings"/>
    <s v="Bug"/>
    <s v="Servicing: BC Next"/>
    <x v="0"/>
    <s v="43"/>
    <s v="Joseph Kranak"/>
    <x v="12"/>
    <m/>
    <n v="1.874050925925926"/>
    <s v="143326"/>
    <s v="140431"/>
  </r>
  <r>
    <s v="142274"/>
    <s v="Customer Support Center routes and metadata merge issues"/>
    <s v="Bug"/>
    <s v="Servicing: BC Next"/>
    <x v="0"/>
    <s v="43"/>
    <s v="Antonio Posada"/>
    <x v="17"/>
    <m/>
    <n v="0.9963888888888889"/>
    <s v="143326"/>
    <s v="138186"/>
  </r>
  <r>
    <s v="142305"/>
    <s v="UI related bugs"/>
    <s v="Bug"/>
    <s v="Servicing: BC Next"/>
    <x v="0"/>
    <s v="44"/>
    <s v="Yokeshwaran Lokanathan"/>
    <x v="1"/>
    <m/>
    <n v="7.891747685185185"/>
    <m/>
    <s v="138961"/>
  </r>
  <r>
    <s v="142307"/>
    <s v="Accessibility bugs"/>
    <s v="Bug"/>
    <s v="Servicing: BC Next"/>
    <x v="0"/>
    <s v="44"/>
    <s v="Yokeshwaran Lokanathan"/>
    <x v="1"/>
    <m/>
    <n v="9.581377314814814"/>
    <m/>
    <s v="138961"/>
  </r>
  <r>
    <s v="142500"/>
    <s v="focus ring"/>
    <s v="Bug"/>
    <s v="Servicing: BC Next"/>
    <x v="0"/>
    <s v="45"/>
    <s v="Shyam Senthil Nathan"/>
    <x v="1"/>
    <m/>
    <n v="6.34931712962963"/>
    <m/>
    <s v="139404"/>
  </r>
  <r>
    <s v="143119"/>
    <s v="Mod list continues to duplicate after each page refresh"/>
    <s v="Bug"/>
    <s v="Servicing: BC Next"/>
    <x v="0"/>
    <s v="45"/>
    <m/>
    <x v="12"/>
    <m/>
    <n v="0"/>
    <s v="143326"/>
    <s v="140431"/>
  </r>
  <r>
    <s v="143120"/>
    <s v="Account was in a signed and submitted state but  didn't show processing state"/>
    <s v="Bug"/>
    <s v="Servicing: BC Next"/>
    <x v="0"/>
    <s v="45"/>
    <m/>
    <x v="12"/>
    <m/>
    <n v="0"/>
    <s v="143326"/>
    <s v="140431"/>
  </r>
  <r>
    <s v="143122"/>
    <s v="Completion date is missing"/>
    <s v="Bug"/>
    <s v="Servicing: BC Next"/>
    <x v="0"/>
    <s v="45"/>
    <m/>
    <x v="12"/>
    <m/>
    <n v="0"/>
    <s v="143326"/>
    <s v="140431"/>
  </r>
  <r>
    <s v="143205"/>
    <s v="Plan to Cure - Routes, Metadata, and Scaffolding - Minor Bugs"/>
    <s v="Bug"/>
    <s v="Servicing: BC Next"/>
    <x v="0"/>
    <s v="44"/>
    <s v="Michael Wang"/>
    <x v="18"/>
    <m/>
    <n v="0"/>
    <m/>
    <s v="135148"/>
  </r>
  <r>
    <s v="143294"/>
    <s v="ARIA label spelling mistake"/>
    <s v="Bug"/>
    <s v="Servicing: BC Next"/>
    <x v="0"/>
    <s v="45"/>
    <s v="Shyam Senthil Nathan"/>
    <x v="1"/>
    <m/>
    <n v="2.003993055555556"/>
    <m/>
    <s v="139404"/>
  </r>
  <r>
    <s v="143296"/>
    <s v="edit and delete icon are not centered vertical align"/>
    <s v="Bug"/>
    <s v="Servicing: BC Next"/>
    <x v="0"/>
    <s v="45"/>
    <s v="Shyam Senthil Nathan"/>
    <x v="1"/>
    <m/>
    <n v="1.99681712962963"/>
    <m/>
    <s v="139404"/>
  </r>
  <r>
    <s v="143915"/>
    <s v="[BC NEXT] My Profile - Tabbing order incorrect in delete modal"/>
    <s v="Bug"/>
    <s v="Servicing: BC Next"/>
    <x v="0"/>
    <s v="45"/>
    <s v="Abbas Shamshi"/>
    <x v="1"/>
    <m/>
    <n v="0.9831365740740741"/>
    <m/>
    <s v="139413"/>
  </r>
  <r>
    <s v="144118"/>
    <s v="[BC NEXT] My Profile - Analytic and tabbing bugs"/>
    <s v="Bug"/>
    <s v="Servicing: BC Next"/>
    <x v="0"/>
    <s v="46"/>
    <s v="Chirag Khandhar"/>
    <x v="1"/>
    <m/>
    <n v="1.965497685185185"/>
    <s v="144410"/>
    <s v="139149"/>
  </r>
  <r>
    <s v="144145"/>
    <s v="[BC NEXT] My Profile - Email Address and My Vehicle bugs"/>
    <s v="Bug"/>
    <s v="Servicing: BC Next"/>
    <x v="0"/>
    <s v="50"/>
    <s v="Pete Wesselius"/>
    <x v="1"/>
    <m/>
    <n v="30.73287037037037"/>
    <s v="146568"/>
    <s v="139405"/>
  </r>
  <r>
    <s v="144265"/>
    <s v="[BCNext] Cannot open signing room or view signed loan modification documents when impersonating"/>
    <s v="Bug"/>
    <s v="Servicing: BC Next"/>
    <x v="0"/>
    <m/>
    <s v="Connor Golobich"/>
    <x v="12"/>
    <m/>
    <n v="36.93550851857292"/>
    <m/>
    <m/>
  </r>
  <r>
    <s v="144385"/>
    <s v="Analytics and ADA related bugs"/>
    <s v="Bug"/>
    <s v="Servicing: BC Next"/>
    <x v="0"/>
    <s v="47"/>
    <s v="Shyam Senthil Nathan"/>
    <x v="1"/>
    <m/>
    <n v="4.968935185185185"/>
    <s v="144897"/>
    <s v="139151"/>
  </r>
  <r>
    <s v="144854"/>
    <s v="Toggle show more/less not working as expected"/>
    <s v="Bug"/>
    <s v="Servicing: BC Next"/>
    <x v="0"/>
    <s v="48"/>
    <s v="Michael Wang"/>
    <x v="18"/>
    <m/>
    <n v="0"/>
    <s v="145791"/>
    <s v="141876"/>
  </r>
  <r>
    <s v="145051"/>
    <s v="CSS pixel perfect"/>
    <s v="Bug"/>
    <s v="Servicing: BC Next"/>
    <x v="0"/>
    <s v="48"/>
    <s v="Michael Wang"/>
    <x v="18"/>
    <m/>
    <n v="0"/>
    <s v="145791"/>
    <s v="141876"/>
  </r>
  <r>
    <s v="145192"/>
    <s v="Ff routing not working as expected"/>
    <s v="Bug"/>
    <s v="Servicing: BC Next"/>
    <x v="0"/>
    <s v="48"/>
    <s v="Michael Wang"/>
    <x v="18"/>
    <m/>
    <n v="0.6945370370370371"/>
    <s v="145791"/>
    <s v="141876"/>
  </r>
  <r>
    <s v="145207"/>
    <s v="Wrong border lines Desktop"/>
    <s v="Bug"/>
    <s v="Servicing: BC Next"/>
    <x v="0"/>
    <s v="48"/>
    <s v="Abbas Shamshi"/>
    <x v="18"/>
    <m/>
    <n v="0"/>
    <s v="145791"/>
    <s v="141946"/>
  </r>
  <r>
    <s v="145290"/>
    <s v="[BC NEXT] Plan to Cure - UI Bugs"/>
    <s v="Bug"/>
    <s v="Servicing: BC Next"/>
    <x v="0"/>
    <s v="48"/>
    <s v="Yokeshwaran Lokanathan"/>
    <x v="18"/>
    <m/>
    <n v="1.305497685185185"/>
    <s v="145791"/>
    <s v="141437"/>
  </r>
  <r>
    <s v="145291"/>
    <s v="[BC NEXT] Plan to Cure - Incorrect Data Bug"/>
    <s v="Bug"/>
    <s v="Servicing: BC Next"/>
    <x v="0"/>
    <s v="48"/>
    <s v="Yokeshwaran Lokanathan"/>
    <x v="18"/>
    <m/>
    <n v="1.327731481481481"/>
    <s v="145791"/>
    <s v="141437"/>
  </r>
  <r>
    <s v="145294"/>
    <s v="[BC NEXT] Plan to Cure - Update Cancel Link Behavior"/>
    <s v="Bug"/>
    <s v="Servicing: BC Next"/>
    <x v="0"/>
    <s v="48"/>
    <s v="Yokeshwaran Lokanathan"/>
    <x v="18"/>
    <m/>
    <n v="1.535497685185185"/>
    <s v="145791"/>
    <s v="141437"/>
  </r>
  <r>
    <s v="145414"/>
    <s v="Wrong text on Payment Plan Banner"/>
    <s v="Bug"/>
    <s v="Servicing: BC Next"/>
    <x v="0"/>
    <s v="48"/>
    <s v="Abbas Shamshi"/>
    <x v="18"/>
    <m/>
    <n v="0.2251041666666667"/>
    <s v="145791"/>
    <s v="141946"/>
  </r>
  <r>
    <s v="145521"/>
    <s v="Add/Edit Address Modals - Various UI/Verification Bugs"/>
    <s v="Bug"/>
    <s v="Servicing: BC Next"/>
    <x v="0"/>
    <m/>
    <s v="Antonio Posada"/>
    <x v="1"/>
    <m/>
    <n v="21.65013814820254"/>
    <m/>
    <s v="138989"/>
  </r>
  <r>
    <s v="145657"/>
    <s v="Routing not working in web ff in ON"/>
    <s v="Bug"/>
    <s v="Servicing: BC Next"/>
    <x v="0"/>
    <s v="48"/>
    <s v="Michael Wang"/>
    <x v="18"/>
    <m/>
    <n v="0"/>
    <s v="145791"/>
    <s v="141876"/>
  </r>
  <r>
    <s v="145667"/>
    <s v="Add/Edit Address Modals - Analytic/ADA Bugs"/>
    <s v="Bug"/>
    <s v="Servicing: BC Next"/>
    <x v="0"/>
    <m/>
    <s v="Antonio Posada"/>
    <x v="1"/>
    <m/>
    <n v="19.99790435190625"/>
    <m/>
    <s v="138989"/>
  </r>
  <r>
    <s v="145694"/>
    <s v="[BC NEXT] Plan to Cure - Change color of Active plan status"/>
    <s v="Bug"/>
    <s v="Servicing: BC Next"/>
    <x v="0"/>
    <s v="49"/>
    <s v="Yokeshwaran Lokanathan"/>
    <x v="18"/>
    <m/>
    <n v="4.046643518518518"/>
    <s v="145791"/>
    <s v="141437"/>
  </r>
  <r>
    <s v="145806"/>
    <s v="Unable to query PersonAddressID"/>
    <s v="Bug"/>
    <s v="Servicing: BC Next"/>
    <x v="0"/>
    <s v="50"/>
    <s v="Pete Wesselius"/>
    <x v="1"/>
    <m/>
    <n v="6.077037037037036"/>
    <s v="146647"/>
    <s v="141807"/>
  </r>
  <r>
    <s v="146239"/>
    <s v="[BC NEXT] Customer Support Center - Landing Page | UI Bugs"/>
    <s v="Bug"/>
    <s v="Servicing: BC Next"/>
    <x v="0"/>
    <s v="50"/>
    <s v="Abbas Shamshi"/>
    <x v="17"/>
    <m/>
    <n v="2.935509259259259"/>
    <s v="146568"/>
    <s v="140305"/>
  </r>
  <r>
    <s v="146240"/>
    <s v="[BC NEXT] Customer Support Center - Landing Page | Top Nav Bug"/>
    <s v="Bug"/>
    <s v="Servicing: BC Next"/>
    <x v="0"/>
    <s v="50"/>
    <s v="Abbas Shamshi"/>
    <x v="17"/>
    <m/>
    <n v="2.909733796296296"/>
    <s v="146568"/>
    <s v="140305"/>
  </r>
  <r>
    <s v="146241"/>
    <s v="[BC NEXT] Customer Support Center - Landing Page | Dropdown Bugs"/>
    <s v="Bug"/>
    <s v="Servicing: BC Next"/>
    <x v="0"/>
    <s v="50"/>
    <s v="Abbas Shamshi"/>
    <x v="17"/>
    <m/>
    <n v="2.838171296296296"/>
    <s v="146568"/>
    <s v="140305"/>
  </r>
  <r>
    <s v="146406"/>
    <s v="[BC NEXT] Customer Support Center - Landing Page UI fixes"/>
    <s v="Bug"/>
    <s v="Servicing: BC Next"/>
    <x v="0"/>
    <s v="50"/>
    <s v="Abbas Shamshi"/>
    <x v="17"/>
    <m/>
    <n v="0.2752893518518518"/>
    <s v="146568"/>
    <s v="140305"/>
  </r>
  <r>
    <s v="146619"/>
    <s v="[BC NEXT] PTC - History Page | UI Bugs"/>
    <s v="Bug"/>
    <s v="Servicing: BC Next"/>
    <x v="0"/>
    <s v="50"/>
    <s v="Yokeshwaran Lokanathan"/>
    <x v="18"/>
    <m/>
    <n v="0.5744907407407407"/>
    <s v="146744"/>
    <s v="141889"/>
  </r>
  <r>
    <s v="146625"/>
    <s v="[BC NEXT] PTC - History Page | Data format Bugs"/>
    <s v="Bug"/>
    <s v="Servicing: BC Next"/>
    <x v="0"/>
    <s v="50"/>
    <s v="Yokeshwaran Lokanathan"/>
    <x v="18"/>
    <m/>
    <n v="0"/>
    <s v="146744"/>
    <s v="141889"/>
  </r>
  <r>
    <s v="146627"/>
    <s v="[BC NEXT] PTC - History Page | Analytic &amp; ADA Bugs"/>
    <s v="Bug"/>
    <s v="Servicing: BC Next"/>
    <x v="0"/>
    <s v="50"/>
    <s v="Yokeshwaran Lokanathan"/>
    <x v="18"/>
    <m/>
    <n v="0.5974189814814814"/>
    <s v="146744"/>
    <s v="141889"/>
  </r>
  <r>
    <s v="146629"/>
    <s v="[BC NEXT] PTC - History Page | Edge Case"/>
    <s v="Bug"/>
    <s v="Servicing: BC Next"/>
    <x v="0"/>
    <s v="50"/>
    <s v="Yokeshwaran Lokanathan"/>
    <x v="18"/>
    <m/>
    <n v="0"/>
    <s v="146744"/>
    <s v="141889"/>
  </r>
  <r>
    <s v="146741"/>
    <s v="[BC NEXT] Plan to Cure - No space between details card and footer"/>
    <s v="Bug"/>
    <s v="Servicing: BC Next"/>
    <x v="0"/>
    <s v="50"/>
    <s v="Shyam Senthil Nathan"/>
    <x v="18"/>
    <m/>
    <n v="0.05063657407407407"/>
    <s v="146744"/>
    <s v="145756"/>
  </r>
  <r>
    <s v="146746"/>
    <s v="[BC NEXT] PTC - History Page | Alignment Issues"/>
    <s v="Bug"/>
    <s v="Servicing: BC Next"/>
    <x v="0"/>
    <s v="50"/>
    <s v="Yokeshwaran Lokanathan"/>
    <x v="18"/>
    <m/>
    <n v="0.1953703703703704"/>
    <s v="146744"/>
    <s v="141889"/>
  </r>
  <r>
    <s v="146818"/>
    <s v="PTC cancelation modal Issues"/>
    <s v="Bug"/>
    <s v="Servicing: BC Next"/>
    <x v="0"/>
    <s v="51"/>
    <s v="Pete Wesselius"/>
    <x v="18"/>
    <m/>
    <n v="0.9352314814814815"/>
    <s v="146744"/>
    <s v="142001"/>
  </r>
  <r>
    <s v="146842"/>
    <s v="Duplicate information in PTC page"/>
    <s v="Bug"/>
    <s v="Servicing: BC Next"/>
    <x v="0"/>
    <s v="51"/>
    <s v="Pete Wesselius"/>
    <x v="18"/>
    <m/>
    <n v="0.7744560185185185"/>
    <s v="146744"/>
    <s v="142001"/>
  </r>
  <r>
    <s v="146849"/>
    <s v="12/19 PTC cancelation modal issues 2"/>
    <s v="Bug"/>
    <s v="Servicing: BC Next"/>
    <x v="0"/>
    <s v="51"/>
    <s v="Pete Wesselius"/>
    <x v="15"/>
    <m/>
    <n v="0.7707638888888888"/>
    <s v="146744"/>
    <m/>
  </r>
  <r>
    <s v="146851"/>
    <s v="[BC NEXT] PTC - Missing Analytics"/>
    <s v="Bug"/>
    <s v="Servicing: BC Next"/>
    <x v="0"/>
    <s v="51"/>
    <s v="Pete Wesselius"/>
    <x v="18"/>
    <m/>
    <n v="0.866412037037037"/>
    <s v="146744"/>
    <s v="142001"/>
  </r>
  <r>
    <s v="146878"/>
    <s v="Edit Address Modals - Both Addresses Selected On Verify Screen"/>
    <s v="Bug"/>
    <s v="Servicing: BC Next"/>
    <x v="0"/>
    <m/>
    <m/>
    <x v="1"/>
    <m/>
    <n v="1.957707592646991"/>
    <m/>
    <s v="138989"/>
  </r>
  <r>
    <s v="146882"/>
    <s v="Clicking on Cancel Payment Plan is not opening cancelation modal in mobile view"/>
    <s v="Bug"/>
    <s v="Servicing: BC Next"/>
    <x v="0"/>
    <s v="51"/>
    <s v="Pete Wesselius"/>
    <x v="18"/>
    <m/>
    <n v="0.04153935185185185"/>
    <s v="146744"/>
    <s v="142001"/>
  </r>
  <r>
    <s v="146883"/>
    <s v="PTC Cancel modal  - delay/caching issues"/>
    <s v="Bug"/>
    <s v="Servicing: BC Next"/>
    <x v="0"/>
    <s v="51"/>
    <s v="Pete Wesselius"/>
    <x v="18"/>
    <m/>
    <n v="0.06384259259259259"/>
    <s v="146744"/>
    <s v="142001"/>
  </r>
  <r>
    <s v="146884"/>
    <s v="PTC Cancel success issues"/>
    <s v="Bug"/>
    <s v="Servicing: BC Next"/>
    <x v="0"/>
    <s v="51"/>
    <s v="Pete Wesselius"/>
    <x v="18"/>
    <m/>
    <n v="0.04170138888888889"/>
    <s v="146744"/>
    <s v="142001"/>
  </r>
  <r>
    <s v="125671"/>
    <s v="[OTP] Cancel link is wrapping the L in Cancel on Galaxy S10+"/>
    <s v="Bug"/>
    <s v="Servicing: BC Next"/>
    <x v="1"/>
    <s v="02"/>
    <s v="Marcus Rogers and Michael Wang"/>
    <x v="5"/>
    <m/>
    <n v="1.973773148148148"/>
    <s v="125594"/>
    <s v="125181"/>
  </r>
  <r>
    <s v="125107"/>
    <s v="When user is on OTP review terms page and clicks on make a payment through new Make a Payment link, then OTP form is not being reset to new one"/>
    <s v="Bug"/>
    <s v="Servicing: BC Next"/>
    <x v="1"/>
    <s v="01"/>
    <m/>
    <x v="5"/>
    <m/>
    <n v="0"/>
    <m/>
    <s v="124709"/>
  </r>
  <r>
    <s v="125144"/>
    <s v="IOS splash page still showing old icon"/>
    <s v="Bug"/>
    <s v="Servicing: BC Next"/>
    <x v="1"/>
    <s v="01"/>
    <m/>
    <x v="5"/>
    <m/>
    <n v="0"/>
    <m/>
    <s v="124229"/>
  </r>
  <r>
    <s v="125198"/>
    <s v="Other amount is appending previously entered amount when we click cancel on OTP step1 and come back through bottom nav"/>
    <s v="Bug"/>
    <s v="Servicing: BC Next"/>
    <x v="1"/>
    <s v="01"/>
    <s v="Akshay Golash"/>
    <x v="5"/>
    <m/>
    <n v="0.04452546296296296"/>
    <m/>
    <s v="124709"/>
  </r>
  <r>
    <s v="125215"/>
    <s v="Page is clearing when pressing outside of cancel link"/>
    <s v="Bug"/>
    <s v="Servicing: BC Next"/>
    <x v="1"/>
    <s v="01"/>
    <s v="Akshay Golash"/>
    <x v="5"/>
    <m/>
    <n v="0.7088773148148148"/>
    <m/>
    <s v="124709"/>
  </r>
  <r>
    <s v="125242"/>
    <s v="Make a Payment link from Manage Payments after successful payment submission not showing amounts for multiple account user"/>
    <s v="Bug"/>
    <s v="Servicing: BC Next"/>
    <x v="1"/>
    <s v="01"/>
    <m/>
    <x v="5"/>
    <m/>
    <n v="0"/>
    <m/>
    <s v="124709"/>
  </r>
  <r>
    <s v="125529"/>
    <s v="Add Bank account details are not being retained when we navigate to dashboard and back to MAP through bottom nav for the first time"/>
    <s v="Bug"/>
    <s v="Servicing: BC Next"/>
    <x v="1"/>
    <s v="02"/>
    <s v="Marcus Rogers"/>
    <x v="5"/>
    <m/>
    <n v="0.6916782407407407"/>
    <s v="125457"/>
    <s v="124818"/>
  </r>
  <r>
    <s v="125532"/>
    <s v="Vehicle name not populating in MAP when going through dashboard and Manage  Payments once we go through bottom nav and cancel"/>
    <s v="Bug"/>
    <s v="Servicing: BC Next"/>
    <x v="1"/>
    <s v="02"/>
    <s v="Daniel Verhagen"/>
    <x v="5"/>
    <m/>
    <n v="1.004814814814815"/>
    <s v="125457"/>
    <s v="124818"/>
  </r>
  <r>
    <s v="125585"/>
    <s v="cosmetic issues in more IOS devices"/>
    <s v="Bug"/>
    <s v="Servicing: BC Next"/>
    <x v="1"/>
    <s v="02"/>
    <m/>
    <x v="5"/>
    <m/>
    <n v="0"/>
    <m/>
    <s v="124710"/>
  </r>
  <r>
    <s v="126667"/>
    <s v="fmp analytic not firing for Email verify and Account lookup"/>
    <s v="Bug"/>
    <s v="Servicing: BC Next"/>
    <x v="1"/>
    <s v="04"/>
    <m/>
    <x v="6"/>
    <m/>
    <n v="0"/>
    <m/>
    <s v="125270"/>
  </r>
  <r>
    <s v="126730"/>
    <s v="Incorrect error message for Confirm bank account number and confirm routing number"/>
    <s v="Bug"/>
    <s v="Servicing: BC Next"/>
    <x v="1"/>
    <s v="05"/>
    <s v="Daniel Verhagen"/>
    <x v="6"/>
    <m/>
    <n v="0.1256712962962963"/>
    <m/>
    <s v="125974"/>
  </r>
  <r>
    <s v="126928"/>
    <s v="When user has multiples vehicles and one vehicle is PTC enrolled, that account is showing up on AutoPay select Account screen as option to choose"/>
    <s v="Bug"/>
    <s v="Servicing: BC Next"/>
    <x v="1"/>
    <s v="06"/>
    <m/>
    <x v="6"/>
    <m/>
    <n v="0"/>
    <m/>
    <s v="126216"/>
  </r>
  <r>
    <s v="131355"/>
    <s v="In correct links within library"/>
    <s v="Bug"/>
    <s v="Servicing: BC Next"/>
    <x v="1"/>
    <s v="18"/>
    <s v="Akshay Golash"/>
    <x v="33"/>
    <m/>
    <n v="0.2327546296296296"/>
    <m/>
    <s v="129752"/>
  </r>
  <r>
    <s v="135060"/>
    <s v="Being forced to login again after validating email"/>
    <s v="Bug"/>
    <s v="Servicing: BC Next"/>
    <x v="1"/>
    <s v="28"/>
    <s v="Daniel Verhagen"/>
    <x v="31"/>
    <m/>
    <n v="7.197835648148148"/>
    <m/>
    <s v="133813"/>
  </r>
  <r>
    <s v="135424"/>
    <s v="Please add tags to the ADO test cases"/>
    <s v="Bug"/>
    <s v="Servicing: BC Next"/>
    <x v="1"/>
    <s v="28"/>
    <m/>
    <x v="35"/>
    <m/>
    <n v="0"/>
    <m/>
    <s v="134480"/>
  </r>
  <r>
    <s v="140268"/>
    <s v="Display analytic should be &quot;DisplayModExpiredBanner&quot; not &quot;DisplayExpiredBanner&quot;"/>
    <s v="Bug"/>
    <s v="Servicing: BC Next"/>
    <x v="1"/>
    <s v="39"/>
    <m/>
    <x v="12"/>
    <m/>
    <n v="0"/>
    <m/>
    <s v="134472"/>
  </r>
  <r>
    <s v="140269"/>
    <s v="Banner icon should resize (smaller) for mobile"/>
    <s v="Bug"/>
    <s v="Servicing: BC Next"/>
    <x v="1"/>
    <s v="39"/>
    <m/>
    <x v="12"/>
    <m/>
    <n v="0"/>
    <m/>
    <s v="134472"/>
  </r>
  <r>
    <s v="143331"/>
    <s v="[BUG] Loan Mod Experience to Show logic fix"/>
    <s v="Bug"/>
    <s v="Servicing: BC Next"/>
    <x v="2"/>
    <s v="47"/>
    <s v="Jonathan Escamilla"/>
    <x v="15"/>
    <m/>
    <n v="16.39974537037037"/>
    <s v="144532"/>
    <m/>
  </r>
  <r>
    <s v="126663"/>
    <s v="Previous User Data still Persisting after logout"/>
    <s v="Bug"/>
    <s v="Servicing: BC Next"/>
    <x v="2"/>
    <s v="05"/>
    <m/>
    <x v="6"/>
    <m/>
    <n v="3.089293981481481"/>
    <m/>
    <s v="125959"/>
  </r>
  <r>
    <s v="126676"/>
    <s v="User able to resume session if they don't have a connection"/>
    <s v="Bug"/>
    <s v="Servicing: BC Next"/>
    <x v="2"/>
    <s v="05"/>
    <m/>
    <x v="6"/>
    <m/>
    <n v="0.003298611111111111"/>
    <m/>
    <s v="125959"/>
  </r>
  <r>
    <s v="127578"/>
    <s v="Analytics are not flowing through to Snowflake"/>
    <s v="Bug"/>
    <s v="Servicing: BC Next"/>
    <x v="2"/>
    <s v="07"/>
    <m/>
    <x v="6"/>
    <m/>
    <n v="0"/>
    <m/>
    <s v="127375"/>
  </r>
  <r>
    <s v="127760"/>
    <s v="Out of sync with ADO"/>
    <s v="Bug"/>
    <s v="Servicing: BC Next"/>
    <x v="2"/>
    <s v="08"/>
    <m/>
    <x v="41"/>
    <m/>
    <n v="0.07804398148148148"/>
    <m/>
    <s v="126565"/>
  </r>
  <r>
    <s v="127834"/>
    <s v="Notification and Transaction History Dates are not dynamic for One Account with Payment Due User"/>
    <s v="Bug"/>
    <s v="Servicing: BC Next"/>
    <x v="2"/>
    <s v="09"/>
    <m/>
    <x v="41"/>
    <m/>
    <n v="3.779027777777777"/>
    <m/>
    <s v="126565"/>
  </r>
  <r>
    <s v="127968"/>
    <s v="ADO missing some updates"/>
    <s v="Bug"/>
    <s v="Servicing: BC Next"/>
    <x v="2"/>
    <s v="09"/>
    <m/>
    <x v="41"/>
    <m/>
    <n v="0"/>
    <m/>
    <s v="126568"/>
  </r>
  <r>
    <s v="128259"/>
    <s v="49236 Test Case is failing"/>
    <s v="Bug"/>
    <s v="Servicing: BC Next"/>
    <x v="2"/>
    <s v="10"/>
    <m/>
    <x v="41"/>
    <m/>
    <n v="0"/>
    <m/>
    <s v="126566"/>
  </r>
  <r>
    <s v="128268"/>
    <s v="Test case tags have not been updated from e2e-candidate to e2e-automated"/>
    <s v="Bug"/>
    <s v="Servicing: BC Next"/>
    <x v="2"/>
    <s v="10"/>
    <m/>
    <x v="41"/>
    <m/>
    <n v="0"/>
    <m/>
    <s v="126896"/>
  </r>
  <r>
    <s v="128271"/>
    <s v="Test case tags were not updated from e2e-candidate to e2e-automated"/>
    <s v="Bug"/>
    <s v="Servicing: BC Next"/>
    <x v="2"/>
    <s v="10"/>
    <m/>
    <x v="41"/>
    <m/>
    <n v="1.101585648148148"/>
    <m/>
    <s v="126897"/>
  </r>
  <r>
    <s v="128272"/>
    <s v="Did not see 58195 within the automation tests even though it was flagged to be automated"/>
    <s v="Bug"/>
    <s v="Servicing: BC Next"/>
    <x v="2"/>
    <s v="10"/>
    <m/>
    <x v="41"/>
    <m/>
    <n v="1.032384259259259"/>
    <m/>
    <s v="126897"/>
  </r>
  <r>
    <s v="128341"/>
    <s v="Test case were not automated but the tags were updated to e2e-automated"/>
    <s v="Bug"/>
    <s v="Servicing: BC Next"/>
    <x v="2"/>
    <s v="10"/>
    <s v="Jajati Routray"/>
    <x v="41"/>
    <m/>
    <n v="0"/>
    <m/>
    <s v="126895"/>
  </r>
  <r>
    <s v="129204"/>
    <s v="Not seeing test case 55753 in Client Integration Test Run"/>
    <s v="Bug"/>
    <s v="Servicing: BC Next"/>
    <x v="2"/>
    <s v="13"/>
    <m/>
    <x v="41"/>
    <m/>
    <n v="4.629629629629629e-05"/>
    <m/>
    <s v="126888"/>
  </r>
  <r>
    <s v="129763"/>
    <s v="I receive the &quot;Issue Processing Your Request Page&quot; Upon log in"/>
    <s v="Bug"/>
    <s v="Servicing: BC Next"/>
    <x v="2"/>
    <s v="15"/>
    <m/>
    <x v="41"/>
    <m/>
    <n v="0"/>
    <m/>
    <s v="126899"/>
  </r>
  <r>
    <s v="131070"/>
    <s v="Validation for Account Number (12 Numeric Characters)"/>
    <s v="Bug"/>
    <s v="Servicing: BC Next"/>
    <x v="2"/>
    <s v="18"/>
    <s v="Jonathan Escamilla"/>
    <x v="26"/>
    <m/>
    <n v="0"/>
    <m/>
    <s v="128118"/>
  </r>
  <r>
    <s v="131188"/>
    <s v="Red Border for user search field upon Failure"/>
    <s v="Bug"/>
    <s v="Servicing: BC Next"/>
    <x v="2"/>
    <s v="18"/>
    <s v="Andrew Vu"/>
    <x v="26"/>
    <m/>
    <n v="0"/>
    <m/>
    <s v="128118"/>
  </r>
  <r>
    <s v="131399"/>
    <s v="Components don't match Zeplin comps"/>
    <s v="Bug"/>
    <s v="Servicing: BC Next"/>
    <x v="2"/>
    <s v="19"/>
    <m/>
    <x v="26"/>
    <m/>
    <n v="0"/>
    <m/>
    <s v="128121"/>
  </r>
  <r>
    <s v="131441"/>
    <s v="Cosmetic fixes"/>
    <s v="Bug"/>
    <s v="Servicing: BC Next"/>
    <x v="2"/>
    <s v="19"/>
    <m/>
    <x v="26"/>
    <m/>
    <n v="0.8640393518518518"/>
    <m/>
    <s v="128118"/>
  </r>
  <r>
    <s v="131442"/>
    <s v="Status is showing as Not Linked when it should show as Unverified"/>
    <s v="Bug"/>
    <s v="Servicing: BC Next"/>
    <x v="2"/>
    <s v="19"/>
    <s v="Jajati Routray"/>
    <x v="26"/>
    <m/>
    <n v="0.8377893518518518"/>
    <m/>
    <s v="128119"/>
  </r>
  <r>
    <s v="131945"/>
    <s v="Styling Fixes"/>
    <s v="Bug"/>
    <s v="Servicing: BC Next"/>
    <x v="2"/>
    <s v="20"/>
    <m/>
    <x v="26"/>
    <m/>
    <n v="7.918900462962963"/>
    <m/>
    <s v="128124"/>
  </r>
  <r>
    <s v="132397"/>
    <s v="Unlock profile button should not be visible"/>
    <s v="Bug"/>
    <s v="Servicing: BC Next"/>
    <x v="2"/>
    <s v="20"/>
    <m/>
    <x v="26"/>
    <m/>
    <n v="0"/>
    <m/>
    <s v="128122"/>
  </r>
  <r>
    <s v="132420"/>
    <s v="Add Bank Account Styling Fixes"/>
    <s v="Bug"/>
    <s v="Servicing: BC Next"/>
    <x v="2"/>
    <s v="20"/>
    <m/>
    <x v="26"/>
    <m/>
    <n v="0"/>
    <m/>
    <s v="128124"/>
  </r>
  <r>
    <s v="132421"/>
    <s v="Payment Options Styling Fixes"/>
    <s v="Bug"/>
    <s v="Servicing: BC Next"/>
    <x v="2"/>
    <s v="20"/>
    <m/>
    <x v="26"/>
    <m/>
    <n v="0"/>
    <m/>
    <s v="128124"/>
  </r>
  <r>
    <s v="132493"/>
    <s v="Device is shows as reassigned"/>
    <s v="Bug"/>
    <s v="Servicing: BC Next"/>
    <x v="2"/>
    <s v="20"/>
    <m/>
    <x v="26"/>
    <m/>
    <n v="1.08505787037037"/>
    <m/>
    <s v="128122"/>
  </r>
  <r>
    <s v="132593"/>
    <s v="When 'Remove Device' button returns, it doesn't match comps"/>
    <s v="Bug"/>
    <s v="Servicing: BC Next"/>
    <x v="2"/>
    <s v="21"/>
    <s v="Jonathan Escamilla"/>
    <x v="26"/>
    <m/>
    <n v="0.1196990740740741"/>
    <m/>
    <s v="128122"/>
  </r>
  <r>
    <s v="132676"/>
    <s v="UI on OTP page"/>
    <s v="Bug"/>
    <s v="Servicing: BC Next"/>
    <x v="2"/>
    <s v="21"/>
    <m/>
    <x v="26"/>
    <m/>
    <n v="0"/>
    <m/>
    <s v="128124"/>
  </r>
  <r>
    <s v="132737"/>
    <s v="AutoPay and Autopay Past Due Styling Fixes"/>
    <s v="Bug"/>
    <s v="Servicing: BC Next"/>
    <x v="2"/>
    <s v="21"/>
    <m/>
    <x v="26"/>
    <m/>
    <n v="0"/>
    <m/>
    <s v="128124"/>
  </r>
  <r>
    <s v="132933"/>
    <s v="Incorrect adminGUID"/>
    <s v="Bug"/>
    <s v="Servicing: BC Next"/>
    <x v="2"/>
    <s v="22"/>
    <m/>
    <x v="26"/>
    <m/>
    <n v="6.564305555555555"/>
    <m/>
    <s v="128125"/>
  </r>
  <r>
    <s v="132934"/>
    <s v="Missing admin data for events"/>
    <s v="Bug"/>
    <s v="Servicing: BC Next"/>
    <x v="2"/>
    <s v="22"/>
    <m/>
    <x v="26"/>
    <m/>
    <n v="6.564293981481481"/>
    <m/>
    <s v="128125"/>
  </r>
  <r>
    <s v="132935"/>
    <s v="Existing events should have Admin data when triggered by an admin during impersonation"/>
    <s v="Bug"/>
    <s v="Servicing: BC Next"/>
    <x v="2"/>
    <s v="22"/>
    <m/>
    <x v="26"/>
    <m/>
    <n v="0"/>
    <m/>
    <s v="128125"/>
  </r>
  <r>
    <s v="133059"/>
    <s v="Not able to search by account+SSN"/>
    <s v="Bug"/>
    <s v="Servicing: BC Next"/>
    <x v="2"/>
    <s v="22"/>
    <m/>
    <x v="26"/>
    <m/>
    <n v="0"/>
    <m/>
    <s v="132898"/>
  </r>
  <r>
    <s v="133271"/>
    <s v="Missing admin data elements for Admin Pageview"/>
    <s v="Bug"/>
    <s v="Servicing: BC Next"/>
    <x v="2"/>
    <s v="23"/>
    <s v="Jonathan Escamilla"/>
    <x v="26"/>
    <m/>
    <n v="0"/>
    <m/>
    <s v="133307"/>
  </r>
  <r>
    <s v="133272"/>
    <s v="UI for Manage Payments not aligned correctly"/>
    <s v="Bug"/>
    <s v="Servicing: BC Next"/>
    <x v="2"/>
    <s v="22"/>
    <m/>
    <x v="26"/>
    <m/>
    <n v="0.2328587962962963"/>
    <m/>
    <s v="133307"/>
  </r>
  <r>
    <s v="133273"/>
    <s v="No longer see menu"/>
    <s v="Bug"/>
    <s v="Servicing: BC Next"/>
    <x v="2"/>
    <s v="22"/>
    <m/>
    <x v="26"/>
    <m/>
    <n v="0.2196759259259259"/>
    <m/>
    <s v="133307"/>
  </r>
  <r>
    <s v="133342"/>
    <s v="Unable to delete users from the Admin Portal"/>
    <s v="Bug"/>
    <s v="Servicing: BC Next"/>
    <x v="2"/>
    <s v="23"/>
    <s v="Jonathan Escamilla"/>
    <x v="26"/>
    <m/>
    <n v="0.0274074074074074"/>
    <m/>
    <s v="132842"/>
  </r>
  <r>
    <s v="133386"/>
    <s v="Impersonation Search should not be case sensitive"/>
    <s v="Bug"/>
    <s v="Servicing: BC Next"/>
    <x v="2"/>
    <s v="23"/>
    <s v="Jajati Routray"/>
    <x v="26"/>
    <m/>
    <n v="0"/>
    <m/>
    <s v="133307"/>
  </r>
  <r>
    <s v="139591"/>
    <s v="I am not seeing Current Maturity Date"/>
    <s v="Bug"/>
    <s v="Servicing: BC Next"/>
    <x v="2"/>
    <s v="37"/>
    <m/>
    <x v="43"/>
    <m/>
    <n v="0"/>
    <m/>
    <s v="136512"/>
  </r>
  <r>
    <s v="139595"/>
    <s v="Experience To Show is in accurate prior to signature"/>
    <s v="Bug"/>
    <s v="Servicing: BC Next"/>
    <x v="2"/>
    <s v="37"/>
    <m/>
    <x v="43"/>
    <m/>
    <n v="0"/>
    <m/>
    <s v="136512"/>
  </r>
  <r>
    <s v="140466"/>
    <s v="When  IsBCNextReq = true, the status does not change to signed and submitted"/>
    <s v="Bug"/>
    <s v="Servicing: BC Next"/>
    <x v="2"/>
    <s v="39"/>
    <m/>
    <x v="43"/>
    <m/>
    <n v="0"/>
    <m/>
    <s v="138936"/>
  </r>
  <r>
    <s v="142112"/>
    <s v="Invalid format for date within Cancel Reason"/>
    <s v="Bug"/>
    <s v="Servicing: BC Next"/>
    <x v="2"/>
    <s v="42"/>
    <m/>
    <x v="49"/>
    <m/>
    <n v="0"/>
    <m/>
    <s v="140696"/>
  </r>
  <r>
    <s v="139928"/>
    <s v="(Variation 1, Variation 3) Payment breakdown for non-past-due customers on Mobile view causes card content to be cut off at the top and bottom"/>
    <s v="Bug"/>
    <s v="Bridgecrest Experimentation"/>
    <x v="0"/>
    <s v="38"/>
    <m/>
    <x v="58"/>
    <m/>
    <n v="0.8671875"/>
    <s v="139925"/>
    <s v="137137"/>
  </r>
  <r>
    <s v="139889"/>
    <s v="Extra space in terms box"/>
    <s v="Bug"/>
    <s v="BC Digital - Ongoing Fixes and Enhancements"/>
    <x v="0"/>
    <s v="38"/>
    <s v="Abbas Shamshi"/>
    <x v="64"/>
    <m/>
    <n v="0.401412037037037"/>
    <m/>
    <s v="133227"/>
  </r>
  <r>
    <s v="141461"/>
    <s v="[BC NEXT] Multiple Modals Open when Spam Clicking Paymentus Redirect Modal"/>
    <s v="Bug"/>
    <s v="BC Digital - Ongoing Fixes and Enhancements"/>
    <x v="0"/>
    <s v="41"/>
    <s v="Abbas Shamshi"/>
    <x v="63"/>
    <m/>
    <n v="1.013715277777778"/>
    <s v="142204"/>
    <s v="138659"/>
  </r>
  <r>
    <s v="141813"/>
    <s v="Invalid error message, when user hit confirm without filling any data"/>
    <s v="Bug"/>
    <s v="BC Digital - Ongoing Fixes and Enhancements"/>
    <x v="0"/>
    <s v="42"/>
    <s v="Yokeshwaran Lokanathan"/>
    <x v="15"/>
    <m/>
    <n v="1.912291666666667"/>
    <s v="142204"/>
    <s v="138658"/>
  </r>
  <r>
    <s v="142134"/>
    <s v="[BC NEXT] Auto-close modal when Yes, Proceed to Site CTA is clicked"/>
    <s v="Bug"/>
    <s v="BC Digital - Ongoing Fixes and Enhancements"/>
    <x v="0"/>
    <s v="42"/>
    <s v="Abbas Shamshi"/>
    <x v="63"/>
    <m/>
    <n v="0.2203819444444444"/>
    <s v="142204"/>
    <s v="138659"/>
  </r>
  <r>
    <s v="145444"/>
    <s v="[BC NEXT] Payoff Quote - Update footer from 'email' to 'letter'"/>
    <s v="Bug"/>
    <s v="BC Digital - Ongoing Fixes and Enhancements"/>
    <x v="0"/>
    <s v="48"/>
    <s v="Chirag Khandhar"/>
    <x v="63"/>
    <m/>
    <n v="0.1128009259259259"/>
    <m/>
    <s v="144459"/>
  </r>
  <r>
    <s v="141338"/>
    <s v="SP returns incorrect value for the HomeState of cobuyer"/>
    <s v="Bug"/>
    <s v="BC Digital - Ongoing Fixes and Enhancements"/>
    <x v="1"/>
    <s v="41"/>
    <s v="Sushma Gurram"/>
    <x v="66"/>
    <m/>
    <n v="2.037361111111111"/>
    <m/>
    <s v="139494"/>
  </r>
  <r>
    <s v="141256"/>
    <s v="DTSE - SendContractModificationEmail throws an exception"/>
    <s v="Bug"/>
    <s v="BC Digital - Ongoing Fixes and Enhancements"/>
    <x v="1"/>
    <s v="41"/>
    <m/>
    <x v="66"/>
    <m/>
    <n v="0"/>
    <m/>
    <s v="139493"/>
  </r>
  <r>
    <s v="145766"/>
    <s v="Seeing missing legal disclosure and phone number and app icons changes are not up to date"/>
    <s v="Bug"/>
    <s v="BC Digital - Ongoing Fixes and Enhancements"/>
    <x v="1"/>
    <s v="49"/>
    <m/>
    <x v="68"/>
    <m/>
    <n v="0"/>
    <m/>
    <s v="138283"/>
  </r>
  <r>
    <s v="137386"/>
    <s v="PROD BUG: BFF Server Telemetry Client Memory Leak Issue"/>
    <s v="Bug"/>
    <s v="BC Digital - Ongoing Fixes and Enhancements"/>
    <x v="2"/>
    <s v="32"/>
    <s v="Venkatmahesh Polur"/>
    <x v="15"/>
    <m/>
    <n v="2.050694444444444"/>
    <s v="137387"/>
    <m/>
  </r>
  <r>
    <s v="145765"/>
    <s v="Some items are masked that were not designated to be - Part 1"/>
    <s v="Bug"/>
    <s v="BC Digital - Ongoing Fixes and Enhancements"/>
    <x v="2"/>
    <m/>
    <m/>
    <x v="77"/>
    <m/>
    <n v="9.923217297239583"/>
    <s v="147079"/>
    <m/>
  </r>
  <r>
    <s v="146264"/>
    <s v="Some items are masked that were not designated to be - Part 2"/>
    <s v="Bug"/>
    <s v="BC Digital - Ongoing Fixes and Enhancements"/>
    <x v="2"/>
    <m/>
    <s v="Sri Charan Simha Velpur"/>
    <x v="77"/>
    <m/>
    <n v="12.92129600094329"/>
    <s v="147079"/>
    <s v="145174"/>
  </r>
  <r>
    <m/>
    <m/>
    <m/>
    <m/>
    <x v="3"/>
    <m/>
    <m/>
    <x v="79"/>
    <m/>
    <m/>
    <m/>
    <m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_rels/pivotTable2.xml.rels><Relationships xmlns="http://schemas.openxmlformats.org/package/2006/relationships"><Relationship Id="rId1" Target="/xl/pivotCache/pivotCacheDefinition2.xml" Type="http://schemas.openxmlformats.org/officeDocument/2006/relationships/pivotCacheDefinition" 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0" chartFormat="0" colGrandTotals="1" compact="1" compactData="1" createdVersion="8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8" useAutoFormatting="1" visualTotals="1" r:id="rId1">
  <location firstDataCol="1" firstDataRow="2" firstHeaderRow="1" ref="A3:E9"/>
  <pivotFields count="12"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ataField="1" defaultSubtotal="1" dragOff="1" dragToCol="1" dragToData="1" dragToPage="1" dragToRow="1" itemPageCount="10" outline="1" showAll="0" showDropDowns="1" sortType="manual" subtotalTop="1" topAutoShow="1">
      <items count="24">
        <item m="1" sd="1" t="data" x="7"/>
        <item sd="0" t="data" x="1"/>
        <item m="1" sd="1" t="data" x="11"/>
        <item sd="0" t="data" x="2"/>
        <item m="1" sd="1" t="data" x="6"/>
        <item m="1" sd="1" t="data" x="15"/>
        <item m="1" sd="1" t="data" x="20"/>
        <item m="1" sd="0" t="data" x="10"/>
        <item m="1" sd="1" t="data" x="19"/>
        <item m="1" sd="1" t="data" x="22"/>
        <item m="1" sd="1" t="data" x="21"/>
        <item m="1" sd="1" t="data" x="18"/>
        <item m="1" sd="1" t="data" x="14"/>
        <item m="1" sd="1" t="data" x="12"/>
        <item m="1" sd="1" t="data" x="13"/>
        <item m="1" sd="1" t="data" x="16"/>
        <item m="1" sd="1" t="data" x="8"/>
        <item m="1" sd="1" t="data" x="9"/>
        <item sd="0" t="data" x="0"/>
        <item m="1" sd="1" t="data" x="5"/>
        <item m="1" sd="0" t="data" x="17"/>
        <item h="1" sd="1" t="data" x="4"/>
        <item sd="0" t="data" x="3"/>
        <item sd="1" t="default"/>
      </items>
    </pivotField>
    <pivotField axis="axisCol" compact="1" defaultSubtotal="1" dragOff="1" dragToCol="1" dragToData="1" dragToPage="1" dragToRow="1" itemPageCount="10" outline="1" showAll="0" showDropDowns="1" sortType="manual" subtotalTop="1" topAutoShow="1">
      <items count="5">
        <item sd="1" t="data" x="1"/>
        <item sd="1" t="data" x="0"/>
        <item sd="1" t="data" x="2"/>
        <item sd="1" t="data" x="3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efaultSubtotal="1" dragOff="1" dragToCol="1" dragToData="1" dragToPage="1" dragToRow="1" itemPageCount="10" outline="1" showAll="0" showDropDowns="1" sortType="manual" subtotalTop="1" topAutoShow="1">
      <items count="661">
        <item m="1" sd="1" t="data" x="347"/>
        <item m="1" sd="1" t="data" x="610"/>
        <item m="1" sd="1" t="data" x="246"/>
        <item m="1" sd="1" t="data" x="611"/>
        <item m="1" sd="1" t="data" x="270"/>
        <item m="1" sd="1" t="data" x="522"/>
        <item m="1" sd="1" t="data" x="601"/>
        <item m="1" sd="1" t="data" x="463"/>
        <item m="1" sd="1" t="data" x="80"/>
        <item m="1" sd="1" t="data" x="570"/>
        <item m="1" sd="1" t="data" x="362"/>
        <item m="1" sd="1" t="data" x="497"/>
        <item m="1" sd="1" t="data" x="320"/>
        <item m="1" sd="1" t="data" x="386"/>
        <item sd="1" t="data" x="3"/>
        <item m="1" sd="1" t="data" x="272"/>
        <item m="1" sd="1" t="data" x="279"/>
        <item m="1" sd="1" t="data" x="596"/>
        <item m="1" sd="1" t="data" x="529"/>
        <item sd="1" t="data" x="33"/>
        <item sd="1" t="data" x="41"/>
        <item sd="1" t="data" x="8"/>
        <item sd="1" t="data" x="0"/>
        <item sd="1" t="data" x="7"/>
        <item m="1" sd="1" t="data" x="193"/>
        <item m="1" sd="1" t="data" x="168"/>
        <item sd="1" t="data" x="26"/>
        <item sd="1" t="data" x="32"/>
        <item m="1" sd="1" t="data" x="633"/>
        <item sd="1" t="data" x="61"/>
        <item sd="1" t="data" x="64"/>
        <item sd="1" t="data" x="45"/>
        <item m="1" sd="1" t="data" x="637"/>
        <item m="1" sd="1" t="data" x="254"/>
        <item m="1" sd="1" t="data" x="556"/>
        <item m="1" sd="1" t="data" x="94"/>
        <item m="1" sd="1" t="data" x="222"/>
        <item m="1" sd="1" t="data" x="112"/>
        <item m="1" sd="1" t="data" x="130"/>
        <item m="1" sd="1" t="data" x="340"/>
        <item m="1" sd="1" t="data" x="207"/>
        <item m="1" sd="1" t="data" x="318"/>
        <item m="1" sd="1" t="data" x="129"/>
        <item sd="1" t="data" x="25"/>
        <item sd="1" t="data" x="27"/>
        <item m="1" sd="1" t="data" x="134"/>
        <item sd="1" t="data" x="5"/>
        <item sd="1" t="data" x="34"/>
        <item sd="1" t="data" x="6"/>
        <item m="1" sd="1" t="data" x="305"/>
        <item m="1" sd="1" t="data" x="167"/>
        <item m="1" sd="1" t="data" x="155"/>
        <item m="1" sd="1" t="data" x="241"/>
        <item m="1" sd="1" t="data" x="195"/>
        <item sd="1" t="data" x="35"/>
        <item m="1" sd="1" t="data" x="512"/>
        <item m="1" sd="1" t="data" x="379"/>
        <item m="1" sd="1" t="data" x="651"/>
        <item m="1" sd="1" t="data" x="588"/>
        <item sd="1" t="data" x="24"/>
        <item sd="1" t="data" x="10"/>
        <item sd="1" t="data" x="22"/>
        <item sd="1" t="data" x="23"/>
        <item sd="1" t="data" x="4"/>
        <item sd="1" t="data" x="2"/>
        <item sd="1" t="data" x="29"/>
        <item sd="1" t="data" x="28"/>
        <item sd="1" t="data" x="21"/>
        <item sd="1" t="data" x="19"/>
        <item sd="1" t="data" x="20"/>
        <item sd="1" t="data" x="30"/>
        <item sd="1" t="data" x="12"/>
        <item m="1" sd="1" t="data" x="230"/>
        <item m="1" sd="1" t="data" x="315"/>
        <item m="1" sd="1" t="data" x="150"/>
        <item sd="1" t="data" x="38"/>
        <item m="1" sd="1" t="data" x="404"/>
        <item m="1" sd="1" t="data" x="314"/>
        <item m="1" sd="1" t="data" x="180"/>
        <item m="1" sd="1" t="data" x="172"/>
        <item m="1" sd="1" t="data" x="628"/>
        <item m="1" sd="1" t="data" x="218"/>
        <item m="1" sd="1" t="data" x="530"/>
        <item m="1" sd="1" t="data" x="381"/>
        <item m="1" sd="1" t="data" x="425"/>
        <item m="1" sd="1" t="data" x="457"/>
        <item m="1" sd="1" t="data" x="161"/>
        <item m="1" sd="1" t="data" x="192"/>
        <item m="1" sd="1" t="data" x="101"/>
        <item m="1" sd="1" t="data" x="449"/>
        <item m="1" sd="1" t="data" x="659"/>
        <item m="1" sd="1" t="data" x="561"/>
        <item m="1" sd="1" t="data" x="95"/>
        <item m="1" sd="1" t="data" x="537"/>
        <item m="1" sd="1" t="data" x="118"/>
        <item m="1" sd="1" t="data" x="427"/>
        <item m="1" sd="1" t="data" x="447"/>
        <item m="1" sd="1" t="data" x="658"/>
        <item m="1" sd="1" t="data" x="81"/>
        <item m="1" sd="1" t="data" x="654"/>
        <item m="1" sd="1" t="data" x="612"/>
        <item m="1" sd="1" t="data" x="263"/>
        <item m="1" sd="1" t="data" x="439"/>
        <item m="1" sd="1" t="data" x="571"/>
        <item m="1" sd="1" t="data" x="634"/>
        <item m="1" sd="1" t="data" x="523"/>
        <item m="1" sd="1" t="data" x="540"/>
        <item m="1" sd="1" t="data" x="335"/>
        <item m="1" sd="1" t="data" x="419"/>
        <item m="1" sd="1" t="data" x="288"/>
        <item m="1" sd="1" t="data" x="614"/>
        <item m="1" sd="1" t="data" x="132"/>
        <item m="1" sd="1" t="data" x="316"/>
        <item m="1" sd="1" t="data" x="388"/>
        <item m="1" sd="1" t="data" x="554"/>
        <item m="1" sd="1" t="data" x="220"/>
        <item m="1" sd="1" t="data" x="515"/>
        <item m="1" sd="1" t="data" x="541"/>
        <item m="1" sd="1" t="data" x="189"/>
        <item m="1" sd="1" t="data" x="143"/>
        <item m="1" sd="1" t="data" x="413"/>
        <item m="1" sd="1" t="data" x="113"/>
        <item m="1" sd="1" t="data" x="366"/>
        <item m="1" sd="1" t="data" x="508"/>
        <item m="1" sd="1" t="data" x="107"/>
        <item m="1" sd="1" t="data" x="527"/>
        <item m="1" sd="1" t="data" x="190"/>
        <item m="1" sd="1" t="data" x="251"/>
        <item m="1" sd="1" t="data" x="384"/>
        <item m="1" sd="1" t="data" x="593"/>
        <item m="1" sd="1" t="data" x="115"/>
        <item m="1" sd="1" t="data" x="291"/>
        <item m="1" sd="1" t="data" x="97"/>
        <item m="1" sd="1" t="data" x="433"/>
        <item m="1" sd="1" t="data" x="606"/>
        <item m="1" sd="1" t="data" x="395"/>
        <item m="1" sd="1" t="data" x="243"/>
        <item m="1" sd="1" t="data" x="174"/>
        <item m="1" sd="1" t="data" x="317"/>
        <item m="1" sd="1" t="data" x="337"/>
        <item m="1" sd="1" t="data" x="264"/>
        <item m="1" sd="1" t="data" x="621"/>
        <item m="1" sd="1" t="data" x="148"/>
        <item m="1" sd="1" t="data" x="490"/>
        <item m="1" sd="1" t="data" x="443"/>
        <item m="1" sd="1" t="data" x="284"/>
        <item m="1" sd="1" t="data" x="280"/>
        <item m="1" sd="1" t="data" x="460"/>
        <item m="1" sd="1" t="data" x="289"/>
        <item m="1" sd="1" t="data" x="346"/>
        <item m="1" sd="1" t="data" x="170"/>
        <item m="1" sd="1" t="data" x="213"/>
        <item m="1" sd="1" t="data" x="249"/>
        <item m="1" sd="1" t="data" x="349"/>
        <item m="1" sd="1" t="data" x="87"/>
        <item m="1" sd="1" t="data" x="162"/>
        <item m="1" sd="1" t="data" x="391"/>
        <item m="1" sd="1" t="data" x="369"/>
        <item m="1" sd="1" t="data" x="392"/>
        <item m="1" sd="1" t="data" x="435"/>
        <item m="1" sd="1" t="data" x="565"/>
        <item m="1" sd="1" t="data" x="89"/>
        <item m="1" sd="1" t="data" x="480"/>
        <item m="1" sd="1" t="data" x="402"/>
        <item m="1" sd="1" t="data" x="341"/>
        <item m="1" sd="1" t="data" x="422"/>
        <item m="1" sd="1" t="data" x="110"/>
        <item m="1" sd="1" t="data" x="111"/>
        <item m="1" sd="1" t="data" x="287"/>
        <item m="1" sd="1" t="data" x="198"/>
        <item m="1" sd="1" t="data" x="594"/>
        <item m="1" sd="1" t="data" x="545"/>
        <item m="1" sd="1" t="data" x="478"/>
        <item m="1" sd="1" t="data" x="358"/>
        <item m="1" sd="1" t="data" x="328"/>
        <item m="1" sd="1" t="data" x="240"/>
        <item m="1" sd="1" t="data" x="521"/>
        <item m="1" sd="1" t="data" x="553"/>
        <item m="1" sd="1" t="data" x="639"/>
        <item m="1" sd="1" t="data" x="450"/>
        <item m="1" sd="1" t="data" x="491"/>
        <item m="1" sd="1" t="data" x="345"/>
        <item m="1" sd="1" t="data" x="582"/>
        <item m="1" sd="1" t="data" x="466"/>
        <item m="1" sd="1" t="data" x="378"/>
        <item m="1" sd="1" t="data" x="92"/>
        <item m="1" sd="1" t="data" x="119"/>
        <item m="1" sd="1" t="data" x="609"/>
        <item m="1" sd="1" t="data" x="403"/>
        <item m="1" sd="1" t="data" x="482"/>
        <item m="1" sd="1" t="data" x="157"/>
        <item m="1" sd="1" t="data" x="239"/>
        <item m="1" sd="1" t="data" x="308"/>
        <item m="1" sd="1" t="data" x="376"/>
        <item m="1" sd="1" t="data" x="408"/>
        <item m="1" sd="1" t="data" x="257"/>
        <item m="1" sd="1" t="data" x="385"/>
        <item m="1" sd="1" t="data" x="653"/>
        <item m="1" sd="1" t="data" x="481"/>
        <item m="1" sd="1" t="data" x="208"/>
        <item m="1" sd="1" t="data" x="656"/>
        <item m="1" sd="1" t="data" x="474"/>
        <item m="1" sd="1" t="data" x="147"/>
        <item m="1" sd="1" t="data" x="397"/>
        <item m="1" sd="1" t="data" x="229"/>
        <item m="1" sd="1" t="data" x="584"/>
        <item m="1" sd="1" t="data" x="600"/>
        <item m="1" sd="1" t="data" x="502"/>
        <item m="1" sd="1" t="data" x="365"/>
        <item m="1" sd="1" t="data" x="377"/>
        <item m="1" sd="1" t="data" x="357"/>
        <item m="1" sd="1" t="data" x="405"/>
        <item m="1" sd="1" t="data" x="607"/>
        <item m="1" sd="1" t="data" x="430"/>
        <item m="1" sd="1" t="data" x="294"/>
        <item m="1" sd="1" t="data" x="623"/>
        <item m="1" sd="1" t="data" x="590"/>
        <item m="1" sd="1" t="data" x="589"/>
        <item m="1" sd="1" t="data" x="125"/>
        <item m="1" sd="1" t="data" x="486"/>
        <item m="1" sd="1" t="data" x="581"/>
        <item m="1" sd="1" t="data" x="543"/>
        <item m="1" sd="1" t="data" x="114"/>
        <item m="1" sd="1" t="data" x="380"/>
        <item m="1" sd="1" t="data" x="211"/>
        <item m="1" sd="1" t="data" x="493"/>
        <item m="1" sd="1" t="data" x="453"/>
        <item m="1" sd="1" t="data" x="630"/>
        <item m="1" sd="1" t="data" x="203"/>
        <item m="1" sd="1" t="data" x="374"/>
        <item m="1" sd="1" t="data" x="298"/>
        <item m="1" sd="1" t="data" x="200"/>
        <item m="1" sd="1" t="data" x="504"/>
        <item m="1" sd="1" t="data" x="632"/>
        <item m="1" sd="1" t="data" x="438"/>
        <item m="1" sd="1" t="data" x="331"/>
        <item m="1" sd="1" t="data" x="655"/>
        <item m="1" sd="1" t="data" x="348"/>
        <item m="1" sd="1" t="data" x="624"/>
        <item m="1" sd="1" t="data" x="647"/>
        <item m="1" sd="1" t="data" x="356"/>
        <item m="1" sd="1" t="data" x="255"/>
        <item m="1" sd="1" t="data" x="352"/>
        <item m="1" sd="1" t="data" x="216"/>
        <item m="1" sd="1" t="data" x="194"/>
        <item m="1" sd="1" t="data" x="539"/>
        <item m="1" sd="1" t="data" x="142"/>
        <item m="1" sd="1" t="data" x="156"/>
        <item m="1" sd="1" t="data" x="179"/>
        <item m="1" sd="1" t="data" x="151"/>
        <item m="1" sd="1" t="data" x="238"/>
        <item m="1" sd="1" t="data" x="235"/>
        <item m="1" sd="1" t="data" x="513"/>
        <item m="1" sd="1" t="data" x="199"/>
        <item m="1" sd="1" t="data" x="104"/>
        <item m="1" sd="1" t="data" x="550"/>
        <item m="1" sd="1" t="data" x="618"/>
        <item m="1" sd="1" t="data" x="223"/>
        <item m="1" sd="1" t="data" x="300"/>
        <item m="1" sd="1" t="data" x="520"/>
        <item m="1" sd="1" t="data" x="351"/>
        <item m="1" sd="1" t="data" x="271"/>
        <item m="1" sd="1" t="data" x="616"/>
        <item m="1" sd="1" t="data" x="312"/>
        <item m="1" sd="1" t="data" x="292"/>
        <item m="1" sd="1" t="data" x="459"/>
        <item m="1" sd="1" t="data" x="137"/>
        <item m="1" sd="1" t="data" x="638"/>
        <item m="1" sd="1" t="data" x="546"/>
        <item m="1" sd="1" t="data" x="569"/>
        <item m="1" sd="1" t="data" x="595"/>
        <item m="1" sd="1" t="data" x="176"/>
        <item m="1" sd="1" t="data" x="387"/>
        <item m="1" sd="1" t="data" x="372"/>
        <item m="1" sd="1" t="data" x="83"/>
        <item m="1" sd="1" t="data" x="468"/>
        <item m="1" sd="1" t="data" x="368"/>
        <item m="1" sd="1" t="data" x="353"/>
        <item m="1" sd="1" t="data" x="451"/>
        <item m="1" sd="1" t="data" x="580"/>
        <item m="1" sd="1" t="data" x="319"/>
        <item m="1" sd="1" t="data" x="500"/>
        <item m="1" sd="1" t="data" x="329"/>
        <item m="1" sd="1" t="data" x="273"/>
        <item m="1" sd="1" t="data" x="342"/>
        <item m="1" sd="1" t="data" x="343"/>
        <item m="1" sd="1" t="data" x="563"/>
        <item m="1" sd="1" t="data" x="268"/>
        <item m="1" sd="1" t="data" x="323"/>
        <item m="1" sd="1" t="data" x="363"/>
        <item m="1" sd="1" t="data" x="281"/>
        <item m="1" sd="1" t="data" x="184"/>
        <item m="1" sd="1" t="data" x="245"/>
        <item m="1" sd="1" t="data" x="244"/>
        <item m="1" sd="1" t="data" x="359"/>
        <item m="1" sd="1" t="data" x="327"/>
        <item m="1" sd="1" t="data" x="586"/>
        <item m="1" sd="1" t="data" x="339"/>
        <item m="1" sd="1" t="data" x="626"/>
        <item m="1" sd="1" t="data" x="399"/>
        <item m="1" sd="1" t="data" x="587"/>
        <item m="1" sd="1" t="data" x="477"/>
        <item m="1" sd="1" t="data" x="572"/>
        <item m="1" sd="1" t="data" x="499"/>
        <item m="1" sd="1" t="data" x="524"/>
        <item m="1" sd="1" t="data" x="454"/>
        <item m="1" sd="1" t="data" x="416"/>
        <item m="1" sd="1" t="data" x="479"/>
        <item m="1" sd="1" t="data" x="516"/>
        <item m="1" sd="1" t="data" x="124"/>
        <item m="1" sd="1" t="data" x="489"/>
        <item m="1" sd="1" t="data" x="178"/>
        <item m="1" sd="1" t="data" x="605"/>
        <item m="1" sd="1" t="data" x="597"/>
        <item m="1" sd="1" t="data" x="448"/>
        <item m="1" sd="1" t="data" x="144"/>
        <item m="1" sd="1" t="data" x="350"/>
        <item m="1" sd="1" t="data" x="436"/>
        <item m="1" sd="1" t="data" x="650"/>
        <item m="1" sd="1" t="data" x="552"/>
        <item m="1" sd="1" t="data" x="608"/>
        <item m="1" sd="1" t="data" x="250"/>
        <item m="1" sd="1" t="data" x="237"/>
        <item m="1" sd="1" t="data" x="344"/>
        <item m="1" sd="1" t="data" x="301"/>
        <item m="1" sd="1" t="data" x="470"/>
        <item m="1" sd="1" t="data" x="414"/>
        <item m="1" sd="1" t="data" x="471"/>
        <item m="1" sd="1" t="data" x="507"/>
        <item m="1" sd="1" t="data" x="398"/>
        <item m="1" sd="1" t="data" x="109"/>
        <item m="1" sd="1" t="data" x="602"/>
        <item m="1" sd="1" t="data" x="219"/>
        <item m="1" sd="1" t="data" x="400"/>
        <item m="1" sd="1" t="data" x="627"/>
        <item m="1" sd="1" t="data" x="100"/>
        <item m="1" sd="1" t="data" x="297"/>
        <item m="1" sd="1" t="data" x="253"/>
        <item m="1" sd="1" t="data" x="160"/>
        <item m="1" sd="1" t="data" x="277"/>
        <item m="1" sd="1" t="data" x="120"/>
        <item m="1" sd="1" t="data" x="566"/>
        <item m="1" sd="1" t="data" x="361"/>
        <item m="1" sd="1" t="data" x="139"/>
        <item m="1" sd="1" t="data" x="324"/>
        <item m="1" sd="1" t="data" x="236"/>
        <item m="1" sd="1" t="data" x="196"/>
        <item m="1" sd="1" t="data" x="248"/>
        <item m="1" sd="1" t="data" x="560"/>
        <item m="1" sd="1" t="data" x="469"/>
        <item m="1" sd="1" t="data" x="622"/>
        <item m="1" sd="1" t="data" x="536"/>
        <item m="1" sd="1" t="data" x="533"/>
        <item m="1" sd="1" t="data" x="183"/>
        <item m="1" sd="1" t="data" x="355"/>
        <item m="1" sd="1" t="data" x="307"/>
        <item m="1" sd="1" t="data" x="509"/>
        <item m="1" sd="1" t="data" x="532"/>
        <item m="1" sd="1" t="data" x="278"/>
        <item m="1" sd="1" t="data" x="390"/>
        <item m="1" sd="1" t="data" x="382"/>
        <item m="1" sd="1" t="data" x="153"/>
        <item m="1" sd="1" t="data" x="364"/>
        <item m="1" sd="1" t="data" x="394"/>
        <item m="1" sd="1" t="data" x="332"/>
        <item m="1" sd="1" t="data" x="577"/>
        <item m="1" sd="1" t="data" x="514"/>
        <item m="1" sd="1" t="data" x="226"/>
        <item m="1" sd="1" t="data" x="283"/>
        <item m="1" sd="1" t="data" x="505"/>
        <item m="1" sd="1" t="data" x="265"/>
        <item m="1" sd="1" t="data" x="302"/>
        <item m="1" sd="1" t="data" x="434"/>
        <item m="1" sd="1" t="data" x="322"/>
        <item m="1" sd="1" t="data" x="326"/>
        <item m="1" sd="1" t="data" x="267"/>
        <item m="1" sd="1" t="data" x="429"/>
        <item m="1" sd="1" t="data" x="599"/>
        <item m="1" sd="1" t="data" x="604"/>
        <item m="1" sd="1" t="data" x="431"/>
        <item m="1" sd="1" t="data" x="259"/>
        <item m="1" sd="1" t="data" x="293"/>
        <item m="1" sd="1" t="data" x="247"/>
        <item m="1" sd="1" t="data" x="231"/>
        <item m="1" sd="1" t="data" x="473"/>
        <item m="1" sd="1" t="data" x="484"/>
        <item m="1" sd="1" t="data" x="286"/>
        <item m="1" sd="1" t="data" x="106"/>
        <item m="1" sd="1" t="data" x="598"/>
        <item m="1" sd="1" t="data" x="86"/>
        <item m="1" sd="1" t="data" x="108"/>
        <item m="1" sd="1" t="data" x="261"/>
        <item m="1" sd="1" t="data" x="105"/>
        <item m="1" sd="1" t="data" x="269"/>
        <item m="1" sd="1" t="data" x="396"/>
        <item m="1" sd="1" t="data" x="492"/>
        <item m="1" sd="1" t="data" x="517"/>
        <item m="1" sd="1" t="data" x="202"/>
        <item m="1" sd="1" t="data" x="163"/>
        <item m="1" sd="1" t="data" x="615"/>
        <item m="1" sd="1" t="data" x="437"/>
        <item m="1" sd="1" t="data" x="559"/>
        <item m="1" sd="1" t="data" x="133"/>
        <item m="1" sd="1" t="data" x="209"/>
        <item m="1" sd="1" t="data" x="461"/>
        <item m="1" sd="1" t="data" x="406"/>
        <item m="1" sd="1" t="data" x="592"/>
        <item m="1" sd="1" t="data" x="296"/>
        <item m="1" sd="1" t="data" x="383"/>
        <item m="1" sd="1" t="data" x="175"/>
        <item m="1" sd="1" t="data" x="146"/>
        <item m="1" sd="1" t="data" x="636"/>
        <item m="1" sd="1" t="data" x="145"/>
        <item m="1" sd="1" t="data" x="96"/>
        <item m="1" sd="1" t="data" x="85"/>
        <item m="1" sd="1" t="data" x="303"/>
        <item m="1" sd="1" t="data" x="389"/>
        <item m="1" sd="1" t="data" x="360"/>
        <item m="1" sd="1" t="data" x="224"/>
        <item m="1" sd="1" t="data" x="518"/>
        <item m="1" sd="1" t="data" x="641"/>
        <item m="1" sd="1" t="data" x="551"/>
        <item m="1" sd="1" t="data" x="205"/>
        <item m="1" sd="1" t="data" x="215"/>
        <item m="1" sd="1" t="data" x="573"/>
        <item m="1" sd="1" t="data" x="643"/>
        <item m="1" sd="1" t="data" x="549"/>
        <item m="1" sd="1" t="data" x="578"/>
        <item m="1" sd="1" t="data" x="136"/>
        <item m="1" sd="1" t="data" x="336"/>
        <item m="1" sd="1" t="data" x="462"/>
        <item m="1" sd="1" t="data" x="432"/>
        <item m="1" sd="1" t="data" x="333"/>
        <item m="1" sd="1" t="data" x="428"/>
        <item m="1" sd="1" t="data" x="424"/>
        <item m="1" sd="1" t="data" x="455"/>
        <item m="1" sd="1" t="data" x="642"/>
        <item m="1" sd="1" t="data" x="498"/>
        <item m="1" sd="1" t="data" x="495"/>
        <item m="1" sd="1" t="data" x="646"/>
        <item m="1" sd="1" t="data" x="465"/>
        <item m="1" sd="1" t="data" x="154"/>
        <item m="1" sd="1" t="data" x="649"/>
        <item m="1" sd="1" t="data" x="407"/>
        <item m="1" sd="1" t="data" x="562"/>
        <item m="1" sd="1" t="data" x="440"/>
        <item m="1" sd="1" t="data" x="99"/>
        <item m="1" sd="1" t="data" x="304"/>
        <item m="1" sd="1" t="data" x="295"/>
        <item m="1" sd="1" t="data" x="583"/>
        <item m="1" sd="1" t="data" x="102"/>
        <item m="1" sd="1" t="data" x="401"/>
        <item m="1" sd="1" t="data" x="567"/>
        <item m="1" sd="1" t="data" x="603"/>
        <item m="1" sd="1" t="data" x="421"/>
        <item m="1" sd="1" t="data" x="212"/>
        <item m="1" sd="1" t="data" x="648"/>
        <item m="1" sd="1" t="data" x="306"/>
        <item m="1" sd="1" t="data" x="221"/>
        <item m="1" sd="1" t="data" x="579"/>
        <item m="1" sd="1" t="data" x="225"/>
        <item m="1" sd="1" t="data" x="526"/>
        <item m="1" sd="1" t="data" x="625"/>
        <item m="1" sd="1" t="data" x="135"/>
        <item m="1" sd="1" t="data" x="181"/>
        <item m="1" sd="1" t="data" x="204"/>
        <item sd="1" t="data" x="11"/>
        <item m="1" sd="1" t="data" x="657"/>
        <item m="1" sd="1" t="data" x="501"/>
        <item m="1" sd="1" t="data" x="330"/>
        <item m="1" sd="1" t="data" x="629"/>
        <item m="1" sd="1" t="data" x="140"/>
        <item m="1" sd="1" t="data" x="503"/>
        <item m="1" sd="1" t="data" x="159"/>
        <item m="1" sd="1" t="data" x="426"/>
        <item m="1" sd="1" t="data" x="169"/>
        <item m="1" sd="1" t="data" x="117"/>
        <item m="1" sd="1" t="data" x="534"/>
        <item m="1" sd="1" t="data" x="217"/>
        <item m="1" sd="1" t="data" x="128"/>
        <item m="1" sd="1" t="data" x="233"/>
        <item m="1" sd="1" t="data" x="467"/>
        <item m="1" sd="1" t="data" x="442"/>
        <item m="1" sd="1" t="data" x="464"/>
        <item m="1" sd="1" t="data" x="258"/>
        <item m="1" sd="1" t="data" x="321"/>
        <item m="1" sd="1" t="data" x="373"/>
        <item m="1" sd="1" t="data" x="585"/>
        <item m="1" sd="1" t="data" x="188"/>
        <item m="1" sd="1" t="data" x="82"/>
        <item m="1" sd="1" t="data" x="423"/>
        <item sd="1" t="data" x="67"/>
        <item sd="1" t="data" x="59"/>
        <item sd="1" t="data" x="60"/>
        <item m="1" sd="1" t="data" x="173"/>
        <item m="1" sd="1" t="data" x="415"/>
        <item m="1" sd="1" t="data" x="411"/>
        <item m="1" sd="1" t="data" x="210"/>
        <item m="1" sd="1" t="data" x="228"/>
        <item m="1" sd="1" t="data" x="116"/>
        <item m="1" sd="1" t="data" x="197"/>
        <item m="1" sd="1" t="data" x="338"/>
        <item m="1" sd="1" t="data" x="557"/>
        <item m="1" sd="1" t="data" x="475"/>
        <item m="1" sd="1" t="data" x="325"/>
        <item m="1" sd="1" t="data" x="496"/>
        <item m="1" sd="1" t="data" x="214"/>
        <item m="1" sd="1" t="data" x="103"/>
        <item m="1" sd="1" t="data" x="613"/>
        <item m="1" sd="1" t="data" x="558"/>
        <item m="1" sd="1" t="data" x="393"/>
        <item m="1" sd="1" t="data" x="165"/>
        <item m="1" sd="1" t="data" x="141"/>
        <item m="1" sd="1" t="data" x="84"/>
        <item m="1" sd="1" t="data" x="187"/>
        <item m="1" sd="1" t="data" x="511"/>
        <item m="1" sd="1" t="data" x="232"/>
        <item sd="1" t="data" x="46"/>
        <item m="1" sd="1" t="data" x="458"/>
        <item m="1" sd="1" t="data" x="472"/>
        <item m="1" sd="1" t="data" x="186"/>
        <item m="1" sd="1" t="data" x="206"/>
        <item m="1" sd="1" t="data" x="282"/>
        <item m="1" sd="1" t="data" x="299"/>
        <item m="1" sd="1" t="data" x="619"/>
        <item m="1" sd="1" t="data" x="452"/>
        <item m="1" sd="1" t="data" x="242"/>
        <item m="1" sd="1" t="data" x="645"/>
        <item m="1" sd="1" t="data" x="528"/>
        <item m="1" sd="1" t="data" x="535"/>
        <item m="1" sd="1" t="data" x="445"/>
        <item m="1" sd="1" t="data" x="367"/>
        <item m="1" sd="1" t="data" x="591"/>
        <item m="1" sd="1" t="data" x="354"/>
        <item m="1" sd="1" t="data" x="262"/>
        <item m="1" sd="1" t="data" x="234"/>
        <item m="1" sd="1" t="data" x="256"/>
        <item m="1" sd="1" t="data" x="158"/>
        <item m="1" sd="1" t="data" x="93"/>
        <item m="1" sd="1" t="data" x="138"/>
        <item m="1" sd="1" t="data" x="652"/>
        <item m="1" sd="1" t="data" x="290"/>
        <item m="1" sd="1" t="data" x="441"/>
        <item m="1" sd="1" t="data" x="201"/>
        <item m="1" sd="1" t="data" x="483"/>
        <item m="1" sd="1" t="data" x="152"/>
        <item m="1" sd="1" t="data" x="476"/>
        <item m="1" sd="1" t="data" x="620"/>
        <item m="1" sd="1" t="data" x="171"/>
        <item m="1" sd="1" t="data" x="260"/>
        <item m="1" sd="1" t="data" x="568"/>
        <item m="1" sd="1" t="data" x="538"/>
        <item m="1" sd="1" t="data" x="564"/>
        <item m="1" sd="1" t="data" x="127"/>
        <item m="1" sd="1" t="data" x="122"/>
        <item m="1" sd="1" t="data" x="126"/>
        <item m="1" sd="1" t="data" x="121"/>
        <item m="1" sd="1" t="data" x="334"/>
        <item m="1" sd="1" t="data" x="227"/>
        <item m="1" sd="1" t="data" x="575"/>
        <item m="1" sd="1" t="data" x="574"/>
        <item m="1" sd="1" t="data" x="531"/>
        <item sd="1" t="data" x="15"/>
        <item m="1" sd="1" t="data" x="98"/>
        <item m="1" sd="1" t="data" x="644"/>
        <item sd="1" t="data" x="78"/>
        <item m="1" sd="1" t="data" x="631"/>
        <item m="1" sd="1" t="data" x="310"/>
        <item m="1" sd="1" t="data" x="456"/>
        <item m="1" sd="1" t="data" x="274"/>
        <item m="1" sd="1" t="data" x="177"/>
        <item m="1" sd="1" t="data" x="617"/>
        <item m="1" sd="1" t="data" x="123"/>
        <item m="1" sd="1" t="data" x="182"/>
        <item m="1" sd="1" t="data" x="185"/>
        <item m="1" sd="1" t="data" x="548"/>
        <item m="1" sd="1" t="data" x="252"/>
        <item m="1" sd="1" t="data" x="640"/>
        <item m="1" sd="1" t="data" x="410"/>
        <item m="1" sd="1" t="data" x="510"/>
        <item m="1" sd="1" t="data" x="370"/>
        <item m="1" sd="1" t="data" x="488"/>
        <item m="1" sd="1" t="data" x="418"/>
        <item m="1" sd="1" t="data" x="266"/>
        <item m="1" sd="1" t="data" x="420"/>
        <item m="1" sd="1" t="data" x="494"/>
        <item m="1" sd="1" t="data" x="485"/>
        <item m="1" sd="1" t="data" x="506"/>
        <item m="1" sd="1" t="data" x="131"/>
        <item m="1" sd="1" t="data" x="371"/>
        <item m="1" sd="1" t="data" x="276"/>
        <item m="1" sd="1" t="data" x="542"/>
        <item m="1" sd="1" t="data" x="90"/>
        <item m="1" sd="1" t="data" x="285"/>
        <item m="1" sd="1" t="data" x="311"/>
        <item m="1" sd="1" t="data" x="519"/>
        <item m="1" sd="1" t="data" x="444"/>
        <item m="1" sd="1" t="data" x="576"/>
        <item m="1" sd="1" t="data" x="164"/>
        <item m="1" sd="1" t="data" x="547"/>
        <item m="1" sd="1" t="data" x="166"/>
        <item m="1" sd="1" t="data" x="313"/>
        <item m="1" sd="1" t="data" x="417"/>
        <item m="1" sd="1" t="data" x="88"/>
        <item m="1" sd="1" t="data" x="309"/>
        <item m="1" sd="1" t="data" x="525"/>
        <item m="1" sd="1" t="data" x="412"/>
        <item m="1" sd="1" t="data" x="91"/>
        <item m="1" sd="1" t="data" x="487"/>
        <item sd="1" t="data" x="79"/>
        <item sd="1" t="data" x="9"/>
        <item sd="1" t="data" x="13"/>
        <item sd="1" t="data" x="14"/>
        <item m="1" sd="1" t="data" x="191"/>
        <item m="1" sd="1" t="data" x="409"/>
        <item sd="1" t="data" x="31"/>
        <item sd="1" t="data" x="36"/>
        <item sd="1" t="data" x="37"/>
        <item sd="1" t="data" x="43"/>
        <item sd="1" t="data" x="47"/>
        <item sd="1" t="data" x="48"/>
        <item sd="1" t="data" x="51"/>
        <item sd="1" t="data" x="55"/>
        <item sd="1" t="data" x="1"/>
        <item sd="1" t="data" x="16"/>
        <item sd="1" t="data" x="18"/>
        <item sd="1" t="data" x="17"/>
        <item sd="1" t="data" x="42"/>
        <item sd="1" t="data" x="49"/>
        <item m="1" sd="1" t="data" x="446"/>
        <item sd="1" t="data" x="58"/>
        <item sd="1" t="data" x="62"/>
        <item sd="1" t="data" x="66"/>
        <item sd="1" t="data" x="70"/>
        <item sd="1" t="data" x="68"/>
        <item sd="1" t="data" x="72"/>
        <item sd="1" t="data" x="65"/>
        <item m="1" sd="1" t="data" x="544"/>
        <item sd="1" t="data" x="52"/>
        <item m="1" sd="1" t="data" x="149"/>
        <item sd="1" t="data" x="69"/>
        <item sd="1" t="data" x="76"/>
        <item sd="1" t="data" x="56"/>
        <item sd="1" t="data" x="57"/>
        <item sd="1" t="data" x="53"/>
        <item m="1" sd="1" t="data" x="555"/>
        <item sd="1" t="data" x="63"/>
        <item sd="1" t="data" x="71"/>
        <item sd="1" t="data" x="77"/>
        <item m="1" sd="1" t="data" x="375"/>
        <item m="1" sd="1" t="data" x="275"/>
        <item sd="1" t="data" x="44"/>
        <item m="1" sd="1" t="data" x="635"/>
        <item sd="1" t="data" x="50"/>
        <item sd="1" t="data" x="39"/>
        <item sd="1" t="data" x="40"/>
        <item sd="1" t="data" x="54"/>
        <item sd="1" t="data" x="73"/>
        <item sd="1" t="data" x="74"/>
        <item sd="1" t="data" x="75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2">
    <field x="3"/>
    <field x="7"/>
  </rowFields>
  <rowItems count="5">
    <i i="0" r="0" t="data">
      <x v="1"/>
    </i>
    <i i="0" r="0" t="data">
      <x v="3"/>
    </i>
    <i i="0" r="0" t="data">
      <x v="18"/>
    </i>
    <i i="0" r="0" t="data">
      <x v="22"/>
    </i>
    <i i="0" r="0" t="grand">
      <x v="0"/>
    </i>
  </rowItems>
  <colFields count="1">
    <field x="4"/>
  </colFields>
  <colItems count="4">
    <i i="0" r="0" t="data">
      <x v="0"/>
    </i>
    <i i="0" r="0" t="data">
      <x v="1"/>
    </i>
    <i i="0" r="0" t="data">
      <x v="2"/>
    </i>
    <i i="0" r="0" t="grand">
      <x v="0"/>
    </i>
  </colItems>
  <dataFields count="1">
    <dataField baseField="0" baseItem="0" fld="3" name="Count of Project" showDataAs="normal" subtotal="count"/>
  </dataFields>
  <pivotTableStyleInfo name="PivotStyleLight16" showColHeaders="1" showColStripes="0" showLastColumn="1" showRowHeaders="1" showRowStripes="0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5" chartFormat="0" colGrandTotals="1" compact="1" compactData="1" createdVersion="8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8" useAutoFormatting="1" visualTotals="1" r:id="rId1">
  <location colPageCount="1" firstDataCol="1" firstDataRow="1" firstHeaderRow="1" ref="A4:A20" rowPageCount="1"/>
  <pivotFields count="12"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5">
        <item sd="1" t="data" x="1"/>
        <item h="1" sd="1" t="data" x="0"/>
        <item h="1" sd="1" t="data" x="2"/>
        <item h="1" sd="1" t="data" x="3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efaultSubtotal="1" dragOff="1" dragToCol="1" dragToData="1" dragToPage="1" dragToRow="1" itemPageCount="10" outline="1" showAll="0" showDropDowns="1" sortType="manual" subtotalTop="1" topAutoShow="1">
      <items count="129">
        <item m="1" sd="1" t="data" x="91"/>
        <item m="1" sd="1" t="data" x="119"/>
        <item sd="1" t="data" x="3"/>
        <item m="1" sd="1" t="data" x="83"/>
        <item m="1" sd="1" t="data" x="99"/>
        <item m="1" sd="1" t="data" x="87"/>
        <item m="1" sd="1" t="data" x="111"/>
        <item sd="1" t="data" x="33"/>
        <item sd="1" t="data" x="41"/>
        <item sd="1" t="data" x="8"/>
        <item sd="1" t="data" x="9"/>
        <item sd="1" t="data" x="0"/>
        <item sd="1" t="data" x="7"/>
        <item m="1" sd="1" t="data" x="125"/>
        <item sd="1" t="data" x="14"/>
        <item m="1" sd="1" t="data" x="104"/>
        <item sd="1" t="data" x="26"/>
        <item sd="1" t="data" x="36"/>
        <item sd="1" t="data" x="32"/>
        <item m="1" sd="1" t="data" x="107"/>
        <item sd="1" t="data" x="61"/>
        <item sd="1" t="data" x="13"/>
        <item sd="1" t="data" x="45"/>
        <item m="1" sd="1" t="data" x="97"/>
        <item m="1" sd="1" t="data" x="120"/>
        <item m="1" sd="1" t="data" x="112"/>
        <item m="1" sd="1" t="data" x="106"/>
        <item m="1" sd="1" t="data" x="127"/>
        <item m="1" sd="1" t="data" x="101"/>
        <item m="1" sd="1" t="data" x="103"/>
        <item m="1" sd="1" t="data" x="80"/>
        <item m="1" sd="1" t="data" x="114"/>
        <item m="1" sd="1" t="data" x="81"/>
        <item m="1" sd="1" t="data" x="102"/>
        <item m="1" sd="1" t="data" x="121"/>
        <item sd="1" t="data" x="25"/>
        <item sd="1" t="data" x="27"/>
        <item m="1" sd="1" t="data" x="118"/>
        <item sd="1" t="data" x="5"/>
        <item sd="1" t="data" x="34"/>
        <item sd="1" t="data" x="6"/>
        <item m="1" sd="1" t="data" x="88"/>
        <item m="1" sd="1" t="data" x="115"/>
        <item m="1" sd="1" t="data" x="82"/>
        <item m="1" sd="1" t="data" x="85"/>
        <item sd="1" t="data" x="35"/>
        <item m="1" sd="1" t="data" x="94"/>
        <item m="1" sd="1" t="data" x="105"/>
        <item m="1" sd="1" t="data" x="92"/>
        <item m="1" sd="1" t="data" x="86"/>
        <item sd="1" t="data" x="24"/>
        <item sd="1" t="data" x="10"/>
        <item sd="1" t="data" x="22"/>
        <item sd="1" t="data" x="23"/>
        <item sd="1" t="data" x="4"/>
        <item sd="1" t="data" x="2"/>
        <item sd="1" t="data" x="29"/>
        <item sd="1" t="data" x="28"/>
        <item sd="1" t="data" x="21"/>
        <item sd="1" t="data" x="19"/>
        <item sd="1" t="data" x="20"/>
        <item m="1" sd="1" t="data" x="123"/>
        <item sd="1" t="data" x="30"/>
        <item sd="1" t="data" x="12"/>
        <item m="1" sd="1" t="data" x="126"/>
        <item m="1" sd="1" t="data" x="117"/>
        <item sd="1" t="data" x="38"/>
        <item m="1" sd="1" t="data" x="98"/>
        <item m="1" sd="1" t="data" x="108"/>
        <item m="1" sd="1" t="data" x="96"/>
        <item m="1" sd="1" t="data" x="113"/>
        <item m="1" sd="1" t="data" x="93"/>
        <item m="1" sd="1" t="data" x="100"/>
        <item sd="1" t="data" x="11"/>
        <item sd="1" t="data" x="51"/>
        <item sd="1" t="data" x="37"/>
        <item m="1" sd="1" t="data" x="90"/>
        <item m="1" sd="1" t="data" x="110"/>
        <item sd="1" t="data" x="59"/>
        <item sd="1" t="data" x="60"/>
        <item sd="1" t="data" x="43"/>
        <item sd="1" t="data" x="46"/>
        <item sd="1" t="data" x="48"/>
        <item h="1" sd="1" t="data" x="15"/>
        <item sd="1" t="data" x="55"/>
        <item sd="1" t="data" x="47"/>
        <item sd="1" t="data" x="31"/>
        <item sd="1" t="data" x="79"/>
        <item h="1" sd="1" t="data" x="1"/>
        <item h="1" sd="1" t="data" x="16"/>
        <item h="1" sd="1" t="data" x="18"/>
        <item h="1" sd="1" t="data" x="17"/>
        <item h="1" sd="1" t="data" x="42"/>
        <item h="1" sd="1" t="data" x="49"/>
        <item h="1" m="1" sd="1" t="data" x="122"/>
        <item h="1" sd="1" t="data" x="58"/>
        <item h="1" sd="1" t="data" x="62"/>
        <item h="1" sd="1" t="data" x="64"/>
        <item h="1" sd="1" t="data" x="66"/>
        <item h="1" sd="1" t="data" x="67"/>
        <item h="1" sd="1" t="data" x="70"/>
        <item h="1" sd="1" t="data" x="68"/>
        <item h="1" sd="1" t="data" x="72"/>
        <item h="1" sd="1" t="data" x="65"/>
        <item h="1" sd="1" t="data" x="78"/>
        <item h="1" m="1" sd="1" t="data" x="109"/>
        <item h="1" sd="1" t="data" x="52"/>
        <item h="1" m="1" sd="1" t="data" x="124"/>
        <item h="1" sd="1" t="data" x="69"/>
        <item h="1" sd="1" t="data" x="76"/>
        <item h="1" sd="1" t="data" x="56"/>
        <item h="1" sd="1" t="data" x="57"/>
        <item h="1" sd="1" t="data" x="53"/>
        <item h="1" m="1" sd="1" t="data" x="89"/>
        <item h="1" sd="1" t="data" x="63"/>
        <item h="1" sd="1" t="data" x="71"/>
        <item h="1" sd="1" t="data" x="77"/>
        <item h="1" m="1" sd="1" t="data" x="95"/>
        <item h="1" m="1" sd="1" t="data" x="84"/>
        <item h="1" sd="1" t="data" x="44"/>
        <item h="1" m="1" sd="1" t="data" x="116"/>
        <item h="1" sd="1" t="data" x="50"/>
        <item h="1" sd="1" t="data" x="39"/>
        <item h="1" sd="1" t="data" x="40"/>
        <item h="1" sd="1" t="data" x="54"/>
        <item h="1" sd="1" t="data" x="73"/>
        <item h="1" sd="1" t="data" x="74"/>
        <item h="1" sd="1" t="data" x="75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7"/>
  </rowFields>
  <rowItems count="16">
    <i i="0" r="0" t="data">
      <x v="7"/>
    </i>
    <i i="0" r="0" t="data">
      <x v="17"/>
    </i>
    <i i="0" r="0" t="data">
      <x v="38"/>
    </i>
    <i i="0" r="0" t="data">
      <x v="39"/>
    </i>
    <i i="0" r="0" t="data">
      <x v="40"/>
    </i>
    <i i="0" r="0" t="data">
      <x v="45"/>
    </i>
    <i i="0" r="0" t="data">
      <x v="62"/>
    </i>
    <i i="0" r="0" t="data">
      <x v="63"/>
    </i>
    <i i="0" r="0" t="data">
      <x v="66"/>
    </i>
    <i i="0" r="0" t="data">
      <x v="74"/>
    </i>
    <i i="0" r="0" t="data">
      <x v="75"/>
    </i>
    <i i="0" r="0" t="data">
      <x v="78"/>
    </i>
    <i i="0" r="0" t="data">
      <x v="79"/>
    </i>
    <i i="0" r="0" t="data">
      <x v="84"/>
    </i>
    <i i="0" r="0" t="data">
      <x v="86"/>
    </i>
    <i i="0" r="0" t="grand">
      <x v="0"/>
    </i>
  </rowItems>
  <colItems count="1">
    <i i="0" r="0" t="data"/>
  </colItems>
  <pageFields count="1">
    <pageField fld="4" hier="-1"/>
  </page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pivotTables/pivotTable1.xml" Type="http://schemas.openxmlformats.org/officeDocument/2006/relationships/pivotTable" /></Relationships>
</file>

<file path=xl/worksheets/_rels/sheet3.xml.rels><Relationships xmlns="http://schemas.openxmlformats.org/package/2006/relationships"><Relationship Id="rId1" Target="/xl/pivotTables/pivotTable2.xml" Type="http://schemas.openxmlformats.org/officeDocument/2006/relationships/pivotTable" /></Relationships>
</file>

<file path=xl/worksheets/_rels/sheet7.xml.rels><Relationships xmlns="http://schemas.openxmlformats.org/package/2006/relationships"><Relationship Id="rId1" Target="../../../../:p:/r/personal/gregory_lee_drivetime_com/Documents/Digital/BC-DORA_Metrics.pptx?d=w481bd70438cc4b51a7403a091ebf99bb&amp;csf=1&amp;web=1&amp;e=Rv1U5b" TargetMode="External" Type="http://schemas.openxmlformats.org/officeDocument/2006/relationships/hyperlink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43"/>
  <sheetViews>
    <sheetView workbookViewId="0">
      <pane activePane="topRight" state="frozen" topLeftCell="B1" xSplit="1"/>
      <selection activeCell="B10" pane="topRight" sqref="B10"/>
    </sheetView>
  </sheetViews>
  <sheetFormatPr baseColWidth="8" defaultRowHeight="15.6"/>
  <cols>
    <col customWidth="1" max="1" min="1" style="73" width="67.09765625"/>
    <col customWidth="1" max="3" min="2" style="73" width="11.8984375"/>
    <col bestFit="1" customWidth="1" max="7" min="4" style="73" width="10.8984375"/>
    <col bestFit="1" customWidth="1" max="8" min="8" style="73" width="8.69921875"/>
    <col bestFit="1" customWidth="1" max="11" min="9" style="73" width="9.8984375"/>
    <col bestFit="1" customWidth="1" max="12" min="12" style="73" width="8.69921875"/>
    <col bestFit="1" customWidth="1" max="15" min="13" style="73" width="9.8984375"/>
    <col bestFit="1" customWidth="1" max="16" min="16" style="73" width="8.69921875"/>
  </cols>
  <sheetData>
    <row r="1">
      <c r="B1" s="20" t="inlineStr">
        <is>
          <t>Week Ending</t>
        </is>
      </c>
      <c r="C1" s="20" t="n"/>
    </row>
    <row r="2">
      <c r="B2" s="20" t="n">
        <v>47</v>
      </c>
      <c r="C2" s="20">
        <f>B2+1</f>
        <v/>
      </c>
      <c r="D2" s="20">
        <f>C2+1</f>
        <v/>
      </c>
      <c r="E2" s="20">
        <f>D2+1</f>
        <v/>
      </c>
      <c r="F2" s="20">
        <f>E2+1</f>
        <v/>
      </c>
      <c r="G2" s="20">
        <f>F2+1</f>
        <v/>
      </c>
      <c r="H2" s="20" t="n">
        <v>1</v>
      </c>
      <c r="I2" s="20">
        <f>H2+1</f>
        <v/>
      </c>
      <c r="J2" s="20">
        <f>I2+1</f>
        <v/>
      </c>
      <c r="K2" s="20">
        <f>J2+1</f>
        <v/>
      </c>
      <c r="L2" s="20">
        <f>K2+1</f>
        <v/>
      </c>
      <c r="M2" s="20">
        <f>L2+1</f>
        <v/>
      </c>
      <c r="N2" s="20">
        <f>M2+1</f>
        <v/>
      </c>
      <c r="O2" s="20">
        <f>N2+1</f>
        <v/>
      </c>
      <c r="P2" s="20">
        <f>O2+1</f>
        <v/>
      </c>
    </row>
    <row r="3">
      <c r="B3" s="45" t="n">
        <v>44891</v>
      </c>
      <c r="C3" s="45">
        <f>B3+7</f>
        <v/>
      </c>
      <c r="D3" s="45">
        <f>C3+7</f>
        <v/>
      </c>
      <c r="E3" s="45">
        <f>D3+7</f>
        <v/>
      </c>
      <c r="F3" s="45">
        <f>E3+7</f>
        <v/>
      </c>
      <c r="G3" s="45">
        <f>F3+7</f>
        <v/>
      </c>
      <c r="H3" s="45">
        <f>G3+7</f>
        <v/>
      </c>
      <c r="I3" s="45">
        <f>H3+7</f>
        <v/>
      </c>
      <c r="J3" s="45">
        <f>I3+7</f>
        <v/>
      </c>
      <c r="K3" s="45">
        <f>J3+7</f>
        <v/>
      </c>
      <c r="L3" s="45">
        <f>K3+7</f>
        <v/>
      </c>
      <c r="M3" s="45">
        <f>L3+7</f>
        <v/>
      </c>
      <c r="N3" s="45">
        <f>M3+7</f>
        <v/>
      </c>
      <c r="O3" s="45">
        <f>N3+7</f>
        <v/>
      </c>
      <c r="P3" s="45">
        <f>O3+7</f>
        <v/>
      </c>
    </row>
    <row r="4">
      <c r="A4" s="46" t="inlineStr">
        <is>
          <t>Drakon</t>
        </is>
      </c>
      <c r="B4" s="50" t="n"/>
      <c r="C4" s="50" t="n"/>
      <c r="D4" s="50" t="n"/>
      <c r="E4" s="50" t="n"/>
      <c r="F4" s="50" t="n"/>
      <c r="G4" s="50" t="n"/>
      <c r="H4" s="50" t="n"/>
      <c r="I4" s="50" t="n"/>
      <c r="J4" s="50" t="n"/>
      <c r="K4" s="50" t="n"/>
      <c r="L4" s="50" t="n"/>
      <c r="M4" s="50" t="n"/>
      <c r="N4" s="50" t="n"/>
      <c r="O4" s="50" t="n"/>
      <c r="P4" s="50" t="n"/>
    </row>
    <row r="5">
      <c r="A5" s="20" t="inlineStr">
        <is>
          <t>DORA - Mean Lead Time (UAT to PROD)</t>
        </is>
      </c>
      <c r="B5" t="n">
        <v>8.5</v>
      </c>
      <c r="C5" t="n">
        <v>12</v>
      </c>
      <c r="D5" t="n">
        <v>8</v>
      </c>
      <c r="E5" t="n">
        <v>0</v>
      </c>
    </row>
    <row r="6">
      <c r="A6" s="20" t="inlineStr">
        <is>
          <t>DORA - Deployment Frequency (Count of Deployments per Week)</t>
        </is>
      </c>
      <c r="B6" t="n">
        <v>1</v>
      </c>
      <c r="C6" t="n">
        <v>0</v>
      </c>
      <c r="D6" t="n">
        <v>2</v>
      </c>
      <c r="E6" t="n">
        <v>1</v>
      </c>
    </row>
    <row customFormat="1" r="7" s="48">
      <c r="A7" s="49" t="inlineStr">
        <is>
          <t>-Deployment Failures (Count of Failed Deployments)</t>
        </is>
      </c>
      <c r="B7" t="n">
        <v>0</v>
      </c>
      <c r="C7" t="n">
        <v>0</v>
      </c>
      <c r="D7" t="n">
        <v>0</v>
      </c>
      <c r="E7" t="n">
        <v>0</v>
      </c>
      <c r="G7" t="n">
        <v>0</v>
      </c>
    </row>
    <row customFormat="1" r="8" s="48">
      <c r="A8" s="49" t="inlineStr">
        <is>
          <t>-Service Incidents (Count of Environment Issues)</t>
        </is>
      </c>
      <c r="B8" t="n">
        <v>1</v>
      </c>
      <c r="C8" t="n">
        <v>0</v>
      </c>
      <c r="D8" t="n">
        <v>0</v>
      </c>
      <c r="E8" t="n">
        <v>0</v>
      </c>
      <c r="G8" t="n">
        <v>1</v>
      </c>
    </row>
    <row r="9">
      <c r="A9" s="20" t="inlineStr">
        <is>
          <t>DORA - Change Failure Rate (Failed Deployments / Total Deployments)</t>
        </is>
      </c>
      <c r="B9" s="47">
        <f>IFERROR(B7/B6,0)</f>
        <v/>
      </c>
      <c r="C9" s="47">
        <f>IFERROR(C7/C6,0)</f>
        <v/>
      </c>
      <c r="D9" s="47">
        <f>IFERROR(D7/D6,0)</f>
        <v/>
      </c>
      <c r="E9" s="47">
        <f>IFERROR(E7/E6,0)</f>
        <v/>
      </c>
      <c r="F9" s="47">
        <f>IFERROR(F7/F6,0)</f>
        <v/>
      </c>
      <c r="G9" s="47">
        <f>IFERROR(G7/G6,0)</f>
        <v/>
      </c>
      <c r="H9" s="47">
        <f>IFERROR(H7/H6,0)</f>
        <v/>
      </c>
      <c r="I9" s="47">
        <f>IFERROR(I7/I6,0)</f>
        <v/>
      </c>
      <c r="J9" s="47">
        <f>IFERROR(J7/J6,0)</f>
        <v/>
      </c>
      <c r="K9" s="47">
        <f>IFERROR(K7/K6,0)</f>
        <v/>
      </c>
      <c r="L9" s="47">
        <f>IFERROR(L7/L6,0)</f>
        <v/>
      </c>
      <c r="M9" s="47">
        <f>IFERROR(M7/M6,0)</f>
        <v/>
      </c>
      <c r="N9" s="47">
        <f>IFERROR(N7/N6,0)</f>
        <v/>
      </c>
      <c r="O9" s="47">
        <f>IFERROR(O7/O6,0)</f>
        <v/>
      </c>
      <c r="P9" s="47">
        <f>IFERROR(P7/P6,0)</f>
        <v/>
      </c>
    </row>
    <row customFormat="1" r="10" s="48">
      <c r="A10" s="49" t="inlineStr">
        <is>
          <t>-Deployment Failure - Total Time to Recover (Total Time in Minutes per Week)</t>
        </is>
      </c>
      <c r="B10" t="n">
        <v>0</v>
      </c>
      <c r="C10" t="n">
        <v>0</v>
      </c>
      <c r="D10" t="n">
        <v>0</v>
      </c>
      <c r="E10" t="n">
        <v>0</v>
      </c>
      <c r="G10" t="n">
        <v>0</v>
      </c>
    </row>
    <row customFormat="1" r="11" s="48">
      <c r="A11" s="49" t="inlineStr">
        <is>
          <t>-Service Incidents - Total Time to Recover (Total Time in Minutes per Week)</t>
        </is>
      </c>
      <c r="B11" t="n">
        <v>3</v>
      </c>
      <c r="C11" t="n">
        <v>0</v>
      </c>
      <c r="D11" t="n">
        <v>0</v>
      </c>
      <c r="E11" t="n">
        <v>0</v>
      </c>
      <c r="G11" t="n">
        <v>20</v>
      </c>
    </row>
    <row r="12">
      <c r="A12" s="20" t="inlineStr">
        <is>
          <t>DORA - Mean Time to Recovery (Average Time in Minutes per Week)</t>
        </is>
      </c>
      <c r="B12">
        <f>IFERROR((B10+B11)/(B7+B8),0)</f>
        <v/>
      </c>
      <c r="C12">
        <f>IFERROR((C10+C11)/(C7+C8),0)</f>
        <v/>
      </c>
      <c r="D12">
        <f>IFERROR((D10+D11)/(D7+D8),0)</f>
        <v/>
      </c>
      <c r="E12">
        <f>IFERROR((E10+E11)/(E7+E8),0)</f>
        <v/>
      </c>
      <c r="F12">
        <f>IFERROR((F10+F11)/(F7+F8),0)</f>
        <v/>
      </c>
      <c r="G12">
        <f>IFERROR((G10+G11)/(G7+G8),0)</f>
        <v/>
      </c>
      <c r="H12">
        <f>IFERROR((H10+H11)/(H7+H8),0)</f>
        <v/>
      </c>
      <c r="I12">
        <f>IFERROR((I10+I11)/(I7+I8),0)</f>
        <v/>
      </c>
      <c r="J12">
        <f>IFERROR((J10+J11)/(J7+J8),0)</f>
        <v/>
      </c>
      <c r="K12">
        <f>IFERROR((K10+K11)/(K7+K8),0)</f>
        <v/>
      </c>
      <c r="L12">
        <f>IFERROR((L10+L11)/(L7+L8),0)</f>
        <v/>
      </c>
      <c r="M12">
        <f>IFERROR((M10+M11)/(M7+M8),0)</f>
        <v/>
      </c>
      <c r="N12">
        <f>IFERROR((N10+N11)/(N7+N8),0)</f>
        <v/>
      </c>
      <c r="O12">
        <f>IFERROR((O10+O11)/(O7+O8),0)</f>
        <v/>
      </c>
      <c r="P12">
        <f>IFERROR((P10+P11)/(P7+P8),0)</f>
        <v/>
      </c>
    </row>
    <row r="13">
      <c r="A13" s="20" t="inlineStr">
        <is>
          <t>Sprint Velocity</t>
        </is>
      </c>
      <c r="B13" t="n">
        <v>23</v>
      </c>
      <c r="C13" t="n">
        <v>23</v>
      </c>
      <c r="D13" t="n">
        <v>25</v>
      </c>
      <c r="E13" t="n">
        <v>25</v>
      </c>
    </row>
    <row r="14">
      <c r="A14" s="20" t="inlineStr">
        <is>
          <t>Engineering Points Ready in Backlog</t>
        </is>
      </c>
      <c r="B14" t="n">
        <v>0</v>
      </c>
      <c r="C14" t="n">
        <v>0</v>
      </c>
      <c r="D14" t="n">
        <v>0</v>
      </c>
      <c r="E14" t="n">
        <v>0</v>
      </c>
    </row>
    <row r="15">
      <c r="A15" s="20" t="inlineStr">
        <is>
          <t>Feature Points Ready in Backlog</t>
        </is>
      </c>
      <c r="B15" t="n">
        <v>95</v>
      </c>
      <c r="C15" t="n">
        <v>95</v>
      </c>
      <c r="D15" t="n">
        <v>95</v>
      </c>
      <c r="E15" t="n">
        <v>79</v>
      </c>
    </row>
    <row r="18">
      <c r="A18" s="46" t="inlineStr">
        <is>
          <t>Comet</t>
        </is>
      </c>
      <c r="B18" s="51" t="n"/>
      <c r="C18" s="51" t="n"/>
      <c r="D18" s="51" t="n"/>
      <c r="E18" s="51" t="n"/>
      <c r="F18" s="51" t="n"/>
      <c r="G18" s="51" t="n"/>
      <c r="H18" s="51" t="n"/>
      <c r="I18" s="51" t="n"/>
      <c r="J18" s="51" t="n"/>
      <c r="K18" s="51" t="n"/>
      <c r="L18" s="51" t="n"/>
      <c r="M18" s="51" t="n"/>
      <c r="N18" s="51" t="n"/>
      <c r="O18" s="51" t="n"/>
      <c r="P18" s="51" t="n"/>
    </row>
    <row r="19">
      <c r="A19" s="20" t="inlineStr">
        <is>
          <t>DORA - Mean Lead Time (UAT to PROD)</t>
        </is>
      </c>
      <c r="B19" t="n">
        <v>0</v>
      </c>
      <c r="C19" t="n">
        <v>5</v>
      </c>
      <c r="D19" t="n">
        <v>16.3</v>
      </c>
      <c r="E19" t="n">
        <v>0</v>
      </c>
    </row>
    <row r="20">
      <c r="A20" s="20" t="inlineStr">
        <is>
          <t>DORA - Deployment Frequency (Count of Deployments per Week)</t>
        </is>
      </c>
      <c r="B20" t="n">
        <v>0</v>
      </c>
      <c r="C20" t="n">
        <v>1</v>
      </c>
      <c r="D20" t="n">
        <v>1</v>
      </c>
      <c r="E20" t="n">
        <v>1</v>
      </c>
    </row>
    <row r="21">
      <c r="A21" s="49" t="inlineStr">
        <is>
          <t>-Deployment Failures (Count of Failed Deployments)</t>
        </is>
      </c>
      <c r="B21" t="n">
        <v>0</v>
      </c>
      <c r="C21" t="n">
        <v>0</v>
      </c>
      <c r="D21" t="n">
        <v>0</v>
      </c>
      <c r="E21" t="n">
        <v>0</v>
      </c>
      <c r="F21" s="48" t="n"/>
    </row>
    <row r="22">
      <c r="A22" s="49" t="inlineStr">
        <is>
          <t>-Service Incidents (Count of Environment Issues)</t>
        </is>
      </c>
      <c r="B22" t="n">
        <v>0</v>
      </c>
      <c r="C22" t="n">
        <v>0</v>
      </c>
      <c r="D22" t="n">
        <v>0</v>
      </c>
      <c r="E22" t="n">
        <v>0</v>
      </c>
      <c r="F22" s="48" t="n"/>
    </row>
    <row r="23">
      <c r="A23" s="20" t="inlineStr">
        <is>
          <t>DORA - Change Failure Rate (Failed Deployments / Total Deployments)</t>
        </is>
      </c>
      <c r="B23" s="47">
        <f>IFERROR(B21/B20,0)</f>
        <v/>
      </c>
      <c r="C23" s="47">
        <f>IFERROR(C21/C20,0)</f>
        <v/>
      </c>
      <c r="D23" s="47">
        <f>IFERROR(D21/D20,0)</f>
        <v/>
      </c>
      <c r="E23" s="47">
        <f>IFERROR(E21/E20,0)</f>
        <v/>
      </c>
      <c r="F23" s="47">
        <f>IFERROR(F21/F20,0)</f>
        <v/>
      </c>
      <c r="G23" s="47">
        <f>IFERROR(G21/G20,0)</f>
        <v/>
      </c>
      <c r="H23" s="47">
        <f>IFERROR(H21/H20,0)</f>
        <v/>
      </c>
      <c r="I23" s="47">
        <f>IFERROR(I21/I20,0)</f>
        <v/>
      </c>
      <c r="J23" s="47">
        <f>IFERROR(J21/J20,0)</f>
        <v/>
      </c>
      <c r="K23" s="47">
        <f>IFERROR(K21/K20,0)</f>
        <v/>
      </c>
      <c r="L23" s="47">
        <f>IFERROR(L21/L20,0)</f>
        <v/>
      </c>
      <c r="M23" s="47">
        <f>IFERROR(M21/M20,0)</f>
        <v/>
      </c>
      <c r="N23" s="47">
        <f>IFERROR(N21/N20,0)</f>
        <v/>
      </c>
      <c r="O23" s="47">
        <f>IFERROR(O21/O20,0)</f>
        <v/>
      </c>
      <c r="P23" s="47">
        <f>IFERROR(P21/P20,0)</f>
        <v/>
      </c>
    </row>
    <row r="24">
      <c r="A24" s="49" t="inlineStr">
        <is>
          <t>-Deployment Failure - Total Time to Recover (Total Time in Minutes per Week)</t>
        </is>
      </c>
      <c r="B24" t="n">
        <v>0</v>
      </c>
      <c r="C24" t="n">
        <v>0</v>
      </c>
      <c r="D24" t="n">
        <v>0</v>
      </c>
      <c r="E24" t="n">
        <v>0</v>
      </c>
      <c r="F24" s="48" t="n"/>
    </row>
    <row r="25">
      <c r="A25" s="49" t="inlineStr">
        <is>
          <t>-Service Incidents - Total Time to Recover (Total Time in Minutes per Week)</t>
        </is>
      </c>
      <c r="B25" t="n">
        <v>0</v>
      </c>
      <c r="C25" t="n">
        <v>0</v>
      </c>
      <c r="D25" t="n">
        <v>0</v>
      </c>
      <c r="E25" t="n">
        <v>0</v>
      </c>
      <c r="F25" s="48" t="n"/>
    </row>
    <row r="26">
      <c r="A26" s="20" t="inlineStr">
        <is>
          <t>DORA - Mean Time to Recovery (Average Time in Minutes per Week)</t>
        </is>
      </c>
      <c r="B26">
        <f>IFERROR((B24+B25)/(B21+B22),0)</f>
        <v/>
      </c>
      <c r="C26">
        <f>IFERROR((C24+C25)/(C21+C22),0)</f>
        <v/>
      </c>
      <c r="D26">
        <f>IFERROR((D24+D25)/(D21+D22),0)</f>
        <v/>
      </c>
      <c r="E26">
        <f>IFERROR((E24+E25)/(E21+E22),0)</f>
        <v/>
      </c>
      <c r="F26">
        <f>IFERROR((F24+F25)/(F21+F22),0)</f>
        <v/>
      </c>
      <c r="G26">
        <f>IFERROR((G24+G25)/(G21+G22),0)</f>
        <v/>
      </c>
      <c r="H26">
        <f>IFERROR((H24+H25)/(H21+H22),0)</f>
        <v/>
      </c>
      <c r="I26">
        <f>IFERROR((I24+I25)/(I21+I22),0)</f>
        <v/>
      </c>
      <c r="J26">
        <f>IFERROR((J24+J25)/(J21+J22),0)</f>
        <v/>
      </c>
      <c r="K26">
        <f>IFERROR((K24+K25)/(K21+K22),0)</f>
        <v/>
      </c>
      <c r="L26">
        <f>IFERROR((L24+L25)/(L21+L22),0)</f>
        <v/>
      </c>
      <c r="M26">
        <f>IFERROR((M24+M25)/(M21+M22),0)</f>
        <v/>
      </c>
      <c r="N26">
        <f>IFERROR((N24+N25)/(N21+N22),0)</f>
        <v/>
      </c>
      <c r="O26">
        <f>IFERROR((O24+O25)/(O21+O22),0)</f>
        <v/>
      </c>
      <c r="P26">
        <f>IFERROR((P24+P25)/(P21+P22),0)</f>
        <v/>
      </c>
    </row>
    <row r="27">
      <c r="A27" s="20" t="inlineStr">
        <is>
          <t>Sprint Velocity</t>
        </is>
      </c>
      <c r="B27" t="n">
        <v>11</v>
      </c>
      <c r="C27" t="n">
        <v>11</v>
      </c>
      <c r="D27" t="n">
        <v>18</v>
      </c>
      <c r="E27" t="n">
        <v>18</v>
      </c>
    </row>
    <row r="28">
      <c r="A28" s="20" t="inlineStr">
        <is>
          <t>Engineering Points Ready in Backlog</t>
        </is>
      </c>
      <c r="B28" t="n">
        <v>5</v>
      </c>
      <c r="C28" t="n">
        <v>5</v>
      </c>
      <c r="D28" t="n">
        <v>5</v>
      </c>
      <c r="E28" t="n">
        <v>0</v>
      </c>
    </row>
    <row r="29">
      <c r="A29" s="20" t="inlineStr">
        <is>
          <t>Feature Points Ready in Backlog</t>
        </is>
      </c>
      <c r="B29" t="n">
        <v>14</v>
      </c>
      <c r="C29" t="n">
        <v>14</v>
      </c>
      <c r="D29" t="n">
        <v>14</v>
      </c>
      <c r="E29" t="n">
        <v>10</v>
      </c>
    </row>
    <row r="32">
      <c r="A32" s="46" t="inlineStr">
        <is>
          <t>Wyvern</t>
        </is>
      </c>
      <c r="B32" s="51" t="n"/>
      <c r="C32" s="51" t="n"/>
      <c r="D32" s="51" t="n"/>
      <c r="E32" s="51" t="n"/>
      <c r="F32" s="51" t="n"/>
      <c r="G32" s="51" t="n"/>
      <c r="H32" s="51" t="n"/>
      <c r="I32" s="51" t="n"/>
      <c r="J32" s="51" t="n"/>
      <c r="K32" s="51" t="n"/>
      <c r="L32" s="51" t="n"/>
      <c r="M32" s="51" t="n"/>
      <c r="N32" s="51" t="n"/>
      <c r="O32" s="51" t="n"/>
      <c r="P32" s="51" t="n"/>
    </row>
    <row r="33">
      <c r="A33" s="20" t="inlineStr">
        <is>
          <t>DORA - Mean Lead Time (UAT to PROD)</t>
        </is>
      </c>
      <c r="B33" t="n">
        <v>6</v>
      </c>
      <c r="C33" t="n">
        <v>0</v>
      </c>
      <c r="D33" t="n">
        <v>3</v>
      </c>
      <c r="E33" t="n">
        <v>0</v>
      </c>
    </row>
    <row r="34">
      <c r="A34" s="20" t="inlineStr">
        <is>
          <t>DORA - Deployment Frequency (Count of Deployments per Week)</t>
        </is>
      </c>
      <c r="B34" t="n">
        <v>1</v>
      </c>
      <c r="C34" t="n">
        <v>0</v>
      </c>
      <c r="D34" t="n">
        <v>3</v>
      </c>
      <c r="E34" t="n">
        <v>0</v>
      </c>
    </row>
    <row r="35">
      <c r="A35" s="49" t="inlineStr">
        <is>
          <t>-Deployment Failures (Count of Failed Deployments)</t>
        </is>
      </c>
      <c r="B35" t="n">
        <v>0</v>
      </c>
      <c r="C35" t="n">
        <v>0</v>
      </c>
      <c r="D35" t="n">
        <v>0</v>
      </c>
      <c r="E35" t="n">
        <v>0</v>
      </c>
      <c r="F35" s="48" t="n"/>
    </row>
    <row r="36">
      <c r="A36" s="49" t="inlineStr">
        <is>
          <t>-Service Incidents (Count of Environment Issues)</t>
        </is>
      </c>
      <c r="B36" t="n">
        <v>0</v>
      </c>
      <c r="C36" t="n">
        <v>0</v>
      </c>
      <c r="D36" t="n">
        <v>0</v>
      </c>
      <c r="E36" t="n">
        <v>0</v>
      </c>
      <c r="F36" s="48" t="n"/>
    </row>
    <row r="37">
      <c r="A37" s="20" t="inlineStr">
        <is>
          <t>DORA - Change Failure Rate (Failed Deployments / Total Deployments)</t>
        </is>
      </c>
      <c r="B37" s="47">
        <f>IFERROR(B35/B34,0)</f>
        <v/>
      </c>
      <c r="C37" s="47">
        <f>IFERROR(C35/C34,0)</f>
        <v/>
      </c>
      <c r="D37" s="47">
        <f>IFERROR(D35/D34,0)</f>
        <v/>
      </c>
      <c r="E37" s="47">
        <f>IFERROR(E35/E34,0)</f>
        <v/>
      </c>
      <c r="F37" s="47">
        <f>IFERROR(F35/F34,0)</f>
        <v/>
      </c>
      <c r="G37" s="47">
        <f>IFERROR(G35/G34,0)</f>
        <v/>
      </c>
      <c r="H37" s="47">
        <f>IFERROR(H35/H34,0)</f>
        <v/>
      </c>
      <c r="I37" s="47">
        <f>IFERROR(I35/I34,0)</f>
        <v/>
      </c>
      <c r="J37" s="47">
        <f>IFERROR(J35/J34,0)</f>
        <v/>
      </c>
      <c r="K37" s="47">
        <f>IFERROR(K35/K34,0)</f>
        <v/>
      </c>
      <c r="L37" s="47">
        <f>IFERROR(L35/L34,0)</f>
        <v/>
      </c>
      <c r="M37" s="47">
        <f>IFERROR(M35/M34,0)</f>
        <v/>
      </c>
      <c r="N37" s="47">
        <f>IFERROR(N35/N34,0)</f>
        <v/>
      </c>
      <c r="O37" s="47">
        <f>IFERROR(O35/O34,0)</f>
        <v/>
      </c>
      <c r="P37" s="47">
        <f>IFERROR(P35/P34,0)</f>
        <v/>
      </c>
    </row>
    <row r="38">
      <c r="A38" s="49" t="inlineStr">
        <is>
          <t>-Deployment Failure - Total Time to Recover (Total Time in Minutes per Week)</t>
        </is>
      </c>
      <c r="B38" t="n">
        <v>0</v>
      </c>
      <c r="C38" t="n">
        <v>0</v>
      </c>
      <c r="D38" t="n">
        <v>0</v>
      </c>
      <c r="E38" t="n">
        <v>0</v>
      </c>
      <c r="F38" s="48" t="n"/>
    </row>
    <row r="39">
      <c r="A39" s="49" t="inlineStr">
        <is>
          <t>-Service Incidents - Total Time to Recover (Total Time in Minutes per Week)</t>
        </is>
      </c>
      <c r="B39" t="n">
        <v>0</v>
      </c>
      <c r="C39" t="n">
        <v>0</v>
      </c>
      <c r="D39" t="n">
        <v>0</v>
      </c>
      <c r="E39" t="n">
        <v>0</v>
      </c>
      <c r="F39" s="48" t="n"/>
    </row>
    <row r="40">
      <c r="A40" s="20" t="inlineStr">
        <is>
          <t>DORA - Mean Time to Recovery (Average Time in Minutes per Week)</t>
        </is>
      </c>
      <c r="B40">
        <f>IFERROR((B38+B39)/(B35+B36),0)</f>
        <v/>
      </c>
      <c r="C40">
        <f>IFERROR((C38+C39)/(C35+C36),0)</f>
        <v/>
      </c>
      <c r="D40">
        <f>IFERROR((D38+D39)/(D35+D36),0)</f>
        <v/>
      </c>
      <c r="E40">
        <f>IFERROR((E38+E39)/(E35+E36),0)</f>
        <v/>
      </c>
      <c r="F40">
        <f>IFERROR((F38+F39)/(F35+F36),0)</f>
        <v/>
      </c>
      <c r="G40">
        <f>IFERROR((G38+G39)/(G35+G36),0)</f>
        <v/>
      </c>
      <c r="H40">
        <f>IFERROR((H38+H39)/(H35+H36),0)</f>
        <v/>
      </c>
      <c r="I40">
        <f>IFERROR((I38+I39)/(I35+I36),0)</f>
        <v/>
      </c>
      <c r="J40">
        <f>IFERROR((J38+J39)/(J35+J36),0)</f>
        <v/>
      </c>
      <c r="K40">
        <f>IFERROR((K38+K39)/(K35+K36),0)</f>
        <v/>
      </c>
      <c r="L40">
        <f>IFERROR((L38+L39)/(L35+L36),0)</f>
        <v/>
      </c>
      <c r="M40">
        <f>IFERROR((M38+M39)/(M35+M36),0)</f>
        <v/>
      </c>
      <c r="N40">
        <f>IFERROR((N38+N39)/(N35+N36),0)</f>
        <v/>
      </c>
      <c r="O40">
        <f>IFERROR((O38+O39)/(O35+O36),0)</f>
        <v/>
      </c>
      <c r="P40">
        <f>IFERROR((P38+P39)/(P35+P36),0)</f>
        <v/>
      </c>
    </row>
    <row r="41">
      <c r="A41" s="20" t="inlineStr">
        <is>
          <t>Sprint Velocity</t>
        </is>
      </c>
      <c r="B41" t="n">
        <v>3</v>
      </c>
      <c r="C41" t="n">
        <v>3</v>
      </c>
      <c r="D41" t="n">
        <v>29</v>
      </c>
      <c r="E41" t="n">
        <v>29</v>
      </c>
    </row>
    <row r="42">
      <c r="A42" s="20" t="inlineStr">
        <is>
          <t>Engineering Points Ready in Backlog</t>
        </is>
      </c>
      <c r="B42" t="n">
        <v>3</v>
      </c>
      <c r="C42" t="n">
        <v>3</v>
      </c>
      <c r="D42" t="n">
        <v>3</v>
      </c>
      <c r="E42" t="n">
        <v>0</v>
      </c>
    </row>
    <row r="43">
      <c r="A43" s="20" t="inlineStr">
        <is>
          <t>Feature Points Ready in Backlog</t>
        </is>
      </c>
      <c r="B43" t="n">
        <v>14</v>
      </c>
      <c r="C43" t="n">
        <v>14</v>
      </c>
      <c r="D43" t="n">
        <v>14</v>
      </c>
      <c r="E43" t="n">
        <v>11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X851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r="1">
      <c r="A1" s="74" t="inlineStr">
        <is>
          <t>Id</t>
        </is>
      </c>
      <c r="B1" s="74" t="inlineStr">
        <is>
          <t>Name</t>
        </is>
      </c>
      <c r="C1" s="74" t="inlineStr">
        <is>
          <t>IssueType</t>
        </is>
      </c>
      <c r="D1" s="74" t="inlineStr">
        <is>
          <t>Project</t>
        </is>
      </c>
      <c r="E1" s="74" t="inlineStr">
        <is>
          <t>Team</t>
        </is>
      </c>
      <c r="F1" s="74" t="inlineStr">
        <is>
          <t>Week</t>
        </is>
      </c>
      <c r="G1" s="74" t="inlineStr">
        <is>
          <t>Developer</t>
        </is>
      </c>
      <c r="H1" s="74" t="inlineStr">
        <is>
          <t>Feature</t>
        </is>
      </c>
      <c r="I1" s="74" t="inlineStr">
        <is>
          <t>ModifiedCycleTime</t>
        </is>
      </c>
      <c r="J1" s="74" t="inlineStr">
        <is>
          <t>CycleTime</t>
        </is>
      </c>
      <c r="K1" s="74" t="inlineStr">
        <is>
          <t>Release</t>
        </is>
      </c>
      <c r="L1" s="74" t="inlineStr">
        <is>
          <t>AssociatedUserStory</t>
        </is>
      </c>
      <c r="M1" s="74" t="inlineStr">
        <is>
          <t>Effort</t>
        </is>
      </c>
      <c r="N1" s="74" t="inlineStr">
        <is>
          <t>Iteration</t>
        </is>
      </c>
      <c r="O1" s="74" t="inlineStr">
        <is>
          <t>State</t>
        </is>
      </c>
      <c r="P1" s="74" t="inlineStr">
        <is>
          <t>BugsCount</t>
        </is>
      </c>
      <c r="Q1" s="74" t="inlineStr">
        <is>
          <t>TeamIterationName</t>
        </is>
      </c>
      <c r="R1" s="74" t="inlineStr">
        <is>
          <t>IterationStartDate</t>
        </is>
      </c>
      <c r="S1" s="74" t="inlineStr">
        <is>
          <t>IterationEndDate</t>
        </is>
      </c>
      <c r="T1" s="74" t="inlineStr">
        <is>
          <t>PivotNameDate</t>
        </is>
      </c>
      <c r="U1" s="74" t="inlineStr">
        <is>
          <t>DeploymentDate</t>
        </is>
      </c>
      <c r="V1" s="74" t="inlineStr">
        <is>
          <t>UATDate</t>
        </is>
      </c>
      <c r="W1" s="74" t="inlineStr">
        <is>
          <t>StoryEndDate</t>
        </is>
      </c>
      <c r="X1" s="74" t="inlineStr">
        <is>
          <t>DistinctReleaseCount</t>
        </is>
      </c>
    </row>
    <row r="2">
      <c r="A2">
        <f>HYPERLINK("https://drivetime.tpondemand.com/entity/133021", "133021")</f>
        <v/>
      </c>
      <c r="B2" t="inlineStr">
        <is>
          <t>[BC NEXT][APP] User seeing black screen after downloading the app</t>
        </is>
      </c>
      <c r="C2" t="inlineStr">
        <is>
          <t>UserStory</t>
        </is>
      </c>
      <c r="D2" t="inlineStr">
        <is>
          <t>Servicing: BC Next</t>
        </is>
      </c>
      <c r="E2" t="inlineStr">
        <is>
          <t>BC Digital Drakon</t>
        </is>
      </c>
      <c r="F2" t="inlineStr">
        <is>
          <t>29</t>
        </is>
      </c>
      <c r="G2" t="inlineStr"/>
      <c r="H2" t="inlineStr">
        <is>
          <t>[BC NEXT] Bug Fixes/Enhancements for July</t>
        </is>
      </c>
      <c r="I2" t="n">
        <v>1</v>
      </c>
      <c r="J2" t="n">
        <v>50.12478009259259</v>
      </c>
      <c r="K2">
        <f>HYPERLINK("https://drivetime.tpondemand.com/entity/135225", "135225")</f>
        <v/>
      </c>
      <c r="L2" t="inlineStr"/>
      <c r="M2" t="n">
        <v>8</v>
      </c>
      <c r="N2" t="n">
        <v>133020</v>
      </c>
      <c r="O2" t="inlineStr">
        <is>
          <t>Done</t>
        </is>
      </c>
      <c r="P2" t="n">
        <v>0</v>
      </c>
      <c r="Q2" t="inlineStr">
        <is>
          <t>Drakon 11</t>
        </is>
      </c>
      <c r="R2" t="inlineStr">
        <is>
          <t>2022-07-14</t>
        </is>
      </c>
      <c r="S2" t="inlineStr">
        <is>
          <t>2022-07-27</t>
        </is>
      </c>
      <c r="T2" t="inlineStr">
        <is>
          <t>Drakon 11 : 2022-07-14 - 2022-07-27</t>
        </is>
      </c>
      <c r="U2" t="inlineStr">
        <is>
          <t>2022-07-20T00:00:00-05:00</t>
        </is>
      </c>
      <c r="V2" t="inlineStr">
        <is>
          <t>2022-07-19T00:00:00-05:00</t>
        </is>
      </c>
      <c r="W2" t="inlineStr">
        <is>
          <t>2022-07-20T16:13:38-05:00</t>
        </is>
      </c>
      <c r="X2">
        <f>IFERROR(1/COUNTIF($I:$I,@$I:$I), 0)</f>
        <v/>
      </c>
    </row>
    <row r="3">
      <c r="A3">
        <f>HYPERLINK("https://drivetime.tpondemand.com/entity/139151", "139151")</f>
        <v/>
      </c>
      <c r="B3" t="inlineStr">
        <is>
          <t>[BC NEXT] My Profile - Create Email Address Modals</t>
        </is>
      </c>
      <c r="C3" t="inlineStr">
        <is>
          <t>UserStory</t>
        </is>
      </c>
      <c r="D3" t="inlineStr">
        <is>
          <t>Servicing: BC Next</t>
        </is>
      </c>
      <c r="E3" t="inlineStr">
        <is>
          <t>BC Digital Drakon</t>
        </is>
      </c>
      <c r="F3" t="inlineStr">
        <is>
          <t>47</t>
        </is>
      </c>
      <c r="G3" t="inlineStr">
        <is>
          <t>Shyam Senthil Nathan</t>
        </is>
      </c>
      <c r="H3" t="inlineStr">
        <is>
          <t>[BC NEXT] Phase 3: Account Settings/My Profile</t>
        </is>
      </c>
      <c r="I3" t="n">
        <v>1</v>
      </c>
      <c r="J3" t="n">
        <v>26.1574074074074</v>
      </c>
      <c r="K3" t="inlineStr"/>
      <c r="L3" t="inlineStr"/>
      <c r="M3" t="n">
        <v>8</v>
      </c>
      <c r="N3" t="n">
        <v>136578</v>
      </c>
      <c r="O3" t="inlineStr">
        <is>
          <t>Done</t>
        </is>
      </c>
      <c r="P3" t="n">
        <v>1</v>
      </c>
      <c r="Q3" t="inlineStr">
        <is>
          <t>Drakon 19</t>
        </is>
      </c>
      <c r="R3" t="inlineStr">
        <is>
          <t>2022-11-03</t>
        </is>
      </c>
      <c r="S3" t="inlineStr">
        <is>
          <t>2022-11-16</t>
        </is>
      </c>
      <c r="T3" t="inlineStr">
        <is>
          <t>Drakon 19 : 2022-11-03 - 2022-11-16</t>
        </is>
      </c>
      <c r="U3" t="inlineStr">
        <is>
          <t>2022-11-22T00:00:00-06:00</t>
        </is>
      </c>
      <c r="V3" t="inlineStr">
        <is>
          <t>2022-11-21T00:00:00-06:00</t>
        </is>
      </c>
      <c r="W3" t="inlineStr">
        <is>
          <t>2022-11-22T14:40:46-06:00</t>
        </is>
      </c>
      <c r="X3">
        <f>IFERROR(1/COUNTIF($I:$I,@$I:$I), 0)</f>
        <v/>
      </c>
    </row>
    <row r="4">
      <c r="A4">
        <f>HYPERLINK("https://drivetime.tpondemand.com/entity/140057", "140057")</f>
        <v/>
      </c>
      <c r="B4" t="inlineStr">
        <is>
          <t>[BC NEXT] My Profile - Create Call Window Preferences Mutations</t>
        </is>
      </c>
      <c r="C4" t="inlineStr">
        <is>
          <t>UserStory</t>
        </is>
      </c>
      <c r="D4" t="inlineStr">
        <is>
          <t>Servicing: BC Next</t>
        </is>
      </c>
      <c r="E4" t="inlineStr">
        <is>
          <t>BC Digital Drakon</t>
        </is>
      </c>
      <c r="F4" t="inlineStr"/>
      <c r="G4" t="inlineStr"/>
      <c r="H4" t="inlineStr">
        <is>
          <t>[BC NEXT] Phase 3: Account Settings/My Profile</t>
        </is>
      </c>
      <c r="I4" t="inlineStr"/>
      <c r="K4" t="inlineStr"/>
      <c r="L4" t="inlineStr"/>
      <c r="M4" t="n">
        <v>8</v>
      </c>
      <c r="N4" t="inlineStr"/>
      <c r="O4" t="inlineStr">
        <is>
          <t>Backlog</t>
        </is>
      </c>
      <c r="P4" t="n">
        <v>0</v>
      </c>
      <c r="Q4" t="inlineStr"/>
      <c r="R4" t="inlineStr"/>
      <c r="S4" t="inlineStr"/>
      <c r="T4" t="inlineStr"/>
      <c r="U4" t="inlineStr"/>
      <c r="V4" t="inlineStr"/>
      <c r="X4">
        <f>IFERROR(1/COUNTIF($I:$I,@$I:$I), 0)</f>
        <v/>
      </c>
    </row>
    <row r="5">
      <c r="A5">
        <f>HYPERLINK("https://drivetime.tpondemand.com/entity/140689", "140689")</f>
        <v/>
      </c>
      <c r="B5" t="inlineStr">
        <is>
          <t>[BC NEXT] My Profile - Create Auth0 Login Email Update Mutation</t>
        </is>
      </c>
      <c r="C5" t="inlineStr">
        <is>
          <t>UserStory</t>
        </is>
      </c>
      <c r="D5" t="inlineStr">
        <is>
          <t>Servicing: BC Next</t>
        </is>
      </c>
      <c r="E5" t="inlineStr">
        <is>
          <t>BC Digital Drakon</t>
        </is>
      </c>
      <c r="F5" t="inlineStr"/>
      <c r="G5" t="inlineStr"/>
      <c r="H5" t="inlineStr">
        <is>
          <t>[BC NEXT] Phase 3: Account Settings/My Profile</t>
        </is>
      </c>
      <c r="I5" t="inlineStr"/>
      <c r="K5" t="inlineStr"/>
      <c r="L5" t="inlineStr"/>
      <c r="M5" t="n">
        <v>8</v>
      </c>
      <c r="N5" t="n">
        <v>146434</v>
      </c>
      <c r="O5" t="inlineStr">
        <is>
          <t>Committed</t>
        </is>
      </c>
      <c r="P5" t="n">
        <v>0</v>
      </c>
      <c r="Q5" t="inlineStr">
        <is>
          <t>Drakon 23</t>
        </is>
      </c>
      <c r="R5" t="inlineStr">
        <is>
          <t>2022-12-29</t>
        </is>
      </c>
      <c r="S5" t="inlineStr">
        <is>
          <t>2023-01-11</t>
        </is>
      </c>
      <c r="T5" t="inlineStr">
        <is>
          <t>Drakon 23 : 2022-12-29 - 2023-01-11</t>
        </is>
      </c>
      <c r="U5" t="inlineStr"/>
      <c r="V5" t="inlineStr"/>
      <c r="X5">
        <f>IFERROR(1/COUNTIF($I:$I,@$I:$I), 0)</f>
        <v/>
      </c>
    </row>
    <row r="6">
      <c r="A6">
        <f>HYPERLINK("https://drivetime.tpondemand.com/entity/141568", "141568")</f>
        <v/>
      </c>
      <c r="B6" t="inlineStr">
        <is>
          <t>[BC NEXT] My Profile - Create Call Preferences Page</t>
        </is>
      </c>
      <c r="C6" t="inlineStr">
        <is>
          <t>UserStory</t>
        </is>
      </c>
      <c r="D6" t="inlineStr">
        <is>
          <t>Servicing: BC Next</t>
        </is>
      </c>
      <c r="E6" t="inlineStr">
        <is>
          <t>BC Digital Drakon</t>
        </is>
      </c>
      <c r="F6" t="inlineStr"/>
      <c r="G6" t="inlineStr">
        <is>
          <t>Yokeshwaran Lokanathan</t>
        </is>
      </c>
      <c r="H6" t="inlineStr">
        <is>
          <t>[BC NEXT] Phase 3: Account Settings/My Profile</t>
        </is>
      </c>
      <c r="I6" t="inlineStr"/>
      <c r="K6" t="inlineStr"/>
      <c r="L6" t="inlineStr"/>
      <c r="M6" t="n">
        <v>8</v>
      </c>
      <c r="N6" t="inlineStr"/>
      <c r="O6" t="inlineStr">
        <is>
          <t>Backlog</t>
        </is>
      </c>
      <c r="P6" t="n">
        <v>0</v>
      </c>
      <c r="Q6" t="inlineStr"/>
      <c r="R6" t="inlineStr"/>
      <c r="S6" t="inlineStr"/>
      <c r="T6" t="inlineStr"/>
      <c r="U6" t="inlineStr"/>
      <c r="V6" t="inlineStr"/>
      <c r="X6">
        <f>IFERROR(1/COUNTIF($I:$I,@$I:$I), 0)</f>
        <v/>
      </c>
    </row>
    <row r="7">
      <c r="A7">
        <f>HYPERLINK("https://drivetime.tpondemand.com/entity/125437", "125437")</f>
        <v/>
      </c>
      <c r="B7" t="inlineStr">
        <is>
          <t>[BC NEXT] Homepage - ADA Compliance</t>
        </is>
      </c>
      <c r="C7" t="inlineStr">
        <is>
          <t>UserStory</t>
        </is>
      </c>
      <c r="D7" t="inlineStr">
        <is>
          <t>Servicing: BC Next</t>
        </is>
      </c>
      <c r="E7" t="inlineStr">
        <is>
          <t>BC Digital Drakon</t>
        </is>
      </c>
      <c r="F7" t="inlineStr">
        <is>
          <t>08</t>
        </is>
      </c>
      <c r="G7" t="inlineStr">
        <is>
          <t>Abbas Shamshi</t>
        </is>
      </c>
      <c r="H7" t="inlineStr">
        <is>
          <t>[BC NEXT][WEB] Phase 3: Homepage</t>
        </is>
      </c>
      <c r="I7" t="n">
        <v>6</v>
      </c>
      <c r="J7" t="n">
        <v>24.27043981481481</v>
      </c>
      <c r="K7">
        <f>HYPERLINK("https://drivetime.tpondemand.com/entity/127782", "127782")</f>
        <v/>
      </c>
      <c r="L7" t="inlineStr"/>
      <c r="M7" t="n">
        <v>5</v>
      </c>
      <c r="N7" t="inlineStr"/>
      <c r="O7" t="inlineStr">
        <is>
          <t>Done</t>
        </is>
      </c>
      <c r="P7" t="n">
        <v>0</v>
      </c>
      <c r="Q7" t="inlineStr"/>
      <c r="R7" t="inlineStr"/>
      <c r="S7" t="inlineStr"/>
      <c r="T7" t="inlineStr"/>
      <c r="U7" t="inlineStr">
        <is>
          <t>2022-02-24T00:00:00-06:00</t>
        </is>
      </c>
      <c r="V7" t="inlineStr">
        <is>
          <t>2022-02-18T00:00:00-06:00</t>
        </is>
      </c>
      <c r="W7" t="inlineStr">
        <is>
          <t>2022-02-24T15:39:52-06:00</t>
        </is>
      </c>
      <c r="X7">
        <f>IFERROR(1/COUNTIF($I:$I,@$I:$I), 0)</f>
        <v/>
      </c>
    </row>
    <row r="8">
      <c r="A8">
        <f>HYPERLINK("https://drivetime.tpondemand.com/entity/126339", "126339")</f>
        <v/>
      </c>
      <c r="B8" t="inlineStr">
        <is>
          <t>[BC NEXT] Dashboard: 90% Rule</t>
        </is>
      </c>
      <c r="C8" t="inlineStr">
        <is>
          <t>UserStory</t>
        </is>
      </c>
      <c r="D8" t="inlineStr">
        <is>
          <t>Servicing: BC Next</t>
        </is>
      </c>
      <c r="E8" t="inlineStr">
        <is>
          <t>BC Digital Drakon</t>
        </is>
      </c>
      <c r="F8" t="inlineStr">
        <is>
          <t>06</t>
        </is>
      </c>
      <c r="G8" t="inlineStr">
        <is>
          <t>Pete Wesselius</t>
        </is>
      </c>
      <c r="H8" t="inlineStr">
        <is>
          <t>[BC Next] 90% Rule Implementation</t>
        </is>
      </c>
      <c r="I8" t="n">
        <v>0</v>
      </c>
      <c r="J8" t="n">
        <v>17.31501157407407</v>
      </c>
      <c r="K8">
        <f>HYPERLINK("https://drivetime.tpondemand.com/entity/126506", "126506")</f>
        <v/>
      </c>
      <c r="L8" t="inlineStr"/>
      <c r="M8" t="n">
        <v>5</v>
      </c>
      <c r="N8" t="n">
        <v>126419</v>
      </c>
      <c r="O8" t="inlineStr">
        <is>
          <t>Done</t>
        </is>
      </c>
      <c r="P8" t="n">
        <v>4</v>
      </c>
      <c r="Q8" t="inlineStr">
        <is>
          <t>Kraken 52</t>
        </is>
      </c>
      <c r="R8" t="inlineStr">
        <is>
          <t>2022-02-10</t>
        </is>
      </c>
      <c r="S8" t="inlineStr">
        <is>
          <t>2022-02-23</t>
        </is>
      </c>
      <c r="T8" t="inlineStr">
        <is>
          <t>Kraken 52 : 2022-02-10 - 2022-02-23</t>
        </is>
      </c>
      <c r="U8" t="inlineStr">
        <is>
          <t>2022-02-11T00:00:00-06:00</t>
        </is>
      </c>
      <c r="V8" t="inlineStr">
        <is>
          <t>2022-02-14T00:00:00-06:00</t>
        </is>
      </c>
      <c r="W8" t="inlineStr">
        <is>
          <t>2022-02-11T00:00:00-06:00</t>
        </is>
      </c>
      <c r="X8">
        <f>IFERROR(1/COUNTIF($I:$I,@$I:$I), 0)</f>
        <v/>
      </c>
    </row>
    <row r="9">
      <c r="A9">
        <f>HYPERLINK("https://drivetime.tpondemand.com/entity/126371", "126371")</f>
        <v/>
      </c>
      <c r="B9" t="inlineStr">
        <is>
          <t>[BC NEXT][Web] Dashboard - Top Nav</t>
        </is>
      </c>
      <c r="C9" t="inlineStr">
        <is>
          <t>UserStory</t>
        </is>
      </c>
      <c r="D9" t="inlineStr">
        <is>
          <t>Servicing: BC Next</t>
        </is>
      </c>
      <c r="E9" t="inlineStr">
        <is>
          <t>BC Digital Drakon</t>
        </is>
      </c>
      <c r="F9" t="inlineStr">
        <is>
          <t>07</t>
        </is>
      </c>
      <c r="G9" t="inlineStr">
        <is>
          <t>Joseph Kranak</t>
        </is>
      </c>
      <c r="H9" t="inlineStr">
        <is>
          <t>[BC NEXT][WEB] Phase 3: Dashboard</t>
        </is>
      </c>
      <c r="I9" t="n">
        <v>4</v>
      </c>
      <c r="J9" t="n">
        <v>14.15354166666667</v>
      </c>
      <c r="K9">
        <f>HYPERLINK("https://drivetime.tpondemand.com/entity/127093", "127093")</f>
        <v/>
      </c>
      <c r="L9" t="inlineStr"/>
      <c r="M9" t="n">
        <v>5</v>
      </c>
      <c r="N9" t="inlineStr"/>
      <c r="O9" t="inlineStr">
        <is>
          <t>Done</t>
        </is>
      </c>
      <c r="P9" t="n">
        <v>3</v>
      </c>
      <c r="Q9" t="inlineStr"/>
      <c r="R9" t="inlineStr"/>
      <c r="S9" t="inlineStr"/>
      <c r="T9" t="inlineStr"/>
      <c r="U9" t="inlineStr">
        <is>
          <t>2022-02-14T00:00:00-06:00</t>
        </is>
      </c>
      <c r="V9" t="inlineStr">
        <is>
          <t>2022-02-10T00:00:00-06:00</t>
        </is>
      </c>
      <c r="W9" t="inlineStr">
        <is>
          <t>2022-02-14T13:44:46-06:00</t>
        </is>
      </c>
      <c r="X9">
        <f>IFERROR(1/COUNTIF($I:$I,@$I:$I), 0)</f>
        <v/>
      </c>
    </row>
    <row r="10">
      <c r="A10">
        <f>HYPERLINK("https://drivetime.tpondemand.com/entity/126374", "126374")</f>
        <v/>
      </c>
      <c r="B10" t="inlineStr">
        <is>
          <t>[BC NEXT][Web] Dashboard - Account Summary</t>
        </is>
      </c>
      <c r="C10" t="inlineStr">
        <is>
          <t>UserStory</t>
        </is>
      </c>
      <c r="D10" t="inlineStr">
        <is>
          <t>Servicing: BC Next</t>
        </is>
      </c>
      <c r="E10" t="inlineStr">
        <is>
          <t>BC Digital Drakon</t>
        </is>
      </c>
      <c r="F10" t="inlineStr">
        <is>
          <t>12</t>
        </is>
      </c>
      <c r="G10" t="inlineStr">
        <is>
          <t>Chirag Khandhar</t>
        </is>
      </c>
      <c r="H10" t="inlineStr">
        <is>
          <t>[BC NEXT][WEB] Phase 3: Dashboard</t>
        </is>
      </c>
      <c r="I10" t="n">
        <v>11</v>
      </c>
      <c r="J10" t="n">
        <v>34.97856481481481</v>
      </c>
      <c r="K10" t="inlineStr"/>
      <c r="L10" t="inlineStr"/>
      <c r="M10" t="n">
        <v>5</v>
      </c>
      <c r="N10" t="n">
        <v>126421</v>
      </c>
      <c r="O10" t="inlineStr">
        <is>
          <t>Done</t>
        </is>
      </c>
      <c r="P10" t="n">
        <v>1</v>
      </c>
      <c r="Q10" t="inlineStr">
        <is>
          <t>Drakon 2</t>
        </is>
      </c>
      <c r="R10" t="inlineStr">
        <is>
          <t>2022-03-10</t>
        </is>
      </c>
      <c r="S10" t="inlineStr">
        <is>
          <t>2022-03-23</t>
        </is>
      </c>
      <c r="T10" t="inlineStr">
        <is>
          <t>Drakon 2 : 2022-03-10 - 2022-03-23</t>
        </is>
      </c>
      <c r="U10" t="inlineStr">
        <is>
          <t>2022-03-23T00:00:00-05:00</t>
        </is>
      </c>
      <c r="V10" t="inlineStr">
        <is>
          <t>2022-03-11T00:00:00-06:00</t>
        </is>
      </c>
      <c r="W10" t="inlineStr">
        <is>
          <t>2022-03-23T16:02:36-05:00</t>
        </is>
      </c>
      <c r="X10">
        <f>IFERROR(1/COUNTIF($I:$I,@$I:$I), 0)</f>
        <v/>
      </c>
    </row>
    <row r="11">
      <c r="A11">
        <f>HYPERLINK("https://drivetime.tpondemand.com/entity/126380", "126380")</f>
        <v/>
      </c>
      <c r="B11" t="inlineStr">
        <is>
          <t>[BC NEXT][Web] Dashboard - Banners UI</t>
        </is>
      </c>
      <c r="C11" t="inlineStr">
        <is>
          <t>UserStory</t>
        </is>
      </c>
      <c r="D11" t="inlineStr">
        <is>
          <t>Servicing: BC Next</t>
        </is>
      </c>
      <c r="E11" t="inlineStr">
        <is>
          <t>BC Digital Drakon</t>
        </is>
      </c>
      <c r="F11" t="inlineStr">
        <is>
          <t>08</t>
        </is>
      </c>
      <c r="G11" t="inlineStr">
        <is>
          <t>Chirag Khandhar</t>
        </is>
      </c>
      <c r="H11" t="inlineStr">
        <is>
          <t>[BC NEXT][WEB] Phase 3: Dashboard</t>
        </is>
      </c>
      <c r="I11" t="n">
        <v>5</v>
      </c>
      <c r="J11" t="n">
        <v>17.30171296296296</v>
      </c>
      <c r="K11" t="inlineStr"/>
      <c r="L11" t="inlineStr"/>
      <c r="M11" t="n">
        <v>5</v>
      </c>
      <c r="N11" t="inlineStr"/>
      <c r="O11" t="inlineStr">
        <is>
          <t>Done</t>
        </is>
      </c>
      <c r="P11" t="n">
        <v>1</v>
      </c>
      <c r="Q11" t="inlineStr"/>
      <c r="R11" t="inlineStr"/>
      <c r="S11" t="inlineStr"/>
      <c r="T11" t="inlineStr"/>
      <c r="U11" t="inlineStr">
        <is>
          <t>2022-02-21T00:00:00-06:00</t>
        </is>
      </c>
      <c r="V11" t="inlineStr">
        <is>
          <t>2022-02-16T00:00:00-06:00</t>
        </is>
      </c>
      <c r="W11" t="inlineStr">
        <is>
          <t>2022-02-21T16:53:23-06:00</t>
        </is>
      </c>
      <c r="X11">
        <f>IFERROR(1/COUNTIF($I:$I,@$I:$I), 0)</f>
        <v/>
      </c>
    </row>
    <row r="12">
      <c r="A12">
        <f>HYPERLINK("https://drivetime.tpondemand.com/entity/126386", "126386")</f>
        <v/>
      </c>
      <c r="B12" t="inlineStr">
        <is>
          <t>[BC NEXT][Web] Dashboard - Recent Activity</t>
        </is>
      </c>
      <c r="C12" t="inlineStr">
        <is>
          <t>UserStory</t>
        </is>
      </c>
      <c r="D12" t="inlineStr">
        <is>
          <t>Servicing: BC Next</t>
        </is>
      </c>
      <c r="E12" t="inlineStr">
        <is>
          <t>BC Digital Drakon</t>
        </is>
      </c>
      <c r="F12" t="inlineStr">
        <is>
          <t>09</t>
        </is>
      </c>
      <c r="G12" t="inlineStr">
        <is>
          <t>Joseph Kranak</t>
        </is>
      </c>
      <c r="H12" t="inlineStr">
        <is>
          <t>[BC NEXT][WEB] Phase 3: Dashboard</t>
        </is>
      </c>
      <c r="I12" t="n">
        <v>2</v>
      </c>
      <c r="J12" t="n">
        <v>20.15010416666667</v>
      </c>
      <c r="K12" t="inlineStr"/>
      <c r="L12" t="inlineStr"/>
      <c r="M12" t="n">
        <v>5</v>
      </c>
      <c r="N12" t="n">
        <v>126420</v>
      </c>
      <c r="O12" t="inlineStr">
        <is>
          <t>Done</t>
        </is>
      </c>
      <c r="P12" t="n">
        <v>2</v>
      </c>
      <c r="Q12" t="inlineStr">
        <is>
          <t>Drakon 1</t>
        </is>
      </c>
      <c r="R12" t="inlineStr">
        <is>
          <t>2022-02-24</t>
        </is>
      </c>
      <c r="S12" t="inlineStr">
        <is>
          <t>2022-03-09</t>
        </is>
      </c>
      <c r="T12" t="inlineStr">
        <is>
          <t>Drakon 1 : 2022-02-24 - 2022-03-09</t>
        </is>
      </c>
      <c r="U12" t="inlineStr">
        <is>
          <t>2022-03-03T00:00:00-06:00</t>
        </is>
      </c>
      <c r="V12" t="inlineStr">
        <is>
          <t>2022-03-01T00:00:00-06:00</t>
        </is>
      </c>
      <c r="W12" t="inlineStr">
        <is>
          <t>2022-03-03T13:57:23-06:00</t>
        </is>
      </c>
      <c r="X12">
        <f>IFERROR(1/COUNTIF($I:$I,@$I:$I), 0)</f>
        <v/>
      </c>
    </row>
    <row r="13">
      <c r="A13">
        <f>HYPERLINK("https://drivetime.tpondemand.com/entity/126536", "126536")</f>
        <v/>
      </c>
      <c r="B13" t="inlineStr">
        <is>
          <t>[BC NEXT][Web] Dashboard - Banner Logic</t>
        </is>
      </c>
      <c r="C13" t="inlineStr">
        <is>
          <t>UserStory</t>
        </is>
      </c>
      <c r="D13" t="inlineStr">
        <is>
          <t>Servicing: BC Next</t>
        </is>
      </c>
      <c r="E13" t="inlineStr">
        <is>
          <t>BC Digital Drakon</t>
        </is>
      </c>
      <c r="F13" t="inlineStr">
        <is>
          <t>08</t>
        </is>
      </c>
      <c r="G13" t="inlineStr">
        <is>
          <t>Shyam Senthil Nathan</t>
        </is>
      </c>
      <c r="H13" t="inlineStr">
        <is>
          <t>[BC NEXT][WEB] Phase 3: Dashboard</t>
        </is>
      </c>
      <c r="I13" t="n">
        <v>5</v>
      </c>
      <c r="J13" t="n">
        <v>18.28605324074074</v>
      </c>
      <c r="K13" t="inlineStr"/>
      <c r="L13" t="inlineStr"/>
      <c r="M13" t="n">
        <v>5</v>
      </c>
      <c r="N13" t="inlineStr"/>
      <c r="O13" t="inlineStr">
        <is>
          <t>Done</t>
        </is>
      </c>
      <c r="P13" t="n">
        <v>0</v>
      </c>
      <c r="Q13" t="inlineStr"/>
      <c r="R13" t="inlineStr"/>
      <c r="S13" t="inlineStr"/>
      <c r="T13" t="inlineStr"/>
      <c r="U13" t="inlineStr">
        <is>
          <t>2022-02-21T00:00:00-06:00</t>
        </is>
      </c>
      <c r="V13" t="inlineStr">
        <is>
          <t>2022-02-16T00:00:00-06:00</t>
        </is>
      </c>
      <c r="W13" t="inlineStr">
        <is>
          <t>2022-02-21T16:53:24-06:00</t>
        </is>
      </c>
      <c r="X13">
        <f>IFERROR(1/COUNTIF($I:$I,@$I:$I), 0)</f>
        <v/>
      </c>
    </row>
    <row r="14">
      <c r="A14">
        <f>HYPERLINK("https://drivetime.tpondemand.com/entity/126557", "126557")</f>
        <v/>
      </c>
      <c r="B14" t="inlineStr">
        <is>
          <t>[BC NEXT] Dashboard: Amount Due and Due Date Updates</t>
        </is>
      </c>
      <c r="C14" t="inlineStr">
        <is>
          <t>UserStory</t>
        </is>
      </c>
      <c r="D14" t="inlineStr">
        <is>
          <t>Servicing: BC Next</t>
        </is>
      </c>
      <c r="E14" t="inlineStr">
        <is>
          <t>BC Digital Drakon</t>
        </is>
      </c>
      <c r="F14" t="inlineStr">
        <is>
          <t>06</t>
        </is>
      </c>
      <c r="G14" t="inlineStr">
        <is>
          <t>Yokeshwaran Lokanathan</t>
        </is>
      </c>
      <c r="H14" t="inlineStr">
        <is>
          <t>[BC NEXT] Prior to Launch Tech Investment</t>
        </is>
      </c>
      <c r="I14" t="n">
        <v>0</v>
      </c>
      <c r="J14" t="n">
        <v>9.574652777777777</v>
      </c>
      <c r="K14">
        <f>HYPERLINK("https://drivetime.tpondemand.com/entity/126506", "126506")</f>
        <v/>
      </c>
      <c r="L14" t="inlineStr"/>
      <c r="M14" t="n">
        <v>5</v>
      </c>
      <c r="N14" t="n">
        <v>126419</v>
      </c>
      <c r="O14" t="inlineStr">
        <is>
          <t>Done</t>
        </is>
      </c>
      <c r="P14" t="n">
        <v>5</v>
      </c>
      <c r="Q14" t="inlineStr">
        <is>
          <t>Kraken 52</t>
        </is>
      </c>
      <c r="R14" t="inlineStr">
        <is>
          <t>2022-02-10</t>
        </is>
      </c>
      <c r="S14" t="inlineStr">
        <is>
          <t>2022-02-23</t>
        </is>
      </c>
      <c r="T14" t="inlineStr">
        <is>
          <t>Kraken 52 : 2022-02-10 - 2022-02-23</t>
        </is>
      </c>
      <c r="U14" t="inlineStr">
        <is>
          <t>2022-02-11T00:00:00-06:00</t>
        </is>
      </c>
      <c r="V14" t="inlineStr">
        <is>
          <t>2022-02-14T00:00:00-06:00</t>
        </is>
      </c>
      <c r="W14" t="inlineStr">
        <is>
          <t>2022-02-11T00:00:00-06:00</t>
        </is>
      </c>
      <c r="X14">
        <f>IFERROR(1/COUNTIF($I:$I,@$I:$I), 0)</f>
        <v/>
      </c>
    </row>
    <row r="15">
      <c r="A15">
        <f>HYPERLINK("https://drivetime.tpondemand.com/entity/126834", "126834")</f>
        <v/>
      </c>
      <c r="B15" t="inlineStr">
        <is>
          <t>[BC NEXT][WEB] Dropdown Component Update</t>
        </is>
      </c>
      <c r="C15" t="inlineStr">
        <is>
          <t>UserStory</t>
        </is>
      </c>
      <c r="D15" t="inlineStr">
        <is>
          <t>Servicing: BC Next</t>
        </is>
      </c>
      <c r="E15" t="inlineStr">
        <is>
          <t>BC Digital Drakon</t>
        </is>
      </c>
      <c r="F15" t="inlineStr">
        <is>
          <t>13</t>
        </is>
      </c>
      <c r="G15" t="inlineStr">
        <is>
          <t>Shyam Senthil Nathan</t>
        </is>
      </c>
      <c r="H15" t="inlineStr">
        <is>
          <t>[BC NEXT][WEB] Phase 3: Dashboard</t>
        </is>
      </c>
      <c r="I15" t="n">
        <v>8</v>
      </c>
      <c r="J15" t="n">
        <v>43.04510416666667</v>
      </c>
      <c r="K15" t="inlineStr"/>
      <c r="L15" t="inlineStr"/>
      <c r="M15" t="n">
        <v>5</v>
      </c>
      <c r="N15" t="n">
        <v>126421</v>
      </c>
      <c r="O15" t="inlineStr">
        <is>
          <t>Done</t>
        </is>
      </c>
      <c r="P15" t="n">
        <v>1</v>
      </c>
      <c r="Q15" t="inlineStr">
        <is>
          <t>Drakon 2</t>
        </is>
      </c>
      <c r="R15" t="inlineStr">
        <is>
          <t>2022-03-10</t>
        </is>
      </c>
      <c r="S15" t="inlineStr">
        <is>
          <t>2022-03-23</t>
        </is>
      </c>
      <c r="T15" t="inlineStr">
        <is>
          <t>Drakon 2 : 2022-03-10 - 2022-03-23</t>
        </is>
      </c>
      <c r="U15" t="inlineStr">
        <is>
          <t>2022-03-30T00:00:00-05:00</t>
        </is>
      </c>
      <c r="V15" t="inlineStr">
        <is>
          <t>2022-03-22T00:00:00-05:00</t>
        </is>
      </c>
      <c r="W15" t="inlineStr">
        <is>
          <t>2022-03-30T11:04:34-05:00</t>
        </is>
      </c>
      <c r="X15">
        <f>IFERROR(1/COUNTIF($I:$I,@$I:$I), 0)</f>
        <v/>
      </c>
    </row>
    <row r="16">
      <c r="A16">
        <f>HYPERLINK("https://drivetime.tpondemand.com/entity/126954", "126954")</f>
        <v/>
      </c>
      <c r="B16" t="inlineStr">
        <is>
          <t>[BC NEXT] OTP: 90% Rule</t>
        </is>
      </c>
      <c r="C16" t="inlineStr">
        <is>
          <t>UserStory</t>
        </is>
      </c>
      <c r="D16" t="inlineStr">
        <is>
          <t>Servicing: BC Next</t>
        </is>
      </c>
      <c r="E16" t="inlineStr">
        <is>
          <t>BC Digital Drakon</t>
        </is>
      </c>
      <c r="F16" t="inlineStr">
        <is>
          <t>06</t>
        </is>
      </c>
      <c r="G16" t="inlineStr">
        <is>
          <t>Yokeshwaran Lokanathan</t>
        </is>
      </c>
      <c r="H16" t="inlineStr">
        <is>
          <t>[BC Next] 90% Rule Implementation</t>
        </is>
      </c>
      <c r="I16" t="n">
        <v>0</v>
      </c>
      <c r="J16" t="n">
        <v>2.569918981481481</v>
      </c>
      <c r="K16">
        <f>HYPERLINK("https://drivetime.tpondemand.com/entity/126506", "126506")</f>
        <v/>
      </c>
      <c r="L16" t="inlineStr"/>
      <c r="M16" t="n">
        <v>5</v>
      </c>
      <c r="N16" t="n">
        <v>126419</v>
      </c>
      <c r="O16" t="inlineStr">
        <is>
          <t>Done</t>
        </is>
      </c>
      <c r="P16" t="n">
        <v>1</v>
      </c>
      <c r="Q16" t="inlineStr">
        <is>
          <t>Kraken 52</t>
        </is>
      </c>
      <c r="R16" t="inlineStr">
        <is>
          <t>2022-02-10</t>
        </is>
      </c>
      <c r="S16" t="inlineStr">
        <is>
          <t>2022-02-23</t>
        </is>
      </c>
      <c r="T16" t="inlineStr">
        <is>
          <t>Kraken 52 : 2022-02-10 - 2022-02-23</t>
        </is>
      </c>
      <c r="U16" t="inlineStr">
        <is>
          <t>2022-02-11T00:00:00-06:00</t>
        </is>
      </c>
      <c r="V16" t="inlineStr">
        <is>
          <t>2022-02-14T00:00:00-06:00</t>
        </is>
      </c>
      <c r="W16" t="inlineStr">
        <is>
          <t>2022-02-11T00:00:00-06:00</t>
        </is>
      </c>
      <c r="X16">
        <f>IFERROR(1/COUNTIF($I:$I,@$I:$I), 0)</f>
        <v/>
      </c>
    </row>
    <row r="17">
      <c r="A17">
        <f>HYPERLINK("https://drivetime.tpondemand.com/entity/127001", "127001")</f>
        <v/>
      </c>
      <c r="B17" t="inlineStr">
        <is>
          <t>[BC NEXT][Web] Dashboard - Side Nav</t>
        </is>
      </c>
      <c r="C17" t="inlineStr">
        <is>
          <t>UserStory</t>
        </is>
      </c>
      <c r="D17" t="inlineStr">
        <is>
          <t>Servicing: BC Next</t>
        </is>
      </c>
      <c r="E17" t="inlineStr">
        <is>
          <t>BC Digital Drakon</t>
        </is>
      </c>
      <c r="F17" t="inlineStr">
        <is>
          <t>10</t>
        </is>
      </c>
      <c r="G17" t="inlineStr">
        <is>
          <t>Abbas Shamshi</t>
        </is>
      </c>
      <c r="H17" t="inlineStr">
        <is>
          <t>[BC NEXT][WEB] Phase 3: Dashboard</t>
        </is>
      </c>
      <c r="I17" t="n">
        <v>8</v>
      </c>
      <c r="J17" t="n">
        <v>15.0133912037037</v>
      </c>
      <c r="K17">
        <f>HYPERLINK("https://drivetime.tpondemand.com/entity/128241", "128241")</f>
        <v/>
      </c>
      <c r="L17" t="inlineStr"/>
      <c r="M17" t="n">
        <v>5</v>
      </c>
      <c r="N17" t="n">
        <v>126420</v>
      </c>
      <c r="O17" t="inlineStr">
        <is>
          <t>Done</t>
        </is>
      </c>
      <c r="P17" t="n">
        <v>4</v>
      </c>
      <c r="Q17" t="inlineStr">
        <is>
          <t>Drakon 1</t>
        </is>
      </c>
      <c r="R17" t="inlineStr">
        <is>
          <t>2022-02-24</t>
        </is>
      </c>
      <c r="S17" t="inlineStr">
        <is>
          <t>2022-03-09</t>
        </is>
      </c>
      <c r="T17" t="inlineStr">
        <is>
          <t>Drakon 1 : 2022-02-24 - 2022-03-09</t>
        </is>
      </c>
      <c r="U17" t="inlineStr">
        <is>
          <t>2022-03-09T00:00:00-06:00</t>
        </is>
      </c>
      <c r="V17" t="inlineStr">
        <is>
          <t>2022-03-01T00:00:00-06:00</t>
        </is>
      </c>
      <c r="W17" t="inlineStr">
        <is>
          <t>2022-03-09T12:37:08-06:00</t>
        </is>
      </c>
      <c r="X17">
        <f>IFERROR(1/COUNTIF($I:$I,@$I:$I), 0)</f>
        <v/>
      </c>
    </row>
    <row r="18">
      <c r="A18">
        <f>HYPERLINK("https://drivetime.tpondemand.com/entity/127170", "127170")</f>
        <v/>
      </c>
      <c r="B18" t="inlineStr">
        <is>
          <t>[BC NEXT][Web] Keep User Logged In After Page Refresh</t>
        </is>
      </c>
      <c r="C18" t="inlineStr">
        <is>
          <t>UserStory</t>
        </is>
      </c>
      <c r="D18" t="inlineStr">
        <is>
          <t>Servicing: BC Next</t>
        </is>
      </c>
      <c r="E18" t="inlineStr">
        <is>
          <t>BC Digital Drakon</t>
        </is>
      </c>
      <c r="F18" t="inlineStr">
        <is>
          <t>10</t>
        </is>
      </c>
      <c r="G18" t="inlineStr">
        <is>
          <t>Yokeshwaran Lokanathan</t>
        </is>
      </c>
      <c r="H18" t="inlineStr">
        <is>
          <t>[BC NEXT][WEB] Phase 3: Homepage</t>
        </is>
      </c>
      <c r="I18" t="n">
        <v>2</v>
      </c>
      <c r="J18" t="n">
        <v>16.14922453703704</v>
      </c>
      <c r="K18">
        <f>HYPERLINK("https://drivetime.tpondemand.com/entity/128241", "128241")</f>
        <v/>
      </c>
      <c r="L18" t="inlineStr"/>
      <c r="M18" t="n">
        <v>5</v>
      </c>
      <c r="N18" t="n">
        <v>126420</v>
      </c>
      <c r="O18" t="inlineStr">
        <is>
          <t>Done</t>
        </is>
      </c>
      <c r="P18" t="n">
        <v>1</v>
      </c>
      <c r="Q18" t="inlineStr">
        <is>
          <t>Drakon 1</t>
        </is>
      </c>
      <c r="R18" t="inlineStr">
        <is>
          <t>2022-02-24</t>
        </is>
      </c>
      <c r="S18" t="inlineStr">
        <is>
          <t>2022-03-09</t>
        </is>
      </c>
      <c r="T18" t="inlineStr">
        <is>
          <t>Drakon 1 : 2022-02-24 - 2022-03-09</t>
        </is>
      </c>
      <c r="U18" t="inlineStr">
        <is>
          <t>2022-03-09T00:00:00-06:00</t>
        </is>
      </c>
      <c r="V18" t="inlineStr">
        <is>
          <t>2022-03-07T00:00:00-06:00</t>
        </is>
      </c>
      <c r="W18" t="inlineStr">
        <is>
          <t>2022-03-09T12:37:11-06:00</t>
        </is>
      </c>
      <c r="X18">
        <f>IFERROR(1/COUNTIF($I:$I,@$I:$I), 0)</f>
        <v/>
      </c>
    </row>
    <row r="19">
      <c r="A19">
        <f>HYPERLINK("https://drivetime.tpondemand.com/entity/127450", "127450")</f>
        <v/>
      </c>
      <c r="B19" t="inlineStr">
        <is>
          <t>[BC NEXT][APP] MoneyGram link not working as expected</t>
        </is>
      </c>
      <c r="C19" t="inlineStr">
        <is>
          <t>UserStory</t>
        </is>
      </c>
      <c r="D19" t="inlineStr">
        <is>
          <t>Servicing: BC Next</t>
        </is>
      </c>
      <c r="E19" t="inlineStr">
        <is>
          <t>BC Digital Drakon</t>
        </is>
      </c>
      <c r="F19" t="inlineStr">
        <is>
          <t>26</t>
        </is>
      </c>
      <c r="G19" t="inlineStr">
        <is>
          <t>Antonio Posada and Shyam Senthil Nathan</t>
        </is>
      </c>
      <c r="H19" t="inlineStr">
        <is>
          <t>[BC NEXT] Bug Fixes/Enhancements for July</t>
        </is>
      </c>
      <c r="I19" t="n">
        <v>5</v>
      </c>
      <c r="J19" t="n">
        <v>20.30810185185185</v>
      </c>
      <c r="K19">
        <f>HYPERLINK("https://drivetime.tpondemand.com/entity/134694", "134694")</f>
        <v/>
      </c>
      <c r="L19" t="inlineStr"/>
      <c r="M19" t="n">
        <v>5</v>
      </c>
      <c r="N19" t="n">
        <v>133018</v>
      </c>
      <c r="O19" t="inlineStr">
        <is>
          <t>Done</t>
        </is>
      </c>
      <c r="P19" t="n">
        <v>0</v>
      </c>
      <c r="Q19" t="inlineStr">
        <is>
          <t>Drakon 9</t>
        </is>
      </c>
      <c r="R19" t="inlineStr">
        <is>
          <t>2022-06-16</t>
        </is>
      </c>
      <c r="S19" t="inlineStr">
        <is>
          <t>2022-06-29</t>
        </is>
      </c>
      <c r="T19" t="inlineStr">
        <is>
          <t>Drakon 9 : 2022-06-16 - 2022-06-29</t>
        </is>
      </c>
      <c r="U19" t="inlineStr">
        <is>
          <t>2022-06-27T00:00:00-05:00</t>
        </is>
      </c>
      <c r="V19" t="inlineStr">
        <is>
          <t>2022-06-22T00:00:00-05:00</t>
        </is>
      </c>
      <c r="W19" t="inlineStr">
        <is>
          <t>2022-06-27T18:12:22-05:00</t>
        </is>
      </c>
      <c r="X19">
        <f>IFERROR(1/COUNTIF($I:$I,@$I:$I), 0)</f>
        <v/>
      </c>
    </row>
    <row r="20">
      <c r="A20">
        <f>HYPERLINK("https://drivetime.tpondemand.com/entity/127609", "127609")</f>
        <v/>
      </c>
      <c r="B20" t="inlineStr">
        <is>
          <t>[BC NEXT][DASHBOARD] Add unit tests and fix final bugs for app launch</t>
        </is>
      </c>
      <c r="C20" t="inlineStr">
        <is>
          <t>UserStory</t>
        </is>
      </c>
      <c r="D20" t="inlineStr">
        <is>
          <t>Servicing: BC Next</t>
        </is>
      </c>
      <c r="E20" t="inlineStr">
        <is>
          <t>BC Digital Drakon</t>
        </is>
      </c>
      <c r="F20" t="inlineStr">
        <is>
          <t>07</t>
        </is>
      </c>
      <c r="G20" t="inlineStr">
        <is>
          <t>Connor Golobich and Yokeshwaran Lokanathan and Pete Wesselius</t>
        </is>
      </c>
      <c r="H20" t="inlineStr">
        <is>
          <t>[BC NEXT] Regression Testing &amp; App Bug Fixes</t>
        </is>
      </c>
      <c r="I20" t="n">
        <v>0</v>
      </c>
      <c r="J20" t="n">
        <v>0.1656365740740741</v>
      </c>
      <c r="K20">
        <f>HYPERLINK("https://drivetime.tpondemand.com/entity/127658", "127658")</f>
        <v/>
      </c>
      <c r="L20" t="inlineStr"/>
      <c r="M20" t="n">
        <v>5</v>
      </c>
      <c r="N20" t="inlineStr"/>
      <c r="O20" t="inlineStr">
        <is>
          <t>Done</t>
        </is>
      </c>
      <c r="P20" t="n">
        <v>0</v>
      </c>
      <c r="Q20" t="inlineStr"/>
      <c r="R20" t="inlineStr"/>
      <c r="S20" t="inlineStr"/>
      <c r="T20" t="inlineStr"/>
      <c r="U20" t="inlineStr">
        <is>
          <t>2022-02-18T00:00:00-06:00</t>
        </is>
      </c>
      <c r="V20" t="inlineStr">
        <is>
          <t>2022-02-18T00:00:00-06:00</t>
        </is>
      </c>
      <c r="W20" t="inlineStr">
        <is>
          <t>2022-02-18T14:04:16-06:00</t>
        </is>
      </c>
      <c r="X20">
        <f>IFERROR(1/COUNTIF($I:$I,@$I:$I), 0)</f>
        <v/>
      </c>
    </row>
    <row r="21">
      <c r="A21">
        <f>HYPERLINK("https://drivetime.tpondemand.com/entity/128225", "128225")</f>
        <v/>
      </c>
      <c r="B21" t="inlineStr">
        <is>
          <t>[BC NEXT] Maintain one global selected vehicle</t>
        </is>
      </c>
      <c r="C21" t="inlineStr">
        <is>
          <t>UserStory</t>
        </is>
      </c>
      <c r="D21" t="inlineStr">
        <is>
          <t>Servicing: BC Next</t>
        </is>
      </c>
      <c r="E21" t="inlineStr">
        <is>
          <t>BC Digital Drakon</t>
        </is>
      </c>
      <c r="F21" t="inlineStr">
        <is>
          <t>17</t>
        </is>
      </c>
      <c r="G21" t="inlineStr">
        <is>
          <t>Shyam Senthil Nathan</t>
        </is>
      </c>
      <c r="H21" t="inlineStr">
        <is>
          <t>[BC NEXT] Bug Fixes/Enhancements for June Release</t>
        </is>
      </c>
      <c r="I21" t="n">
        <v>3</v>
      </c>
      <c r="J21" t="n">
        <v>27.23298611111111</v>
      </c>
      <c r="K21">
        <f>HYPERLINK("https://drivetime.tpondemand.com/entity/130431", "130431")</f>
        <v/>
      </c>
      <c r="L21" t="inlineStr"/>
      <c r="M21" t="n">
        <v>5</v>
      </c>
      <c r="N21" t="n">
        <v>129064</v>
      </c>
      <c r="O21" t="inlineStr">
        <is>
          <t>Done</t>
        </is>
      </c>
      <c r="P21" t="n">
        <v>0</v>
      </c>
      <c r="Q21" t="inlineStr">
        <is>
          <t>Drakon 5</t>
        </is>
      </c>
      <c r="R21" t="inlineStr">
        <is>
          <t>2022-04-21</t>
        </is>
      </c>
      <c r="S21" t="inlineStr">
        <is>
          <t>2022-05-04</t>
        </is>
      </c>
      <c r="T21" t="inlineStr">
        <is>
          <t>Drakon 5 : 2022-04-21 - 2022-05-04</t>
        </is>
      </c>
      <c r="U21" t="inlineStr">
        <is>
          <t>2022-04-25T00:00:00-05:00</t>
        </is>
      </c>
      <c r="V21" t="inlineStr">
        <is>
          <t>2022-04-22T00:00:00-05:00</t>
        </is>
      </c>
      <c r="W21" t="inlineStr">
        <is>
          <t>2022-04-25T16:48:40-05:00</t>
        </is>
      </c>
      <c r="X21">
        <f>IFERROR(1/COUNTIF($I:$I,@$I:$I), 0)</f>
        <v/>
      </c>
    </row>
    <row r="22">
      <c r="A22">
        <f>HYPERLINK("https://drivetime.tpondemand.com/entity/128556", "128556")</f>
        <v/>
      </c>
      <c r="B22" t="inlineStr">
        <is>
          <t>[BC NEXT] Customer data clearing page refreshes/duplication to new tab/redirects</t>
        </is>
      </c>
      <c r="C22" t="inlineStr">
        <is>
          <t>UserStory</t>
        </is>
      </c>
      <c r="D22" t="inlineStr">
        <is>
          <t>Servicing: BC Next</t>
        </is>
      </c>
      <c r="E22" t="inlineStr">
        <is>
          <t>BC Digital Drakon</t>
        </is>
      </c>
      <c r="F22" t="inlineStr">
        <is>
          <t>20</t>
        </is>
      </c>
      <c r="G22" t="inlineStr">
        <is>
          <t>Shyam Senthil Nathan</t>
        </is>
      </c>
      <c r="H22" t="inlineStr">
        <is>
          <t>[BC NEXT] Bug Fixes/Enhancements for June Release</t>
        </is>
      </c>
      <c r="I22" t="n">
        <v>17</v>
      </c>
      <c r="J22" t="n">
        <v>28.97296296296296</v>
      </c>
      <c r="K22">
        <f>HYPERLINK("https://drivetime.tpondemand.com/entity/131389", "131389")</f>
        <v/>
      </c>
      <c r="L22" t="inlineStr"/>
      <c r="M22" t="n">
        <v>5</v>
      </c>
      <c r="N22" t="n">
        <v>130166</v>
      </c>
      <c r="O22" t="inlineStr">
        <is>
          <t>Done</t>
        </is>
      </c>
      <c r="P22" t="n">
        <v>0</v>
      </c>
      <c r="Q22" t="inlineStr">
        <is>
          <t>Drakon 6</t>
        </is>
      </c>
      <c r="R22" t="inlineStr">
        <is>
          <t>2022-05-05</t>
        </is>
      </c>
      <c r="S22" t="inlineStr">
        <is>
          <t>2022-05-18</t>
        </is>
      </c>
      <c r="T22" t="inlineStr">
        <is>
          <t>Drakon 6 : 2022-05-05 - 2022-05-18</t>
        </is>
      </c>
      <c r="U22" t="inlineStr">
        <is>
          <t>2022-05-09T00:00:00-05:00</t>
        </is>
      </c>
      <c r="V22" t="inlineStr">
        <is>
          <t>2022-04-22T00:00:00-05:00</t>
        </is>
      </c>
      <c r="W22" t="inlineStr">
        <is>
          <t>2022-05-17T09:27:06-05:00</t>
        </is>
      </c>
      <c r="X22">
        <f>IFERROR(1/COUNTIF($I:$I,@$I:$I), 0)</f>
        <v/>
      </c>
    </row>
    <row r="23">
      <c r="A23">
        <f>HYPERLINK("https://drivetime.tpondemand.com/entity/128611", "128611")</f>
        <v/>
      </c>
      <c r="B23" t="inlineStr">
        <is>
          <t>[BC NEXT] Add route based feature flags to control app access</t>
        </is>
      </c>
      <c r="C23" t="inlineStr">
        <is>
          <t>UserStory</t>
        </is>
      </c>
      <c r="D23" t="inlineStr">
        <is>
          <t>Servicing: BC Next</t>
        </is>
      </c>
      <c r="E23" t="inlineStr">
        <is>
          <t>BC Digital Drakon</t>
        </is>
      </c>
      <c r="F23" t="inlineStr">
        <is>
          <t>13</t>
        </is>
      </c>
      <c r="G23" t="inlineStr">
        <is>
          <t>Shyam Senthil Nathan</t>
        </is>
      </c>
      <c r="H23" t="inlineStr">
        <is>
          <t>[BC NEXT] Bug Fixes for April App Release</t>
        </is>
      </c>
      <c r="I23" t="n">
        <v>2</v>
      </c>
      <c r="J23" t="n">
        <v>8.444108796296296</v>
      </c>
      <c r="K23">
        <f>HYPERLINK("https://drivetime.tpondemand.com/entity/129428", "129428")</f>
        <v/>
      </c>
      <c r="L23" t="inlineStr"/>
      <c r="M23" t="n">
        <v>5</v>
      </c>
      <c r="N23" t="n">
        <v>126422</v>
      </c>
      <c r="O23" t="inlineStr">
        <is>
          <t>Done</t>
        </is>
      </c>
      <c r="P23" t="n">
        <v>0</v>
      </c>
      <c r="Q23" t="inlineStr">
        <is>
          <t>Drakon 3</t>
        </is>
      </c>
      <c r="R23" t="inlineStr">
        <is>
          <t>2022-03-24</t>
        </is>
      </c>
      <c r="S23" t="inlineStr">
        <is>
          <t>2022-04-06</t>
        </is>
      </c>
      <c r="T23" t="inlineStr">
        <is>
          <t>Drakon 3 : 2022-03-24 - 2022-04-06</t>
        </is>
      </c>
      <c r="U23" t="inlineStr">
        <is>
          <t>2022-03-31T00:00:00-05:00</t>
        </is>
      </c>
      <c r="V23" t="inlineStr">
        <is>
          <t>2022-03-29T00:00:00-05:00</t>
        </is>
      </c>
      <c r="W23" t="inlineStr">
        <is>
          <t>2022-03-31T00:00:00-05:00</t>
        </is>
      </c>
      <c r="X23">
        <f>IFERROR(1/COUNTIF($I:$I,@$I:$I), 0)</f>
        <v/>
      </c>
    </row>
    <row r="24">
      <c r="A24">
        <f>HYPERLINK("https://drivetime.tpondemand.com/entity/129035", "129035")</f>
        <v/>
      </c>
      <c r="B24" t="inlineStr">
        <is>
          <t>Seeing Issue Processing page when session times out first time and user logs back in</t>
        </is>
      </c>
      <c r="C24" t="inlineStr">
        <is>
          <t>UserStory</t>
        </is>
      </c>
      <c r="D24" t="inlineStr">
        <is>
          <t>Servicing: BC Next</t>
        </is>
      </c>
      <c r="E24" t="inlineStr">
        <is>
          <t>BC Digital Drakon</t>
        </is>
      </c>
      <c r="F24" t="inlineStr">
        <is>
          <t>30</t>
        </is>
      </c>
      <c r="G24" t="inlineStr">
        <is>
          <t>Pete Wesselius</t>
        </is>
      </c>
      <c r="H24" t="inlineStr">
        <is>
          <t>[BC NEXT] Bug Fixes/Enhancements for August</t>
        </is>
      </c>
      <c r="I24" t="n">
        <v>1</v>
      </c>
      <c r="J24" t="n">
        <v>106.0593287037037</v>
      </c>
      <c r="K24" t="inlineStr"/>
      <c r="L24" t="inlineStr"/>
      <c r="M24" t="n">
        <v>5</v>
      </c>
      <c r="N24" t="inlineStr"/>
      <c r="O24" t="inlineStr">
        <is>
          <t>Done</t>
        </is>
      </c>
      <c r="P24" t="n">
        <v>1</v>
      </c>
      <c r="Q24" t="inlineStr"/>
      <c r="R24" t="inlineStr"/>
      <c r="S24" t="inlineStr"/>
      <c r="T24" t="inlineStr"/>
      <c r="U24" t="inlineStr">
        <is>
          <t>2022-07-27T00:00:00-05:00</t>
        </is>
      </c>
      <c r="V24" t="inlineStr">
        <is>
          <t>2022-07-26T00:00:00-05:00</t>
        </is>
      </c>
      <c r="W24" t="inlineStr">
        <is>
          <t>2022-07-27T12:36:07-05:00</t>
        </is>
      </c>
      <c r="X24">
        <f>IFERROR(1/COUNTIF($I:$I,@$I:$I), 0)</f>
        <v/>
      </c>
    </row>
    <row r="25">
      <c r="A25">
        <f>HYPERLINK("https://drivetime.tpondemand.com/entity/129329", "129329")</f>
        <v/>
      </c>
      <c r="B25" t="inlineStr">
        <is>
          <t>[BC NEXT][WEB] Account Settings - Manage Payments</t>
        </is>
      </c>
      <c r="C25" t="inlineStr">
        <is>
          <t>UserStory</t>
        </is>
      </c>
      <c r="D25" t="inlineStr">
        <is>
          <t>Servicing: BC Next</t>
        </is>
      </c>
      <c r="E25" t="inlineStr">
        <is>
          <t>BC Digital Drakon</t>
        </is>
      </c>
      <c r="F25" t="inlineStr">
        <is>
          <t>22</t>
        </is>
      </c>
      <c r="G25" t="inlineStr">
        <is>
          <t>Yokeshwaran Lokanathan</t>
        </is>
      </c>
      <c r="H25" t="inlineStr">
        <is>
          <t>[BC NEXT][WEB] Phase 3: Account Settings</t>
        </is>
      </c>
      <c r="I25" t="n">
        <v>4</v>
      </c>
      <c r="J25" t="n">
        <v>39.37425925925925</v>
      </c>
      <c r="K25">
        <f>HYPERLINK("https://drivetime.tpondemand.com/entity/133005", "133005")</f>
        <v/>
      </c>
      <c r="L25" t="inlineStr"/>
      <c r="M25" t="n">
        <v>5</v>
      </c>
      <c r="N25" t="n">
        <v>130167</v>
      </c>
      <c r="O25" t="inlineStr">
        <is>
          <t>Done</t>
        </is>
      </c>
      <c r="P25" t="n">
        <v>5</v>
      </c>
      <c r="Q25" t="inlineStr">
        <is>
          <t>Drakon 7</t>
        </is>
      </c>
      <c r="R25" t="inlineStr">
        <is>
          <t>2022-05-19</t>
        </is>
      </c>
      <c r="S25" t="inlineStr">
        <is>
          <t>2022-06-01</t>
        </is>
      </c>
      <c r="T25" t="inlineStr">
        <is>
          <t>Drakon 7 : 2022-05-19 - 2022-06-01</t>
        </is>
      </c>
      <c r="U25" t="inlineStr">
        <is>
          <t>2022-05-31T00:00:00-05:00</t>
        </is>
      </c>
      <c r="V25" t="inlineStr">
        <is>
          <t>2022-05-27T00:00:00-05:00</t>
        </is>
      </c>
      <c r="W25" t="inlineStr">
        <is>
          <t>2022-05-31T17:47:25-05:00</t>
        </is>
      </c>
      <c r="X25">
        <f>IFERROR(1/COUNTIF($I:$I,@$I:$I), 0)</f>
        <v/>
      </c>
    </row>
    <row r="26">
      <c r="A26">
        <f>HYPERLINK("https://drivetime.tpondemand.com/entity/129450", "129450")</f>
        <v/>
      </c>
      <c r="B26" t="inlineStr">
        <is>
          <t>[BC NEXT][WEB] Account Settings - Manage Debit Card and Manage Bank Accounts Modals</t>
        </is>
      </c>
      <c r="C26" t="inlineStr">
        <is>
          <t>UserStory</t>
        </is>
      </c>
      <c r="D26" t="inlineStr">
        <is>
          <t>Servicing: BC Next</t>
        </is>
      </c>
      <c r="E26" t="inlineStr">
        <is>
          <t>BC Digital Drakon</t>
        </is>
      </c>
      <c r="F26" t="inlineStr">
        <is>
          <t>25</t>
        </is>
      </c>
      <c r="G26" t="inlineStr">
        <is>
          <t>Abbas Shamshi and Pete Wesselius</t>
        </is>
      </c>
      <c r="H26" t="inlineStr">
        <is>
          <t>[BC NEXT][WEB] Phase 3: Account Settings</t>
        </is>
      </c>
      <c r="I26" t="n">
        <v>6</v>
      </c>
      <c r="J26" t="n">
        <v>56.23140046296296</v>
      </c>
      <c r="K26">
        <f>HYPERLINK("https://drivetime.tpondemand.com/entity/134248", "134248")</f>
        <v/>
      </c>
      <c r="L26" t="inlineStr"/>
      <c r="M26" t="n">
        <v>5</v>
      </c>
      <c r="N26" t="n">
        <v>133018</v>
      </c>
      <c r="O26" t="inlineStr">
        <is>
          <t>Done</t>
        </is>
      </c>
      <c r="P26" t="n">
        <v>7</v>
      </c>
      <c r="Q26" t="inlineStr">
        <is>
          <t>Drakon 9</t>
        </is>
      </c>
      <c r="R26" t="inlineStr">
        <is>
          <t>2022-06-16</t>
        </is>
      </c>
      <c r="S26" t="inlineStr">
        <is>
          <t>2022-06-29</t>
        </is>
      </c>
      <c r="T26" t="inlineStr">
        <is>
          <t>Drakon 9 : 2022-06-16 - 2022-06-29</t>
        </is>
      </c>
      <c r="U26" t="inlineStr">
        <is>
          <t>2022-06-22T00:00:00-05:00</t>
        </is>
      </c>
      <c r="V26" t="inlineStr">
        <is>
          <t>2022-06-16T00:00:00-05:00</t>
        </is>
      </c>
      <c r="W26" t="inlineStr">
        <is>
          <t>2022-06-22T16:55:32-05:00</t>
        </is>
      </c>
      <c r="X26">
        <f>IFERROR(1/COUNTIF($I:$I,@$I:$I), 0)</f>
        <v/>
      </c>
    </row>
    <row r="27">
      <c r="A27">
        <f>HYPERLINK("https://drivetime.tpondemand.com/entity/129533", "129533")</f>
        <v/>
      </c>
      <c r="B27" t="inlineStr">
        <is>
          <t>[BC NEXT][WEB] Account Settings - Accounts Settings</t>
        </is>
      </c>
      <c r="C27" t="inlineStr">
        <is>
          <t>UserStory</t>
        </is>
      </c>
      <c r="D27" t="inlineStr">
        <is>
          <t>Servicing: BC Next</t>
        </is>
      </c>
      <c r="E27" t="inlineStr">
        <is>
          <t>BC Digital Drakon</t>
        </is>
      </c>
      <c r="F27" t="inlineStr">
        <is>
          <t>22</t>
        </is>
      </c>
      <c r="G27" t="inlineStr">
        <is>
          <t>Joseph Kranak</t>
        </is>
      </c>
      <c r="H27" t="inlineStr">
        <is>
          <t>[BC NEXT][WEB] Phase 3: Account Settings</t>
        </is>
      </c>
      <c r="I27" t="n">
        <v>2</v>
      </c>
      <c r="J27" t="n">
        <v>28.85519675925926</v>
      </c>
      <c r="K27">
        <f>HYPERLINK("https://drivetime.tpondemand.com/entity/133076", "133076")</f>
        <v/>
      </c>
      <c r="L27" t="inlineStr"/>
      <c r="M27" t="n">
        <v>5</v>
      </c>
      <c r="N27" t="n">
        <v>130167</v>
      </c>
      <c r="O27" t="inlineStr">
        <is>
          <t>Done</t>
        </is>
      </c>
      <c r="P27" t="n">
        <v>3</v>
      </c>
      <c r="Q27" t="inlineStr">
        <is>
          <t>Drakon 7</t>
        </is>
      </c>
      <c r="R27" t="inlineStr">
        <is>
          <t>2022-05-19</t>
        </is>
      </c>
      <c r="S27" t="inlineStr">
        <is>
          <t>2022-06-01</t>
        </is>
      </c>
      <c r="T27" t="inlineStr">
        <is>
          <t>Drakon 7 : 2022-05-19 - 2022-06-01</t>
        </is>
      </c>
      <c r="U27" t="inlineStr">
        <is>
          <t>2022-06-02T00:00:00-05:00</t>
        </is>
      </c>
      <c r="V27" t="inlineStr">
        <is>
          <t>2022-05-31T00:00:00-05:00</t>
        </is>
      </c>
      <c r="W27" t="inlineStr">
        <is>
          <t>2022-06-02T09:11:41-05:00</t>
        </is>
      </c>
      <c r="X27">
        <f>IFERROR(1/COUNTIF($I:$I,@$I:$I), 0)</f>
        <v/>
      </c>
    </row>
    <row r="28">
      <c r="A28">
        <f>HYPERLINK("https://drivetime.tpondemand.com/entity/129667", "129667")</f>
        <v/>
      </c>
      <c r="B28" t="inlineStr">
        <is>
          <t>[SSP][EXP] Payoff Quote Survey</t>
        </is>
      </c>
      <c r="C28" t="inlineStr">
        <is>
          <t>UserStory</t>
        </is>
      </c>
      <c r="D28" t="inlineStr">
        <is>
          <t>Servicing: BC Next</t>
        </is>
      </c>
      <c r="E28" t="inlineStr">
        <is>
          <t>BC Digital Drakon</t>
        </is>
      </c>
      <c r="F28" t="inlineStr">
        <is>
          <t>20</t>
        </is>
      </c>
      <c r="G28" t="inlineStr">
        <is>
          <t>Connor Golobich</t>
        </is>
      </c>
      <c r="H28" t="inlineStr">
        <is>
          <t>[SSP][EXP] Payoff Quote Survey</t>
        </is>
      </c>
      <c r="I28" t="n">
        <v>3</v>
      </c>
      <c r="J28" t="n">
        <v>28.19167824074074</v>
      </c>
      <c r="K28">
        <f>HYPERLINK("https://drivetime.tpondemand.com/entity/132143", "132143")</f>
        <v/>
      </c>
      <c r="L28" t="inlineStr"/>
      <c r="M28" t="n">
        <v>5</v>
      </c>
      <c r="N28" t="n">
        <v>130166</v>
      </c>
      <c r="O28" t="inlineStr">
        <is>
          <t>Done</t>
        </is>
      </c>
      <c r="P28" t="n">
        <v>1</v>
      </c>
      <c r="Q28" t="inlineStr">
        <is>
          <t>Drakon 6</t>
        </is>
      </c>
      <c r="R28" t="inlineStr">
        <is>
          <t>2022-05-05</t>
        </is>
      </c>
      <c r="S28" t="inlineStr">
        <is>
          <t>2022-05-18</t>
        </is>
      </c>
      <c r="T28" t="inlineStr">
        <is>
          <t>Drakon 6 : 2022-05-05 - 2022-05-18</t>
        </is>
      </c>
      <c r="U28" t="inlineStr">
        <is>
          <t>2022-05-16T00:00:00-05:00</t>
        </is>
      </c>
      <c r="V28" t="inlineStr">
        <is>
          <t>2022-05-13T00:00:00-05:00</t>
        </is>
      </c>
      <c r="W28" t="inlineStr">
        <is>
          <t>2022-05-16T15:41:48-05:00</t>
        </is>
      </c>
      <c r="X28">
        <f>IFERROR(1/COUNTIF($I:$I,@$I:$I), 0)</f>
        <v/>
      </c>
    </row>
    <row r="29">
      <c r="A29">
        <f>HYPERLINK("https://drivetime.tpondemand.com/entity/133891", "133891")</f>
        <v/>
      </c>
      <c r="B29" t="inlineStr">
        <is>
          <t>[BC NEXT] Ionic Upgrade - Modals</t>
        </is>
      </c>
      <c r="C29" t="inlineStr">
        <is>
          <t>UserStory</t>
        </is>
      </c>
      <c r="D29" t="inlineStr">
        <is>
          <t>Servicing: BC Next</t>
        </is>
      </c>
      <c r="E29" t="inlineStr">
        <is>
          <t>BC Digital Drakon</t>
        </is>
      </c>
      <c r="F29" t="inlineStr">
        <is>
          <t>32</t>
        </is>
      </c>
      <c r="G29" t="inlineStr">
        <is>
          <t>Abbas Shamshi</t>
        </is>
      </c>
      <c r="H29" t="inlineStr">
        <is>
          <t>[BC NEXT] Bug Fixes/Enhancements for August</t>
        </is>
      </c>
      <c r="I29" t="n">
        <v>7</v>
      </c>
      <c r="J29" t="n">
        <v>43.79290509259259</v>
      </c>
      <c r="K29">
        <f>HYPERLINK("https://drivetime.tpondemand.com/entity/137348", "137348")</f>
        <v/>
      </c>
      <c r="L29" t="inlineStr"/>
      <c r="M29" t="n">
        <v>5</v>
      </c>
      <c r="N29" t="n">
        <v>136568</v>
      </c>
      <c r="O29" t="inlineStr">
        <is>
          <t>Done</t>
        </is>
      </c>
      <c r="P29" t="n">
        <v>2</v>
      </c>
      <c r="Q29" t="inlineStr">
        <is>
          <t>Drakon 12</t>
        </is>
      </c>
      <c r="R29" t="inlineStr">
        <is>
          <t>2022-07-28</t>
        </is>
      </c>
      <c r="S29" t="inlineStr">
        <is>
          <t>2022-08-10</t>
        </is>
      </c>
      <c r="T29" t="inlineStr">
        <is>
          <t>Drakon 12 : 2022-07-28 - 2022-08-10</t>
        </is>
      </c>
      <c r="U29" t="inlineStr">
        <is>
          <t>2022-08-09T00:00:00-05:00</t>
        </is>
      </c>
      <c r="V29" t="inlineStr">
        <is>
          <t>2022-08-02T00:00:00-05:00</t>
        </is>
      </c>
      <c r="W29" t="inlineStr">
        <is>
          <t>2022-08-11T09:14:26-05:00</t>
        </is>
      </c>
      <c r="X29">
        <f>IFERROR(1/COUNTIF($I:$I,@$I:$I), 0)</f>
        <v/>
      </c>
    </row>
    <row r="30">
      <c r="A30">
        <f>HYPERLINK("https://drivetime.tpondemand.com/entity/134409", "134409")</f>
        <v/>
      </c>
      <c r="B30" t="inlineStr">
        <is>
          <t>[BC NEXT] Manage Mods - Manage Modifications Page New Mod Section</t>
        </is>
      </c>
      <c r="C30" t="inlineStr">
        <is>
          <t>UserStory</t>
        </is>
      </c>
      <c r="D30" t="inlineStr">
        <is>
          <t>Servicing: BC Next</t>
        </is>
      </c>
      <c r="E30" t="inlineStr">
        <is>
          <t>BC Digital Drakon</t>
        </is>
      </c>
      <c r="F30" t="inlineStr">
        <is>
          <t>31</t>
        </is>
      </c>
      <c r="G30" t="inlineStr">
        <is>
          <t>Yokeshwaran Lokanathan</t>
        </is>
      </c>
      <c r="H30" t="inlineStr">
        <is>
          <t>[BC NEXT]Phase 3: Manage Modifications Page</t>
        </is>
      </c>
      <c r="I30" t="n">
        <v>6</v>
      </c>
      <c r="J30" t="n">
        <v>21.92913194444444</v>
      </c>
      <c r="K30">
        <f>HYPERLINK("https://drivetime.tpondemand.com/entity/136946", "136946")</f>
        <v/>
      </c>
      <c r="L30" t="inlineStr"/>
      <c r="M30" t="n">
        <v>5</v>
      </c>
      <c r="N30" t="n">
        <v>136568</v>
      </c>
      <c r="O30" t="inlineStr">
        <is>
          <t>Done</t>
        </is>
      </c>
      <c r="P30" t="n">
        <v>2</v>
      </c>
      <c r="Q30" t="inlineStr">
        <is>
          <t>Drakon 12</t>
        </is>
      </c>
      <c r="R30" t="inlineStr">
        <is>
          <t>2022-07-28</t>
        </is>
      </c>
      <c r="S30" t="inlineStr">
        <is>
          <t>2022-08-10</t>
        </is>
      </c>
      <c r="T30" t="inlineStr">
        <is>
          <t>Drakon 12 : 2022-07-28 - 2022-08-10</t>
        </is>
      </c>
      <c r="U30" t="inlineStr">
        <is>
          <t>2022-08-04T00:00:00-05:00</t>
        </is>
      </c>
      <c r="V30" t="inlineStr">
        <is>
          <t>2022-07-29T00:00:00-05:00</t>
        </is>
      </c>
      <c r="W30" t="inlineStr">
        <is>
          <t>2022-08-04T09:15:11-05:00</t>
        </is>
      </c>
      <c r="X30">
        <f>IFERROR(1/COUNTIF($I:$I,@$I:$I), 0)</f>
        <v/>
      </c>
    </row>
    <row r="31">
      <c r="A31">
        <f>HYPERLINK("https://drivetime.tpondemand.com/entity/134469", "134469")</f>
        <v/>
      </c>
      <c r="B31" t="inlineStr">
        <is>
          <t>[BC NEXT] Manage Mods - Manage Modifications Completed Modifications Section</t>
        </is>
      </c>
      <c r="C31" t="inlineStr">
        <is>
          <t>UserStory</t>
        </is>
      </c>
      <c r="D31" t="inlineStr">
        <is>
          <t>Servicing: BC Next</t>
        </is>
      </c>
      <c r="E31" t="inlineStr">
        <is>
          <t>BC Digital Drakon</t>
        </is>
      </c>
      <c r="F31" t="inlineStr">
        <is>
          <t>34</t>
        </is>
      </c>
      <c r="G31" t="inlineStr">
        <is>
          <t>Antonio Posada</t>
        </is>
      </c>
      <c r="H31" t="inlineStr">
        <is>
          <t>[BC NEXT]Phase 3: Manage Modifications Page</t>
        </is>
      </c>
      <c r="I31" t="n">
        <v>1</v>
      </c>
      <c r="J31" t="n">
        <v>41.87325231481481</v>
      </c>
      <c r="K31">
        <f>HYPERLINK("https://drivetime.tpondemand.com/entity/136946", "136946")</f>
        <v/>
      </c>
      <c r="L31" t="inlineStr"/>
      <c r="M31" t="n">
        <v>5</v>
      </c>
      <c r="N31" t="n">
        <v>136569</v>
      </c>
      <c r="O31" t="inlineStr">
        <is>
          <t>Done</t>
        </is>
      </c>
      <c r="P31" t="n">
        <v>1</v>
      </c>
      <c r="Q31" t="inlineStr">
        <is>
          <t>Drakon 13</t>
        </is>
      </c>
      <c r="R31" t="inlineStr">
        <is>
          <t>2022-08-11</t>
        </is>
      </c>
      <c r="S31" t="inlineStr">
        <is>
          <t>2022-08-24</t>
        </is>
      </c>
      <c r="T31" t="inlineStr">
        <is>
          <t>Drakon 13 : 2022-08-11 - 2022-08-24</t>
        </is>
      </c>
      <c r="U31" t="inlineStr">
        <is>
          <t>2022-08-23T00:00:00-05:00</t>
        </is>
      </c>
      <c r="V31" t="inlineStr">
        <is>
          <t>2022-08-22T00:00:00-05:00</t>
        </is>
      </c>
      <c r="W31" t="inlineStr">
        <is>
          <t>2022-08-23T13:57:02-05:00</t>
        </is>
      </c>
      <c r="X31">
        <f>IFERROR(1/COUNTIF($I:$I,@$I:$I), 0)</f>
        <v/>
      </c>
    </row>
    <row r="32">
      <c r="A32">
        <f>HYPERLINK("https://drivetime.tpondemand.com/entity/134939", "134939")</f>
        <v/>
      </c>
      <c r="B32" t="inlineStr">
        <is>
          <t>[BC NEXT] Redirect after login not working when hitting direct routes</t>
        </is>
      </c>
      <c r="C32" t="inlineStr">
        <is>
          <t>UserStory</t>
        </is>
      </c>
      <c r="D32" t="inlineStr">
        <is>
          <t>Servicing: BC Next</t>
        </is>
      </c>
      <c r="E32" t="inlineStr">
        <is>
          <t>BC Digital Drakon</t>
        </is>
      </c>
      <c r="F32" t="inlineStr">
        <is>
          <t>31</t>
        </is>
      </c>
      <c r="G32" t="inlineStr">
        <is>
          <t>Yokeshwaran Lokanathan</t>
        </is>
      </c>
      <c r="H32" t="inlineStr">
        <is>
          <t>[BC NEXT] Bug Fixes/Enhancements for August</t>
        </is>
      </c>
      <c r="I32" t="n">
        <v>19</v>
      </c>
      <c r="J32" t="n">
        <v>26.22917824074074</v>
      </c>
      <c r="K32">
        <f>HYPERLINK("https://drivetime.tpondemand.com/entity/136925", "136925")</f>
        <v/>
      </c>
      <c r="L32" t="inlineStr"/>
      <c r="M32" t="n">
        <v>5</v>
      </c>
      <c r="N32" t="n">
        <v>133019</v>
      </c>
      <c r="O32" t="inlineStr">
        <is>
          <t>Done</t>
        </is>
      </c>
      <c r="P32" t="n">
        <v>0</v>
      </c>
      <c r="Q32" t="inlineStr">
        <is>
          <t>Drakon 10</t>
        </is>
      </c>
      <c r="R32" t="inlineStr">
        <is>
          <t>2022-06-30</t>
        </is>
      </c>
      <c r="S32" t="inlineStr">
        <is>
          <t>2022-07-13</t>
        </is>
      </c>
      <c r="T32" t="inlineStr">
        <is>
          <t>Drakon 10 : 2022-06-30 - 2022-07-13</t>
        </is>
      </c>
      <c r="U32" t="inlineStr">
        <is>
          <t>2022-08-02T00:00:00-05:00</t>
        </is>
      </c>
      <c r="V32" t="inlineStr">
        <is>
          <t>2022-07-14T00:00:00-05:00</t>
        </is>
      </c>
      <c r="W32" t="inlineStr">
        <is>
          <t>2022-08-02T16:02:17-05:00</t>
        </is>
      </c>
      <c r="X32">
        <f>IFERROR(1/COUNTIF($I:$I,@$I:$I), 0)</f>
        <v/>
      </c>
    </row>
    <row r="33">
      <c r="A33">
        <f>HYPERLINK("https://drivetime.tpondemand.com/entity/135428", "135428")</f>
        <v/>
      </c>
      <c r="B33" t="inlineStr">
        <is>
          <t>[BC NEXT] Paymentus Quick Access - Login Page UI</t>
        </is>
      </c>
      <c r="C33" t="inlineStr">
        <is>
          <t>UserStory</t>
        </is>
      </c>
      <c r="D33" t="inlineStr">
        <is>
          <t>Servicing: BC Next</t>
        </is>
      </c>
      <c r="E33" t="inlineStr">
        <is>
          <t>BC Digital Drakon</t>
        </is>
      </c>
      <c r="F33" t="inlineStr">
        <is>
          <t>32</t>
        </is>
      </c>
      <c r="G33" t="inlineStr">
        <is>
          <t>Chirag Khandhar</t>
        </is>
      </c>
      <c r="H33" t="inlineStr">
        <is>
          <t>[BC NEXT] Paymentus Quick Access Page</t>
        </is>
      </c>
      <c r="I33" t="n">
        <v>1</v>
      </c>
      <c r="J33" t="n">
        <v>13.07752314814815</v>
      </c>
      <c r="K33">
        <f>HYPERLINK("https://drivetime.tpondemand.com/entity/138993", "138993")</f>
        <v/>
      </c>
      <c r="L33" t="inlineStr"/>
      <c r="M33" t="n">
        <v>5</v>
      </c>
      <c r="N33" t="n">
        <v>136568</v>
      </c>
      <c r="O33" t="inlineStr">
        <is>
          <t>Done</t>
        </is>
      </c>
      <c r="P33" t="n">
        <v>2</v>
      </c>
      <c r="Q33" t="inlineStr">
        <is>
          <t>Drakon 12</t>
        </is>
      </c>
      <c r="R33" t="inlineStr">
        <is>
          <t>2022-07-28</t>
        </is>
      </c>
      <c r="S33" t="inlineStr">
        <is>
          <t>2022-08-10</t>
        </is>
      </c>
      <c r="T33" t="inlineStr">
        <is>
          <t>Drakon 12 : 2022-07-28 - 2022-08-10</t>
        </is>
      </c>
      <c r="U33" t="inlineStr">
        <is>
          <t>2022-08-11T00:00:00-05:00</t>
        </is>
      </c>
      <c r="V33" t="inlineStr">
        <is>
          <t>2022-08-10T00:00:00-05:00</t>
        </is>
      </c>
      <c r="W33" t="inlineStr">
        <is>
          <t>2022-08-11T12:28:05-05:00</t>
        </is>
      </c>
      <c r="X33">
        <f>IFERROR(1/COUNTIF($I:$I,@$I:$I), 0)</f>
        <v/>
      </c>
    </row>
    <row r="34">
      <c r="A34">
        <f>HYPERLINK("https://drivetime.tpondemand.com/entity/135468", "135468")</f>
        <v/>
      </c>
      <c r="B34" t="inlineStr">
        <is>
          <t>[BC NEXT] App Update Modal</t>
        </is>
      </c>
      <c r="C34" t="inlineStr">
        <is>
          <t>UserStory</t>
        </is>
      </c>
      <c r="D34" t="inlineStr">
        <is>
          <t>Servicing: BC Next</t>
        </is>
      </c>
      <c r="E34" t="inlineStr">
        <is>
          <t>BC Digital Drakon</t>
        </is>
      </c>
      <c r="F34" t="inlineStr">
        <is>
          <t>34</t>
        </is>
      </c>
      <c r="G34" t="inlineStr">
        <is>
          <t>Connor Golobich</t>
        </is>
      </c>
      <c r="H34" t="inlineStr">
        <is>
          <t>[BC NEXT] Force App Update</t>
        </is>
      </c>
      <c r="I34" t="n">
        <v>3</v>
      </c>
      <c r="J34" t="n">
        <v>33.18545138888889</v>
      </c>
      <c r="K34">
        <f>HYPERLINK("https://drivetime.tpondemand.com/entity/138158", "138158")</f>
        <v/>
      </c>
      <c r="L34" t="inlineStr"/>
      <c r="M34" t="n">
        <v>5</v>
      </c>
      <c r="N34" t="n">
        <v>136569</v>
      </c>
      <c r="O34" t="inlineStr">
        <is>
          <t>Done</t>
        </is>
      </c>
      <c r="P34" t="n">
        <v>0</v>
      </c>
      <c r="Q34" t="inlineStr">
        <is>
          <t>Drakon 13</t>
        </is>
      </c>
      <c r="R34" t="inlineStr">
        <is>
          <t>2022-08-11</t>
        </is>
      </c>
      <c r="S34" t="inlineStr">
        <is>
          <t>2022-08-24</t>
        </is>
      </c>
      <c r="T34" t="inlineStr">
        <is>
          <t>Drakon 13 : 2022-08-11 - 2022-08-24</t>
        </is>
      </c>
      <c r="U34" t="inlineStr">
        <is>
          <t>2022-08-22T00:00:00-05:00</t>
        </is>
      </c>
      <c r="V34" t="inlineStr">
        <is>
          <t>2022-08-19T00:00:00-05:00</t>
        </is>
      </c>
      <c r="W34" t="inlineStr">
        <is>
          <t>2022-08-22T14:59:55-05:00</t>
        </is>
      </c>
      <c r="X34">
        <f>IFERROR(1/COUNTIF($I:$I,@$I:$I), 0)</f>
        <v/>
      </c>
    </row>
    <row r="35">
      <c r="A35">
        <f>HYPERLINK("https://drivetime.tpondemand.com/entity/135618", "135618")</f>
        <v/>
      </c>
      <c r="B35" t="inlineStr">
        <is>
          <t>[BC NEXT] Paymentus Quick Access - Login Logic</t>
        </is>
      </c>
      <c r="C35" t="inlineStr">
        <is>
          <t>UserStory</t>
        </is>
      </c>
      <c r="D35" t="inlineStr">
        <is>
          <t>Servicing: BC Next</t>
        </is>
      </c>
      <c r="E35" t="inlineStr">
        <is>
          <t>BC Digital Drakon</t>
        </is>
      </c>
      <c r="F35" t="inlineStr">
        <is>
          <t>36</t>
        </is>
      </c>
      <c r="G35" t="inlineStr">
        <is>
          <t>Yokeshwaran Lokanathan</t>
        </is>
      </c>
      <c r="H35" t="inlineStr">
        <is>
          <t>[BC NEXT] Paymentus Quick Access Page</t>
        </is>
      </c>
      <c r="I35" t="n">
        <v>5</v>
      </c>
      <c r="J35" t="n">
        <v>29.29069444444444</v>
      </c>
      <c r="K35">
        <f>HYPERLINK("https://drivetime.tpondemand.com/entity/138993", "138993")</f>
        <v/>
      </c>
      <c r="L35" t="inlineStr"/>
      <c r="M35" t="n">
        <v>5</v>
      </c>
      <c r="N35" t="n">
        <v>136572</v>
      </c>
      <c r="O35" t="inlineStr">
        <is>
          <t>Done</t>
        </is>
      </c>
      <c r="P35" t="n">
        <v>3</v>
      </c>
      <c r="Q35" t="inlineStr">
        <is>
          <t>Drakon 14</t>
        </is>
      </c>
      <c r="R35" t="inlineStr">
        <is>
          <t>2022-08-25</t>
        </is>
      </c>
      <c r="S35" t="inlineStr">
        <is>
          <t>2022-09-07</t>
        </is>
      </c>
      <c r="T35" t="inlineStr">
        <is>
          <t>Drakon 14 : 2022-08-25 - 2022-09-07</t>
        </is>
      </c>
      <c r="U35" t="inlineStr">
        <is>
          <t>2022-09-06T00:00:00-05:00</t>
        </is>
      </c>
      <c r="V35" t="inlineStr">
        <is>
          <t>2022-09-01T00:00:00-05:00</t>
        </is>
      </c>
      <c r="W35" t="inlineStr">
        <is>
          <t>2022-09-06T17:32:57-05:00</t>
        </is>
      </c>
      <c r="X35">
        <f>IFERROR(1/COUNTIF($I:$I,@$I:$I), 0)</f>
        <v/>
      </c>
    </row>
    <row r="36">
      <c r="A36">
        <f>HYPERLINK("https://drivetime.tpondemand.com/entity/136983", "136983")</f>
        <v/>
      </c>
      <c r="B36" t="inlineStr">
        <is>
          <t>[BC NEXT][RESEARCH] Account Settings - Understand backend connections</t>
        </is>
      </c>
      <c r="C36" t="inlineStr">
        <is>
          <t>UserStory</t>
        </is>
      </c>
      <c r="D36" t="inlineStr">
        <is>
          <t>Servicing: BC Next</t>
        </is>
      </c>
      <c r="E36" t="inlineStr">
        <is>
          <t>BC Digital Drakon</t>
        </is>
      </c>
      <c r="F36" t="inlineStr">
        <is>
          <t>36</t>
        </is>
      </c>
      <c r="G36" t="inlineStr">
        <is>
          <t>Pete Wesselius</t>
        </is>
      </c>
      <c r="H36" t="inlineStr">
        <is>
          <t>[BC NEXT] Phase 3: Account Settings/My Profile</t>
        </is>
      </c>
      <c r="I36" t="n">
        <v>0</v>
      </c>
      <c r="J36" t="n">
        <v>28.06665509259259</v>
      </c>
      <c r="K36" t="inlineStr"/>
      <c r="L36" t="inlineStr"/>
      <c r="M36" t="n">
        <v>5</v>
      </c>
      <c r="N36" t="n">
        <v>136572</v>
      </c>
      <c r="O36" t="inlineStr">
        <is>
          <t>Done</t>
        </is>
      </c>
      <c r="P36" t="n">
        <v>0</v>
      </c>
      <c r="Q36" t="inlineStr">
        <is>
          <t>Drakon 14</t>
        </is>
      </c>
      <c r="R36" t="inlineStr">
        <is>
          <t>2022-08-25</t>
        </is>
      </c>
      <c r="S36" t="inlineStr">
        <is>
          <t>2022-09-07</t>
        </is>
      </c>
      <c r="T36" t="inlineStr">
        <is>
          <t>Drakon 14 : 2022-08-25 - 2022-09-07</t>
        </is>
      </c>
      <c r="U36" t="inlineStr">
        <is>
          <t>2022-09-09T00:00:00-05:00</t>
        </is>
      </c>
      <c r="V36" t="inlineStr">
        <is>
          <t>2022-09-09T00:00:00-05:00</t>
        </is>
      </c>
      <c r="W36" t="inlineStr">
        <is>
          <t>2022-09-09T12:33:53-05:00</t>
        </is>
      </c>
      <c r="X36">
        <f>IFERROR(1/COUNTIF($I:$I,@$I:$I), 0)</f>
        <v/>
      </c>
    </row>
    <row r="37">
      <c r="A37">
        <f>HYPERLINK("https://drivetime.tpondemand.com/entity/138513", "138513")</f>
        <v/>
      </c>
      <c r="B37" t="inlineStr">
        <is>
          <t>[BC NEXT] UI fixes</t>
        </is>
      </c>
      <c r="C37" t="inlineStr">
        <is>
          <t>UserStory</t>
        </is>
      </c>
      <c r="D37" t="inlineStr">
        <is>
          <t>Servicing: BC Next</t>
        </is>
      </c>
      <c r="E37" t="inlineStr">
        <is>
          <t>BC Digital Drakon</t>
        </is>
      </c>
      <c r="F37" t="inlineStr">
        <is>
          <t>37</t>
        </is>
      </c>
      <c r="G37" t="inlineStr">
        <is>
          <t>Chirag Khandhar</t>
        </is>
      </c>
      <c r="H37" t="inlineStr">
        <is>
          <t>null</t>
        </is>
      </c>
      <c r="I37" t="n">
        <v>6</v>
      </c>
      <c r="J37" t="n">
        <v>19.97923611111111</v>
      </c>
      <c r="K37">
        <f>HYPERLINK("https://drivetime.tpondemand.com/entity/139500", "139500")</f>
        <v/>
      </c>
      <c r="L37" t="inlineStr"/>
      <c r="M37" t="n">
        <v>5</v>
      </c>
      <c r="N37" t="n">
        <v>136574</v>
      </c>
      <c r="O37" t="inlineStr">
        <is>
          <t>Done</t>
        </is>
      </c>
      <c r="P37" t="n">
        <v>2</v>
      </c>
      <c r="Q37" t="inlineStr">
        <is>
          <t>Drakon 15</t>
        </is>
      </c>
      <c r="R37" t="inlineStr">
        <is>
          <t>2022-09-08</t>
        </is>
      </c>
      <c r="S37" t="inlineStr">
        <is>
          <t>2022-09-21</t>
        </is>
      </c>
      <c r="T37" t="inlineStr">
        <is>
          <t>Drakon 15 : 2022-09-08 - 2022-09-21</t>
        </is>
      </c>
      <c r="U37" t="inlineStr">
        <is>
          <t>2022-09-14T00:00:00-05:00</t>
        </is>
      </c>
      <c r="V37" t="inlineStr">
        <is>
          <t>2022-09-08T00:00:00-05:00</t>
        </is>
      </c>
      <c r="W37" t="inlineStr">
        <is>
          <t>2022-09-14T12:47:09-05:00</t>
        </is>
      </c>
      <c r="X37">
        <f>IFERROR(1/COUNTIF($I:$I,@$I:$I), 0)</f>
        <v/>
      </c>
    </row>
    <row r="38">
      <c r="A38">
        <f>HYPERLINK("https://drivetime.tpondemand.com/entity/138798", "138798")</f>
        <v/>
      </c>
      <c r="B38" t="inlineStr">
        <is>
          <t>[BC NEXT] Payoff Quote - Payoff Quote Page</t>
        </is>
      </c>
      <c r="C38" t="inlineStr">
        <is>
          <t>UserStory</t>
        </is>
      </c>
      <c r="D38" t="inlineStr">
        <is>
          <t>Servicing: BC Next</t>
        </is>
      </c>
      <c r="E38" t="inlineStr">
        <is>
          <t>BC Digital Drakon</t>
        </is>
      </c>
      <c r="F38" t="inlineStr">
        <is>
          <t>42</t>
        </is>
      </c>
      <c r="G38" t="inlineStr">
        <is>
          <t>Chirag Khandhar</t>
        </is>
      </c>
      <c r="H38" t="inlineStr">
        <is>
          <t>[BC NEXT]Phase 3: Payoff Quote</t>
        </is>
      </c>
      <c r="I38" t="n">
        <v>3</v>
      </c>
      <c r="J38" t="n">
        <v>24.36258101851852</v>
      </c>
      <c r="K38">
        <f>HYPERLINK("https://drivetime.tpondemand.com/entity/141476", "141476")</f>
        <v/>
      </c>
      <c r="L38" t="inlineStr"/>
      <c r="M38" t="n">
        <v>5</v>
      </c>
      <c r="N38" t="n">
        <v>136576</v>
      </c>
      <c r="O38" t="inlineStr">
        <is>
          <t>Done</t>
        </is>
      </c>
      <c r="P38" t="n">
        <v>3</v>
      </c>
      <c r="Q38" t="inlineStr">
        <is>
          <t>Drakon 17</t>
        </is>
      </c>
      <c r="R38" t="inlineStr">
        <is>
          <t>2022-10-06</t>
        </is>
      </c>
      <c r="S38" t="inlineStr">
        <is>
          <t>2022-10-19</t>
        </is>
      </c>
      <c r="T38" t="inlineStr">
        <is>
          <t>Drakon 17 : 2022-10-06 - 2022-10-19</t>
        </is>
      </c>
      <c r="U38" t="inlineStr">
        <is>
          <t>2022-10-17T00:00:00-05:00</t>
        </is>
      </c>
      <c r="V38" t="inlineStr">
        <is>
          <t>2022-10-14T00:00:00-05:00</t>
        </is>
      </c>
      <c r="W38" t="inlineStr">
        <is>
          <t>2022-10-17T18:01:10-05:00</t>
        </is>
      </c>
      <c r="X38">
        <f>IFERROR(1/COUNTIF($I:$I,@$I:$I), 0)</f>
        <v/>
      </c>
    </row>
    <row r="39">
      <c r="A39">
        <f>HYPERLINK("https://drivetime.tpondemand.com/entity/138825", "138825")</f>
        <v/>
      </c>
      <c r="B39" t="inlineStr">
        <is>
          <t>[BC NEXT] Payoff Quote - Payoff Today OTP Updates</t>
        </is>
      </c>
      <c r="C39" t="inlineStr">
        <is>
          <t>UserStory</t>
        </is>
      </c>
      <c r="D39" t="inlineStr">
        <is>
          <t>Servicing: BC Next</t>
        </is>
      </c>
      <c r="E39" t="inlineStr">
        <is>
          <t>BC Digital Drakon</t>
        </is>
      </c>
      <c r="F39" t="inlineStr">
        <is>
          <t>42</t>
        </is>
      </c>
      <c r="G39" t="inlineStr">
        <is>
          <t>Yokeshwaran Lokanathan and Pete Wesselius</t>
        </is>
      </c>
      <c r="H39" t="inlineStr">
        <is>
          <t>[BC NEXT]Phase 3: Payoff Quote</t>
        </is>
      </c>
      <c r="I39" t="n">
        <v>0</v>
      </c>
      <c r="J39" t="n">
        <v>24.28986111111111</v>
      </c>
      <c r="K39">
        <f>HYPERLINK("https://drivetime.tpondemand.com/entity/141476", "141476")</f>
        <v/>
      </c>
      <c r="L39" t="inlineStr"/>
      <c r="M39" t="n">
        <v>5</v>
      </c>
      <c r="N39" t="n">
        <v>136576</v>
      </c>
      <c r="O39" t="inlineStr">
        <is>
          <t>Done</t>
        </is>
      </c>
      <c r="P39" t="n">
        <v>2</v>
      </c>
      <c r="Q39" t="inlineStr">
        <is>
          <t>Drakon 17</t>
        </is>
      </c>
      <c r="R39" t="inlineStr">
        <is>
          <t>2022-10-06</t>
        </is>
      </c>
      <c r="S39" t="inlineStr">
        <is>
          <t>2022-10-19</t>
        </is>
      </c>
      <c r="T39" t="inlineStr">
        <is>
          <t>Drakon 17 : 2022-10-06 - 2022-10-19</t>
        </is>
      </c>
      <c r="U39" t="inlineStr">
        <is>
          <t>2022-10-17T00:00:00-05:00</t>
        </is>
      </c>
      <c r="V39" t="inlineStr">
        <is>
          <t>2022-10-17T00:00:00-05:00</t>
        </is>
      </c>
      <c r="W39" t="inlineStr">
        <is>
          <t>2022-10-17T18:01:44-05:00</t>
        </is>
      </c>
      <c r="X39">
        <f>IFERROR(1/COUNTIF($I:$I,@$I:$I), 0)</f>
        <v/>
      </c>
    </row>
    <row r="40">
      <c r="A40">
        <f>HYPERLINK("https://drivetime.tpondemand.com/entity/138961", "138961")</f>
        <v/>
      </c>
      <c r="B40" t="inlineStr">
        <is>
          <t>[BC NEXT] My Profile - Create My Address UI on My Profile Page</t>
        </is>
      </c>
      <c r="C40" t="inlineStr">
        <is>
          <t>UserStory</t>
        </is>
      </c>
      <c r="D40" t="inlineStr">
        <is>
          <t>Servicing: BC Next</t>
        </is>
      </c>
      <c r="E40" t="inlineStr">
        <is>
          <t>BC Digital Drakon</t>
        </is>
      </c>
      <c r="F40" t="inlineStr">
        <is>
          <t>46</t>
        </is>
      </c>
      <c r="G40" t="inlineStr">
        <is>
          <t>Yokeshwaran Lokanathan</t>
        </is>
      </c>
      <c r="H40" t="inlineStr">
        <is>
          <t>[BC NEXT] Phase 3: Account Settings/My Profile</t>
        </is>
      </c>
      <c r="I40" t="n">
        <v>12</v>
      </c>
      <c r="J40" t="n">
        <v>41.23458333333333</v>
      </c>
      <c r="K40">
        <f>HYPERLINK("https://drivetime.tpondemand.com/entity/144279", "144279")</f>
        <v/>
      </c>
      <c r="L40" t="inlineStr"/>
      <c r="M40" t="n">
        <v>5</v>
      </c>
      <c r="N40" t="n">
        <v>136578</v>
      </c>
      <c r="O40" t="inlineStr">
        <is>
          <t>Done</t>
        </is>
      </c>
      <c r="P40" t="n">
        <v>2</v>
      </c>
      <c r="Q40" t="inlineStr">
        <is>
          <t>Drakon 19</t>
        </is>
      </c>
      <c r="R40" t="inlineStr">
        <is>
          <t>2022-11-03</t>
        </is>
      </c>
      <c r="S40" t="inlineStr">
        <is>
          <t>2022-11-16</t>
        </is>
      </c>
      <c r="T40" t="inlineStr">
        <is>
          <t>Drakon 19 : 2022-11-03 - 2022-11-16</t>
        </is>
      </c>
      <c r="U40" t="inlineStr">
        <is>
          <t>2022-11-16T00:00:00-06:00</t>
        </is>
      </c>
      <c r="V40" t="inlineStr">
        <is>
          <t>2022-11-04T00:00:00-05:00</t>
        </is>
      </c>
      <c r="W40" t="inlineStr">
        <is>
          <t>2022-11-16T16:45:19-06:00</t>
        </is>
      </c>
      <c r="X40">
        <f>IFERROR(1/COUNTIF($I:$I,@$I:$I), 0)</f>
        <v/>
      </c>
    </row>
    <row r="41">
      <c r="A41">
        <f>HYPERLINK("https://drivetime.tpondemand.com/entity/138989", "138989")</f>
        <v/>
      </c>
      <c r="B41" t="inlineStr">
        <is>
          <t>[BC NEXT] My Profile - Create Address Modals</t>
        </is>
      </c>
      <c r="C41" t="inlineStr">
        <is>
          <t>UserStory</t>
        </is>
      </c>
      <c r="D41" t="inlineStr">
        <is>
          <t>Servicing: BC Next</t>
        </is>
      </c>
      <c r="E41" t="inlineStr">
        <is>
          <t>BC Digital Drakon</t>
        </is>
      </c>
      <c r="F41" t="inlineStr"/>
      <c r="G41" t="inlineStr">
        <is>
          <t>Antonio Posada</t>
        </is>
      </c>
      <c r="H41" t="inlineStr">
        <is>
          <t>[BC NEXT] Phase 3: Account Settings/My Profile</t>
        </is>
      </c>
      <c r="I41" t="inlineStr"/>
      <c r="J41" t="n">
        <v>69.62071056794676</v>
      </c>
      <c r="K41">
        <f>HYPERLINK("https://drivetime.tpondemand.com/entity/147266", "147266")</f>
        <v/>
      </c>
      <c r="L41" t="inlineStr"/>
      <c r="M41" t="n">
        <v>5</v>
      </c>
      <c r="N41" t="n">
        <v>146434</v>
      </c>
      <c r="O41" t="inlineStr">
        <is>
          <t>Ready for Deploy</t>
        </is>
      </c>
      <c r="P41" t="n">
        <v>5</v>
      </c>
      <c r="Q41" t="inlineStr">
        <is>
          <t>Drakon 23</t>
        </is>
      </c>
      <c r="R41" t="inlineStr">
        <is>
          <t>2022-12-29</t>
        </is>
      </c>
      <c r="S41" t="inlineStr">
        <is>
          <t>2023-01-11</t>
        </is>
      </c>
      <c r="T41" t="inlineStr">
        <is>
          <t>Drakon 23 : 2022-12-29 - 2023-01-11</t>
        </is>
      </c>
      <c r="U41" t="inlineStr"/>
      <c r="V41" t="inlineStr">
        <is>
          <t>2022-12-23T00:00:00-06:00</t>
        </is>
      </c>
      <c r="X41">
        <f>IFERROR(1/COUNTIF($I:$I,@$I:$I), 0)</f>
        <v/>
      </c>
    </row>
    <row r="42">
      <c r="A42">
        <f>HYPERLINK("https://drivetime.tpondemand.com/entity/139149", "139149")</f>
        <v/>
      </c>
      <c r="B42" t="inlineStr">
        <is>
          <t>[BC NEXT] My Profile - Create Phone Number Modals</t>
        </is>
      </c>
      <c r="C42" t="inlineStr">
        <is>
          <t>UserStory</t>
        </is>
      </c>
      <c r="D42" t="inlineStr">
        <is>
          <t>Servicing: BC Next</t>
        </is>
      </c>
      <c r="E42" t="inlineStr">
        <is>
          <t>BC Digital Drakon</t>
        </is>
      </c>
      <c r="F42" t="inlineStr">
        <is>
          <t>46</t>
        </is>
      </c>
      <c r="G42" t="inlineStr">
        <is>
          <t>Chirag Khandhar</t>
        </is>
      </c>
      <c r="H42" t="inlineStr">
        <is>
          <t>[BC NEXT] Phase 3: Account Settings/My Profile</t>
        </is>
      </c>
      <c r="I42" t="n">
        <v>6</v>
      </c>
      <c r="J42" t="n">
        <v>24.1880787037037</v>
      </c>
      <c r="K42">
        <f>HYPERLINK("https://drivetime.tpondemand.com/entity/144410", "144410")</f>
        <v/>
      </c>
      <c r="L42" t="inlineStr"/>
      <c r="M42" t="n">
        <v>5</v>
      </c>
      <c r="N42" t="n">
        <v>136578</v>
      </c>
      <c r="O42" t="inlineStr">
        <is>
          <t>Done</t>
        </is>
      </c>
      <c r="P42" t="n">
        <v>1</v>
      </c>
      <c r="Q42" t="inlineStr">
        <is>
          <t>Drakon 19</t>
        </is>
      </c>
      <c r="R42" t="inlineStr">
        <is>
          <t>2022-11-03</t>
        </is>
      </c>
      <c r="S42" t="inlineStr">
        <is>
          <t>2022-11-16</t>
        </is>
      </c>
      <c r="T42" t="inlineStr">
        <is>
          <t>Drakon 19 : 2022-11-03 - 2022-11-16</t>
        </is>
      </c>
      <c r="U42" t="inlineStr">
        <is>
          <t>2022-11-17T00:00:00-06:00</t>
        </is>
      </c>
      <c r="V42" t="inlineStr">
        <is>
          <t>2022-11-11T00:00:00-06:00</t>
        </is>
      </c>
      <c r="W42" t="inlineStr">
        <is>
          <t>2022-11-17T13:55:45-06:00</t>
        </is>
      </c>
      <c r="X42">
        <f>IFERROR(1/COUNTIF($I:$I,@$I:$I), 0)</f>
        <v/>
      </c>
    </row>
    <row r="43">
      <c r="A43">
        <f>HYPERLINK("https://drivetime.tpondemand.com/entity/139405", "139405")</f>
        <v/>
      </c>
      <c r="B43" t="inlineStr">
        <is>
          <t>[BC NEXT] My Profile - Create My Vehicles and My Email Addresses UI on My Profile Page</t>
        </is>
      </c>
      <c r="C43" t="inlineStr">
        <is>
          <t>UserStory</t>
        </is>
      </c>
      <c r="D43" t="inlineStr">
        <is>
          <t>Servicing: BC Next</t>
        </is>
      </c>
      <c r="E43" t="inlineStr">
        <is>
          <t>BC Digital Drakon</t>
        </is>
      </c>
      <c r="F43" t="inlineStr">
        <is>
          <t>46</t>
        </is>
      </c>
      <c r="G43" t="inlineStr">
        <is>
          <t>Pete Wesselius</t>
        </is>
      </c>
      <c r="H43" t="inlineStr">
        <is>
          <t>[BC NEXT] Phase 3: Account Settings/My Profile</t>
        </is>
      </c>
      <c r="I43" t="n">
        <v>2</v>
      </c>
      <c r="J43" t="n">
        <v>36.23829861111111</v>
      </c>
      <c r="K43">
        <f>HYPERLINK("https://drivetime.tpondemand.com/entity/144279", "144279")</f>
        <v/>
      </c>
      <c r="L43" t="inlineStr"/>
      <c r="M43" t="n">
        <v>5</v>
      </c>
      <c r="N43" t="n">
        <v>136578</v>
      </c>
      <c r="O43" t="inlineStr">
        <is>
          <t>Done</t>
        </is>
      </c>
      <c r="P43" t="n">
        <v>1</v>
      </c>
      <c r="Q43" t="inlineStr">
        <is>
          <t>Drakon 19</t>
        </is>
      </c>
      <c r="R43" t="inlineStr">
        <is>
          <t>2022-11-03</t>
        </is>
      </c>
      <c r="S43" t="inlineStr">
        <is>
          <t>2022-11-16</t>
        </is>
      </c>
      <c r="T43" t="inlineStr">
        <is>
          <t>Drakon 19 : 2022-11-03 - 2022-11-16</t>
        </is>
      </c>
      <c r="U43" t="inlineStr">
        <is>
          <t>2022-11-16T00:00:00-06:00</t>
        </is>
      </c>
      <c r="V43" t="inlineStr">
        <is>
          <t>2022-11-14T00:00:00-06:00</t>
        </is>
      </c>
      <c r="W43" t="inlineStr">
        <is>
          <t>2022-11-16T16:44:17-06:00</t>
        </is>
      </c>
      <c r="X43">
        <f>IFERROR(1/COUNTIF($I:$I,@$I:$I), 0)</f>
        <v/>
      </c>
    </row>
    <row r="44">
      <c r="A44">
        <f>HYPERLINK("https://drivetime.tpondemand.com/entity/139413", "139413")</f>
        <v/>
      </c>
      <c r="B44" t="inlineStr">
        <is>
          <t>[BC NEXT] My Profile - Create Delete Modals</t>
        </is>
      </c>
      <c r="C44" t="inlineStr">
        <is>
          <t>UserStory</t>
        </is>
      </c>
      <c r="D44" t="inlineStr">
        <is>
          <t>Servicing: BC Next</t>
        </is>
      </c>
      <c r="E44" t="inlineStr">
        <is>
          <t>BC Digital Drakon</t>
        </is>
      </c>
      <c r="F44" t="inlineStr">
        <is>
          <t>46</t>
        </is>
      </c>
      <c r="G44" t="inlineStr">
        <is>
          <t>Abbas Shamshi</t>
        </is>
      </c>
      <c r="H44" t="inlineStr">
        <is>
          <t>[BC NEXT] Phase 3: Account Settings/My Profile</t>
        </is>
      </c>
      <c r="I44" t="n">
        <v>0</v>
      </c>
      <c r="J44" t="n">
        <v>26.94497685185185</v>
      </c>
      <c r="K44">
        <f>HYPERLINK("https://drivetime.tpondemand.com/entity/144279", "144279")</f>
        <v/>
      </c>
      <c r="L44" t="inlineStr"/>
      <c r="M44" t="n">
        <v>5</v>
      </c>
      <c r="N44" t="n">
        <v>136578</v>
      </c>
      <c r="O44" t="inlineStr">
        <is>
          <t>Done</t>
        </is>
      </c>
      <c r="P44" t="n">
        <v>1</v>
      </c>
      <c r="Q44" t="inlineStr">
        <is>
          <t>Drakon 19</t>
        </is>
      </c>
      <c r="R44" t="inlineStr">
        <is>
          <t>2022-11-03</t>
        </is>
      </c>
      <c r="S44" t="inlineStr">
        <is>
          <t>2022-11-16</t>
        </is>
      </c>
      <c r="T44" t="inlineStr">
        <is>
          <t>Drakon 19 : 2022-11-03 - 2022-11-16</t>
        </is>
      </c>
      <c r="U44" t="inlineStr">
        <is>
          <t>2022-11-16T00:00:00-06:00</t>
        </is>
      </c>
      <c r="V44" t="inlineStr">
        <is>
          <t>2022-11-16T00:00:00-06:00</t>
        </is>
      </c>
      <c r="W44" t="inlineStr">
        <is>
          <t>2022-11-16T16:44:19-06:00</t>
        </is>
      </c>
      <c r="X44">
        <f>IFERROR(1/COUNTIF($I:$I,@$I:$I), 0)</f>
        <v/>
      </c>
    </row>
    <row r="45">
      <c r="A45">
        <f>HYPERLINK("https://drivetime.tpondemand.com/entity/139436", "139436")</f>
        <v/>
      </c>
      <c r="B45" t="inlineStr">
        <is>
          <t>[BC NEXT] My Profile - Connect Address Modals Logic</t>
        </is>
      </c>
      <c r="C45" t="inlineStr">
        <is>
          <t>UserStory</t>
        </is>
      </c>
      <c r="D45" t="inlineStr">
        <is>
          <t>Servicing: BC Next</t>
        </is>
      </c>
      <c r="E45" t="inlineStr">
        <is>
          <t>BC Digital Drakon</t>
        </is>
      </c>
      <c r="F45" t="inlineStr"/>
      <c r="G45" t="inlineStr"/>
      <c r="H45" t="inlineStr">
        <is>
          <t>[BC NEXT] Phase 3: Account Settings/My Profile</t>
        </is>
      </c>
      <c r="I45" t="inlineStr"/>
      <c r="K45" t="inlineStr"/>
      <c r="L45" t="inlineStr"/>
      <c r="M45" t="n">
        <v>5</v>
      </c>
      <c r="N45" t="inlineStr"/>
      <c r="O45" t="inlineStr">
        <is>
          <t>Backlog</t>
        </is>
      </c>
      <c r="P45" t="n">
        <v>0</v>
      </c>
      <c r="Q45" t="inlineStr"/>
      <c r="R45" t="inlineStr"/>
      <c r="S45" t="inlineStr"/>
      <c r="T45" t="inlineStr"/>
      <c r="U45" t="inlineStr"/>
      <c r="V45" t="inlineStr"/>
      <c r="X45">
        <f>IFERROR(1/COUNTIF($I:$I,@$I:$I), 0)</f>
        <v/>
      </c>
    </row>
    <row r="46">
      <c r="A46">
        <f>HYPERLINK("https://drivetime.tpondemand.com/entity/139437", "139437")</f>
        <v/>
      </c>
      <c r="B46" t="inlineStr">
        <is>
          <t>[BC NEXT] My Profile - Create Address Mutations</t>
        </is>
      </c>
      <c r="C46" t="inlineStr">
        <is>
          <t>UserStory</t>
        </is>
      </c>
      <c r="D46" t="inlineStr">
        <is>
          <t>Servicing: BC Next</t>
        </is>
      </c>
      <c r="E46" t="inlineStr">
        <is>
          <t>BC Digital Drakon</t>
        </is>
      </c>
      <c r="F46" t="inlineStr"/>
      <c r="G46" t="inlineStr">
        <is>
          <t>Connor Golobich</t>
        </is>
      </c>
      <c r="H46" t="inlineStr">
        <is>
          <t>[BC NEXT] Phase 3: Account Settings/My Profile</t>
        </is>
      </c>
      <c r="I46" t="inlineStr"/>
      <c r="J46" t="n">
        <v>19.91451843831713</v>
      </c>
      <c r="K46" t="inlineStr"/>
      <c r="L46" t="inlineStr"/>
      <c r="M46" t="n">
        <v>5</v>
      </c>
      <c r="N46" t="n">
        <v>146434</v>
      </c>
      <c r="O46" t="inlineStr">
        <is>
          <t>In Test</t>
        </is>
      </c>
      <c r="P46" t="n">
        <v>0</v>
      </c>
      <c r="Q46" t="inlineStr">
        <is>
          <t>Drakon 23</t>
        </is>
      </c>
      <c r="R46" t="inlineStr">
        <is>
          <t>2022-12-29</t>
        </is>
      </c>
      <c r="S46" t="inlineStr">
        <is>
          <t>2023-01-11</t>
        </is>
      </c>
      <c r="T46" t="inlineStr">
        <is>
          <t>Drakon 23 : 2022-12-29 - 2023-01-11</t>
        </is>
      </c>
      <c r="U46" t="inlineStr"/>
      <c r="V46" t="inlineStr"/>
      <c r="X46">
        <f>IFERROR(1/COUNTIF($I:$I,@$I:$I), 0)</f>
        <v/>
      </c>
    </row>
    <row r="47">
      <c r="A47">
        <f>HYPERLINK("https://drivetime.tpondemand.com/entity/139439", "139439")</f>
        <v/>
      </c>
      <c r="B47" t="inlineStr">
        <is>
          <t>[BC NEXT] My Profile - Connect Phone Number Modals Logic</t>
        </is>
      </c>
      <c r="C47" t="inlineStr">
        <is>
          <t>UserStory</t>
        </is>
      </c>
      <c r="D47" t="inlineStr">
        <is>
          <t>Servicing: BC Next</t>
        </is>
      </c>
      <c r="E47" t="inlineStr">
        <is>
          <t>BC Digital Drakon</t>
        </is>
      </c>
      <c r="F47" t="inlineStr"/>
      <c r="G47" t="inlineStr"/>
      <c r="H47" t="inlineStr">
        <is>
          <t>[BC NEXT] Phase 3: Account Settings/My Profile</t>
        </is>
      </c>
      <c r="I47" t="inlineStr"/>
      <c r="K47" t="inlineStr"/>
      <c r="L47" t="inlineStr"/>
      <c r="M47" t="n">
        <v>5</v>
      </c>
      <c r="N47" t="inlineStr"/>
      <c r="O47" t="inlineStr">
        <is>
          <t>Backlog</t>
        </is>
      </c>
      <c r="P47" t="n">
        <v>0</v>
      </c>
      <c r="Q47" t="inlineStr"/>
      <c r="R47" t="inlineStr"/>
      <c r="S47" t="inlineStr"/>
      <c r="T47" t="inlineStr"/>
      <c r="U47" t="inlineStr"/>
      <c r="V47" t="inlineStr"/>
      <c r="X47">
        <f>IFERROR(1/COUNTIF($I:$I,@$I:$I), 0)</f>
        <v/>
      </c>
    </row>
    <row r="48">
      <c r="A48">
        <f>HYPERLINK("https://drivetime.tpondemand.com/entity/139441", "139441")</f>
        <v/>
      </c>
      <c r="B48" t="inlineStr">
        <is>
          <t>[BC NEXT] My Profile - Connect Call Preferences Page Logic</t>
        </is>
      </c>
      <c r="C48" t="inlineStr">
        <is>
          <t>UserStory</t>
        </is>
      </c>
      <c r="D48" t="inlineStr">
        <is>
          <t>Servicing: BC Next</t>
        </is>
      </c>
      <c r="E48" t="inlineStr">
        <is>
          <t>BC Digital Drakon</t>
        </is>
      </c>
      <c r="F48" t="inlineStr"/>
      <c r="G48" t="inlineStr"/>
      <c r="H48" t="inlineStr">
        <is>
          <t>[BC NEXT] Phase 3: Account Settings/My Profile</t>
        </is>
      </c>
      <c r="I48" t="inlineStr"/>
      <c r="K48" t="inlineStr"/>
      <c r="L48" t="inlineStr"/>
      <c r="M48" t="n">
        <v>5</v>
      </c>
      <c r="N48" t="inlineStr"/>
      <c r="O48" t="inlineStr">
        <is>
          <t>Backlog</t>
        </is>
      </c>
      <c r="P48" t="n">
        <v>0</v>
      </c>
      <c r="Q48" t="inlineStr"/>
      <c r="R48" t="inlineStr"/>
      <c r="S48" t="inlineStr"/>
      <c r="T48" t="inlineStr"/>
      <c r="U48" t="inlineStr"/>
      <c r="V48" t="inlineStr"/>
      <c r="X48">
        <f>IFERROR(1/COUNTIF($I:$I,@$I:$I), 0)</f>
        <v/>
      </c>
    </row>
    <row r="49">
      <c r="A49">
        <f>HYPERLINK("https://drivetime.tpondemand.com/entity/139442", "139442")</f>
        <v/>
      </c>
      <c r="B49" t="inlineStr">
        <is>
          <t>[BC NEXT] My Profile - Email Address Modals Logic</t>
        </is>
      </c>
      <c r="C49" t="inlineStr">
        <is>
          <t>UserStory</t>
        </is>
      </c>
      <c r="D49" t="inlineStr">
        <is>
          <t>Servicing: BC Next</t>
        </is>
      </c>
      <c r="E49" t="inlineStr">
        <is>
          <t>BC Digital Drakon</t>
        </is>
      </c>
      <c r="F49" t="inlineStr"/>
      <c r="G49" t="inlineStr"/>
      <c r="H49" t="inlineStr">
        <is>
          <t>[BC NEXT] Phase 3: Account Settings/My Profile</t>
        </is>
      </c>
      <c r="I49" t="inlineStr"/>
      <c r="K49" t="inlineStr"/>
      <c r="L49" t="inlineStr"/>
      <c r="M49" t="n">
        <v>5</v>
      </c>
      <c r="N49" t="inlineStr"/>
      <c r="O49" t="inlineStr">
        <is>
          <t>Backlog</t>
        </is>
      </c>
      <c r="P49" t="n">
        <v>0</v>
      </c>
      <c r="Q49" t="inlineStr"/>
      <c r="R49" t="inlineStr"/>
      <c r="S49" t="inlineStr"/>
      <c r="T49" t="inlineStr"/>
      <c r="U49" t="inlineStr"/>
      <c r="V49" t="inlineStr"/>
      <c r="X49">
        <f>IFERROR(1/COUNTIF($I:$I,@$I:$I), 0)</f>
        <v/>
      </c>
    </row>
    <row r="50">
      <c r="A50">
        <f>HYPERLINK("https://drivetime.tpondemand.com/entity/139730", "139730")</f>
        <v/>
      </c>
      <c r="B50" t="inlineStr">
        <is>
          <t>[BC NEXT] My Profile - Create Phone Number Mutations</t>
        </is>
      </c>
      <c r="C50" t="inlineStr">
        <is>
          <t>UserStory</t>
        </is>
      </c>
      <c r="D50" t="inlineStr">
        <is>
          <t>Servicing: BC Next</t>
        </is>
      </c>
      <c r="E50" t="inlineStr">
        <is>
          <t>BC Digital Drakon</t>
        </is>
      </c>
      <c r="F50" t="inlineStr"/>
      <c r="G50" t="inlineStr">
        <is>
          <t>Yokeshwaran Lokanathan</t>
        </is>
      </c>
      <c r="H50" t="inlineStr">
        <is>
          <t>[BC NEXT] Phase 3: Account Settings/My Profile</t>
        </is>
      </c>
      <c r="I50" t="inlineStr"/>
      <c r="J50" t="n">
        <v>11.67444899387269</v>
      </c>
      <c r="K50" t="inlineStr"/>
      <c r="L50" t="inlineStr"/>
      <c r="M50" t="n">
        <v>5</v>
      </c>
      <c r="N50" t="n">
        <v>146434</v>
      </c>
      <c r="O50" t="inlineStr">
        <is>
          <t>In Progress</t>
        </is>
      </c>
      <c r="P50" t="n">
        <v>1</v>
      </c>
      <c r="Q50" t="inlineStr">
        <is>
          <t>Drakon 23</t>
        </is>
      </c>
      <c r="R50" t="inlineStr">
        <is>
          <t>2022-12-29</t>
        </is>
      </c>
      <c r="S50" t="inlineStr">
        <is>
          <t>2023-01-11</t>
        </is>
      </c>
      <c r="T50" t="inlineStr">
        <is>
          <t>Drakon 23 : 2022-12-29 - 2023-01-11</t>
        </is>
      </c>
      <c r="U50" t="inlineStr"/>
      <c r="V50" t="inlineStr"/>
      <c r="X50">
        <f>IFERROR(1/COUNTIF($I:$I,@$I:$I), 0)</f>
        <v/>
      </c>
    </row>
    <row r="51">
      <c r="A51">
        <f>HYPERLINK("https://drivetime.tpondemand.com/entity/139732", "139732")</f>
        <v/>
      </c>
      <c r="B51" t="inlineStr">
        <is>
          <t>[BC NEXT] My Profile - Create Email Address Mutations</t>
        </is>
      </c>
      <c r="C51" t="inlineStr">
        <is>
          <t>UserStory</t>
        </is>
      </c>
      <c r="D51" t="inlineStr">
        <is>
          <t>Servicing: BC Next</t>
        </is>
      </c>
      <c r="E51" t="inlineStr">
        <is>
          <t>BC Digital Drakon</t>
        </is>
      </c>
      <c r="F51" t="inlineStr"/>
      <c r="G51" t="inlineStr">
        <is>
          <t>Shyam Senthil Nathan</t>
        </is>
      </c>
      <c r="H51" t="inlineStr">
        <is>
          <t>[BC NEXT] Phase 3: Account Settings/My Profile</t>
        </is>
      </c>
      <c r="I51" t="inlineStr"/>
      <c r="K51" t="inlineStr"/>
      <c r="L51" t="inlineStr"/>
      <c r="M51" t="n">
        <v>5</v>
      </c>
      <c r="N51" t="n">
        <v>146434</v>
      </c>
      <c r="O51" t="inlineStr">
        <is>
          <t>Committed</t>
        </is>
      </c>
      <c r="P51" t="n">
        <v>0</v>
      </c>
      <c r="Q51" t="inlineStr">
        <is>
          <t>Drakon 23</t>
        </is>
      </c>
      <c r="R51" t="inlineStr">
        <is>
          <t>2022-12-29</t>
        </is>
      </c>
      <c r="S51" t="inlineStr">
        <is>
          <t>2023-01-11</t>
        </is>
      </c>
      <c r="T51" t="inlineStr">
        <is>
          <t>Drakon 23 : 2022-12-29 - 2023-01-11</t>
        </is>
      </c>
      <c r="U51" t="inlineStr"/>
      <c r="V51" t="inlineStr"/>
      <c r="X51">
        <f>IFERROR(1/COUNTIF($I:$I,@$I:$I), 0)</f>
        <v/>
      </c>
    </row>
    <row r="52">
      <c r="A52">
        <f>HYPERLINK("https://drivetime.tpondemand.com/entity/140305", "140305")</f>
        <v/>
      </c>
      <c r="B52" t="inlineStr">
        <is>
          <t>[BC NEXT] Customer Support Center - Create Customer Support Center landing page</t>
        </is>
      </c>
      <c r="C52" t="inlineStr">
        <is>
          <t>UserStory</t>
        </is>
      </c>
      <c r="D52" t="inlineStr">
        <is>
          <t>Servicing: BC Next</t>
        </is>
      </c>
      <c r="E52" t="inlineStr">
        <is>
          <t>BC Digital Drakon</t>
        </is>
      </c>
      <c r="F52" t="inlineStr">
        <is>
          <t>50</t>
        </is>
      </c>
      <c r="G52" t="inlineStr">
        <is>
          <t>Abbas Shamshi</t>
        </is>
      </c>
      <c r="H52" t="inlineStr">
        <is>
          <t>[BC NEXT]Phase 3: Customer Support Center</t>
        </is>
      </c>
      <c r="I52" t="n">
        <v>2</v>
      </c>
      <c r="J52" t="n">
        <v>25.59097222222222</v>
      </c>
      <c r="K52">
        <f>HYPERLINK("https://drivetime.tpondemand.com/entity/146568", "146568")</f>
        <v/>
      </c>
      <c r="L52" t="inlineStr"/>
      <c r="M52" t="n">
        <v>5</v>
      </c>
      <c r="N52" t="n">
        <v>136580</v>
      </c>
      <c r="O52" t="inlineStr">
        <is>
          <t>Done</t>
        </is>
      </c>
      <c r="P52" t="n">
        <v>4</v>
      </c>
      <c r="Q52" t="inlineStr">
        <is>
          <t>Drakon 21</t>
        </is>
      </c>
      <c r="R52" t="inlineStr">
        <is>
          <t>2022-12-01</t>
        </is>
      </c>
      <c r="S52" t="inlineStr">
        <is>
          <t>2022-12-14</t>
        </is>
      </c>
      <c r="T52" t="inlineStr">
        <is>
          <t>Drakon 21 : 2022-12-01 - 2022-12-14</t>
        </is>
      </c>
      <c r="U52" t="inlineStr">
        <is>
          <t>2022-12-14T00:00:00-06:00</t>
        </is>
      </c>
      <c r="V52" t="inlineStr">
        <is>
          <t>2022-12-12T00:00:00-06:00</t>
        </is>
      </c>
      <c r="W52" t="inlineStr">
        <is>
          <t>2022-12-14T00:00:00-06:00</t>
        </is>
      </c>
      <c r="X52">
        <f>IFERROR(1/COUNTIF($I:$I,@$I:$I), 0)</f>
        <v/>
      </c>
    </row>
    <row r="53">
      <c r="A53">
        <f>HYPERLINK("https://drivetime.tpondemand.com/entity/140331", "140331")</f>
        <v/>
      </c>
      <c r="B53" t="inlineStr">
        <is>
          <t>[BC NEXT] Customer Support Center - Create My Bridgecrest Account page</t>
        </is>
      </c>
      <c r="C53" t="inlineStr">
        <is>
          <t>UserStory</t>
        </is>
      </c>
      <c r="D53" t="inlineStr">
        <is>
          <t>Servicing: BC Next</t>
        </is>
      </c>
      <c r="E53" t="inlineStr">
        <is>
          <t>BC Digital Drakon</t>
        </is>
      </c>
      <c r="F53" t="inlineStr"/>
      <c r="G53" t="inlineStr">
        <is>
          <t>Abbas Shamshi</t>
        </is>
      </c>
      <c r="H53" t="inlineStr">
        <is>
          <t>[BC NEXT]Phase 3: Customer Support Center</t>
        </is>
      </c>
      <c r="I53" t="inlineStr"/>
      <c r="J53" t="n">
        <v>25.94185640128009</v>
      </c>
      <c r="K53">
        <f>HYPERLINK("https://drivetime.tpondemand.com/entity/147266", "147266")</f>
        <v/>
      </c>
      <c r="L53" t="inlineStr"/>
      <c r="M53" t="n">
        <v>5</v>
      </c>
      <c r="N53" t="n">
        <v>136581</v>
      </c>
      <c r="O53" t="inlineStr">
        <is>
          <t>Ready for Deploy</t>
        </is>
      </c>
      <c r="P53" t="n">
        <v>1</v>
      </c>
      <c r="Q53" t="inlineStr">
        <is>
          <t>Drakon 22</t>
        </is>
      </c>
      <c r="R53" t="inlineStr">
        <is>
          <t>2022-12-15</t>
        </is>
      </c>
      <c r="S53" t="inlineStr">
        <is>
          <t>2022-12-28</t>
        </is>
      </c>
      <c r="T53" t="inlineStr">
        <is>
          <t>Drakon 22 : 2022-12-15 - 2022-12-28</t>
        </is>
      </c>
      <c r="U53" t="inlineStr"/>
      <c r="V53" t="inlineStr">
        <is>
          <t>2022-12-27T00:00:00-06:00</t>
        </is>
      </c>
      <c r="X53">
        <f>IFERROR(1/COUNTIF($I:$I,@$I:$I), 0)</f>
        <v/>
      </c>
    </row>
    <row r="54">
      <c r="A54">
        <f>HYPERLINK("https://drivetime.tpondemand.com/entity/140351", "140351")</f>
        <v/>
      </c>
      <c r="B54" t="inlineStr">
        <is>
          <t>[BC NEXT] Customer Support Center - Create Search component</t>
        </is>
      </c>
      <c r="C54" t="inlineStr">
        <is>
          <t>UserStory</t>
        </is>
      </c>
      <c r="D54" t="inlineStr">
        <is>
          <t>Servicing: BC Next</t>
        </is>
      </c>
      <c r="E54" t="inlineStr">
        <is>
          <t>BC Digital Drakon</t>
        </is>
      </c>
      <c r="F54" t="inlineStr"/>
      <c r="G54" t="inlineStr"/>
      <c r="H54" t="inlineStr">
        <is>
          <t>[BC NEXT]Phase 3: Customer Support Center</t>
        </is>
      </c>
      <c r="I54" t="inlineStr"/>
      <c r="K54" t="inlineStr"/>
      <c r="L54" t="inlineStr"/>
      <c r="M54" t="n">
        <v>5</v>
      </c>
      <c r="N54" t="inlineStr"/>
      <c r="O54" t="inlineStr">
        <is>
          <t>Backlog</t>
        </is>
      </c>
      <c r="P54" t="n">
        <v>0</v>
      </c>
      <c r="Q54" t="inlineStr"/>
      <c r="R54" t="inlineStr"/>
      <c r="S54" t="inlineStr"/>
      <c r="T54" t="inlineStr"/>
      <c r="U54" t="inlineStr"/>
      <c r="V54" t="inlineStr"/>
      <c r="X54">
        <f>IFERROR(1/COUNTIF($I:$I,@$I:$I), 0)</f>
        <v/>
      </c>
    </row>
    <row r="55">
      <c r="A55">
        <f>HYPERLINK("https://drivetime.tpondemand.com/entity/140431", "140431")</f>
        <v/>
      </c>
      <c r="B55" t="inlineStr">
        <is>
          <t>[BC NEXT] Manage Mods - Connect logic from API</t>
        </is>
      </c>
      <c r="C55" t="inlineStr">
        <is>
          <t>UserStory</t>
        </is>
      </c>
      <c r="D55" t="inlineStr">
        <is>
          <t>Servicing: BC Next</t>
        </is>
      </c>
      <c r="E55" t="inlineStr">
        <is>
          <t>BC Digital Drakon</t>
        </is>
      </c>
      <c r="F55" t="inlineStr">
        <is>
          <t>45</t>
        </is>
      </c>
      <c r="G55" t="inlineStr">
        <is>
          <t>Joseph Kranak</t>
        </is>
      </c>
      <c r="H55" t="inlineStr">
        <is>
          <t>[BC NEXT]Phase 3: Manage Modifications Page</t>
        </is>
      </c>
      <c r="I55" t="n">
        <v>3</v>
      </c>
      <c r="J55" t="n">
        <v>32.55596064814814</v>
      </c>
      <c r="K55">
        <f>HYPERLINK("https://drivetime.tpondemand.com/entity/143326", "143326")</f>
        <v/>
      </c>
      <c r="L55" t="inlineStr"/>
      <c r="M55" t="n">
        <v>5</v>
      </c>
      <c r="N55" t="n">
        <v>136578</v>
      </c>
      <c r="O55" t="inlineStr">
        <is>
          <t>Done</t>
        </is>
      </c>
      <c r="P55" t="n">
        <v>7</v>
      </c>
      <c r="Q55" t="inlineStr">
        <is>
          <t>Drakon 19</t>
        </is>
      </c>
      <c r="R55" t="inlineStr">
        <is>
          <t>2022-11-03</t>
        </is>
      </c>
      <c r="S55" t="inlineStr">
        <is>
          <t>2022-11-16</t>
        </is>
      </c>
      <c r="T55" t="inlineStr">
        <is>
          <t>Drakon 19 : 2022-11-03 - 2022-11-16</t>
        </is>
      </c>
      <c r="U55" t="inlineStr">
        <is>
          <t>2022-11-10T00:00:00-06:00</t>
        </is>
      </c>
      <c r="V55" t="inlineStr">
        <is>
          <t>2022-11-07T00:00:00-06:00</t>
        </is>
      </c>
      <c r="W55" t="inlineStr">
        <is>
          <t>2022-11-08T00:00:00-06:00</t>
        </is>
      </c>
      <c r="X55">
        <f>IFERROR(1/COUNTIF($I:$I,@$I:$I), 0)</f>
        <v/>
      </c>
    </row>
    <row r="56">
      <c r="A56">
        <f>HYPERLINK("https://drivetime.tpondemand.com/entity/140507", "140507")</f>
        <v/>
      </c>
      <c r="B56" t="inlineStr">
        <is>
          <t>[BC NEXT] Customer Support Center - Document Request section UI in My Profile</t>
        </is>
      </c>
      <c r="C56" t="inlineStr">
        <is>
          <t>UserStory</t>
        </is>
      </c>
      <c r="D56" t="inlineStr">
        <is>
          <t>Servicing: BC Next</t>
        </is>
      </c>
      <c r="E56" t="inlineStr">
        <is>
          <t>BC Digital Drakon</t>
        </is>
      </c>
      <c r="F56" t="inlineStr"/>
      <c r="G56" t="inlineStr"/>
      <c r="H56" t="inlineStr">
        <is>
          <t>[BC NEXT]Phase 3: Customer Support Center</t>
        </is>
      </c>
      <c r="I56" t="inlineStr"/>
      <c r="K56" t="inlineStr"/>
      <c r="L56" t="inlineStr"/>
      <c r="M56" t="n">
        <v>5</v>
      </c>
      <c r="N56" t="inlineStr"/>
      <c r="O56" t="inlineStr">
        <is>
          <t>Icebox</t>
        </is>
      </c>
      <c r="P56" t="n">
        <v>0</v>
      </c>
      <c r="Q56" t="inlineStr"/>
      <c r="R56" t="inlineStr"/>
      <c r="S56" t="inlineStr"/>
      <c r="T56" t="inlineStr"/>
      <c r="U56" t="inlineStr"/>
      <c r="V56" t="inlineStr"/>
      <c r="X56">
        <f>IFERROR(1/COUNTIF($I:$I,@$I:$I), 0)</f>
        <v/>
      </c>
    </row>
    <row r="57">
      <c r="A57">
        <f>HYPERLINK("https://drivetime.tpondemand.com/entity/140704", "140704")</f>
        <v/>
      </c>
      <c r="B57" t="inlineStr">
        <is>
          <t>[BC NEXT] Manage Mods - Connect DocuSign and retrieve completed mods logic</t>
        </is>
      </c>
      <c r="C57" t="inlineStr">
        <is>
          <t>UserStory</t>
        </is>
      </c>
      <c r="D57" t="inlineStr">
        <is>
          <t>Servicing: BC Next</t>
        </is>
      </c>
      <c r="E57" t="inlineStr">
        <is>
          <t>BC Digital Drakon</t>
        </is>
      </c>
      <c r="F57" t="inlineStr">
        <is>
          <t>46</t>
        </is>
      </c>
      <c r="G57" t="inlineStr">
        <is>
          <t>Connor Golobich</t>
        </is>
      </c>
      <c r="H57" t="inlineStr">
        <is>
          <t>[BC NEXT]Phase 3: Manage Modifications Page</t>
        </is>
      </c>
      <c r="I57" t="n">
        <v>5</v>
      </c>
      <c r="J57" t="n">
        <v>35.21525462962963</v>
      </c>
      <c r="K57">
        <f>HYPERLINK("https://drivetime.tpondemand.com/entity/144073", "144073")</f>
        <v/>
      </c>
      <c r="L57" t="inlineStr"/>
      <c r="M57" t="n">
        <v>5</v>
      </c>
      <c r="N57" t="n">
        <v>136578</v>
      </c>
      <c r="O57" t="inlineStr">
        <is>
          <t>Done</t>
        </is>
      </c>
      <c r="P57" t="n">
        <v>0</v>
      </c>
      <c r="Q57" t="inlineStr">
        <is>
          <t>Drakon 19</t>
        </is>
      </c>
      <c r="R57" t="inlineStr">
        <is>
          <t>2022-11-03</t>
        </is>
      </c>
      <c r="S57" t="inlineStr">
        <is>
          <t>2022-11-16</t>
        </is>
      </c>
      <c r="T57" t="inlineStr">
        <is>
          <t>Drakon 19 : 2022-11-03 - 2022-11-16</t>
        </is>
      </c>
      <c r="U57" t="inlineStr">
        <is>
          <t>2022-11-15T00:00:00-06:00</t>
        </is>
      </c>
      <c r="V57" t="inlineStr">
        <is>
          <t>2022-11-10T00:00:00-06:00</t>
        </is>
      </c>
      <c r="W57" t="inlineStr">
        <is>
          <t>2022-11-15T15:36:20-06:00</t>
        </is>
      </c>
      <c r="X57">
        <f>IFERROR(1/COUNTIF($I:$I,@$I:$I), 0)</f>
        <v/>
      </c>
    </row>
    <row r="58">
      <c r="A58">
        <f>HYPERLINK("https://drivetime.tpondemand.com/entity/141437", "141437")</f>
        <v/>
      </c>
      <c r="B58" t="inlineStr">
        <is>
          <t>[BC NEXT] Plan to Cure - Active Payment Plan Summary Card</t>
        </is>
      </c>
      <c r="C58" t="inlineStr">
        <is>
          <t>UserStory</t>
        </is>
      </c>
      <c r="D58" t="inlineStr">
        <is>
          <t>Servicing: BC Next</t>
        </is>
      </c>
      <c r="E58" t="inlineStr">
        <is>
          <t>BC Digital Drakon</t>
        </is>
      </c>
      <c r="F58" t="inlineStr">
        <is>
          <t>50</t>
        </is>
      </c>
      <c r="G58" t="inlineStr">
        <is>
          <t>Yokeshwaran Lokanathan</t>
        </is>
      </c>
      <c r="H58" t="inlineStr">
        <is>
          <t>[BC NEXT]Phase 3: Payment Plan (PTC)</t>
        </is>
      </c>
      <c r="I58" t="n">
        <v>11</v>
      </c>
      <c r="J58" t="n">
        <v>34.23311342592592</v>
      </c>
      <c r="K58">
        <f>HYPERLINK("https://drivetime.tpondemand.com/entity/145791", "145791")</f>
        <v/>
      </c>
      <c r="L58" t="inlineStr"/>
      <c r="M58" t="n">
        <v>5</v>
      </c>
      <c r="N58" t="n">
        <v>136580</v>
      </c>
      <c r="O58" t="inlineStr">
        <is>
          <t>Done</t>
        </is>
      </c>
      <c r="P58" t="n">
        <v>4</v>
      </c>
      <c r="Q58" t="inlineStr">
        <is>
          <t>Drakon 21</t>
        </is>
      </c>
      <c r="R58" t="inlineStr">
        <is>
          <t>2022-12-01</t>
        </is>
      </c>
      <c r="S58" t="inlineStr">
        <is>
          <t>2022-12-14</t>
        </is>
      </c>
      <c r="T58" t="inlineStr">
        <is>
          <t>Drakon 21 : 2022-12-01 - 2022-12-14</t>
        </is>
      </c>
      <c r="U58" t="inlineStr">
        <is>
          <t>2022-12-12T00:00:00-06:00</t>
        </is>
      </c>
      <c r="V58" t="inlineStr">
        <is>
          <t>2022-12-01T00:00:00-06:00</t>
        </is>
      </c>
      <c r="W58" t="inlineStr">
        <is>
          <t>2022-12-12T15:18:18-06:00</t>
        </is>
      </c>
      <c r="X58">
        <f>IFERROR(1/COUNTIF($I:$I,@$I:$I), 0)</f>
        <v/>
      </c>
    </row>
    <row r="59">
      <c r="A59">
        <f>HYPERLINK("https://drivetime.tpondemand.com/entity/141876", "141876")</f>
        <v/>
      </c>
      <c r="B59" t="inlineStr">
        <is>
          <t>[BC NEXT] Plan to Cure - Active Payment Plan Details Card</t>
        </is>
      </c>
      <c r="C59" t="inlineStr">
        <is>
          <t>UserStory</t>
        </is>
      </c>
      <c r="D59" t="inlineStr">
        <is>
          <t>Servicing: BC Next</t>
        </is>
      </c>
      <c r="E59" t="inlineStr">
        <is>
          <t>BC Digital Drakon</t>
        </is>
      </c>
      <c r="F59" t="inlineStr">
        <is>
          <t>50</t>
        </is>
      </c>
      <c r="G59" t="inlineStr">
        <is>
          <t>Michael Wang</t>
        </is>
      </c>
      <c r="H59" t="inlineStr">
        <is>
          <t>[BC NEXT]Phase 3: Payment Plan (PTC)</t>
        </is>
      </c>
      <c r="I59" t="n">
        <v>11</v>
      </c>
      <c r="J59" t="n">
        <v>32.12848379629629</v>
      </c>
      <c r="K59">
        <f>HYPERLINK("https://drivetime.tpondemand.com/entity/145791", "145791")</f>
        <v/>
      </c>
      <c r="L59" t="inlineStr"/>
      <c r="M59" t="n">
        <v>5</v>
      </c>
      <c r="N59" t="n">
        <v>136579</v>
      </c>
      <c r="O59" t="inlineStr">
        <is>
          <t>Done</t>
        </is>
      </c>
      <c r="P59" t="n">
        <v>4</v>
      </c>
      <c r="Q59" t="inlineStr">
        <is>
          <t>Drakon 20</t>
        </is>
      </c>
      <c r="R59" t="inlineStr">
        <is>
          <t>2022-11-17</t>
        </is>
      </c>
      <c r="S59" t="inlineStr">
        <is>
          <t>2022-11-30</t>
        </is>
      </c>
      <c r="T59" t="inlineStr">
        <is>
          <t>Drakon 20 : 2022-11-17 - 2022-11-30</t>
        </is>
      </c>
      <c r="U59" t="inlineStr">
        <is>
          <t>2022-12-12T00:00:00-06:00</t>
        </is>
      </c>
      <c r="V59" t="inlineStr">
        <is>
          <t>2022-12-01T00:00:00-06:00</t>
        </is>
      </c>
      <c r="W59" t="inlineStr">
        <is>
          <t>2022-12-12T15:18:20-06:00</t>
        </is>
      </c>
      <c r="X59">
        <f>IFERROR(1/COUNTIF($I:$I,@$I:$I), 0)</f>
        <v/>
      </c>
    </row>
    <row r="60">
      <c r="A60">
        <f>HYPERLINK("https://drivetime.tpondemand.com/entity/141889", "141889")</f>
        <v/>
      </c>
      <c r="B60" t="inlineStr">
        <is>
          <t>[BC NEXT] Plan to Cure - Payment Plan History Page</t>
        </is>
      </c>
      <c r="C60" t="inlineStr">
        <is>
          <t>UserStory</t>
        </is>
      </c>
      <c r="D60" t="inlineStr">
        <is>
          <t>Servicing: BC Next</t>
        </is>
      </c>
      <c r="E60" t="inlineStr">
        <is>
          <t>BC Digital Drakon</t>
        </is>
      </c>
      <c r="F60" t="inlineStr">
        <is>
          <t>51</t>
        </is>
      </c>
      <c r="G60" t="inlineStr">
        <is>
          <t>Yokeshwaran Lokanathan</t>
        </is>
      </c>
      <c r="H60" t="inlineStr">
        <is>
          <t>[BC NEXT]Phase 3: Payment Plan (PTC)</t>
        </is>
      </c>
      <c r="I60" t="n">
        <v>5</v>
      </c>
      <c r="J60" t="n">
        <v>21.26195601851852</v>
      </c>
      <c r="K60">
        <f>HYPERLINK("https://drivetime.tpondemand.com/entity/146744", "146744")</f>
        <v/>
      </c>
      <c r="L60" t="inlineStr"/>
      <c r="M60" t="n">
        <v>5</v>
      </c>
      <c r="N60" t="n">
        <v>136580</v>
      </c>
      <c r="O60" t="inlineStr">
        <is>
          <t>Done</t>
        </is>
      </c>
      <c r="P60" t="n">
        <v>5</v>
      </c>
      <c r="Q60" t="inlineStr">
        <is>
          <t>Drakon 21</t>
        </is>
      </c>
      <c r="R60" t="inlineStr">
        <is>
          <t>2022-12-01</t>
        </is>
      </c>
      <c r="S60" t="inlineStr">
        <is>
          <t>2022-12-14</t>
        </is>
      </c>
      <c r="T60" t="inlineStr">
        <is>
          <t>Drakon 21 : 2022-12-01 - 2022-12-14</t>
        </is>
      </c>
      <c r="U60" t="inlineStr">
        <is>
          <t>2022-12-20T00:00:00-06:00</t>
        </is>
      </c>
      <c r="V60" t="inlineStr">
        <is>
          <t>2022-12-15T00:00:00-06:00</t>
        </is>
      </c>
      <c r="W60" t="inlineStr">
        <is>
          <t>2022-12-20T15:36:09-06:00</t>
        </is>
      </c>
      <c r="X60">
        <f>IFERROR(1/COUNTIF($I:$I,@$I:$I), 0)</f>
        <v/>
      </c>
    </row>
    <row r="61">
      <c r="A61">
        <f>HYPERLINK("https://drivetime.tpondemand.com/entity/141946", "141946")</f>
        <v/>
      </c>
      <c r="B61" t="inlineStr">
        <is>
          <t>[BC NEXT] Plan to Cure - Update Manage Payments to include PTC</t>
        </is>
      </c>
      <c r="C61" t="inlineStr">
        <is>
          <t>UserStory</t>
        </is>
      </c>
      <c r="D61" t="inlineStr">
        <is>
          <t>Servicing: BC Next</t>
        </is>
      </c>
      <c r="E61" t="inlineStr">
        <is>
          <t>BC Digital Drakon</t>
        </is>
      </c>
      <c r="F61" t="inlineStr">
        <is>
          <t>50</t>
        </is>
      </c>
      <c r="G61" t="inlineStr">
        <is>
          <t>Shyam Senthil Nathan and Abbas Shamshi</t>
        </is>
      </c>
      <c r="H61" t="inlineStr">
        <is>
          <t>[BC NEXT]Phase 3: Payment Plan (PTC)</t>
        </is>
      </c>
      <c r="I61" t="n">
        <v>13</v>
      </c>
      <c r="J61" t="n">
        <v>24.23708333333333</v>
      </c>
      <c r="K61">
        <f>HYPERLINK("https://drivetime.tpondemand.com/entity/145791", "145791")</f>
        <v/>
      </c>
      <c r="L61" t="inlineStr"/>
      <c r="M61" t="n">
        <v>5</v>
      </c>
      <c r="N61" t="n">
        <v>136579</v>
      </c>
      <c r="O61" t="inlineStr">
        <is>
          <t>Done</t>
        </is>
      </c>
      <c r="P61" t="n">
        <v>2</v>
      </c>
      <c r="Q61" t="inlineStr">
        <is>
          <t>Drakon 20</t>
        </is>
      </c>
      <c r="R61" t="inlineStr">
        <is>
          <t>2022-11-17</t>
        </is>
      </c>
      <c r="S61" t="inlineStr">
        <is>
          <t>2022-11-30</t>
        </is>
      </c>
      <c r="T61" t="inlineStr">
        <is>
          <t>Drakon 20 : 2022-11-17 - 2022-11-30</t>
        </is>
      </c>
      <c r="U61" t="inlineStr">
        <is>
          <t>2022-12-12T00:00:00-06:00</t>
        </is>
      </c>
      <c r="V61" t="inlineStr">
        <is>
          <t>2022-11-29T00:00:00-06:00</t>
        </is>
      </c>
      <c r="W61" t="inlineStr">
        <is>
          <t>2022-12-12T15:18:22-06:00</t>
        </is>
      </c>
      <c r="X61">
        <f>IFERROR(1/COUNTIF($I:$I,@$I:$I), 0)</f>
        <v/>
      </c>
    </row>
    <row r="62">
      <c r="A62">
        <f>HYPERLINK("https://drivetime.tpondemand.com/entity/142001", "142001")</f>
        <v/>
      </c>
      <c r="B62" t="inlineStr">
        <is>
          <t>[BC NEXT] Plan to Cure - Payment Plan Cancellation Modals</t>
        </is>
      </c>
      <c r="C62" t="inlineStr">
        <is>
          <t>UserStory</t>
        </is>
      </c>
      <c r="D62" t="inlineStr">
        <is>
          <t>Servicing: BC Next</t>
        </is>
      </c>
      <c r="E62" t="inlineStr">
        <is>
          <t>BC Digital Drakon</t>
        </is>
      </c>
      <c r="F62" t="inlineStr">
        <is>
          <t>51</t>
        </is>
      </c>
      <c r="G62" t="inlineStr">
        <is>
          <t>Pete Wesselius</t>
        </is>
      </c>
      <c r="H62" t="inlineStr">
        <is>
          <t>[BC NEXT]Phase 3: Payment Plan (PTC)</t>
        </is>
      </c>
      <c r="I62" t="n">
        <v>0</v>
      </c>
      <c r="J62" t="n">
        <v>22.25833333333333</v>
      </c>
      <c r="K62">
        <f>HYPERLINK("https://drivetime.tpondemand.com/entity/146744", "146744")</f>
        <v/>
      </c>
      <c r="L62" t="inlineStr"/>
      <c r="M62" t="n">
        <v>5</v>
      </c>
      <c r="N62" t="n">
        <v>136581</v>
      </c>
      <c r="O62" t="inlineStr">
        <is>
          <t>Done</t>
        </is>
      </c>
      <c r="P62" t="n">
        <v>6</v>
      </c>
      <c r="Q62" t="inlineStr">
        <is>
          <t>Drakon 22</t>
        </is>
      </c>
      <c r="R62" t="inlineStr">
        <is>
          <t>2022-12-15</t>
        </is>
      </c>
      <c r="S62" t="inlineStr">
        <is>
          <t>2022-12-28</t>
        </is>
      </c>
      <c r="T62" t="inlineStr">
        <is>
          <t>Drakon 22 : 2022-12-15 - 2022-12-28</t>
        </is>
      </c>
      <c r="U62" t="inlineStr">
        <is>
          <t>2022-12-20T00:00:00-06:00</t>
        </is>
      </c>
      <c r="V62" t="inlineStr">
        <is>
          <t>2022-12-20T00:00:00-06:00</t>
        </is>
      </c>
      <c r="W62" t="inlineStr">
        <is>
          <t>2022-12-20T15:36:11-06:00</t>
        </is>
      </c>
      <c r="X62">
        <f>IFERROR(1/COUNTIF($I:$I,@$I:$I), 0)</f>
        <v/>
      </c>
    </row>
    <row r="63">
      <c r="A63">
        <f>HYPERLINK("https://drivetime.tpondemand.com/entity/125161", "125161")</f>
        <v/>
      </c>
      <c r="B63" t="inlineStr">
        <is>
          <t>[BC NEXT][WEB BACKEND][RESEARCH] Research and POC for redirects between SSP and BC Next</t>
        </is>
      </c>
      <c r="C63" t="inlineStr">
        <is>
          <t>UserStory</t>
        </is>
      </c>
      <c r="D63" t="inlineStr">
        <is>
          <t>Servicing: BC Next</t>
        </is>
      </c>
      <c r="E63" t="inlineStr">
        <is>
          <t>BC Digital Drakon</t>
        </is>
      </c>
      <c r="F63" t="inlineStr">
        <is>
          <t>02</t>
        </is>
      </c>
      <c r="G63" t="inlineStr">
        <is>
          <t>Connor Golobich</t>
        </is>
      </c>
      <c r="H63" t="inlineStr">
        <is>
          <t>[BC NEXT][WEB] Phase 3: Technical Backend Setup</t>
        </is>
      </c>
      <c r="I63" t="n">
        <v>0</v>
      </c>
      <c r="J63" t="n">
        <v>1.968032407407407</v>
      </c>
      <c r="K63" t="inlineStr"/>
      <c r="L63" t="inlineStr"/>
      <c r="M63" t="n">
        <v>3</v>
      </c>
      <c r="N63" t="n">
        <v>121857</v>
      </c>
      <c r="O63" t="inlineStr">
        <is>
          <t>Done</t>
        </is>
      </c>
      <c r="P63" t="n">
        <v>0</v>
      </c>
      <c r="Q63" t="inlineStr">
        <is>
          <t>Kraken 49</t>
        </is>
      </c>
      <c r="R63" t="inlineStr">
        <is>
          <t>2021-12-16</t>
        </is>
      </c>
      <c r="S63" t="inlineStr">
        <is>
          <t>2022-01-12</t>
        </is>
      </c>
      <c r="T63" t="inlineStr">
        <is>
          <t>Kraken 49 : 2021-12-16 - 2022-01-12</t>
        </is>
      </c>
      <c r="U63" t="inlineStr">
        <is>
          <t>2022-01-12T00:00:00-06:00</t>
        </is>
      </c>
      <c r="V63" t="inlineStr">
        <is>
          <t>2022-01-12T00:00:00-06:00</t>
        </is>
      </c>
      <c r="W63" t="inlineStr">
        <is>
          <t>2022-01-12T09:37:52-06:00</t>
        </is>
      </c>
      <c r="X63">
        <f>IFERROR(1/COUNTIF($I:$I,@$I:$I), 0)</f>
        <v/>
      </c>
    </row>
    <row r="64">
      <c r="A64">
        <f>HYPERLINK("https://drivetime.tpondemand.com/entity/125180", "125180")</f>
        <v/>
      </c>
      <c r="B64" t="inlineStr">
        <is>
          <t>[BC NEXT][WEB] Homepage - Learn More CTAs</t>
        </is>
      </c>
      <c r="C64" t="inlineStr">
        <is>
          <t>UserStory</t>
        </is>
      </c>
      <c r="D64" t="inlineStr">
        <is>
          <t>Servicing: BC Next</t>
        </is>
      </c>
      <c r="E64" t="inlineStr">
        <is>
          <t>BC Digital Drakon</t>
        </is>
      </c>
      <c r="F64" t="inlineStr">
        <is>
          <t>05</t>
        </is>
      </c>
      <c r="G64" t="inlineStr">
        <is>
          <t>Abbas Shamshi</t>
        </is>
      </c>
      <c r="H64" t="inlineStr">
        <is>
          <t>[BC NEXT][WEB] Phase 3: Homepage</t>
        </is>
      </c>
      <c r="I64" t="n">
        <v>4</v>
      </c>
      <c r="J64" t="n">
        <v>17.0462037037037</v>
      </c>
      <c r="K64">
        <f>HYPERLINK("https://drivetime.tpondemand.com/entity/126633", "126633")</f>
        <v/>
      </c>
      <c r="L64" t="inlineStr"/>
      <c r="M64" t="n">
        <v>3</v>
      </c>
      <c r="N64" t="inlineStr"/>
      <c r="O64" t="inlineStr">
        <is>
          <t>Done</t>
        </is>
      </c>
      <c r="P64" t="n">
        <v>1</v>
      </c>
      <c r="Q64" t="inlineStr"/>
      <c r="R64" t="inlineStr"/>
      <c r="S64" t="inlineStr"/>
      <c r="T64" t="inlineStr"/>
      <c r="U64" t="inlineStr">
        <is>
          <t>2022-01-31T00:00:00-06:00</t>
        </is>
      </c>
      <c r="V64" t="inlineStr">
        <is>
          <t>2022-01-27T00:00:00-06:00</t>
        </is>
      </c>
      <c r="W64" t="inlineStr">
        <is>
          <t>2022-01-31T13:49:22-06:00</t>
        </is>
      </c>
      <c r="X64">
        <f>IFERROR(1/COUNTIF($I:$I,@$I:$I), 0)</f>
        <v/>
      </c>
    </row>
    <row r="65">
      <c r="A65">
        <f>HYPERLINK("https://drivetime.tpondemand.com/entity/125530", "125530")</f>
        <v/>
      </c>
      <c r="B65" t="inlineStr">
        <is>
          <t>[BC NEXT] Dashboard - Fees Paid in Full</t>
        </is>
      </c>
      <c r="C65" t="inlineStr">
        <is>
          <t>UserStory</t>
        </is>
      </c>
      <c r="D65" t="inlineStr">
        <is>
          <t>Servicing: BC Next</t>
        </is>
      </c>
      <c r="E65" t="inlineStr">
        <is>
          <t>BC Digital Drakon</t>
        </is>
      </c>
      <c r="F65" t="inlineStr">
        <is>
          <t>02</t>
        </is>
      </c>
      <c r="G65" t="inlineStr">
        <is>
          <t>Yokeshwaran Lokanathan</t>
        </is>
      </c>
      <c r="H65" t="inlineStr">
        <is>
          <t>[BC NEXT] Prior to Launch Tech Investment</t>
        </is>
      </c>
      <c r="I65" t="n">
        <v>0</v>
      </c>
      <c r="J65" t="n">
        <v>3.216805555555555</v>
      </c>
      <c r="K65">
        <f>HYPERLINK("https://drivetime.tpondemand.com/entity/125462", "125462")</f>
        <v/>
      </c>
      <c r="L65" t="inlineStr"/>
      <c r="M65" t="n">
        <v>3</v>
      </c>
      <c r="N65" t="n">
        <v>125717</v>
      </c>
      <c r="O65" t="inlineStr">
        <is>
          <t>Done</t>
        </is>
      </c>
      <c r="P65" t="n">
        <v>2</v>
      </c>
      <c r="Q65" t="inlineStr">
        <is>
          <t>Kraken 50</t>
        </is>
      </c>
      <c r="R65" t="inlineStr">
        <is>
          <t>2022-01-13</t>
        </is>
      </c>
      <c r="S65" t="inlineStr">
        <is>
          <t>2022-01-26</t>
        </is>
      </c>
      <c r="T65" t="inlineStr">
        <is>
          <t>Kraken 50 : 2022-01-13 - 2022-01-26</t>
        </is>
      </c>
      <c r="U65" t="inlineStr">
        <is>
          <t>2022-01-14T00:00:00-06:00</t>
        </is>
      </c>
      <c r="V65" t="inlineStr">
        <is>
          <t>2022-01-14T00:00:00-06:00</t>
        </is>
      </c>
      <c r="W65" t="inlineStr">
        <is>
          <t>2022-01-14T17:21:21-06:00</t>
        </is>
      </c>
      <c r="X65">
        <f>IFERROR(1/COUNTIF($I:$I,@$I:$I), 0)</f>
        <v/>
      </c>
    </row>
    <row r="66">
      <c r="A66">
        <f>HYPERLINK("https://drivetime.tpondemand.com/entity/125686", "125686")</f>
        <v/>
      </c>
      <c r="B66" t="inlineStr">
        <is>
          <t>[BC NEXT][OBSERVATION][2] AutoPay - Pending Payment Modal Cancel Button</t>
        </is>
      </c>
      <c r="C66" t="inlineStr">
        <is>
          <t>UserStory</t>
        </is>
      </c>
      <c r="D66" t="inlineStr">
        <is>
          <t>Servicing: BC Next</t>
        </is>
      </c>
      <c r="E66" t="inlineStr">
        <is>
          <t>BC Digital Drakon</t>
        </is>
      </c>
      <c r="F66" t="inlineStr">
        <is>
          <t>08</t>
        </is>
      </c>
      <c r="G66" t="inlineStr">
        <is>
          <t>Antonio Posada</t>
        </is>
      </c>
      <c r="H66" t="inlineStr">
        <is>
          <t>[BC NEXT] Prior to Launch Tech Investment</t>
        </is>
      </c>
      <c r="I66" t="n">
        <v>6</v>
      </c>
      <c r="J66" t="n">
        <v>28.22208333333333</v>
      </c>
      <c r="K66">
        <f>HYPERLINK("https://drivetime.tpondemand.com/entity/127782", "127782")</f>
        <v/>
      </c>
      <c r="L66" t="inlineStr"/>
      <c r="M66" t="n">
        <v>3</v>
      </c>
      <c r="N66" t="n">
        <v>126419</v>
      </c>
      <c r="O66" t="inlineStr">
        <is>
          <t>Done</t>
        </is>
      </c>
      <c r="P66" t="n">
        <v>3</v>
      </c>
      <c r="Q66" t="inlineStr">
        <is>
          <t>Kraken 52</t>
        </is>
      </c>
      <c r="R66" t="inlineStr">
        <is>
          <t>2022-02-10</t>
        </is>
      </c>
      <c r="S66" t="inlineStr">
        <is>
          <t>2022-02-23</t>
        </is>
      </c>
      <c r="T66" t="inlineStr">
        <is>
          <t>Kraken 52 : 2022-02-10 - 2022-02-23</t>
        </is>
      </c>
      <c r="U66" t="inlineStr">
        <is>
          <t>2022-02-24T00:00:00-06:00</t>
        </is>
      </c>
      <c r="V66" t="inlineStr">
        <is>
          <t>2022-02-18T00:00:00-06:00</t>
        </is>
      </c>
      <c r="W66" t="inlineStr">
        <is>
          <t>2022-02-24T15:39:48-06:00</t>
        </is>
      </c>
      <c r="X66">
        <f>IFERROR(1/COUNTIF($I:$I,@$I:$I), 0)</f>
        <v/>
      </c>
    </row>
    <row r="67">
      <c r="A67">
        <f>HYPERLINK("https://drivetime.tpondemand.com/entity/126072", "126072")</f>
        <v/>
      </c>
      <c r="B67" t="inlineStr">
        <is>
          <t>[BC NEXT][RESEARCH] Feature Flag Not Updating</t>
        </is>
      </c>
      <c r="C67" t="inlineStr">
        <is>
          <t>UserStory</t>
        </is>
      </c>
      <c r="D67" t="inlineStr">
        <is>
          <t>Servicing: BC Next</t>
        </is>
      </c>
      <c r="E67" t="inlineStr">
        <is>
          <t>BC Digital Drakon</t>
        </is>
      </c>
      <c r="F67" t="inlineStr">
        <is>
          <t>04</t>
        </is>
      </c>
      <c r="G67" t="inlineStr">
        <is>
          <t>Pete Wesselius</t>
        </is>
      </c>
      <c r="H67" t="inlineStr">
        <is>
          <t>[BC NEXT] Prior to Launch Tech Investment</t>
        </is>
      </c>
      <c r="I67" t="n">
        <v>0</v>
      </c>
      <c r="J67" t="n">
        <v>6.337997685185185</v>
      </c>
      <c r="K67" t="inlineStr"/>
      <c r="L67" t="inlineStr"/>
      <c r="M67" t="n">
        <v>3</v>
      </c>
      <c r="N67" t="n">
        <v>125717</v>
      </c>
      <c r="O67" t="inlineStr">
        <is>
          <t>Done</t>
        </is>
      </c>
      <c r="P67" t="n">
        <v>0</v>
      </c>
      <c r="Q67" t="inlineStr">
        <is>
          <t>Kraken 50</t>
        </is>
      </c>
      <c r="R67" t="inlineStr">
        <is>
          <t>2022-01-13</t>
        </is>
      </c>
      <c r="S67" t="inlineStr">
        <is>
          <t>2022-01-26</t>
        </is>
      </c>
      <c r="T67" t="inlineStr">
        <is>
          <t>Kraken 50 : 2022-01-13 - 2022-01-26</t>
        </is>
      </c>
      <c r="U67" t="inlineStr">
        <is>
          <t>2022-01-26T00:00:00-06:00</t>
        </is>
      </c>
      <c r="V67" t="inlineStr">
        <is>
          <t>2022-01-27T00:00:00-06:00</t>
        </is>
      </c>
      <c r="W67" t="inlineStr">
        <is>
          <t>2022-01-26T00:00:00-06:00</t>
        </is>
      </c>
      <c r="X67">
        <f>IFERROR(1/COUNTIF($I:$I,@$I:$I), 0)</f>
        <v/>
      </c>
    </row>
    <row r="68">
      <c r="A68">
        <f>HYPERLINK("https://drivetime.tpondemand.com/entity/126073", "126073")</f>
        <v/>
      </c>
      <c r="B68" t="inlineStr">
        <is>
          <t>[BC NEXT][WEB BACKEND] Redirect Between Subdomain and Primary</t>
        </is>
      </c>
      <c r="C68" t="inlineStr">
        <is>
          <t>UserStory</t>
        </is>
      </c>
      <c r="D68" t="inlineStr">
        <is>
          <t>Servicing: BC Next</t>
        </is>
      </c>
      <c r="E68" t="inlineStr">
        <is>
          <t>BC Digital Drakon</t>
        </is>
      </c>
      <c r="F68" t="inlineStr">
        <is>
          <t>10</t>
        </is>
      </c>
      <c r="G68" t="inlineStr">
        <is>
          <t>Connor Golobich</t>
        </is>
      </c>
      <c r="H68" t="inlineStr">
        <is>
          <t>[BC NEXT][WEB] Phase 3: Technical Backend Setup</t>
        </is>
      </c>
      <c r="I68" t="n">
        <v>2</v>
      </c>
      <c r="J68" t="n">
        <v>29.27748842592592</v>
      </c>
      <c r="K68">
        <f>HYPERLINK("https://drivetime.tpondemand.com/entity/128244", "128244")</f>
        <v/>
      </c>
      <c r="L68" t="inlineStr"/>
      <c r="M68" t="n">
        <v>3</v>
      </c>
      <c r="N68" t="n">
        <v>126420</v>
      </c>
      <c r="O68" t="inlineStr">
        <is>
          <t>Done</t>
        </is>
      </c>
      <c r="P68" t="n">
        <v>0</v>
      </c>
      <c r="Q68" t="inlineStr">
        <is>
          <t>Drakon 1</t>
        </is>
      </c>
      <c r="R68" t="inlineStr">
        <is>
          <t>2022-02-24</t>
        </is>
      </c>
      <c r="S68" t="inlineStr">
        <is>
          <t>2022-03-09</t>
        </is>
      </c>
      <c r="T68" t="inlineStr">
        <is>
          <t>Drakon 1 : 2022-02-24 - 2022-03-09</t>
        </is>
      </c>
      <c r="U68" t="inlineStr">
        <is>
          <t>2022-03-09T00:00:00-06:00</t>
        </is>
      </c>
      <c r="V68" t="inlineStr">
        <is>
          <t>2022-03-07T00:00:00-06:00</t>
        </is>
      </c>
      <c r="W68" t="inlineStr">
        <is>
          <t>2022-03-09T16:41:25-06:00</t>
        </is>
      </c>
      <c r="X68">
        <f>IFERROR(1/COUNTIF($I:$I,@$I:$I), 0)</f>
        <v/>
      </c>
    </row>
    <row r="69">
      <c r="A69">
        <f>HYPERLINK("https://drivetime.tpondemand.com/entity/126074", "126074")</f>
        <v/>
      </c>
      <c r="B69" t="inlineStr">
        <is>
          <t>[BC NEXT][WEB BACKEND] Search Engine Optimization - Robots.txt and SiteMap</t>
        </is>
      </c>
      <c r="C69" t="inlineStr">
        <is>
          <t>UserStory</t>
        </is>
      </c>
      <c r="D69" t="inlineStr">
        <is>
          <t>Servicing: BC Next</t>
        </is>
      </c>
      <c r="E69" t="inlineStr">
        <is>
          <t>BC Digital Drakon</t>
        </is>
      </c>
      <c r="F69" t="inlineStr">
        <is>
          <t>11</t>
        </is>
      </c>
      <c r="G69" t="inlineStr">
        <is>
          <t>Pete Wesselius</t>
        </is>
      </c>
      <c r="H69" t="inlineStr">
        <is>
          <t>[BC NEXT][WEB] Phase 3: Technical Backend Setup</t>
        </is>
      </c>
      <c r="I69" t="n">
        <v>0</v>
      </c>
      <c r="J69" t="n">
        <v>36.15490740740741</v>
      </c>
      <c r="K69" t="inlineStr"/>
      <c r="L69" t="inlineStr"/>
      <c r="M69" t="n">
        <v>3</v>
      </c>
      <c r="N69" t="n">
        <v>126421</v>
      </c>
      <c r="O69" t="inlineStr">
        <is>
          <t>Done</t>
        </is>
      </c>
      <c r="P69" t="n">
        <v>0</v>
      </c>
      <c r="Q69" t="inlineStr">
        <is>
          <t>Drakon 2</t>
        </is>
      </c>
      <c r="R69" t="inlineStr">
        <is>
          <t>2022-03-10</t>
        </is>
      </c>
      <c r="S69" t="inlineStr">
        <is>
          <t>2022-03-23</t>
        </is>
      </c>
      <c r="T69" t="inlineStr">
        <is>
          <t>Drakon 2 : 2022-03-10 - 2022-03-23</t>
        </is>
      </c>
      <c r="U69" t="inlineStr">
        <is>
          <t>2022-03-15T00:00:00-05:00</t>
        </is>
      </c>
      <c r="V69" t="inlineStr">
        <is>
          <t>2022-03-16T00:00:00-05:00</t>
        </is>
      </c>
      <c r="W69" t="inlineStr">
        <is>
          <t>2022-03-16T15:42:28-05:00</t>
        </is>
      </c>
      <c r="X69">
        <f>IFERROR(1/COUNTIF($I:$I,@$I:$I), 0)</f>
        <v/>
      </c>
    </row>
    <row r="70">
      <c r="A70">
        <f>HYPERLINK("https://drivetime.tpondemand.com/entity/126240", "126240")</f>
        <v/>
      </c>
      <c r="B70" t="inlineStr">
        <is>
          <t>[BC NEXT] Handle Routing Through Login</t>
        </is>
      </c>
      <c r="C70" t="inlineStr">
        <is>
          <t>UserStory</t>
        </is>
      </c>
      <c r="D70" t="inlineStr">
        <is>
          <t>Servicing: BC Next</t>
        </is>
      </c>
      <c r="E70" t="inlineStr">
        <is>
          <t>BC Digital Drakon</t>
        </is>
      </c>
      <c r="F70" t="inlineStr">
        <is>
          <t>08</t>
        </is>
      </c>
      <c r="G70" t="inlineStr">
        <is>
          <t>Connor Golobich</t>
        </is>
      </c>
      <c r="H70" t="inlineStr">
        <is>
          <t>[BC NEXT][WEB]Phase 3: Auth0 Website Integration</t>
        </is>
      </c>
      <c r="I70" t="n">
        <v>5</v>
      </c>
      <c r="J70" t="n">
        <v>25.24355324074074</v>
      </c>
      <c r="K70">
        <f>HYPERLINK("https://drivetime.tpondemand.com/entity/127674", "127674")</f>
        <v/>
      </c>
      <c r="L70" t="inlineStr"/>
      <c r="M70" t="n">
        <v>3</v>
      </c>
      <c r="N70" t="n">
        <v>126419</v>
      </c>
      <c r="O70" t="inlineStr">
        <is>
          <t>Done</t>
        </is>
      </c>
      <c r="P70" t="n">
        <v>0</v>
      </c>
      <c r="Q70" t="inlineStr">
        <is>
          <t>Kraken 52</t>
        </is>
      </c>
      <c r="R70" t="inlineStr">
        <is>
          <t>2022-02-10</t>
        </is>
      </c>
      <c r="S70" t="inlineStr">
        <is>
          <t>2022-02-23</t>
        </is>
      </c>
      <c r="T70" t="inlineStr">
        <is>
          <t>Kraken 52 : 2022-02-10 - 2022-02-23</t>
        </is>
      </c>
      <c r="U70" t="inlineStr">
        <is>
          <t>2022-02-22T00:00:00-06:00</t>
        </is>
      </c>
      <c r="V70" t="inlineStr">
        <is>
          <t>2022-02-17T00:00:00-06:00</t>
        </is>
      </c>
      <c r="W70" t="inlineStr">
        <is>
          <t>2022-02-22T16:07:26-06:00</t>
        </is>
      </c>
      <c r="X70">
        <f>IFERROR(1/COUNTIF($I:$I,@$I:$I), 0)</f>
        <v/>
      </c>
    </row>
    <row r="71">
      <c r="A71">
        <f>HYPERLINK("https://drivetime.tpondemand.com/entity/126376", "126376")</f>
        <v/>
      </c>
      <c r="B71" t="inlineStr">
        <is>
          <t>[BC NEXT][Web] Dashboard - Customer Service/Payoff Quote</t>
        </is>
      </c>
      <c r="C71" t="inlineStr">
        <is>
          <t>UserStory</t>
        </is>
      </c>
      <c r="D71" t="inlineStr">
        <is>
          <t>Servicing: BC Next</t>
        </is>
      </c>
      <c r="E71" t="inlineStr">
        <is>
          <t>BC Digital Drakon</t>
        </is>
      </c>
      <c r="F71" t="inlineStr">
        <is>
          <t>08</t>
        </is>
      </c>
      <c r="G71" t="inlineStr">
        <is>
          <t>Namratha Chilukuri</t>
        </is>
      </c>
      <c r="H71" t="inlineStr">
        <is>
          <t>[BC NEXT][WEB] Phase 3: Dashboard</t>
        </is>
      </c>
      <c r="I71" t="n">
        <v>3</v>
      </c>
      <c r="J71" t="n">
        <v>12.07537037037037</v>
      </c>
      <c r="K71" t="inlineStr"/>
      <c r="L71" t="inlineStr"/>
      <c r="M71" t="n">
        <v>3</v>
      </c>
      <c r="N71" t="inlineStr"/>
      <c r="O71" t="inlineStr">
        <is>
          <t>Done</t>
        </is>
      </c>
      <c r="P71" t="n">
        <v>1</v>
      </c>
      <c r="Q71" t="inlineStr"/>
      <c r="R71" t="inlineStr"/>
      <c r="S71" t="inlineStr"/>
      <c r="T71" t="inlineStr"/>
      <c r="U71" t="inlineStr">
        <is>
          <t>2022-02-21T00:00:00-06:00</t>
        </is>
      </c>
      <c r="V71" t="inlineStr">
        <is>
          <t>2022-02-18T00:00:00-06:00</t>
        </is>
      </c>
      <c r="W71" t="inlineStr">
        <is>
          <t>2022-02-21T16:53:23-06:00</t>
        </is>
      </c>
      <c r="X71">
        <f>IFERROR(1/COUNTIF($I:$I,@$I:$I), 0)</f>
        <v/>
      </c>
    </row>
    <row r="72">
      <c r="A72">
        <f>HYPERLINK("https://drivetime.tpondemand.com/entity/126415", "126415")</f>
        <v/>
      </c>
      <c r="B72" t="inlineStr">
        <is>
          <t>[BC NEXT] Homepage - Update Button Component</t>
        </is>
      </c>
      <c r="C72" t="inlineStr">
        <is>
          <t>UserStory</t>
        </is>
      </c>
      <c r="D72" t="inlineStr">
        <is>
          <t>Servicing: BC Next</t>
        </is>
      </c>
      <c r="E72" t="inlineStr">
        <is>
          <t>BC Digital Drakon</t>
        </is>
      </c>
      <c r="F72" t="inlineStr">
        <is>
          <t>06</t>
        </is>
      </c>
      <c r="G72" t="inlineStr">
        <is>
          <t>Chirag Khandhar</t>
        </is>
      </c>
      <c r="H72" t="inlineStr">
        <is>
          <t>[BC NEXT][WEB] Phase 3: Homepage</t>
        </is>
      </c>
      <c r="I72" t="n">
        <v>7</v>
      </c>
      <c r="J72" t="n">
        <v>10.68351851851852</v>
      </c>
      <c r="K72">
        <f>HYPERLINK("https://drivetime.tpondemand.com/entity/126881", "126881")</f>
        <v/>
      </c>
      <c r="L72" t="inlineStr"/>
      <c r="M72" t="n">
        <v>3</v>
      </c>
      <c r="N72" t="inlineStr"/>
      <c r="O72" t="inlineStr">
        <is>
          <t>Done</t>
        </is>
      </c>
      <c r="P72" t="n">
        <v>0</v>
      </c>
      <c r="Q72" t="inlineStr"/>
      <c r="R72" t="inlineStr"/>
      <c r="S72" t="inlineStr"/>
      <c r="T72" t="inlineStr"/>
      <c r="U72" t="inlineStr">
        <is>
          <t>2022-02-07T00:00:00-06:00</t>
        </is>
      </c>
      <c r="V72" t="inlineStr">
        <is>
          <t>2022-01-31T00:00:00-06:00</t>
        </is>
      </c>
      <c r="W72" t="inlineStr">
        <is>
          <t>2022-02-07T00:00:00-06:00</t>
        </is>
      </c>
      <c r="X72">
        <f>IFERROR(1/COUNTIF($I:$I,@$I:$I), 0)</f>
        <v/>
      </c>
    </row>
    <row r="73">
      <c r="A73">
        <f>HYPERLINK("https://drivetime.tpondemand.com/entity/126492", "126492")</f>
        <v/>
      </c>
      <c r="B73" t="inlineStr">
        <is>
          <t>[BC NEXT] Dashboard Enhancements</t>
        </is>
      </c>
      <c r="C73" t="inlineStr">
        <is>
          <t>UserStory</t>
        </is>
      </c>
      <c r="D73" t="inlineStr">
        <is>
          <t>Servicing: BC Next</t>
        </is>
      </c>
      <c r="E73" t="inlineStr">
        <is>
          <t>BC Digital Drakon</t>
        </is>
      </c>
      <c r="F73" t="inlineStr">
        <is>
          <t>13</t>
        </is>
      </c>
      <c r="G73" t="inlineStr">
        <is>
          <t>Connor Golobich</t>
        </is>
      </c>
      <c r="H73" t="inlineStr">
        <is>
          <t>[BC NEXT][WEB] Phase 3: Dashboard</t>
        </is>
      </c>
      <c r="I73" t="n">
        <v>16</v>
      </c>
      <c r="J73" t="n">
        <v>37.52298611111111</v>
      </c>
      <c r="K73">
        <f>HYPERLINK("https://drivetime.tpondemand.com/entity/129029", "129029")</f>
        <v/>
      </c>
      <c r="L73" t="inlineStr"/>
      <c r="M73" t="n">
        <v>3</v>
      </c>
      <c r="N73" t="n">
        <v>126421</v>
      </c>
      <c r="O73" t="inlineStr">
        <is>
          <t>Done</t>
        </is>
      </c>
      <c r="P73" t="n">
        <v>0</v>
      </c>
      <c r="Q73" t="inlineStr">
        <is>
          <t>Drakon 2</t>
        </is>
      </c>
      <c r="R73" t="inlineStr">
        <is>
          <t>2022-03-10</t>
        </is>
      </c>
      <c r="S73" t="inlineStr">
        <is>
          <t>2022-03-23</t>
        </is>
      </c>
      <c r="T73" t="inlineStr">
        <is>
          <t>Drakon 2 : 2022-03-10 - 2022-03-23</t>
        </is>
      </c>
      <c r="U73" t="inlineStr">
        <is>
          <t>2022-03-28T00:00:00-05:00</t>
        </is>
      </c>
      <c r="V73" t="inlineStr">
        <is>
          <t>2022-03-11T00:00:00-06:00</t>
        </is>
      </c>
      <c r="W73" t="inlineStr">
        <is>
          <t>2022-03-28T00:00:00-05:00</t>
        </is>
      </c>
      <c r="X73">
        <f>IFERROR(1/COUNTIF($I:$I,@$I:$I), 0)</f>
        <v/>
      </c>
    </row>
    <row r="74">
      <c r="A74">
        <f>HYPERLINK("https://drivetime.tpondemand.com/entity/126530", "126530")</f>
        <v/>
      </c>
      <c r="B74" t="inlineStr">
        <is>
          <t>[BC NEXT][WEB] Dashboard - Add Vehicle Dropdown</t>
        </is>
      </c>
      <c r="C74" t="inlineStr">
        <is>
          <t>UserStory</t>
        </is>
      </c>
      <c r="D74" t="inlineStr">
        <is>
          <t>Servicing: BC Next</t>
        </is>
      </c>
      <c r="E74" t="inlineStr">
        <is>
          <t>BC Digital Drakon</t>
        </is>
      </c>
      <c r="F74" t="inlineStr">
        <is>
          <t>13</t>
        </is>
      </c>
      <c r="G74" t="inlineStr">
        <is>
          <t>Jesse McMahon</t>
        </is>
      </c>
      <c r="H74" t="inlineStr">
        <is>
          <t>[BC NEXT][WEB] Phase 3: Dashboard</t>
        </is>
      </c>
      <c r="I74" t="n">
        <v>3</v>
      </c>
      <c r="J74" t="n">
        <v>27.12028935185185</v>
      </c>
      <c r="K74" t="inlineStr"/>
      <c r="L74" t="inlineStr"/>
      <c r="M74" t="n">
        <v>3</v>
      </c>
      <c r="N74" t="n">
        <v>126421</v>
      </c>
      <c r="O74" t="inlineStr">
        <is>
          <t>Done</t>
        </is>
      </c>
      <c r="P74" t="n">
        <v>3</v>
      </c>
      <c r="Q74" t="inlineStr">
        <is>
          <t>Drakon 2</t>
        </is>
      </c>
      <c r="R74" t="inlineStr">
        <is>
          <t>2022-03-10</t>
        </is>
      </c>
      <c r="S74" t="inlineStr">
        <is>
          <t>2022-03-23</t>
        </is>
      </c>
      <c r="T74" t="inlineStr">
        <is>
          <t>Drakon 2 : 2022-03-10 - 2022-03-23</t>
        </is>
      </c>
      <c r="U74" t="inlineStr">
        <is>
          <t>2022-03-28T00:00:00-05:00</t>
        </is>
      </c>
      <c r="V74" t="inlineStr">
        <is>
          <t>2022-03-25T00:00:00-05:00</t>
        </is>
      </c>
      <c r="W74" t="inlineStr">
        <is>
          <t>2022-03-28T12:42:58-05:00</t>
        </is>
      </c>
      <c r="X74">
        <f>IFERROR(1/COUNTIF($I:$I,@$I:$I), 0)</f>
        <v/>
      </c>
    </row>
    <row r="75">
      <c r="A75">
        <f>HYPERLINK("https://drivetime.tpondemand.com/entity/126542", "126542")</f>
        <v/>
      </c>
      <c r="B75" t="inlineStr">
        <is>
          <t>[BC NEXT] Payment Options Page Enhancements - Non Logged In User</t>
        </is>
      </c>
      <c r="C75" t="inlineStr">
        <is>
          <t>UserStory</t>
        </is>
      </c>
      <c r="D75" t="inlineStr">
        <is>
          <t>Servicing: BC Next</t>
        </is>
      </c>
      <c r="E75" t="inlineStr">
        <is>
          <t>BC Digital Drakon</t>
        </is>
      </c>
      <c r="F75" t="inlineStr">
        <is>
          <t>07</t>
        </is>
      </c>
      <c r="G75" t="inlineStr">
        <is>
          <t>Chirag Khandhar</t>
        </is>
      </c>
      <c r="H75" t="inlineStr">
        <is>
          <t>[BC NEXT][WEB] Phase 3: Homepage</t>
        </is>
      </c>
      <c r="I75" t="n">
        <v>7</v>
      </c>
      <c r="J75" t="n">
        <v>16.91871527777778</v>
      </c>
      <c r="K75">
        <f>HYPERLINK("https://drivetime.tpondemand.com/entity/127093", "127093")</f>
        <v/>
      </c>
      <c r="L75" t="inlineStr"/>
      <c r="M75" t="n">
        <v>3</v>
      </c>
      <c r="N75" t="inlineStr"/>
      <c r="O75" t="inlineStr">
        <is>
          <t>Done</t>
        </is>
      </c>
      <c r="P75" t="n">
        <v>0</v>
      </c>
      <c r="Q75" t="inlineStr"/>
      <c r="R75" t="inlineStr"/>
      <c r="S75" t="inlineStr"/>
      <c r="T75" t="inlineStr"/>
      <c r="U75" t="inlineStr">
        <is>
          <t>2022-02-14T00:00:00-06:00</t>
        </is>
      </c>
      <c r="V75" t="inlineStr">
        <is>
          <t>2022-02-07T00:00:00-06:00</t>
        </is>
      </c>
      <c r="W75" t="inlineStr">
        <is>
          <t>2022-02-14T13:44:48-06:00</t>
        </is>
      </c>
      <c r="X75">
        <f>IFERROR(1/COUNTIF($I:$I,@$I:$I), 0)</f>
        <v/>
      </c>
    </row>
    <row r="76">
      <c r="A76">
        <f>HYPERLINK("https://drivetime.tpondemand.com/entity/126910", "126910")</f>
        <v/>
      </c>
      <c r="B76" t="inlineStr">
        <is>
          <t>[BC NEXT][OBSERVATIONS][2] Update Account Registration/EmailVerify Page UI to match comps</t>
        </is>
      </c>
      <c r="C76" t="inlineStr">
        <is>
          <t>UserStory</t>
        </is>
      </c>
      <c r="D76" t="inlineStr">
        <is>
          <t>Servicing: BC Next</t>
        </is>
      </c>
      <c r="E76" t="inlineStr">
        <is>
          <t>BC Digital Drakon</t>
        </is>
      </c>
      <c r="F76" t="inlineStr">
        <is>
          <t>10</t>
        </is>
      </c>
      <c r="G76" t="inlineStr">
        <is>
          <t>Antonio Posada</t>
        </is>
      </c>
      <c r="H76" t="inlineStr">
        <is>
          <t>[BC NEXT] Regression Testing &amp; App Bug Fixes</t>
        </is>
      </c>
      <c r="I76" t="n">
        <v>2</v>
      </c>
      <c r="J76" t="n">
        <v>18.8918287037037</v>
      </c>
      <c r="K76">
        <f>HYPERLINK("https://drivetime.tpondemand.com/entity/128241", "128241")</f>
        <v/>
      </c>
      <c r="L76" t="inlineStr"/>
      <c r="M76" t="n">
        <v>3</v>
      </c>
      <c r="N76" t="n">
        <v>126420</v>
      </c>
      <c r="O76" t="inlineStr">
        <is>
          <t>Done</t>
        </is>
      </c>
      <c r="P76" t="n">
        <v>4</v>
      </c>
      <c r="Q76" t="inlineStr">
        <is>
          <t>Drakon 1</t>
        </is>
      </c>
      <c r="R76" t="inlineStr">
        <is>
          <t>2022-02-24</t>
        </is>
      </c>
      <c r="S76" t="inlineStr">
        <is>
          <t>2022-03-09</t>
        </is>
      </c>
      <c r="T76" t="inlineStr">
        <is>
          <t>Drakon 1 : 2022-02-24 - 2022-03-09</t>
        </is>
      </c>
      <c r="U76" t="inlineStr">
        <is>
          <t>2022-03-09T00:00:00-06:00</t>
        </is>
      </c>
      <c r="V76" t="inlineStr">
        <is>
          <t>2022-03-07T00:00:00-06:00</t>
        </is>
      </c>
      <c r="W76" t="inlineStr">
        <is>
          <t>2022-03-09T12:37:03-06:00</t>
        </is>
      </c>
      <c r="X76">
        <f>IFERROR(1/COUNTIF($I:$I,@$I:$I), 0)</f>
        <v/>
      </c>
    </row>
    <row r="77">
      <c r="A77">
        <f>HYPERLINK("https://drivetime.tpondemand.com/entity/126963", "126963")</f>
        <v/>
      </c>
      <c r="B77" t="inlineStr">
        <is>
          <t>[BC NEXT][WEB] Payment Options - Payment Cards</t>
        </is>
      </c>
      <c r="C77" t="inlineStr">
        <is>
          <t>UserStory</t>
        </is>
      </c>
      <c r="D77" t="inlineStr">
        <is>
          <t>Servicing: BC Next</t>
        </is>
      </c>
      <c r="E77" t="inlineStr">
        <is>
          <t>BC Digital Drakon</t>
        </is>
      </c>
      <c r="F77" t="inlineStr">
        <is>
          <t>19</t>
        </is>
      </c>
      <c r="G77" t="inlineStr">
        <is>
          <t>Chirag Khandhar</t>
        </is>
      </c>
      <c r="H77" t="inlineStr">
        <is>
          <t>[BC NEXT][WEB] Phase 3: Payment Options</t>
        </is>
      </c>
      <c r="I77" t="n">
        <v>5</v>
      </c>
      <c r="J77" t="n">
        <v>19.90601851851852</v>
      </c>
      <c r="K77">
        <f>HYPERLINK("https://drivetime.tpondemand.com/entity/131615", "131615")</f>
        <v/>
      </c>
      <c r="L77" t="inlineStr"/>
      <c r="M77" t="n">
        <v>3</v>
      </c>
      <c r="N77" t="n">
        <v>130166</v>
      </c>
      <c r="O77" t="inlineStr">
        <is>
          <t>Done</t>
        </is>
      </c>
      <c r="P77" t="n">
        <v>0</v>
      </c>
      <c r="Q77" t="inlineStr">
        <is>
          <t>Drakon 6</t>
        </is>
      </c>
      <c r="R77" t="inlineStr">
        <is>
          <t>2022-05-05</t>
        </is>
      </c>
      <c r="S77" t="inlineStr">
        <is>
          <t>2022-05-18</t>
        </is>
      </c>
      <c r="T77" t="inlineStr">
        <is>
          <t>Drakon 6 : 2022-05-05 - 2022-05-18</t>
        </is>
      </c>
      <c r="U77" t="inlineStr">
        <is>
          <t>2022-05-11T00:00:00-05:00</t>
        </is>
      </c>
      <c r="V77" t="inlineStr">
        <is>
          <t>2022-05-06T00:00:00-05:00</t>
        </is>
      </c>
      <c r="W77" t="inlineStr">
        <is>
          <t>2022-05-12T08:56:28-05:00</t>
        </is>
      </c>
      <c r="X77">
        <f>IFERROR(1/COUNTIF($I:$I,@$I:$I), 0)</f>
        <v/>
      </c>
    </row>
    <row r="78">
      <c r="A78">
        <f>HYPERLINK("https://drivetime.tpondemand.com/entity/126964", "126964")</f>
        <v/>
      </c>
      <c r="B78" t="inlineStr">
        <is>
          <t>[BC NEXT][WEB] Payment Options - More Payment Options</t>
        </is>
      </c>
      <c r="C78" t="inlineStr">
        <is>
          <t>UserStory</t>
        </is>
      </c>
      <c r="D78" t="inlineStr">
        <is>
          <t>Servicing: BC Next</t>
        </is>
      </c>
      <c r="E78" t="inlineStr">
        <is>
          <t>BC Digital Drakon</t>
        </is>
      </c>
      <c r="F78" t="inlineStr">
        <is>
          <t>24</t>
        </is>
      </c>
      <c r="G78" t="inlineStr">
        <is>
          <t>Yokeshwaran Lokanathan</t>
        </is>
      </c>
      <c r="H78" t="inlineStr">
        <is>
          <t>[BC NEXT][WEB] Phase 3: Payment Options</t>
        </is>
      </c>
      <c r="I78" t="n">
        <v>28</v>
      </c>
      <c r="J78" t="n">
        <v>60.19204861111111</v>
      </c>
      <c r="K78">
        <f>HYPERLINK("https://drivetime.tpondemand.com/entity/132448", "132448")</f>
        <v/>
      </c>
      <c r="L78" t="inlineStr"/>
      <c r="M78" t="n">
        <v>3</v>
      </c>
      <c r="N78" t="n">
        <v>130166</v>
      </c>
      <c r="O78" t="inlineStr">
        <is>
          <t>Done</t>
        </is>
      </c>
      <c r="P78" t="n">
        <v>2</v>
      </c>
      <c r="Q78" t="inlineStr">
        <is>
          <t>Drakon 6</t>
        </is>
      </c>
      <c r="R78" t="inlineStr">
        <is>
          <t>2022-05-05</t>
        </is>
      </c>
      <c r="S78" t="inlineStr">
        <is>
          <t>2022-05-18</t>
        </is>
      </c>
      <c r="T78" t="inlineStr">
        <is>
          <t>Drakon 6 : 2022-05-05 - 2022-05-18</t>
        </is>
      </c>
      <c r="U78" t="inlineStr">
        <is>
          <t>2022-06-14T00:00:00-05:00</t>
        </is>
      </c>
      <c r="V78" t="inlineStr">
        <is>
          <t>2022-05-17T00:00:00-05:00</t>
        </is>
      </c>
      <c r="W78" t="inlineStr">
        <is>
          <t>2022-06-14T13:01:04-05:00</t>
        </is>
      </c>
      <c r="X78">
        <f>IFERROR(1/COUNTIF($I:$I,@$I:$I), 0)</f>
        <v/>
      </c>
    </row>
    <row r="79">
      <c r="A79">
        <f>HYPERLINK("https://drivetime.tpondemand.com/entity/127177", "127177")</f>
        <v/>
      </c>
      <c r="B79" t="inlineStr">
        <is>
          <t>[BC NEXT][Web] Dashboard - ADA - Footer/Banners/Payoff Quote</t>
        </is>
      </c>
      <c r="C79" t="inlineStr">
        <is>
          <t>UserStory</t>
        </is>
      </c>
      <c r="D79" t="inlineStr">
        <is>
          <t>Servicing: BC Next</t>
        </is>
      </c>
      <c r="E79" t="inlineStr">
        <is>
          <t>BC Digital Drakon</t>
        </is>
      </c>
      <c r="F79" t="inlineStr">
        <is>
          <t>09</t>
        </is>
      </c>
      <c r="G79" t="inlineStr">
        <is>
          <t>Joseph Kranak</t>
        </is>
      </c>
      <c r="H79" t="inlineStr">
        <is>
          <t>[BC NEXT][WEB] Phase 3: Dashboard</t>
        </is>
      </c>
      <c r="I79" t="n">
        <v>7</v>
      </c>
      <c r="J79" t="n">
        <v>9.088020833333333</v>
      </c>
      <c r="K79" t="inlineStr"/>
      <c r="L79" t="inlineStr"/>
      <c r="M79" t="n">
        <v>3</v>
      </c>
      <c r="N79" t="n">
        <v>126420</v>
      </c>
      <c r="O79" t="inlineStr">
        <is>
          <t>Done</t>
        </is>
      </c>
      <c r="P79" t="n">
        <v>0</v>
      </c>
      <c r="Q79" t="inlineStr">
        <is>
          <t>Drakon 1</t>
        </is>
      </c>
      <c r="R79" t="inlineStr">
        <is>
          <t>2022-02-24</t>
        </is>
      </c>
      <c r="S79" t="inlineStr">
        <is>
          <t>2022-03-09</t>
        </is>
      </c>
      <c r="T79" t="inlineStr">
        <is>
          <t>Drakon 1 : 2022-02-24 - 2022-03-09</t>
        </is>
      </c>
      <c r="U79" t="inlineStr">
        <is>
          <t>2022-03-03T00:00:00-06:00</t>
        </is>
      </c>
      <c r="V79" t="inlineStr">
        <is>
          <t>2022-02-24T00:00:00-06:00</t>
        </is>
      </c>
      <c r="W79" t="inlineStr">
        <is>
          <t>2022-03-03T12:20:56-06:00</t>
        </is>
      </c>
      <c r="X79">
        <f>IFERROR(1/COUNTIF($I:$I,@$I:$I), 0)</f>
        <v/>
      </c>
    </row>
    <row r="80">
      <c r="A80">
        <f>HYPERLINK("https://drivetime.tpondemand.com/entity/127564", "127564")</f>
        <v/>
      </c>
      <c r="B80" t="inlineStr">
        <is>
          <t>[BC NEXT][WEB] Homepage Pixel Perfect</t>
        </is>
      </c>
      <c r="C80" t="inlineStr">
        <is>
          <t>UserStory</t>
        </is>
      </c>
      <c r="D80" t="inlineStr">
        <is>
          <t>Servicing: BC Next</t>
        </is>
      </c>
      <c r="E80" t="inlineStr">
        <is>
          <t>BC Digital Drakon</t>
        </is>
      </c>
      <c r="F80" t="inlineStr">
        <is>
          <t>10</t>
        </is>
      </c>
      <c r="G80" t="inlineStr">
        <is>
          <t>Jesse McMahon</t>
        </is>
      </c>
      <c r="H80" t="inlineStr">
        <is>
          <t>[BC NEXT][WEB] Phase 3: Homepage</t>
        </is>
      </c>
      <c r="I80" t="n">
        <v>7</v>
      </c>
      <c r="J80" t="n">
        <v>15.02006944444444</v>
      </c>
      <c r="K80">
        <f>HYPERLINK("https://drivetime.tpondemand.com/entity/128278", "128278")</f>
        <v/>
      </c>
      <c r="L80" t="inlineStr"/>
      <c r="M80" t="n">
        <v>3</v>
      </c>
      <c r="N80" t="n">
        <v>126420</v>
      </c>
      <c r="O80" t="inlineStr">
        <is>
          <t>Done</t>
        </is>
      </c>
      <c r="P80" t="n">
        <v>1</v>
      </c>
      <c r="Q80" t="inlineStr">
        <is>
          <t>Drakon 1</t>
        </is>
      </c>
      <c r="R80" t="inlineStr">
        <is>
          <t>2022-02-24</t>
        </is>
      </c>
      <c r="S80" t="inlineStr">
        <is>
          <t>2022-03-09</t>
        </is>
      </c>
      <c r="T80" t="inlineStr">
        <is>
          <t>Drakon 1 : 2022-02-24 - 2022-03-09</t>
        </is>
      </c>
      <c r="U80" t="inlineStr">
        <is>
          <t>2022-03-10T00:00:00-06:00</t>
        </is>
      </c>
      <c r="V80" t="inlineStr">
        <is>
          <t>2022-03-03T00:00:00-06:00</t>
        </is>
      </c>
      <c r="W80" t="inlineStr">
        <is>
          <t>2022-03-10T11:41:06-06:00</t>
        </is>
      </c>
      <c r="X80">
        <f>IFERROR(1/COUNTIF($I:$I,@$I:$I), 0)</f>
        <v/>
      </c>
    </row>
    <row r="81">
      <c r="A81">
        <f>HYPERLINK("https://drivetime.tpondemand.com/entity/127574", "127574")</f>
        <v/>
      </c>
      <c r="B81" t="inlineStr">
        <is>
          <t>[BC NEXT][WEB] Dashboard Pixel Perfect</t>
        </is>
      </c>
      <c r="C81" t="inlineStr">
        <is>
          <t>UserStory</t>
        </is>
      </c>
      <c r="D81" t="inlineStr">
        <is>
          <t>Servicing: BC Next</t>
        </is>
      </c>
      <c r="E81" t="inlineStr">
        <is>
          <t>BC Digital Drakon</t>
        </is>
      </c>
      <c r="F81" t="inlineStr">
        <is>
          <t>13</t>
        </is>
      </c>
      <c r="G81" t="inlineStr">
        <is>
          <t>Joseph Kranak</t>
        </is>
      </c>
      <c r="H81" t="inlineStr">
        <is>
          <t>[BC NEXT][WEB] Phase 3: Dashboard</t>
        </is>
      </c>
      <c r="I81" t="n">
        <v>0</v>
      </c>
      <c r="J81" t="n">
        <v>18.20792824074074</v>
      </c>
      <c r="K81">
        <f>HYPERLINK("https://drivetime.tpondemand.com/entity/129522", "129522")</f>
        <v/>
      </c>
      <c r="L81" t="inlineStr"/>
      <c r="M81" t="n">
        <v>3</v>
      </c>
      <c r="N81" t="n">
        <v>126422</v>
      </c>
      <c r="O81" t="inlineStr">
        <is>
          <t>Done</t>
        </is>
      </c>
      <c r="P81" t="n">
        <v>2</v>
      </c>
      <c r="Q81" t="inlineStr">
        <is>
          <t>Drakon 3</t>
        </is>
      </c>
      <c r="R81" t="inlineStr">
        <is>
          <t>2022-03-24</t>
        </is>
      </c>
      <c r="S81" t="inlineStr">
        <is>
          <t>2022-04-06</t>
        </is>
      </c>
      <c r="T81" t="inlineStr">
        <is>
          <t>Drakon 3 : 2022-03-24 - 2022-04-06</t>
        </is>
      </c>
      <c r="U81" t="inlineStr">
        <is>
          <t>2022-04-01T00:00:00-05:00</t>
        </is>
      </c>
      <c r="V81" t="inlineStr">
        <is>
          <t>2022-04-01T00:00:00-05:00</t>
        </is>
      </c>
      <c r="W81" t="inlineStr">
        <is>
          <t>2022-04-01T16:54:03-05:00</t>
        </is>
      </c>
      <c r="X81">
        <f>IFERROR(1/COUNTIF($I:$I,@$I:$I), 0)</f>
        <v/>
      </c>
    </row>
    <row r="82">
      <c r="A82">
        <f>HYPERLINK("https://drivetime.tpondemand.com/entity/127701", "127701")</f>
        <v/>
      </c>
      <c r="B82" t="inlineStr">
        <is>
          <t>[BC NEXT][WEB] OTP - Step 1: Account Summary Card</t>
        </is>
      </c>
      <c r="C82" t="inlineStr">
        <is>
          <t>UserStory</t>
        </is>
      </c>
      <c r="D82" t="inlineStr">
        <is>
          <t>Servicing: BC Next</t>
        </is>
      </c>
      <c r="E82" t="inlineStr">
        <is>
          <t>BC Digital Drakon</t>
        </is>
      </c>
      <c r="F82" t="inlineStr">
        <is>
          <t>17</t>
        </is>
      </c>
      <c r="G82" t="inlineStr">
        <is>
          <t>Antonio Posada</t>
        </is>
      </c>
      <c r="H82" t="inlineStr">
        <is>
          <t>[BC NEXT][WEB] Phase 3: ACH One Time Payment</t>
        </is>
      </c>
      <c r="I82" t="n">
        <v>3</v>
      </c>
      <c r="J82" t="n">
        <v>42.00329861111111</v>
      </c>
      <c r="K82">
        <f>HYPERLINK("https://drivetime.tpondemand.com/entity/130431", "130431")</f>
        <v/>
      </c>
      <c r="L82" t="inlineStr"/>
      <c r="M82" t="n">
        <v>3</v>
      </c>
      <c r="N82" t="n">
        <v>129064</v>
      </c>
      <c r="O82" t="inlineStr">
        <is>
          <t>Done</t>
        </is>
      </c>
      <c r="P82" t="n">
        <v>2</v>
      </c>
      <c r="Q82" t="inlineStr">
        <is>
          <t>Drakon 5</t>
        </is>
      </c>
      <c r="R82" t="inlineStr">
        <is>
          <t>2022-04-21</t>
        </is>
      </c>
      <c r="S82" t="inlineStr">
        <is>
          <t>2022-05-04</t>
        </is>
      </c>
      <c r="T82" t="inlineStr">
        <is>
          <t>Drakon 5 : 2022-04-21 - 2022-05-04</t>
        </is>
      </c>
      <c r="U82" t="inlineStr">
        <is>
          <t>2022-04-25T00:00:00-05:00</t>
        </is>
      </c>
      <c r="V82" t="inlineStr">
        <is>
          <t>2022-04-22T00:00:00-05:00</t>
        </is>
      </c>
      <c r="W82" t="inlineStr">
        <is>
          <t>2022-04-25T16:48:27-05:00</t>
        </is>
      </c>
      <c r="X82">
        <f>IFERROR(1/COUNTIF($I:$I,@$I:$I), 0)</f>
        <v/>
      </c>
    </row>
    <row r="83">
      <c r="A83">
        <f>HYPERLINK("https://drivetime.tpondemand.com/entity/127766", "127766")</f>
        <v/>
      </c>
      <c r="B83" t="inlineStr">
        <is>
          <t>[BC  NEXT] Clean up Auth0 bypass logic</t>
        </is>
      </c>
      <c r="C83" t="inlineStr">
        <is>
          <t>UserStory</t>
        </is>
      </c>
      <c r="D83" t="inlineStr">
        <is>
          <t>Servicing: BC Next</t>
        </is>
      </c>
      <c r="E83" t="inlineStr">
        <is>
          <t>BC Digital Drakon</t>
        </is>
      </c>
      <c r="F83" t="inlineStr">
        <is>
          <t>13</t>
        </is>
      </c>
      <c r="G83" t="inlineStr">
        <is>
          <t>Pete Wesselius</t>
        </is>
      </c>
      <c r="H83" t="inlineStr">
        <is>
          <t>[BC NEXT] Bug Fixes for April App Release</t>
        </is>
      </c>
      <c r="I83" t="n">
        <v>11</v>
      </c>
      <c r="J83" t="n">
        <v>32.51497685185185</v>
      </c>
      <c r="K83">
        <f>HYPERLINK("https://drivetime.tpondemand.com/entity/129029", "129029")</f>
        <v/>
      </c>
      <c r="L83" t="inlineStr"/>
      <c r="M83" t="n">
        <v>3</v>
      </c>
      <c r="N83" t="n">
        <v>126421</v>
      </c>
      <c r="O83" t="inlineStr">
        <is>
          <t>Done</t>
        </is>
      </c>
      <c r="P83" t="n">
        <v>0</v>
      </c>
      <c r="Q83" t="inlineStr">
        <is>
          <t>Drakon 2</t>
        </is>
      </c>
      <c r="R83" t="inlineStr">
        <is>
          <t>2022-03-10</t>
        </is>
      </c>
      <c r="S83" t="inlineStr">
        <is>
          <t>2022-03-23</t>
        </is>
      </c>
      <c r="T83" t="inlineStr">
        <is>
          <t>Drakon 2 : 2022-03-10 - 2022-03-23</t>
        </is>
      </c>
      <c r="U83" t="inlineStr">
        <is>
          <t>2022-03-28T00:00:00-05:00</t>
        </is>
      </c>
      <c r="V83" t="inlineStr">
        <is>
          <t>2022-03-17T00:00:00-05:00</t>
        </is>
      </c>
      <c r="W83" t="inlineStr">
        <is>
          <t>2022-03-28T00:00:00-05:00</t>
        </is>
      </c>
      <c r="X83">
        <f>IFERROR(1/COUNTIF($I:$I,@$I:$I), 0)</f>
        <v/>
      </c>
    </row>
    <row r="84">
      <c r="A84">
        <f>HYPERLINK("https://drivetime.tpondemand.com/entity/127921", "127921")</f>
        <v/>
      </c>
      <c r="B84" t="inlineStr">
        <is>
          <t>[BC NEXT][WEB] OTP - Step Indicator, Bottom Links, Footer</t>
        </is>
      </c>
      <c r="C84" t="inlineStr">
        <is>
          <t>UserStory</t>
        </is>
      </c>
      <c r="D84" t="inlineStr">
        <is>
          <t>Servicing: BC Next</t>
        </is>
      </c>
      <c r="E84" t="inlineStr">
        <is>
          <t>BC Digital Drakon</t>
        </is>
      </c>
      <c r="F84" t="inlineStr">
        <is>
          <t>13</t>
        </is>
      </c>
      <c r="G84" t="inlineStr">
        <is>
          <t>Joseph Kranak</t>
        </is>
      </c>
      <c r="H84" t="inlineStr">
        <is>
          <t>[BC NEXT][WEB] Phase 3: ACH One Time Payment</t>
        </is>
      </c>
      <c r="I84" t="n">
        <v>8</v>
      </c>
      <c r="J84" t="n">
        <v>28.48253472222222</v>
      </c>
      <c r="K84">
        <f>HYPERLINK("https://drivetime.tpondemand.com/entity/129428", "129428")</f>
        <v/>
      </c>
      <c r="L84" t="inlineStr"/>
      <c r="M84" t="n">
        <v>3</v>
      </c>
      <c r="N84" t="n">
        <v>126422</v>
      </c>
      <c r="O84" t="inlineStr">
        <is>
          <t>Done</t>
        </is>
      </c>
      <c r="P84" t="n">
        <v>2</v>
      </c>
      <c r="Q84" t="inlineStr">
        <is>
          <t>Drakon 3</t>
        </is>
      </c>
      <c r="R84" t="inlineStr">
        <is>
          <t>2022-03-24</t>
        </is>
      </c>
      <c r="S84" t="inlineStr">
        <is>
          <t>2022-04-06</t>
        </is>
      </c>
      <c r="T84" t="inlineStr">
        <is>
          <t>Drakon 3 : 2022-03-24 - 2022-04-06</t>
        </is>
      </c>
      <c r="U84" t="inlineStr">
        <is>
          <t>2022-03-31T00:00:00-05:00</t>
        </is>
      </c>
      <c r="V84" t="inlineStr">
        <is>
          <t>2022-03-23T00:00:00-05:00</t>
        </is>
      </c>
      <c r="W84" t="inlineStr">
        <is>
          <t>2022-03-31T00:00:00-05:00</t>
        </is>
      </c>
      <c r="X84">
        <f>IFERROR(1/COUNTIF($I:$I,@$I:$I), 0)</f>
        <v/>
      </c>
    </row>
    <row r="85">
      <c r="A85">
        <f>HYPERLINK("https://drivetime.tpondemand.com/entity/127931", "127931")</f>
        <v/>
      </c>
      <c r="B85" t="inlineStr">
        <is>
          <t>[BC NEXT][WEB] OTP - Modals</t>
        </is>
      </c>
      <c r="C85" t="inlineStr">
        <is>
          <t>UserStory</t>
        </is>
      </c>
      <c r="D85" t="inlineStr">
        <is>
          <t>Servicing: BC Next</t>
        </is>
      </c>
      <c r="E85" t="inlineStr">
        <is>
          <t>BC Digital Drakon</t>
        </is>
      </c>
      <c r="F85" t="inlineStr">
        <is>
          <t>11</t>
        </is>
      </c>
      <c r="G85" t="inlineStr">
        <is>
          <t>Abbas Shamshi</t>
        </is>
      </c>
      <c r="H85" t="inlineStr">
        <is>
          <t>[BC NEXT][WEB] Phase 3: ACH One Time Payment</t>
        </is>
      </c>
      <c r="I85" t="n">
        <v>5</v>
      </c>
      <c r="J85" t="n">
        <v>12.79777777777778</v>
      </c>
      <c r="K85" t="inlineStr"/>
      <c r="L85" t="inlineStr"/>
      <c r="M85" t="n">
        <v>3</v>
      </c>
      <c r="N85" t="n">
        <v>126421</v>
      </c>
      <c r="O85" t="inlineStr">
        <is>
          <t>Done</t>
        </is>
      </c>
      <c r="P85" t="n">
        <v>1</v>
      </c>
      <c r="Q85" t="inlineStr">
        <is>
          <t>Drakon 2</t>
        </is>
      </c>
      <c r="R85" t="inlineStr">
        <is>
          <t>2022-03-10</t>
        </is>
      </c>
      <c r="S85" t="inlineStr">
        <is>
          <t>2022-03-23</t>
        </is>
      </c>
      <c r="T85" t="inlineStr">
        <is>
          <t>Drakon 2 : 2022-03-10 - 2022-03-23</t>
        </is>
      </c>
      <c r="U85" t="inlineStr">
        <is>
          <t>2022-03-17T00:00:00-05:00</t>
        </is>
      </c>
      <c r="V85" t="inlineStr">
        <is>
          <t>2022-03-11T00:00:00-06:00</t>
        </is>
      </c>
      <c r="W85" t="inlineStr">
        <is>
          <t>2022-03-17T10:33:09-05:00</t>
        </is>
      </c>
      <c r="X85">
        <f>IFERROR(1/COUNTIF($I:$I,@$I:$I), 0)</f>
        <v/>
      </c>
    </row>
    <row r="86">
      <c r="A86">
        <f>HYPERLINK("https://drivetime.tpondemand.com/entity/127945", "127945")</f>
        <v/>
      </c>
      <c r="B86" t="inlineStr">
        <is>
          <t>[BC NEXT][WEB] AutoPay - Select Account Page and Footer</t>
        </is>
      </c>
      <c r="C86" t="inlineStr">
        <is>
          <t>UserStory</t>
        </is>
      </c>
      <c r="D86" t="inlineStr">
        <is>
          <t>Servicing: BC Next</t>
        </is>
      </c>
      <c r="E86" t="inlineStr">
        <is>
          <t>BC Digital Drakon</t>
        </is>
      </c>
      <c r="F86" t="inlineStr">
        <is>
          <t>16</t>
        </is>
      </c>
      <c r="G86" t="inlineStr">
        <is>
          <t>Yokeshwaran Lokanathan</t>
        </is>
      </c>
      <c r="H86" t="inlineStr">
        <is>
          <t>[BC NEXT][WEB] Phase 3: AutoPay Enrollment</t>
        </is>
      </c>
      <c r="I86" t="n">
        <v>1</v>
      </c>
      <c r="J86" t="n">
        <v>21.54020833333333</v>
      </c>
      <c r="K86">
        <f>HYPERLINK("https://drivetime.tpondemand.com/entity/131354", "131354")</f>
        <v/>
      </c>
      <c r="L86" t="inlineStr"/>
      <c r="M86" t="n">
        <v>3</v>
      </c>
      <c r="N86" t="n">
        <v>129063</v>
      </c>
      <c r="O86" t="inlineStr">
        <is>
          <t>Done</t>
        </is>
      </c>
      <c r="P86" t="n">
        <v>4</v>
      </c>
      <c r="Q86" t="inlineStr">
        <is>
          <t>Drakon 4</t>
        </is>
      </c>
      <c r="R86" t="inlineStr">
        <is>
          <t>2022-04-07</t>
        </is>
      </c>
      <c r="S86" t="inlineStr">
        <is>
          <t>2022-04-20</t>
        </is>
      </c>
      <c r="T86" t="inlineStr">
        <is>
          <t>Drakon 4 : 2022-04-07 - 2022-04-20</t>
        </is>
      </c>
      <c r="U86" t="inlineStr">
        <is>
          <t>2022-04-20T00:00:00-05:00</t>
        </is>
      </c>
      <c r="V86" t="inlineStr">
        <is>
          <t>2022-04-19T00:00:00-05:00</t>
        </is>
      </c>
      <c r="W86" t="inlineStr">
        <is>
          <t>2022-04-20T00:00:00-05:00</t>
        </is>
      </c>
      <c r="X86">
        <f>IFERROR(1/COUNTIF($I:$I,@$I:$I), 0)</f>
        <v/>
      </c>
    </row>
    <row r="87">
      <c r="A87">
        <f>HYPERLINK("https://drivetime.tpondemand.com/entity/127947", "127947")</f>
        <v/>
      </c>
      <c r="B87" t="inlineStr">
        <is>
          <t>[BC NEXT][WEB] AutoPay - Step 1: Account Summary Card</t>
        </is>
      </c>
      <c r="C87" t="inlineStr">
        <is>
          <t>UserStory</t>
        </is>
      </c>
      <c r="D87" t="inlineStr">
        <is>
          <t>Servicing: BC Next</t>
        </is>
      </c>
      <c r="E87" t="inlineStr">
        <is>
          <t>BC Digital Drakon</t>
        </is>
      </c>
      <c r="F87" t="inlineStr">
        <is>
          <t>17</t>
        </is>
      </c>
      <c r="G87" t="inlineStr">
        <is>
          <t>Joseph Kranak</t>
        </is>
      </c>
      <c r="H87" t="inlineStr">
        <is>
          <t>[BC NEXT][WEB] Phase 3: AutoPay Enrollment</t>
        </is>
      </c>
      <c r="I87" t="n">
        <v>5</v>
      </c>
      <c r="J87" t="n">
        <v>31.80099537037037</v>
      </c>
      <c r="K87">
        <f>HYPERLINK("https://drivetime.tpondemand.com/entity/131354", "131354")</f>
        <v/>
      </c>
      <c r="L87" t="inlineStr"/>
      <c r="M87" t="n">
        <v>3</v>
      </c>
      <c r="N87" t="n">
        <v>129063</v>
      </c>
      <c r="O87" t="inlineStr">
        <is>
          <t>Done</t>
        </is>
      </c>
      <c r="P87" t="n">
        <v>3</v>
      </c>
      <c r="Q87" t="inlineStr">
        <is>
          <t>Drakon 4</t>
        </is>
      </c>
      <c r="R87" t="inlineStr">
        <is>
          <t>2022-04-07</t>
        </is>
      </c>
      <c r="S87" t="inlineStr">
        <is>
          <t>2022-04-20</t>
        </is>
      </c>
      <c r="T87" t="inlineStr">
        <is>
          <t>Drakon 4 : 2022-04-07 - 2022-04-20</t>
        </is>
      </c>
      <c r="U87" t="inlineStr">
        <is>
          <t>2022-04-25T00:00:00-05:00</t>
        </is>
      </c>
      <c r="V87" t="inlineStr">
        <is>
          <t>2022-04-20T00:00:00-05:00</t>
        </is>
      </c>
      <c r="W87" t="inlineStr">
        <is>
          <t>2022-04-25T11:13:42-05:00</t>
        </is>
      </c>
      <c r="X87">
        <f>IFERROR(1/COUNTIF($I:$I,@$I:$I), 0)</f>
        <v/>
      </c>
    </row>
    <row r="88">
      <c r="A88">
        <f>HYPERLINK("https://drivetime.tpondemand.com/entity/127960", "127960")</f>
        <v/>
      </c>
      <c r="B88" t="inlineStr">
        <is>
          <t>[BC NEXT][WEB] AutoPay - Step Indicator and Step 1 Acknowledgement Box</t>
        </is>
      </c>
      <c r="C88" t="inlineStr">
        <is>
          <t>UserStory</t>
        </is>
      </c>
      <c r="D88" t="inlineStr">
        <is>
          <t>Servicing: BC Next</t>
        </is>
      </c>
      <c r="E88" t="inlineStr">
        <is>
          <t>BC Digital Drakon</t>
        </is>
      </c>
      <c r="F88" t="inlineStr">
        <is>
          <t>16</t>
        </is>
      </c>
      <c r="G88" t="inlineStr">
        <is>
          <t>Chirag Khandhar</t>
        </is>
      </c>
      <c r="H88" t="inlineStr">
        <is>
          <t>[BC NEXT][WEB] Phase 3: AutoPay Enrollment</t>
        </is>
      </c>
      <c r="I88" t="n">
        <v>1</v>
      </c>
      <c r="J88" t="n">
        <v>23.16153935185185</v>
      </c>
      <c r="K88">
        <f>HYPERLINK("https://drivetime.tpondemand.com/entity/131354", "131354")</f>
        <v/>
      </c>
      <c r="L88" t="inlineStr"/>
      <c r="M88" t="n">
        <v>3</v>
      </c>
      <c r="N88" t="n">
        <v>129063</v>
      </c>
      <c r="O88" t="inlineStr">
        <is>
          <t>Done</t>
        </is>
      </c>
      <c r="P88" t="n">
        <v>2</v>
      </c>
      <c r="Q88" t="inlineStr">
        <is>
          <t>Drakon 4</t>
        </is>
      </c>
      <c r="R88" t="inlineStr">
        <is>
          <t>2022-04-07</t>
        </is>
      </c>
      <c r="S88" t="inlineStr">
        <is>
          <t>2022-04-20</t>
        </is>
      </c>
      <c r="T88" t="inlineStr">
        <is>
          <t>Drakon 4 : 2022-04-07 - 2022-04-20</t>
        </is>
      </c>
      <c r="U88" t="inlineStr">
        <is>
          <t>2022-04-20T00:00:00-05:00</t>
        </is>
      </c>
      <c r="V88" t="inlineStr">
        <is>
          <t>2022-04-19T00:00:00-05:00</t>
        </is>
      </c>
      <c r="W88" t="inlineStr">
        <is>
          <t>2022-04-20T12:59:12-05:00</t>
        </is>
      </c>
      <c r="X88">
        <f>IFERROR(1/COUNTIF($I:$I,@$I:$I), 0)</f>
        <v/>
      </c>
    </row>
    <row r="89">
      <c r="A89">
        <f>HYPERLINK("https://drivetime.tpondemand.com/entity/127963", "127963")</f>
        <v/>
      </c>
      <c r="B89" t="inlineStr">
        <is>
          <t>[BC NEXT][WEB] AutoPay - Step 2: Entire Page</t>
        </is>
      </c>
      <c r="C89" t="inlineStr">
        <is>
          <t>UserStory</t>
        </is>
      </c>
      <c r="D89" t="inlineStr">
        <is>
          <t>Servicing: BC Next</t>
        </is>
      </c>
      <c r="E89" t="inlineStr">
        <is>
          <t>BC Digital Drakon</t>
        </is>
      </c>
      <c r="F89" t="inlineStr">
        <is>
          <t>16</t>
        </is>
      </c>
      <c r="G89" t="inlineStr">
        <is>
          <t>Jesse McMahon</t>
        </is>
      </c>
      <c r="H89" t="inlineStr">
        <is>
          <t>[BC NEXT][WEB] Phase 3: AutoPay Enrollment</t>
        </is>
      </c>
      <c r="I89" t="n">
        <v>8</v>
      </c>
      <c r="J89" t="n">
        <v>25.53914351851852</v>
      </c>
      <c r="K89">
        <f>HYPERLINK("https://drivetime.tpondemand.com/entity/131354", "131354")</f>
        <v/>
      </c>
      <c r="L89" t="inlineStr"/>
      <c r="M89" t="n">
        <v>3</v>
      </c>
      <c r="N89" t="n">
        <v>129063</v>
      </c>
      <c r="O89" t="inlineStr">
        <is>
          <t>Done</t>
        </is>
      </c>
      <c r="P89" t="n">
        <v>1</v>
      </c>
      <c r="Q89" t="inlineStr">
        <is>
          <t>Drakon 4</t>
        </is>
      </c>
      <c r="R89" t="inlineStr">
        <is>
          <t>2022-04-07</t>
        </is>
      </c>
      <c r="S89" t="inlineStr">
        <is>
          <t>2022-04-20</t>
        </is>
      </c>
      <c r="T89" t="inlineStr">
        <is>
          <t>Drakon 4 : 2022-04-07 - 2022-04-20</t>
        </is>
      </c>
      <c r="U89" t="inlineStr">
        <is>
          <t>2022-04-20T00:00:00-05:00</t>
        </is>
      </c>
      <c r="V89" t="inlineStr">
        <is>
          <t>2022-04-12T00:00:00-05:00</t>
        </is>
      </c>
      <c r="W89" t="inlineStr">
        <is>
          <t>2022-04-20T00:00:00-05:00</t>
        </is>
      </c>
      <c r="X89">
        <f>IFERROR(1/COUNTIF($I:$I,@$I:$I), 0)</f>
        <v/>
      </c>
    </row>
    <row r="90">
      <c r="A90">
        <f>HYPERLINK("https://drivetime.tpondemand.com/entity/127976", "127976")</f>
        <v/>
      </c>
      <c r="B90" t="inlineStr">
        <is>
          <t>[BC NEXT] Fix Login Loop on Android</t>
        </is>
      </c>
      <c r="C90" t="inlineStr">
        <is>
          <t>UserStory</t>
        </is>
      </c>
      <c r="D90" t="inlineStr">
        <is>
          <t>Servicing: BC Next</t>
        </is>
      </c>
      <c r="E90" t="inlineStr">
        <is>
          <t>BC Digital Drakon</t>
        </is>
      </c>
      <c r="F90" t="inlineStr">
        <is>
          <t>14</t>
        </is>
      </c>
      <c r="G90" t="inlineStr">
        <is>
          <t>Pete Wesselius</t>
        </is>
      </c>
      <c r="H90" t="inlineStr">
        <is>
          <t>[BC NEXT] Bug Fixes for April App Release</t>
        </is>
      </c>
      <c r="I90" t="n">
        <v>1</v>
      </c>
      <c r="J90" t="n">
        <v>27.97141203703704</v>
      </c>
      <c r="K90">
        <f>HYPERLINK("https://drivetime.tpondemand.com/entity/129660", "129660")</f>
        <v/>
      </c>
      <c r="L90" t="inlineStr"/>
      <c r="M90" t="n">
        <v>3</v>
      </c>
      <c r="N90" t="n">
        <v>126422</v>
      </c>
      <c r="O90" t="inlineStr">
        <is>
          <t>Done</t>
        </is>
      </c>
      <c r="P90" t="n">
        <v>0</v>
      </c>
      <c r="Q90" t="inlineStr">
        <is>
          <t>Drakon 3</t>
        </is>
      </c>
      <c r="R90" t="inlineStr">
        <is>
          <t>2022-03-24</t>
        </is>
      </c>
      <c r="S90" t="inlineStr">
        <is>
          <t>2022-04-06</t>
        </is>
      </c>
      <c r="T90" t="inlineStr">
        <is>
          <t>Drakon 3 : 2022-03-24 - 2022-04-06</t>
        </is>
      </c>
      <c r="U90" t="inlineStr">
        <is>
          <t>2022-04-06T00:00:00-05:00</t>
        </is>
      </c>
      <c r="V90" t="inlineStr">
        <is>
          <t>2022-04-05T00:00:00-05:00</t>
        </is>
      </c>
      <c r="W90" t="inlineStr">
        <is>
          <t>2022-04-06T12:58:54-05:00</t>
        </is>
      </c>
      <c r="X90">
        <f>IFERROR(1/COUNTIF($I:$I,@$I:$I), 0)</f>
        <v/>
      </c>
    </row>
    <row r="91">
      <c r="A91">
        <f>HYPERLINK("https://drivetime.tpondemand.com/entity/127980", "127980")</f>
        <v/>
      </c>
      <c r="B91" t="inlineStr">
        <is>
          <t>[BC NEXT][RESEARCH] Understand how Auth0 Adaptive MFA Impacts Code</t>
        </is>
      </c>
      <c r="C91" t="inlineStr">
        <is>
          <t>UserStory</t>
        </is>
      </c>
      <c r="D91" t="inlineStr">
        <is>
          <t>Servicing: BC Next</t>
        </is>
      </c>
      <c r="E91" t="inlineStr">
        <is>
          <t>BC Digital Drakon</t>
        </is>
      </c>
      <c r="F91" t="inlineStr">
        <is>
          <t>23</t>
        </is>
      </c>
      <c r="G91" t="inlineStr"/>
      <c r="H91" t="inlineStr">
        <is>
          <t>[BC NEXT][WEB] Adaptive MFA in Auth0</t>
        </is>
      </c>
      <c r="I91" t="n">
        <v>0</v>
      </c>
      <c r="J91" t="n">
        <v>5.787037037037037e-05</v>
      </c>
      <c r="K91" t="inlineStr"/>
      <c r="L91" t="inlineStr"/>
      <c r="M91" t="n">
        <v>3</v>
      </c>
      <c r="N91" t="inlineStr"/>
      <c r="O91" t="inlineStr">
        <is>
          <t>Done</t>
        </is>
      </c>
      <c r="P91" t="n">
        <v>0</v>
      </c>
      <c r="Q91" t="inlineStr"/>
      <c r="R91" t="inlineStr"/>
      <c r="S91" t="inlineStr"/>
      <c r="T91" t="inlineStr"/>
      <c r="U91" t="inlineStr">
        <is>
          <t>2022-06-08T00:00:00-05:00</t>
        </is>
      </c>
      <c r="V91" t="inlineStr">
        <is>
          <t>2022-06-08T00:00:00-05:00</t>
        </is>
      </c>
      <c r="W91" t="inlineStr">
        <is>
          <t>2022-06-08T10:54:18-05:00</t>
        </is>
      </c>
      <c r="X91">
        <f>IFERROR(1/COUNTIF($I:$I,@$I:$I), 0)</f>
        <v/>
      </c>
    </row>
    <row r="92">
      <c r="A92">
        <f>HYPERLINK("https://drivetime.tpondemand.com/entity/127981", "127981")</f>
        <v/>
      </c>
      <c r="B92" t="inlineStr">
        <is>
          <t>[BC NEXT] Research the space below top nav on Android issue</t>
        </is>
      </c>
      <c r="C92" t="inlineStr">
        <is>
          <t>UserStory</t>
        </is>
      </c>
      <c r="D92" t="inlineStr">
        <is>
          <t>Servicing: BC Next</t>
        </is>
      </c>
      <c r="E92" t="inlineStr">
        <is>
          <t>BC Digital Drakon</t>
        </is>
      </c>
      <c r="F92" t="inlineStr">
        <is>
          <t>13</t>
        </is>
      </c>
      <c r="G92" t="inlineStr">
        <is>
          <t>Yokeshwaran Lokanathan</t>
        </is>
      </c>
      <c r="H92" t="inlineStr">
        <is>
          <t>[BC NEXT] Bug Fixes for April App Release</t>
        </is>
      </c>
      <c r="I92" t="n">
        <v>6</v>
      </c>
      <c r="J92" t="n">
        <v>18.58457175925926</v>
      </c>
      <c r="K92">
        <f>HYPERLINK("https://drivetime.tpondemand.com/entity/129294", "129294")</f>
        <v/>
      </c>
      <c r="L92" t="inlineStr"/>
      <c r="M92" t="n">
        <v>3</v>
      </c>
      <c r="N92" t="n">
        <v>126422</v>
      </c>
      <c r="O92" t="inlineStr">
        <is>
          <t>Done</t>
        </is>
      </c>
      <c r="P92" t="n">
        <v>0</v>
      </c>
      <c r="Q92" t="inlineStr">
        <is>
          <t>Drakon 3</t>
        </is>
      </c>
      <c r="R92" t="inlineStr">
        <is>
          <t>2022-03-24</t>
        </is>
      </c>
      <c r="S92" t="inlineStr">
        <is>
          <t>2022-04-06</t>
        </is>
      </c>
      <c r="T92" t="inlineStr">
        <is>
          <t>Drakon 3 : 2022-03-24 - 2022-04-06</t>
        </is>
      </c>
      <c r="U92" t="inlineStr">
        <is>
          <t>2022-03-30T00:00:00-05:00</t>
        </is>
      </c>
      <c r="V92" t="inlineStr">
        <is>
          <t>2022-03-24T00:00:00-05:00</t>
        </is>
      </c>
      <c r="W92" t="inlineStr">
        <is>
          <t>2022-03-30T00:00:00-05:00</t>
        </is>
      </c>
      <c r="X92">
        <f>IFERROR(1/COUNTIF($I:$I,@$I:$I), 0)</f>
        <v/>
      </c>
    </row>
    <row r="93">
      <c r="A93">
        <f>HYPERLINK("https://drivetime.tpondemand.com/entity/128024", "128024")</f>
        <v/>
      </c>
      <c r="B93" t="inlineStr">
        <is>
          <t>[BC NEXT] OTP - Fix 'Other Amount' field to account for pending payments</t>
        </is>
      </c>
      <c r="C93" t="inlineStr">
        <is>
          <t>UserStory</t>
        </is>
      </c>
      <c r="D93" t="inlineStr">
        <is>
          <t>Servicing: BC Next</t>
        </is>
      </c>
      <c r="E93" t="inlineStr">
        <is>
          <t>BC Digital Drakon</t>
        </is>
      </c>
      <c r="F93" t="inlineStr">
        <is>
          <t>13</t>
        </is>
      </c>
      <c r="G93" t="inlineStr">
        <is>
          <t>Yokeshwaran Lokanathan</t>
        </is>
      </c>
      <c r="H93" t="inlineStr">
        <is>
          <t>[BC NEXT] Bug Fixes for April App Release</t>
        </is>
      </c>
      <c r="I93" t="n">
        <v>2</v>
      </c>
      <c r="J93" t="n">
        <v>9.544270833333332</v>
      </c>
      <c r="K93">
        <f>HYPERLINK("https://drivetime.tpondemand.com/entity/129428", "129428")</f>
        <v/>
      </c>
      <c r="L93" t="inlineStr"/>
      <c r="M93" t="n">
        <v>3</v>
      </c>
      <c r="N93" t="n">
        <v>126422</v>
      </c>
      <c r="O93" t="inlineStr">
        <is>
          <t>Done</t>
        </is>
      </c>
      <c r="P93" t="n">
        <v>0</v>
      </c>
      <c r="Q93" t="inlineStr">
        <is>
          <t>Drakon 3</t>
        </is>
      </c>
      <c r="R93" t="inlineStr">
        <is>
          <t>2022-03-24</t>
        </is>
      </c>
      <c r="S93" t="inlineStr">
        <is>
          <t>2022-04-06</t>
        </is>
      </c>
      <c r="T93" t="inlineStr">
        <is>
          <t>Drakon 3 : 2022-03-24 - 2022-04-06</t>
        </is>
      </c>
      <c r="U93" t="inlineStr">
        <is>
          <t>2022-03-31T00:00:00-05:00</t>
        </is>
      </c>
      <c r="V93" t="inlineStr">
        <is>
          <t>2022-03-29T00:00:00-05:00</t>
        </is>
      </c>
      <c r="W93" t="inlineStr">
        <is>
          <t>2022-03-31T00:00:00-05:00</t>
        </is>
      </c>
      <c r="X93">
        <f>IFERROR(1/COUNTIF($I:$I,@$I:$I), 0)</f>
        <v/>
      </c>
    </row>
    <row r="94">
      <c r="A94">
        <f>HYPERLINK("https://drivetime.tpondemand.com/entity/128269", "128269")</f>
        <v/>
      </c>
      <c r="B94" t="inlineStr">
        <is>
          <t>[BC NEXT][WEB] Deploy Robots.txt and SiteMap</t>
        </is>
      </c>
      <c r="C94" t="inlineStr">
        <is>
          <t>UserStory</t>
        </is>
      </c>
      <c r="D94" t="inlineStr">
        <is>
          <t>Servicing: BC Next</t>
        </is>
      </c>
      <c r="E94" t="inlineStr">
        <is>
          <t>BC Digital Drakon</t>
        </is>
      </c>
      <c r="F94" t="inlineStr">
        <is>
          <t>33</t>
        </is>
      </c>
      <c r="G94" t="inlineStr">
        <is>
          <t>Pete Wesselius</t>
        </is>
      </c>
      <c r="H94" t="inlineStr">
        <is>
          <t>[BC NEXT] Bug Fixes/Enhancements for August</t>
        </is>
      </c>
      <c r="I94" t="n">
        <v>6</v>
      </c>
      <c r="J94" t="n">
        <v>9.279155092592593</v>
      </c>
      <c r="K94">
        <f>HYPERLINK("https://drivetime.tpondemand.com/entity/137715", "137715")</f>
        <v/>
      </c>
      <c r="L94" t="inlineStr"/>
      <c r="M94" t="n">
        <v>3</v>
      </c>
      <c r="N94" t="n">
        <v>136569</v>
      </c>
      <c r="O94" t="inlineStr">
        <is>
          <t>Done</t>
        </is>
      </c>
      <c r="P94" t="n">
        <v>0</v>
      </c>
      <c r="Q94" t="inlineStr">
        <is>
          <t>Drakon 13</t>
        </is>
      </c>
      <c r="R94" t="inlineStr">
        <is>
          <t>2022-08-11</t>
        </is>
      </c>
      <c r="S94" t="inlineStr">
        <is>
          <t>2022-08-24</t>
        </is>
      </c>
      <c r="T94" t="inlineStr">
        <is>
          <t>Drakon 13 : 2022-08-11 - 2022-08-24</t>
        </is>
      </c>
      <c r="U94" t="inlineStr">
        <is>
          <t>2022-08-17T00:00:00-05:00</t>
        </is>
      </c>
      <c r="V94" t="inlineStr">
        <is>
          <t>2022-08-11T00:00:00-05:00</t>
        </is>
      </c>
      <c r="W94" t="inlineStr">
        <is>
          <t>2022-08-17T17:36:22-05:00</t>
        </is>
      </c>
      <c r="X94">
        <f>IFERROR(1/COUNTIF($I:$I,@$I:$I), 0)</f>
        <v/>
      </c>
    </row>
    <row r="95">
      <c r="A95">
        <f>HYPERLINK("https://drivetime.tpondemand.com/entity/128314", "128314")</f>
        <v/>
      </c>
      <c r="B95" t="inlineStr">
        <is>
          <t>[BC NEXT][WEB] Dashboard - Hide links in Top/Side Nav for No Accounts Found Experience</t>
        </is>
      </c>
      <c r="C95" t="inlineStr">
        <is>
          <t>UserStory</t>
        </is>
      </c>
      <c r="D95" t="inlineStr">
        <is>
          <t>Servicing: BC Next</t>
        </is>
      </c>
      <c r="E95" t="inlineStr">
        <is>
          <t>BC Digital Drakon</t>
        </is>
      </c>
      <c r="F95" t="inlineStr">
        <is>
          <t>16</t>
        </is>
      </c>
      <c r="G95" t="inlineStr">
        <is>
          <t>Abbas Shamshi</t>
        </is>
      </c>
      <c r="H95" t="inlineStr">
        <is>
          <t>[BC NEXT][WEB] Phase 3: Dashboard</t>
        </is>
      </c>
      <c r="I95" t="n">
        <v>4</v>
      </c>
      <c r="J95" t="n">
        <v>31.18899305555555</v>
      </c>
      <c r="K95">
        <f>HYPERLINK("https://drivetime.tpondemand.com/entity/130138", "130138")</f>
        <v/>
      </c>
      <c r="L95" t="inlineStr"/>
      <c r="M95" t="n">
        <v>3</v>
      </c>
      <c r="N95" t="n">
        <v>129063</v>
      </c>
      <c r="O95" t="inlineStr">
        <is>
          <t>Done</t>
        </is>
      </c>
      <c r="P95" t="n">
        <v>1</v>
      </c>
      <c r="Q95" t="inlineStr">
        <is>
          <t>Drakon 4</t>
        </is>
      </c>
      <c r="R95" t="inlineStr">
        <is>
          <t>2022-04-07</t>
        </is>
      </c>
      <c r="S95" t="inlineStr">
        <is>
          <t>2022-04-20</t>
        </is>
      </c>
      <c r="T95" t="inlineStr">
        <is>
          <t>Drakon 4 : 2022-04-07 - 2022-04-20</t>
        </is>
      </c>
      <c r="U95" t="inlineStr">
        <is>
          <t>2022-04-18T00:00:00-05:00</t>
        </is>
      </c>
      <c r="V95" t="inlineStr">
        <is>
          <t>2022-04-14T00:00:00-05:00</t>
        </is>
      </c>
      <c r="W95" t="inlineStr">
        <is>
          <t>2022-04-18T15:30:47-05:00</t>
        </is>
      </c>
      <c r="X95">
        <f>IFERROR(1/COUNTIF($I:$I,@$I:$I), 0)</f>
        <v/>
      </c>
    </row>
    <row r="96">
      <c r="A96">
        <f>HYPERLINK("https://drivetime.tpondemand.com/entity/128593", "128593")</f>
        <v/>
      </c>
      <c r="B96" t="inlineStr">
        <is>
          <t>[BC NEXT][WEB] APPD - Step 1: OTP</t>
        </is>
      </c>
      <c r="C96" t="inlineStr">
        <is>
          <t>UserStory</t>
        </is>
      </c>
      <c r="D96" t="inlineStr">
        <is>
          <t>Servicing: BC Next</t>
        </is>
      </c>
      <c r="E96" t="inlineStr">
        <is>
          <t>BC Digital Drakon</t>
        </is>
      </c>
      <c r="F96" t="inlineStr">
        <is>
          <t>19</t>
        </is>
      </c>
      <c r="G96" t="inlineStr">
        <is>
          <t>Abbas Shamshi</t>
        </is>
      </c>
      <c r="H96" t="inlineStr">
        <is>
          <t>[BC NEXT] Phase 3: Web - AP Past Due</t>
        </is>
      </c>
      <c r="I96" t="n">
        <v>5</v>
      </c>
      <c r="J96" t="n">
        <v>13.67516203703704</v>
      </c>
      <c r="K96" t="inlineStr"/>
      <c r="L96" t="inlineStr"/>
      <c r="M96" t="n">
        <v>3</v>
      </c>
      <c r="N96" t="n">
        <v>129064</v>
      </c>
      <c r="O96" t="inlineStr">
        <is>
          <t>Done</t>
        </is>
      </c>
      <c r="P96" t="n">
        <v>3</v>
      </c>
      <c r="Q96" t="inlineStr">
        <is>
          <t>Drakon 5</t>
        </is>
      </c>
      <c r="R96" t="inlineStr">
        <is>
          <t>2022-04-21</t>
        </is>
      </c>
      <c r="S96" t="inlineStr">
        <is>
          <t>2022-05-04</t>
        </is>
      </c>
      <c r="T96" t="inlineStr">
        <is>
          <t>Drakon 5 : 2022-04-21 - 2022-05-04</t>
        </is>
      </c>
      <c r="U96" t="inlineStr">
        <is>
          <t>2022-05-10T00:00:00-05:00</t>
        </is>
      </c>
      <c r="V96" t="inlineStr">
        <is>
          <t>2022-05-05T00:00:00-05:00</t>
        </is>
      </c>
      <c r="W96" t="inlineStr">
        <is>
          <t>2022-05-10T09:52:19-05:00</t>
        </is>
      </c>
      <c r="X96">
        <f>IFERROR(1/COUNTIF($I:$I,@$I:$I), 0)</f>
        <v/>
      </c>
    </row>
    <row r="97">
      <c r="A97">
        <f>HYPERLINK("https://drivetime.tpondemand.com/entity/128613", "128613")</f>
        <v/>
      </c>
      <c r="B97" t="inlineStr">
        <is>
          <t>[BC NEXT][WEB] APPD - Step 2: AutoPay Enrollment</t>
        </is>
      </c>
      <c r="C97" t="inlineStr">
        <is>
          <t>UserStory</t>
        </is>
      </c>
      <c r="D97" t="inlineStr">
        <is>
          <t>Servicing: BC Next</t>
        </is>
      </c>
      <c r="E97" t="inlineStr">
        <is>
          <t>BC Digital Drakon</t>
        </is>
      </c>
      <c r="F97" t="inlineStr">
        <is>
          <t>19</t>
        </is>
      </c>
      <c r="G97" t="inlineStr">
        <is>
          <t>Joseph Kranak</t>
        </is>
      </c>
      <c r="H97" t="inlineStr">
        <is>
          <t>[BC NEXT] Phase 3: Web - AP Past Due</t>
        </is>
      </c>
      <c r="I97" t="n">
        <v>8</v>
      </c>
      <c r="J97" t="n">
        <v>26.00592592592593</v>
      </c>
      <c r="K97" t="inlineStr"/>
      <c r="L97" t="inlineStr"/>
      <c r="M97" t="n">
        <v>3</v>
      </c>
      <c r="N97" t="n">
        <v>129064</v>
      </c>
      <c r="O97" t="inlineStr">
        <is>
          <t>Done</t>
        </is>
      </c>
      <c r="P97" t="n">
        <v>3</v>
      </c>
      <c r="Q97" t="inlineStr">
        <is>
          <t>Drakon 5</t>
        </is>
      </c>
      <c r="R97" t="inlineStr">
        <is>
          <t>2022-04-21</t>
        </is>
      </c>
      <c r="S97" t="inlineStr">
        <is>
          <t>2022-05-04</t>
        </is>
      </c>
      <c r="T97" t="inlineStr">
        <is>
          <t>Drakon 5 : 2022-04-21 - 2022-05-04</t>
        </is>
      </c>
      <c r="U97" t="inlineStr">
        <is>
          <t>2022-05-11T00:00:00-05:00</t>
        </is>
      </c>
      <c r="V97" t="inlineStr">
        <is>
          <t>2022-05-03T00:00:00-05:00</t>
        </is>
      </c>
      <c r="W97" t="inlineStr">
        <is>
          <t>2022-05-11T11:10:09-05:00</t>
        </is>
      </c>
      <c r="X97">
        <f>IFERROR(1/COUNTIF($I:$I,@$I:$I), 0)</f>
        <v/>
      </c>
    </row>
    <row r="98">
      <c r="A98">
        <f>HYPERLINK("https://drivetime.tpondemand.com/entity/128672", "128672")</f>
        <v/>
      </c>
      <c r="B98" t="inlineStr">
        <is>
          <t>[BC NEXT][WEB] APPD - Step 3: Review</t>
        </is>
      </c>
      <c r="C98" t="inlineStr">
        <is>
          <t>UserStory</t>
        </is>
      </c>
      <c r="D98" t="inlineStr">
        <is>
          <t>Servicing: BC Next</t>
        </is>
      </c>
      <c r="E98" t="inlineStr">
        <is>
          <t>BC Digital Drakon</t>
        </is>
      </c>
      <c r="F98" t="inlineStr">
        <is>
          <t>17</t>
        </is>
      </c>
      <c r="G98" t="inlineStr">
        <is>
          <t>Chirag Khandhar</t>
        </is>
      </c>
      <c r="H98" t="inlineStr">
        <is>
          <t>[BC NEXT] Phase 3: Web - AP Past Due</t>
        </is>
      </c>
      <c r="I98" t="n">
        <v>5</v>
      </c>
      <c r="J98" t="n">
        <v>16.24719907407408</v>
      </c>
      <c r="K98" t="inlineStr"/>
      <c r="L98" t="inlineStr"/>
      <c r="M98" t="n">
        <v>3</v>
      </c>
      <c r="N98" t="n">
        <v>129064</v>
      </c>
      <c r="O98" t="inlineStr">
        <is>
          <t>Done</t>
        </is>
      </c>
      <c r="P98" t="n">
        <v>1</v>
      </c>
      <c r="Q98" t="inlineStr">
        <is>
          <t>Drakon 5</t>
        </is>
      </c>
      <c r="R98" t="inlineStr">
        <is>
          <t>2022-04-21</t>
        </is>
      </c>
      <c r="S98" t="inlineStr">
        <is>
          <t>2022-05-04</t>
        </is>
      </c>
      <c r="T98" t="inlineStr">
        <is>
          <t>Drakon 5 : 2022-04-21 - 2022-05-04</t>
        </is>
      </c>
      <c r="U98" t="inlineStr">
        <is>
          <t>2022-04-27T00:00:00-05:00</t>
        </is>
      </c>
      <c r="V98" t="inlineStr">
        <is>
          <t>2022-04-22T00:00:00-05:00</t>
        </is>
      </c>
      <c r="W98" t="inlineStr">
        <is>
          <t>2022-04-27T14:56:24-05:00</t>
        </is>
      </c>
      <c r="X98">
        <f>IFERROR(1/COUNTIF($I:$I,@$I:$I), 0)</f>
        <v/>
      </c>
    </row>
    <row r="99">
      <c r="A99">
        <f>HYPERLINK("https://drivetime.tpondemand.com/entity/128916", "128916")</f>
        <v/>
      </c>
      <c r="B99" t="inlineStr">
        <is>
          <t>Ability to choose which Old or New Admin Portal login page</t>
        </is>
      </c>
      <c r="C99" t="inlineStr">
        <is>
          <t>UserStory</t>
        </is>
      </c>
      <c r="D99" t="inlineStr">
        <is>
          <t>Servicing: BC Next</t>
        </is>
      </c>
      <c r="E99" t="inlineStr">
        <is>
          <t>BC Digital Drakon</t>
        </is>
      </c>
      <c r="F99" t="inlineStr">
        <is>
          <t>20</t>
        </is>
      </c>
      <c r="G99" t="inlineStr">
        <is>
          <t>Connor Golobich</t>
        </is>
      </c>
      <c r="H99" t="inlineStr">
        <is>
          <t>[BC NEXT] Impersonation</t>
        </is>
      </c>
      <c r="I99" t="n">
        <v>4</v>
      </c>
      <c r="J99" t="n">
        <v>24.19351851851852</v>
      </c>
      <c r="K99">
        <f>HYPERLINK("https://drivetime.tpondemand.com/entity/132143", "132143")</f>
        <v/>
      </c>
      <c r="L99" t="inlineStr"/>
      <c r="M99" t="n">
        <v>3</v>
      </c>
      <c r="N99" t="n">
        <v>130166</v>
      </c>
      <c r="O99" t="inlineStr">
        <is>
          <t>Done</t>
        </is>
      </c>
      <c r="P99" t="n">
        <v>0</v>
      </c>
      <c r="Q99" t="inlineStr">
        <is>
          <t>Drakon 6</t>
        </is>
      </c>
      <c r="R99" t="inlineStr">
        <is>
          <t>2022-05-05</t>
        </is>
      </c>
      <c r="S99" t="inlineStr">
        <is>
          <t>2022-05-18</t>
        </is>
      </c>
      <c r="T99" t="inlineStr">
        <is>
          <t>Drakon 6 : 2022-05-05 - 2022-05-18</t>
        </is>
      </c>
      <c r="U99" t="inlineStr">
        <is>
          <t>2022-05-16T00:00:00-05:00</t>
        </is>
      </c>
      <c r="V99" t="inlineStr">
        <is>
          <t>2022-05-12T00:00:00-05:00</t>
        </is>
      </c>
      <c r="W99" t="inlineStr">
        <is>
          <t>2022-05-16T15:41:47-05:00</t>
        </is>
      </c>
      <c r="X99">
        <f>IFERROR(1/COUNTIF($I:$I,@$I:$I), 0)</f>
        <v/>
      </c>
    </row>
    <row r="100">
      <c r="A100">
        <f>HYPERLINK("https://drivetime.tpondemand.com/entity/129134", "129134")</f>
        <v/>
      </c>
      <c r="B100" t="inlineStr">
        <is>
          <t>[BC NEXT][BUG] OTP - Issue persisting data when navigating between fields</t>
        </is>
      </c>
      <c r="C100" t="inlineStr">
        <is>
          <t>UserStory</t>
        </is>
      </c>
      <c r="D100" t="inlineStr">
        <is>
          <t>Servicing: BC Next</t>
        </is>
      </c>
      <c r="E100" t="inlineStr">
        <is>
          <t>BC Digital Drakon</t>
        </is>
      </c>
      <c r="F100" t="inlineStr">
        <is>
          <t>24</t>
        </is>
      </c>
      <c r="G100" t="inlineStr">
        <is>
          <t>Joseph Kranak</t>
        </is>
      </c>
      <c r="H100" t="inlineStr">
        <is>
          <t>[BC NEXT] Bug Fixes/Enhancements for July</t>
        </is>
      </c>
      <c r="I100" t="n">
        <v>4</v>
      </c>
      <c r="J100" t="n">
        <v>8.229849537037037</v>
      </c>
      <c r="K100">
        <f>HYPERLINK("https://drivetime.tpondemand.com/entity/133957", "133957")</f>
        <v/>
      </c>
      <c r="L100" t="inlineStr"/>
      <c r="M100" t="n">
        <v>3</v>
      </c>
      <c r="N100" t="n">
        <v>130168</v>
      </c>
      <c r="O100" t="inlineStr">
        <is>
          <t>Done</t>
        </is>
      </c>
      <c r="P100" t="n">
        <v>0</v>
      </c>
      <c r="Q100" t="inlineStr">
        <is>
          <t>Drakon 8</t>
        </is>
      </c>
      <c r="R100" t="inlineStr">
        <is>
          <t>2022-06-02</t>
        </is>
      </c>
      <c r="S100" t="inlineStr">
        <is>
          <t>2022-06-15</t>
        </is>
      </c>
      <c r="T100" t="inlineStr">
        <is>
          <t>Drakon 8 : 2022-06-02 - 2022-06-15</t>
        </is>
      </c>
      <c r="U100" t="inlineStr">
        <is>
          <t>2022-06-14T00:00:00-05:00</t>
        </is>
      </c>
      <c r="V100" t="inlineStr">
        <is>
          <t>2022-06-10T00:00:00-05:00</t>
        </is>
      </c>
      <c r="W100" t="inlineStr">
        <is>
          <t>2022-06-14T16:59:08-05:00</t>
        </is>
      </c>
      <c r="X100">
        <f>IFERROR(1/COUNTIF($I:$I,@$I:$I), 0)</f>
        <v/>
      </c>
    </row>
    <row r="101">
      <c r="A101">
        <f>HYPERLINK("https://drivetime.tpondemand.com/entity/129324", "129324")</f>
        <v/>
      </c>
      <c r="B101" t="inlineStr">
        <is>
          <t>[BC NEXT][WEB] Account Settings - Manage Debit Cards</t>
        </is>
      </c>
      <c r="C101" t="inlineStr">
        <is>
          <t>UserStory</t>
        </is>
      </c>
      <c r="D101" t="inlineStr">
        <is>
          <t>Servicing: BC Next</t>
        </is>
      </c>
      <c r="E101" t="inlineStr">
        <is>
          <t>BC Digital Drakon</t>
        </is>
      </c>
      <c r="F101" t="inlineStr">
        <is>
          <t>19</t>
        </is>
      </c>
      <c r="G101" t="inlineStr">
        <is>
          <t>Abbas Shamshi</t>
        </is>
      </c>
      <c r="H101" t="inlineStr">
        <is>
          <t>[BC NEXT][WEB] Phase 3: Account Settings</t>
        </is>
      </c>
      <c r="I101" t="n">
        <v>6</v>
      </c>
      <c r="J101" t="n">
        <v>19.95084490740741</v>
      </c>
      <c r="K101">
        <f>HYPERLINK("https://drivetime.tpondemand.com/entity/131615", "131615")</f>
        <v/>
      </c>
      <c r="L101" t="inlineStr"/>
      <c r="M101" t="n">
        <v>3</v>
      </c>
      <c r="N101" t="n">
        <v>130166</v>
      </c>
      <c r="O101" t="inlineStr">
        <is>
          <t>Done</t>
        </is>
      </c>
      <c r="P101" t="n">
        <v>3</v>
      </c>
      <c r="Q101" t="inlineStr">
        <is>
          <t>Drakon 6</t>
        </is>
      </c>
      <c r="R101" t="inlineStr">
        <is>
          <t>2022-05-05</t>
        </is>
      </c>
      <c r="S101" t="inlineStr">
        <is>
          <t>2022-05-18</t>
        </is>
      </c>
      <c r="T101" t="inlineStr">
        <is>
          <t>Drakon 6 : 2022-05-05 - 2022-05-18</t>
        </is>
      </c>
      <c r="U101" t="inlineStr">
        <is>
          <t>2022-05-11T00:00:00-05:00</t>
        </is>
      </c>
      <c r="V101" t="inlineStr">
        <is>
          <t>2022-05-05T00:00:00-05:00</t>
        </is>
      </c>
      <c r="W101" t="inlineStr">
        <is>
          <t>2022-05-12T08:56:28-05:00</t>
        </is>
      </c>
      <c r="X101">
        <f>IFERROR(1/COUNTIF($I:$I,@$I:$I), 0)</f>
        <v/>
      </c>
    </row>
    <row r="102">
      <c r="A102">
        <f>HYPERLINK("https://drivetime.tpondemand.com/entity/129328", "129328")</f>
        <v/>
      </c>
      <c r="B102" t="inlineStr">
        <is>
          <t>[BC NEXT][WEB] Account Settings - Manage Bank Accounts</t>
        </is>
      </c>
      <c r="C102" t="inlineStr">
        <is>
          <t>UserStory</t>
        </is>
      </c>
      <c r="D102" t="inlineStr">
        <is>
          <t>Servicing: BC Next</t>
        </is>
      </c>
      <c r="E102" t="inlineStr">
        <is>
          <t>BC Digital Drakon</t>
        </is>
      </c>
      <c r="F102" t="inlineStr">
        <is>
          <t>19</t>
        </is>
      </c>
      <c r="G102" t="inlineStr">
        <is>
          <t>Antonio Posada</t>
        </is>
      </c>
      <c r="H102" t="inlineStr">
        <is>
          <t>[BC NEXT][WEB] Phase 3: Account Settings</t>
        </is>
      </c>
      <c r="I102" t="n">
        <v>5</v>
      </c>
      <c r="J102" t="n">
        <v>20.99159722222222</v>
      </c>
      <c r="K102">
        <f>HYPERLINK("https://drivetime.tpondemand.com/entity/131615", "131615")</f>
        <v/>
      </c>
      <c r="L102" t="inlineStr"/>
      <c r="M102" t="n">
        <v>3</v>
      </c>
      <c r="N102" t="n">
        <v>130166</v>
      </c>
      <c r="O102" t="inlineStr">
        <is>
          <t>Done</t>
        </is>
      </c>
      <c r="P102" t="n">
        <v>0</v>
      </c>
      <c r="Q102" t="inlineStr">
        <is>
          <t>Drakon 6</t>
        </is>
      </c>
      <c r="R102" t="inlineStr">
        <is>
          <t>2022-05-05</t>
        </is>
      </c>
      <c r="S102" t="inlineStr">
        <is>
          <t>2022-05-18</t>
        </is>
      </c>
      <c r="T102" t="inlineStr">
        <is>
          <t>Drakon 6 : 2022-05-05 - 2022-05-18</t>
        </is>
      </c>
      <c r="U102" t="inlineStr">
        <is>
          <t>2022-05-11T00:00:00-05:00</t>
        </is>
      </c>
      <c r="V102" t="inlineStr">
        <is>
          <t>2022-05-06T00:00:00-05:00</t>
        </is>
      </c>
      <c r="W102" t="inlineStr">
        <is>
          <t>2022-05-12T08:56:28-05:00</t>
        </is>
      </c>
      <c r="X102">
        <f>IFERROR(1/COUNTIF($I:$I,@$I:$I), 0)</f>
        <v/>
      </c>
    </row>
    <row r="103">
      <c r="A103">
        <f>HYPERLINK("https://drivetime.tpondemand.com/entity/129551", "129551")</f>
        <v/>
      </c>
      <c r="B103" t="inlineStr">
        <is>
          <t>[BC NEXT][WEB] Create experiment in Launch Darkly to control percentage rollout of new site</t>
        </is>
      </c>
      <c r="C103" t="inlineStr">
        <is>
          <t>UserStory</t>
        </is>
      </c>
      <c r="D103" t="inlineStr">
        <is>
          <t>Servicing: BC Next</t>
        </is>
      </c>
      <c r="E103" t="inlineStr">
        <is>
          <t>BC Digital Drakon</t>
        </is>
      </c>
      <c r="F103" t="inlineStr">
        <is>
          <t>26</t>
        </is>
      </c>
      <c r="G103" t="inlineStr">
        <is>
          <t>Roxanne  Ross</t>
        </is>
      </c>
      <c r="H103" t="inlineStr">
        <is>
          <t>[BC NEXT] Phased Rollout</t>
        </is>
      </c>
      <c r="I103" t="n">
        <v>0</v>
      </c>
      <c r="J103" t="n">
        <v>4.97954861111111</v>
      </c>
      <c r="K103" t="inlineStr"/>
      <c r="L103" t="inlineStr"/>
      <c r="M103" t="n">
        <v>3</v>
      </c>
      <c r="N103" t="n">
        <v>133018</v>
      </c>
      <c r="O103" t="inlineStr">
        <is>
          <t>Done</t>
        </is>
      </c>
      <c r="P103" t="n">
        <v>0</v>
      </c>
      <c r="Q103" t="inlineStr">
        <is>
          <t>Drakon 9</t>
        </is>
      </c>
      <c r="R103" t="inlineStr">
        <is>
          <t>2022-06-16</t>
        </is>
      </c>
      <c r="S103" t="inlineStr">
        <is>
          <t>2022-06-29</t>
        </is>
      </c>
      <c r="T103" t="inlineStr">
        <is>
          <t>Drakon 9 : 2022-06-16 - 2022-06-29</t>
        </is>
      </c>
      <c r="U103" t="inlineStr">
        <is>
          <t>2022-06-28T00:00:00-05:00</t>
        </is>
      </c>
      <c r="V103" t="inlineStr">
        <is>
          <t>2022-06-28T00:00:00-05:00</t>
        </is>
      </c>
      <c r="W103" t="inlineStr">
        <is>
          <t>2022-06-28T13:43:29-05:00</t>
        </is>
      </c>
      <c r="X103">
        <f>IFERROR(1/COUNTIF($I:$I,@$I:$I), 0)</f>
        <v/>
      </c>
    </row>
    <row r="104">
      <c r="A104">
        <f>HYPERLINK("https://drivetime.tpondemand.com/entity/129647", "129647")</f>
        <v/>
      </c>
      <c r="B104" t="inlineStr">
        <is>
          <t>[BC NEXT][WEB][RESEARCH] Remove Pre-Login Page from Web</t>
        </is>
      </c>
      <c r="C104" t="inlineStr">
        <is>
          <t>UserStory</t>
        </is>
      </c>
      <c r="D104" t="inlineStr">
        <is>
          <t>Servicing: BC Next</t>
        </is>
      </c>
      <c r="E104" t="inlineStr">
        <is>
          <t>BC Digital Drakon</t>
        </is>
      </c>
      <c r="F104" t="inlineStr">
        <is>
          <t>23</t>
        </is>
      </c>
      <c r="G104" t="inlineStr">
        <is>
          <t>Yokeshwaran Lokanathan</t>
        </is>
      </c>
      <c r="H104" t="inlineStr">
        <is>
          <t>[BC NEXT] Bug Fixes/Enhancements for June Release</t>
        </is>
      </c>
      <c r="I104" t="n">
        <v>0</v>
      </c>
      <c r="J104" t="n">
        <v>21.18974537037037</v>
      </c>
      <c r="K104" t="inlineStr"/>
      <c r="L104" t="inlineStr"/>
      <c r="M104" t="n">
        <v>3</v>
      </c>
      <c r="N104" t="n">
        <v>130168</v>
      </c>
      <c r="O104" t="inlineStr">
        <is>
          <t>Done</t>
        </is>
      </c>
      <c r="P104" t="n">
        <v>0</v>
      </c>
      <c r="Q104" t="inlineStr">
        <is>
          <t>Drakon 8</t>
        </is>
      </c>
      <c r="R104" t="inlineStr">
        <is>
          <t>2022-06-02</t>
        </is>
      </c>
      <c r="S104" t="inlineStr">
        <is>
          <t>2022-06-15</t>
        </is>
      </c>
      <c r="T104" t="inlineStr">
        <is>
          <t>Drakon 8 : 2022-06-02 - 2022-06-15</t>
        </is>
      </c>
      <c r="U104" t="inlineStr">
        <is>
          <t>2022-06-07T00:00:00-05:00</t>
        </is>
      </c>
      <c r="V104" t="inlineStr">
        <is>
          <t>2022-06-07T00:00:00-05:00</t>
        </is>
      </c>
      <c r="W104" t="inlineStr">
        <is>
          <t>2022-06-07T15:33:30-05:00</t>
        </is>
      </c>
      <c r="X104">
        <f>IFERROR(1/COUNTIF($I:$I,@$I:$I), 0)</f>
        <v/>
      </c>
    </row>
    <row r="105">
      <c r="A105">
        <f>HYPERLINK("https://drivetime.tpondemand.com/entity/129716", "129716")</f>
        <v/>
      </c>
      <c r="B105" t="inlineStr">
        <is>
          <t>[BC NEXT][WEB] Logout Modals</t>
        </is>
      </c>
      <c r="C105" t="inlineStr">
        <is>
          <t>UserStory</t>
        </is>
      </c>
      <c r="D105" t="inlineStr">
        <is>
          <t>Servicing: BC Next</t>
        </is>
      </c>
      <c r="E105" t="inlineStr">
        <is>
          <t>BC Digital Drakon</t>
        </is>
      </c>
      <c r="F105" t="inlineStr">
        <is>
          <t>19</t>
        </is>
      </c>
      <c r="G105" t="inlineStr">
        <is>
          <t>Abbas Shamshi</t>
        </is>
      </c>
      <c r="H105" t="inlineStr">
        <is>
          <t>[BC NEXT][WEB] Phase 3: Misc Pages</t>
        </is>
      </c>
      <c r="I105" t="n">
        <v>1</v>
      </c>
      <c r="J105" t="n">
        <v>8.042407407407406</v>
      </c>
      <c r="K105">
        <f>HYPERLINK("https://drivetime.tpondemand.com/entity/132045", "132045")</f>
        <v/>
      </c>
      <c r="L105" t="inlineStr"/>
      <c r="M105" t="n">
        <v>3</v>
      </c>
      <c r="N105" t="n">
        <v>130166</v>
      </c>
      <c r="O105" t="inlineStr">
        <is>
          <t>Done</t>
        </is>
      </c>
      <c r="P105" t="n">
        <v>0</v>
      </c>
      <c r="Q105" t="inlineStr">
        <is>
          <t>Drakon 6</t>
        </is>
      </c>
      <c r="R105" t="inlineStr">
        <is>
          <t>2022-05-05</t>
        </is>
      </c>
      <c r="S105" t="inlineStr">
        <is>
          <t>2022-05-18</t>
        </is>
      </c>
      <c r="T105" t="inlineStr">
        <is>
          <t>Drakon 6 : 2022-05-05 - 2022-05-18</t>
        </is>
      </c>
      <c r="U105" t="inlineStr">
        <is>
          <t>2022-05-13T00:00:00-05:00</t>
        </is>
      </c>
      <c r="V105" t="inlineStr">
        <is>
          <t>2022-05-12T00:00:00-05:00</t>
        </is>
      </c>
      <c r="W105" t="inlineStr">
        <is>
          <t>2022-05-13T16:01:18-05:00</t>
        </is>
      </c>
      <c r="X105">
        <f>IFERROR(1/COUNTIF($I:$I,@$I:$I), 0)</f>
        <v/>
      </c>
    </row>
    <row r="106">
      <c r="A106">
        <f>HYPERLINK("https://drivetime.tpondemand.com/entity/129816", "129816")</f>
        <v/>
      </c>
      <c r="B106" t="inlineStr">
        <is>
          <t>[BC NEXT][WEB] Create logged in Homepage experience</t>
        </is>
      </c>
      <c r="C106" t="inlineStr">
        <is>
          <t>UserStory</t>
        </is>
      </c>
      <c r="D106" t="inlineStr">
        <is>
          <t>Servicing: BC Next</t>
        </is>
      </c>
      <c r="E106" t="inlineStr">
        <is>
          <t>BC Digital Drakon</t>
        </is>
      </c>
      <c r="F106" t="inlineStr">
        <is>
          <t>26</t>
        </is>
      </c>
      <c r="G106" t="inlineStr">
        <is>
          <t>Antonio Posada</t>
        </is>
      </c>
      <c r="H106" t="inlineStr">
        <is>
          <t>[BC NEXT] Bug Fixes/Enhancements for June Release</t>
        </is>
      </c>
      <c r="I106" t="n">
        <v>9</v>
      </c>
      <c r="J106" t="n">
        <v>15.07787037037037</v>
      </c>
      <c r="K106">
        <f>HYPERLINK("https://drivetime.tpondemand.com/entity/135384", "135384")</f>
        <v/>
      </c>
      <c r="L106" t="inlineStr"/>
      <c r="M106" t="n">
        <v>3</v>
      </c>
      <c r="N106" t="n">
        <v>133018</v>
      </c>
      <c r="O106" t="inlineStr">
        <is>
          <t>Done</t>
        </is>
      </c>
      <c r="P106" t="n">
        <v>1</v>
      </c>
      <c r="Q106" t="inlineStr">
        <is>
          <t>Drakon 9</t>
        </is>
      </c>
      <c r="R106" t="inlineStr">
        <is>
          <t>2022-06-16</t>
        </is>
      </c>
      <c r="S106" t="inlineStr">
        <is>
          <t>2022-06-29</t>
        </is>
      </c>
      <c r="T106" t="inlineStr">
        <is>
          <t>Drakon 9 : 2022-06-16 - 2022-06-29</t>
        </is>
      </c>
      <c r="U106" t="inlineStr">
        <is>
          <t>2022-06-30T00:00:00-05:00</t>
        </is>
      </c>
      <c r="V106" t="inlineStr">
        <is>
          <t>2022-06-21T00:00:00-05:00</t>
        </is>
      </c>
      <c r="W106" t="inlineStr">
        <is>
          <t>2022-06-30T11:27:01-05:00</t>
        </is>
      </c>
      <c r="X106">
        <f>IFERROR(1/COUNTIF($I:$I,@$I:$I), 0)</f>
        <v/>
      </c>
    </row>
    <row r="107">
      <c r="A107">
        <f>HYPERLINK("https://drivetime.tpondemand.com/entity/130037", "130037")</f>
        <v/>
      </c>
      <c r="B107" t="inlineStr">
        <is>
          <t>[BC NEXT][AUTOPAY] Bypass Select Account page when user has only 1 account</t>
        </is>
      </c>
      <c r="C107" t="inlineStr">
        <is>
          <t>UserStory</t>
        </is>
      </c>
      <c r="D107" t="inlineStr">
        <is>
          <t>Servicing: BC Next</t>
        </is>
      </c>
      <c r="E107" t="inlineStr">
        <is>
          <t>BC Digital Drakon</t>
        </is>
      </c>
      <c r="F107" t="inlineStr">
        <is>
          <t>24</t>
        </is>
      </c>
      <c r="G107" t="inlineStr">
        <is>
          <t>Antonio Posada</t>
        </is>
      </c>
      <c r="H107" t="inlineStr">
        <is>
          <t>[BC NEXT] Bug Fixes/Enhancements for July</t>
        </is>
      </c>
      <c r="I107" t="n">
        <v>2</v>
      </c>
      <c r="J107" t="n">
        <v>17.07384259259259</v>
      </c>
      <c r="K107">
        <f>HYPERLINK("https://drivetime.tpondemand.com/entity/134034", "134034")</f>
        <v/>
      </c>
      <c r="L107" t="inlineStr"/>
      <c r="M107" t="n">
        <v>3</v>
      </c>
      <c r="N107" t="n">
        <v>130168</v>
      </c>
      <c r="O107" t="inlineStr">
        <is>
          <t>Done</t>
        </is>
      </c>
      <c r="P107" t="n">
        <v>0</v>
      </c>
      <c r="Q107" t="inlineStr">
        <is>
          <t>Drakon 8</t>
        </is>
      </c>
      <c r="R107" t="inlineStr">
        <is>
          <t>2022-06-02</t>
        </is>
      </c>
      <c r="S107" t="inlineStr">
        <is>
          <t>2022-06-15</t>
        </is>
      </c>
      <c r="T107" t="inlineStr">
        <is>
          <t>Drakon 8 : 2022-06-02 - 2022-06-15</t>
        </is>
      </c>
      <c r="U107" t="inlineStr">
        <is>
          <t>2022-06-16T00:00:00-05:00</t>
        </is>
      </c>
      <c r="V107" t="inlineStr">
        <is>
          <t>2022-06-14T00:00:00-05:00</t>
        </is>
      </c>
      <c r="W107" t="inlineStr">
        <is>
          <t>2022-06-16T20:12:43-05:00</t>
        </is>
      </c>
      <c r="X107">
        <f>IFERROR(1/COUNTIF($I:$I,@$I:$I), 0)</f>
        <v/>
      </c>
    </row>
    <row r="108">
      <c r="A108">
        <f>HYPERLINK("https://drivetime.tpondemand.com/entity/130102", "130102")</f>
        <v/>
      </c>
      <c r="B108" t="inlineStr">
        <is>
          <t>[BC NEXT][WEB] AutoPay Pixel Perfect</t>
        </is>
      </c>
      <c r="C108" t="inlineStr">
        <is>
          <t>UserStory</t>
        </is>
      </c>
      <c r="D108" t="inlineStr">
        <is>
          <t>Servicing: BC Next</t>
        </is>
      </c>
      <c r="E108" t="inlineStr">
        <is>
          <t>BC Digital Drakon</t>
        </is>
      </c>
      <c r="F108" t="inlineStr">
        <is>
          <t>18</t>
        </is>
      </c>
      <c r="G108" t="inlineStr">
        <is>
          <t>Joseph Kranak</t>
        </is>
      </c>
      <c r="H108" t="inlineStr">
        <is>
          <t>[BC NEXT][WEB] Phase 3: AutoPay Enrollment</t>
        </is>
      </c>
      <c r="I108" t="n">
        <v>4</v>
      </c>
      <c r="J108" t="n">
        <v>11.14549768518518</v>
      </c>
      <c r="K108">
        <f>HYPERLINK("https://drivetime.tpondemand.com/entity/131354", "131354")</f>
        <v/>
      </c>
      <c r="L108" t="inlineStr"/>
      <c r="M108" t="n">
        <v>3</v>
      </c>
      <c r="N108" t="n">
        <v>129064</v>
      </c>
      <c r="O108" t="inlineStr">
        <is>
          <t>Done</t>
        </is>
      </c>
      <c r="P108" t="n">
        <v>1</v>
      </c>
      <c r="Q108" t="inlineStr">
        <is>
          <t>Drakon 5</t>
        </is>
      </c>
      <c r="R108" t="inlineStr">
        <is>
          <t>2022-04-21</t>
        </is>
      </c>
      <c r="S108" t="inlineStr">
        <is>
          <t>2022-05-04</t>
        </is>
      </c>
      <c r="T108" t="inlineStr">
        <is>
          <t>Drakon 5 : 2022-04-21 - 2022-05-04</t>
        </is>
      </c>
      <c r="U108" t="inlineStr">
        <is>
          <t>2022-05-06T00:00:00-05:00</t>
        </is>
      </c>
      <c r="V108" t="inlineStr">
        <is>
          <t>2022-05-02T00:00:00-05:00</t>
        </is>
      </c>
      <c r="W108" t="inlineStr">
        <is>
          <t>2022-05-06T16:22:53-05:00</t>
        </is>
      </c>
      <c r="X108">
        <f>IFERROR(1/COUNTIF($I:$I,@$I:$I), 0)</f>
        <v/>
      </c>
    </row>
    <row r="109">
      <c r="A109">
        <f>HYPERLINK("https://drivetime.tpondemand.com/entity/130157", "130157")</f>
        <v/>
      </c>
      <c r="B109" t="inlineStr">
        <is>
          <t>[BC NEXT][WEB] AutoPay Past Due Pixel Perfect</t>
        </is>
      </c>
      <c r="C109" t="inlineStr">
        <is>
          <t>UserStory</t>
        </is>
      </c>
      <c r="D109" t="inlineStr">
        <is>
          <t>Servicing: BC Next</t>
        </is>
      </c>
      <c r="E109" t="inlineStr">
        <is>
          <t>BC Digital Drakon</t>
        </is>
      </c>
      <c r="F109" t="inlineStr">
        <is>
          <t>24</t>
        </is>
      </c>
      <c r="G109" t="inlineStr">
        <is>
          <t>Shyam Senthil Nathan</t>
        </is>
      </c>
      <c r="H109" t="inlineStr">
        <is>
          <t>[BC NEXT] Phase 3: Web - AP Past Due</t>
        </is>
      </c>
      <c r="I109" t="n">
        <v>26</v>
      </c>
      <c r="J109" t="n">
        <v>39.16517361111111</v>
      </c>
      <c r="K109">
        <f>HYPERLINK("https://drivetime.tpondemand.com/entity/132448", "132448")</f>
        <v/>
      </c>
      <c r="L109" t="inlineStr"/>
      <c r="M109" t="n">
        <v>3</v>
      </c>
      <c r="N109" t="n">
        <v>130167</v>
      </c>
      <c r="O109" t="inlineStr">
        <is>
          <t>Done</t>
        </is>
      </c>
      <c r="P109" t="n">
        <v>1</v>
      </c>
      <c r="Q109" t="inlineStr">
        <is>
          <t>Drakon 7</t>
        </is>
      </c>
      <c r="R109" t="inlineStr">
        <is>
          <t>2022-05-19</t>
        </is>
      </c>
      <c r="S109" t="inlineStr">
        <is>
          <t>2022-06-01</t>
        </is>
      </c>
      <c r="T109" t="inlineStr">
        <is>
          <t>Drakon 7 : 2022-05-19 - 2022-06-01</t>
        </is>
      </c>
      <c r="U109" t="inlineStr">
        <is>
          <t>2022-06-14T00:00:00-05:00</t>
        </is>
      </c>
      <c r="V109" t="inlineStr">
        <is>
          <t>2022-05-19T00:00:00-05:00</t>
        </is>
      </c>
      <c r="W109" t="inlineStr">
        <is>
          <t>2022-06-14T13:01:09-05:00</t>
        </is>
      </c>
      <c r="X109">
        <f>IFERROR(1/COUNTIF($I:$I,@$I:$I), 0)</f>
        <v/>
      </c>
    </row>
    <row r="110">
      <c r="A110">
        <f>HYPERLINK("https://drivetime.tpondemand.com/entity/130412", "130412")</f>
        <v/>
      </c>
      <c r="B110" t="inlineStr">
        <is>
          <t>[BC NEXT][WEB] OTP Pixel Perfect</t>
        </is>
      </c>
      <c r="C110" t="inlineStr">
        <is>
          <t>UserStory</t>
        </is>
      </c>
      <c r="D110" t="inlineStr">
        <is>
          <t>Servicing: BC Next</t>
        </is>
      </c>
      <c r="E110" t="inlineStr">
        <is>
          <t>BC Digital Drakon</t>
        </is>
      </c>
      <c r="F110" t="inlineStr">
        <is>
          <t>24</t>
        </is>
      </c>
      <c r="G110" t="inlineStr">
        <is>
          <t>Antonio Posada</t>
        </is>
      </c>
      <c r="H110" t="inlineStr">
        <is>
          <t>[BC NEXT][WEB] Phase 3: ACH One Time Payment</t>
        </is>
      </c>
      <c r="I110" t="n">
        <v>27</v>
      </c>
      <c r="J110" t="n">
        <v>48.8009375</v>
      </c>
      <c r="K110">
        <f>HYPERLINK("https://drivetime.tpondemand.com/entity/132448", "132448")</f>
        <v/>
      </c>
      <c r="L110" t="inlineStr"/>
      <c r="M110" t="n">
        <v>3</v>
      </c>
      <c r="N110" t="n">
        <v>130166</v>
      </c>
      <c r="O110" t="inlineStr">
        <is>
          <t>Done</t>
        </is>
      </c>
      <c r="P110" t="n">
        <v>2</v>
      </c>
      <c r="Q110" t="inlineStr">
        <is>
          <t>Drakon 6</t>
        </is>
      </c>
      <c r="R110" t="inlineStr">
        <is>
          <t>2022-05-05</t>
        </is>
      </c>
      <c r="S110" t="inlineStr">
        <is>
          <t>2022-05-18</t>
        </is>
      </c>
      <c r="T110" t="inlineStr">
        <is>
          <t>Drakon 6 : 2022-05-05 - 2022-05-18</t>
        </is>
      </c>
      <c r="U110" t="inlineStr">
        <is>
          <t>2022-06-14T00:00:00-05:00</t>
        </is>
      </c>
      <c r="V110" t="inlineStr">
        <is>
          <t>2022-05-18T00:00:00-05:00</t>
        </is>
      </c>
      <c r="W110" t="inlineStr">
        <is>
          <t>2022-06-14T13:01:07-05:00</t>
        </is>
      </c>
      <c r="X110">
        <f>IFERROR(1/COUNTIF($I:$I,@$I:$I), 0)</f>
        <v/>
      </c>
    </row>
    <row r="111">
      <c r="A111">
        <f>HYPERLINK("https://drivetime.tpondemand.com/entity/130414", "130414")</f>
        <v/>
      </c>
      <c r="B111" t="inlineStr">
        <is>
          <t>[BC NEXT][WEB] Login Pages - Account Lookup</t>
        </is>
      </c>
      <c r="C111" t="inlineStr">
        <is>
          <t>UserStory</t>
        </is>
      </c>
      <c r="D111" t="inlineStr">
        <is>
          <t>Servicing: BC Next</t>
        </is>
      </c>
      <c r="E111" t="inlineStr">
        <is>
          <t>BC Digital Drakon</t>
        </is>
      </c>
      <c r="F111" t="inlineStr">
        <is>
          <t>21</t>
        </is>
      </c>
      <c r="G111" t="inlineStr">
        <is>
          <t>Chirag Khandhar</t>
        </is>
      </c>
      <c r="H111" t="inlineStr">
        <is>
          <t>[BC NEXT][WEB] Phase 3: Login Pages</t>
        </is>
      </c>
      <c r="I111" t="n">
        <v>5</v>
      </c>
      <c r="J111" t="n">
        <v>20.16615740740741</v>
      </c>
      <c r="K111">
        <f>HYPERLINK("https://drivetime.tpondemand.com/entity/132710", "132710")</f>
        <v/>
      </c>
      <c r="L111" t="inlineStr"/>
      <c r="M111" t="n">
        <v>3</v>
      </c>
      <c r="N111" t="n">
        <v>130167</v>
      </c>
      <c r="O111" t="inlineStr">
        <is>
          <t>Done</t>
        </is>
      </c>
      <c r="P111" t="n">
        <v>0</v>
      </c>
      <c r="Q111" t="inlineStr">
        <is>
          <t>Drakon 7</t>
        </is>
      </c>
      <c r="R111" t="inlineStr">
        <is>
          <t>2022-05-19</t>
        </is>
      </c>
      <c r="S111" t="inlineStr">
        <is>
          <t>2022-06-01</t>
        </is>
      </c>
      <c r="T111" t="inlineStr">
        <is>
          <t>Drakon 7 : 2022-05-19 - 2022-06-01</t>
        </is>
      </c>
      <c r="U111" t="inlineStr">
        <is>
          <t>2022-05-25T00:00:00-05:00</t>
        </is>
      </c>
      <c r="V111" t="inlineStr">
        <is>
          <t>2022-05-20T00:00:00-05:00</t>
        </is>
      </c>
      <c r="W111" t="inlineStr">
        <is>
          <t>2022-05-25T15:15:48-05:00</t>
        </is>
      </c>
      <c r="X111">
        <f>IFERROR(1/COUNTIF($I:$I,@$I:$I), 0)</f>
        <v/>
      </c>
    </row>
    <row r="112">
      <c r="A112">
        <f>HYPERLINK("https://drivetime.tpondemand.com/entity/130767", "130767")</f>
        <v/>
      </c>
      <c r="B112" t="inlineStr">
        <is>
          <t>[BC NEXT][WEB] Legal Pages - Privacy Policy and Terms of Use</t>
        </is>
      </c>
      <c r="C112" t="inlineStr">
        <is>
          <t>UserStory</t>
        </is>
      </c>
      <c r="D112" t="inlineStr">
        <is>
          <t>Servicing: BC Next</t>
        </is>
      </c>
      <c r="E112" t="inlineStr">
        <is>
          <t>BC Digital Drakon</t>
        </is>
      </c>
      <c r="F112" t="inlineStr">
        <is>
          <t>22</t>
        </is>
      </c>
      <c r="G112" t="inlineStr">
        <is>
          <t>Abbas Shamshi</t>
        </is>
      </c>
      <c r="H112" t="inlineStr">
        <is>
          <t>[BC NEXT][WEB] Phase 3: Misc Pages</t>
        </is>
      </c>
      <c r="I112" t="n">
        <v>5</v>
      </c>
      <c r="J112" t="n">
        <v>13.12527777777778</v>
      </c>
      <c r="K112">
        <f>HYPERLINK("https://drivetime.tpondemand.com/entity/133005", "133005")</f>
        <v/>
      </c>
      <c r="L112" t="inlineStr"/>
      <c r="M112" t="n">
        <v>3</v>
      </c>
      <c r="N112" t="n">
        <v>130167</v>
      </c>
      <c r="O112" t="inlineStr">
        <is>
          <t>Done</t>
        </is>
      </c>
      <c r="P112" t="n">
        <v>2</v>
      </c>
      <c r="Q112" t="inlineStr">
        <is>
          <t>Drakon 7</t>
        </is>
      </c>
      <c r="R112" t="inlineStr">
        <is>
          <t>2022-05-19</t>
        </is>
      </c>
      <c r="S112" t="inlineStr">
        <is>
          <t>2022-06-01</t>
        </is>
      </c>
      <c r="T112" t="inlineStr">
        <is>
          <t>Drakon 7 : 2022-05-19 - 2022-06-01</t>
        </is>
      </c>
      <c r="U112" t="inlineStr">
        <is>
          <t>2022-05-31T00:00:00-05:00</t>
        </is>
      </c>
      <c r="V112" t="inlineStr">
        <is>
          <t>2022-05-26T00:00:00-05:00</t>
        </is>
      </c>
      <c r="W112" t="inlineStr">
        <is>
          <t>2022-05-31T17:47:19-05:00</t>
        </is>
      </c>
      <c r="X112">
        <f>IFERROR(1/COUNTIF($I:$I,@$I:$I), 0)</f>
        <v/>
      </c>
    </row>
    <row r="113">
      <c r="A113">
        <f>HYPERLINK("https://drivetime.tpondemand.com/entity/130826", "130826")</f>
        <v/>
      </c>
      <c r="B113" t="inlineStr">
        <is>
          <t>[BC NEXT][WEB] Open link in new tab</t>
        </is>
      </c>
      <c r="C113" t="inlineStr">
        <is>
          <t>UserStory</t>
        </is>
      </c>
      <c r="D113" t="inlineStr">
        <is>
          <t>Servicing: BC Next</t>
        </is>
      </c>
      <c r="E113" t="inlineStr">
        <is>
          <t>BC Digital Drakon</t>
        </is>
      </c>
      <c r="F113" t="inlineStr">
        <is>
          <t>24</t>
        </is>
      </c>
      <c r="G113" t="inlineStr">
        <is>
          <t>Shyam Senthil Nathan</t>
        </is>
      </c>
      <c r="H113" t="inlineStr">
        <is>
          <t>[BC NEXT] Bug Fixes/Enhancements for June Release</t>
        </is>
      </c>
      <c r="I113" t="n">
        <v>8</v>
      </c>
      <c r="J113" t="n">
        <v>24.39236111111111</v>
      </c>
      <c r="K113">
        <f>HYPERLINK("https://drivetime.tpondemand.com/entity/134034", "134034")</f>
        <v/>
      </c>
      <c r="L113" t="inlineStr"/>
      <c r="M113" t="n">
        <v>3</v>
      </c>
      <c r="N113" t="n">
        <v>130168</v>
      </c>
      <c r="O113" t="inlineStr">
        <is>
          <t>Done</t>
        </is>
      </c>
      <c r="P113" t="n">
        <v>1</v>
      </c>
      <c r="Q113" t="inlineStr">
        <is>
          <t>Drakon 8</t>
        </is>
      </c>
      <c r="R113" t="inlineStr">
        <is>
          <t>2022-06-02</t>
        </is>
      </c>
      <c r="S113" t="inlineStr">
        <is>
          <t>2022-06-15</t>
        </is>
      </c>
      <c r="T113" t="inlineStr">
        <is>
          <t>Drakon 8 : 2022-06-02 - 2022-06-15</t>
        </is>
      </c>
      <c r="U113" t="inlineStr">
        <is>
          <t>2022-06-16T00:00:00-05:00</t>
        </is>
      </c>
      <c r="V113" t="inlineStr">
        <is>
          <t>2022-06-08T00:00:00-05:00</t>
        </is>
      </c>
      <c r="W113" t="inlineStr">
        <is>
          <t>2022-06-16T20:12:40-05:00</t>
        </is>
      </c>
      <c r="X113">
        <f>IFERROR(1/COUNTIF($I:$I,@$I:$I), 0)</f>
        <v/>
      </c>
    </row>
    <row r="114">
      <c r="A114">
        <f>HYPERLINK("https://drivetime.tpondemand.com/entity/130962", "130962")</f>
        <v/>
      </c>
      <c r="B114" t="inlineStr">
        <is>
          <t>[BC NEXT] PTC - Update Pending Payments Modal to reflect payment plan</t>
        </is>
      </c>
      <c r="C114" t="inlineStr">
        <is>
          <t>UserStory</t>
        </is>
      </c>
      <c r="D114" t="inlineStr">
        <is>
          <t>Servicing: BC Next</t>
        </is>
      </c>
      <c r="E114" t="inlineStr">
        <is>
          <t>BC Digital Drakon</t>
        </is>
      </c>
      <c r="F114" t="inlineStr">
        <is>
          <t>24</t>
        </is>
      </c>
      <c r="G114" t="inlineStr">
        <is>
          <t>Shyam Senthil Nathan</t>
        </is>
      </c>
      <c r="H114" t="inlineStr">
        <is>
          <t>[BC NEXT]Phase 3: Manage Modifications and Plan to Cure Banners</t>
        </is>
      </c>
      <c r="I114" t="n">
        <v>4</v>
      </c>
      <c r="J114" t="n">
        <v>11.29446759259259</v>
      </c>
      <c r="K114">
        <f>HYPERLINK("https://drivetime.tpondemand.com/entity/133957", "133957")</f>
        <v/>
      </c>
      <c r="L114" t="inlineStr"/>
      <c r="M114" t="n">
        <v>3</v>
      </c>
      <c r="N114" t="n">
        <v>130168</v>
      </c>
      <c r="O114" t="inlineStr">
        <is>
          <t>Done</t>
        </is>
      </c>
      <c r="P114" t="n">
        <v>0</v>
      </c>
      <c r="Q114" t="inlineStr">
        <is>
          <t>Drakon 8</t>
        </is>
      </c>
      <c r="R114" t="inlineStr">
        <is>
          <t>2022-06-02</t>
        </is>
      </c>
      <c r="S114" t="inlineStr">
        <is>
          <t>2022-06-15</t>
        </is>
      </c>
      <c r="T114" t="inlineStr">
        <is>
          <t>Drakon 8 : 2022-06-02 - 2022-06-15</t>
        </is>
      </c>
      <c r="U114" t="inlineStr">
        <is>
          <t>2022-06-14T00:00:00-05:00</t>
        </is>
      </c>
      <c r="V114" t="inlineStr">
        <is>
          <t>2022-06-10T00:00:00-05:00</t>
        </is>
      </c>
      <c r="W114" t="inlineStr">
        <is>
          <t>2022-06-14T16:59:16-05:00</t>
        </is>
      </c>
      <c r="X114">
        <f>IFERROR(1/COUNTIF($I:$I,@$I:$I), 0)</f>
        <v/>
      </c>
    </row>
    <row r="115">
      <c r="A115">
        <f>HYPERLINK("https://drivetime.tpondemand.com/entity/131617", "131617")</f>
        <v/>
      </c>
      <c r="B115" t="inlineStr">
        <is>
          <t>[BC NEXT] AutoPay - Other Amount showing as required incorrectly</t>
        </is>
      </c>
      <c r="C115" t="inlineStr">
        <is>
          <t>UserStory</t>
        </is>
      </c>
      <c r="D115" t="inlineStr">
        <is>
          <t>Servicing: BC Next</t>
        </is>
      </c>
      <c r="E115" t="inlineStr">
        <is>
          <t>BC Digital Drakon</t>
        </is>
      </c>
      <c r="F115" t="inlineStr">
        <is>
          <t>23</t>
        </is>
      </c>
      <c r="G115" t="inlineStr">
        <is>
          <t>Joseph Kranak</t>
        </is>
      </c>
      <c r="H115" t="inlineStr">
        <is>
          <t>[BC NEXT] Bug Fixes/Enhancements for June Release</t>
        </is>
      </c>
      <c r="I115" t="n">
        <v>1</v>
      </c>
      <c r="J115" t="n">
        <v>19.05012731481482</v>
      </c>
      <c r="K115">
        <f>HYPERLINK("https://drivetime.tpondemand.com/entity/133564", "133564")</f>
        <v/>
      </c>
      <c r="L115" t="inlineStr"/>
      <c r="M115" t="n">
        <v>3</v>
      </c>
      <c r="N115" t="n">
        <v>130168</v>
      </c>
      <c r="O115" t="inlineStr">
        <is>
          <t>Done</t>
        </is>
      </c>
      <c r="P115" t="n">
        <v>1</v>
      </c>
      <c r="Q115" t="inlineStr">
        <is>
          <t>Drakon 8</t>
        </is>
      </c>
      <c r="R115" t="inlineStr">
        <is>
          <t>2022-06-02</t>
        </is>
      </c>
      <c r="S115" t="inlineStr">
        <is>
          <t>2022-06-15</t>
        </is>
      </c>
      <c r="T115" t="inlineStr">
        <is>
          <t>Drakon 8 : 2022-06-02 - 2022-06-15</t>
        </is>
      </c>
      <c r="U115" t="inlineStr">
        <is>
          <t>2022-06-08T00:00:00-05:00</t>
        </is>
      </c>
      <c r="V115" t="inlineStr">
        <is>
          <t>2022-06-07T00:00:00-05:00</t>
        </is>
      </c>
      <c r="W115" t="inlineStr">
        <is>
          <t>2022-06-08T15:50:55-05:00</t>
        </is>
      </c>
      <c r="X115">
        <f>IFERROR(1/COUNTIF($I:$I,@$I:$I), 0)</f>
        <v/>
      </c>
    </row>
    <row r="116">
      <c r="A116">
        <f>HYPERLINK("https://drivetime.tpondemand.com/entity/132164", "132164")</f>
        <v/>
      </c>
      <c r="B116" t="inlineStr">
        <is>
          <t>[BC NEXT][WEB] Skip to Content not always working correctly</t>
        </is>
      </c>
      <c r="C116" t="inlineStr">
        <is>
          <t>UserStory</t>
        </is>
      </c>
      <c r="D116" t="inlineStr">
        <is>
          <t>Servicing: BC Next</t>
        </is>
      </c>
      <c r="E116" t="inlineStr">
        <is>
          <t>BC Digital Drakon</t>
        </is>
      </c>
      <c r="F116" t="inlineStr">
        <is>
          <t>24</t>
        </is>
      </c>
      <c r="G116" t="inlineStr">
        <is>
          <t>Abbas Shamshi</t>
        </is>
      </c>
      <c r="H116" t="inlineStr">
        <is>
          <t>[BC NEXT] Bug Fixes/Enhancements for July</t>
        </is>
      </c>
      <c r="I116" t="n">
        <v>1</v>
      </c>
      <c r="J116" t="n">
        <v>11.22612268518519</v>
      </c>
      <c r="K116">
        <f>HYPERLINK("https://drivetime.tpondemand.com/entity/133957", "133957")</f>
        <v/>
      </c>
      <c r="L116" t="inlineStr"/>
      <c r="M116" t="n">
        <v>3</v>
      </c>
      <c r="N116" t="n">
        <v>130168</v>
      </c>
      <c r="O116" t="inlineStr">
        <is>
          <t>Done</t>
        </is>
      </c>
      <c r="P116" t="n">
        <v>0</v>
      </c>
      <c r="Q116" t="inlineStr">
        <is>
          <t>Drakon 8</t>
        </is>
      </c>
      <c r="R116" t="inlineStr">
        <is>
          <t>2022-06-02</t>
        </is>
      </c>
      <c r="S116" t="inlineStr">
        <is>
          <t>2022-06-15</t>
        </is>
      </c>
      <c r="T116" t="inlineStr">
        <is>
          <t>Drakon 8 : 2022-06-02 - 2022-06-15</t>
        </is>
      </c>
      <c r="U116" t="inlineStr">
        <is>
          <t>2022-06-14T00:00:00-05:00</t>
        </is>
      </c>
      <c r="V116" t="inlineStr">
        <is>
          <t>2022-06-13T00:00:00-05:00</t>
        </is>
      </c>
      <c r="W116" t="inlineStr">
        <is>
          <t>2022-06-14T16:59:07-05:00</t>
        </is>
      </c>
      <c r="X116">
        <f>IFERROR(1/COUNTIF($I:$I,@$I:$I), 0)</f>
        <v/>
      </c>
    </row>
    <row r="117">
      <c r="A117">
        <f>HYPERLINK("https://drivetime.tpondemand.com/entity/132197", "132197")</f>
        <v/>
      </c>
      <c r="B117" t="inlineStr">
        <is>
          <t>[BC NEXT][WEB] Top Nav links loading slowly when logged in</t>
        </is>
      </c>
      <c r="C117" t="inlineStr">
        <is>
          <t>UserStory</t>
        </is>
      </c>
      <c r="D117" t="inlineStr">
        <is>
          <t>Servicing: BC Next</t>
        </is>
      </c>
      <c r="E117" t="inlineStr">
        <is>
          <t>BC Digital Drakon</t>
        </is>
      </c>
      <c r="F117" t="inlineStr">
        <is>
          <t>26</t>
        </is>
      </c>
      <c r="G117" t="inlineStr">
        <is>
          <t>Shyam Senthil Nathan</t>
        </is>
      </c>
      <c r="H117" t="inlineStr">
        <is>
          <t>[BC NEXT] Bug Fixes/Enhancements for July</t>
        </is>
      </c>
      <c r="I117" t="n">
        <v>2</v>
      </c>
      <c r="J117" t="n">
        <v>7.844849537037037</v>
      </c>
      <c r="K117">
        <f>HYPERLINK("https://drivetime.tpondemand.com/entity/135384", "135384")</f>
        <v/>
      </c>
      <c r="L117" t="inlineStr"/>
      <c r="M117" t="n">
        <v>3</v>
      </c>
      <c r="N117" t="n">
        <v>133018</v>
      </c>
      <c r="O117" t="inlineStr">
        <is>
          <t>Done</t>
        </is>
      </c>
      <c r="P117" t="n">
        <v>0</v>
      </c>
      <c r="Q117" t="inlineStr">
        <is>
          <t>Drakon 9</t>
        </is>
      </c>
      <c r="R117" t="inlineStr">
        <is>
          <t>2022-06-16</t>
        </is>
      </c>
      <c r="S117" t="inlineStr">
        <is>
          <t>2022-06-29</t>
        </is>
      </c>
      <c r="T117" t="inlineStr">
        <is>
          <t>Drakon 9 : 2022-06-16 - 2022-06-29</t>
        </is>
      </c>
      <c r="U117" t="inlineStr">
        <is>
          <t>2022-06-30T00:00:00-05:00</t>
        </is>
      </c>
      <c r="V117" t="inlineStr">
        <is>
          <t>2022-06-28T00:00:00-05:00</t>
        </is>
      </c>
      <c r="W117" t="inlineStr">
        <is>
          <t>2022-06-30T11:30:06-05:00</t>
        </is>
      </c>
      <c r="X117">
        <f>IFERROR(1/COUNTIF($I:$I,@$I:$I), 0)</f>
        <v/>
      </c>
    </row>
    <row r="118">
      <c r="A118">
        <f>HYPERLINK("https://drivetime.tpondemand.com/entity/132214", "132214")</f>
        <v/>
      </c>
      <c r="B118" t="inlineStr">
        <is>
          <t>[BCNEXT][WEB] Dashboard - Add print option to Dashboard</t>
        </is>
      </c>
      <c r="C118" t="inlineStr">
        <is>
          <t>UserStory</t>
        </is>
      </c>
      <c r="D118" t="inlineStr">
        <is>
          <t>Servicing: BC Next</t>
        </is>
      </c>
      <c r="E118" t="inlineStr">
        <is>
          <t>BC Digital Drakon</t>
        </is>
      </c>
      <c r="F118" t="inlineStr">
        <is>
          <t>25</t>
        </is>
      </c>
      <c r="G118" t="inlineStr">
        <is>
          <t>Chirag Khandhar</t>
        </is>
      </c>
      <c r="H118" t="inlineStr">
        <is>
          <t>[BC NEXT] Bug Fixes/Enhancements for June Release</t>
        </is>
      </c>
      <c r="I118" t="n">
        <v>6</v>
      </c>
      <c r="J118" t="n">
        <v>20.18417824074074</v>
      </c>
      <c r="K118">
        <f>HYPERLINK("https://drivetime.tpondemand.com/entity/134248", "134248")</f>
        <v/>
      </c>
      <c r="L118" t="inlineStr"/>
      <c r="M118" t="n">
        <v>3</v>
      </c>
      <c r="N118" t="n">
        <v>133018</v>
      </c>
      <c r="O118" t="inlineStr">
        <is>
          <t>Done</t>
        </is>
      </c>
      <c r="P118" t="n">
        <v>0</v>
      </c>
      <c r="Q118" t="inlineStr">
        <is>
          <t>Drakon 9</t>
        </is>
      </c>
      <c r="R118" t="inlineStr">
        <is>
          <t>2022-06-16</t>
        </is>
      </c>
      <c r="S118" t="inlineStr">
        <is>
          <t>2022-06-29</t>
        </is>
      </c>
      <c r="T118" t="inlineStr">
        <is>
          <t>Drakon 9 : 2022-06-16 - 2022-06-29</t>
        </is>
      </c>
      <c r="U118" t="inlineStr">
        <is>
          <t>2022-06-22T00:00:00-05:00</t>
        </is>
      </c>
      <c r="V118" t="inlineStr">
        <is>
          <t>2022-06-16T00:00:00-05:00</t>
        </is>
      </c>
      <c r="W118" t="inlineStr">
        <is>
          <t>2022-06-22T16:55:48-05:00</t>
        </is>
      </c>
      <c r="X118">
        <f>IFERROR(1/COUNTIF($I:$I,@$I:$I), 0)</f>
        <v/>
      </c>
    </row>
    <row r="119">
      <c r="A119">
        <f>HYPERLINK("https://drivetime.tpondemand.com/entity/133210", "133210")</f>
        <v/>
      </c>
      <c r="B119" t="inlineStr">
        <is>
          <t>[BC NEXT][RESEARCH] Mods - How do we connect to DocuSign</t>
        </is>
      </c>
      <c r="C119" t="inlineStr">
        <is>
          <t>UserStory</t>
        </is>
      </c>
      <c r="D119" t="inlineStr">
        <is>
          <t>Servicing: BC Next</t>
        </is>
      </c>
      <c r="E119" t="inlineStr">
        <is>
          <t>BC Digital Drakon</t>
        </is>
      </c>
      <c r="F119" t="inlineStr">
        <is>
          <t>24</t>
        </is>
      </c>
      <c r="G119" t="inlineStr">
        <is>
          <t>Connor Golobich</t>
        </is>
      </c>
      <c r="H119" t="inlineStr">
        <is>
          <t>[BC NEXT]Phase 3: Manage Modifications Page</t>
        </is>
      </c>
      <c r="I119" t="n">
        <v>0</v>
      </c>
      <c r="J119" t="n">
        <v>4.199421296296296</v>
      </c>
      <c r="K119" t="inlineStr"/>
      <c r="L119" t="inlineStr"/>
      <c r="M119" t="n">
        <v>3</v>
      </c>
      <c r="N119" t="n">
        <v>130168</v>
      </c>
      <c r="O119" t="inlineStr">
        <is>
          <t>Done</t>
        </is>
      </c>
      <c r="P119" t="n">
        <v>0</v>
      </c>
      <c r="Q119" t="inlineStr">
        <is>
          <t>Drakon 8</t>
        </is>
      </c>
      <c r="R119" t="inlineStr">
        <is>
          <t>2022-06-02</t>
        </is>
      </c>
      <c r="S119" t="inlineStr">
        <is>
          <t>2022-06-15</t>
        </is>
      </c>
      <c r="T119" t="inlineStr">
        <is>
          <t>Drakon 8 : 2022-06-02 - 2022-06-15</t>
        </is>
      </c>
      <c r="U119" t="inlineStr">
        <is>
          <t>2022-06-13T00:00:00-05:00</t>
        </is>
      </c>
      <c r="V119" t="inlineStr">
        <is>
          <t>2022-06-13T00:00:00-05:00</t>
        </is>
      </c>
      <c r="W119" t="inlineStr">
        <is>
          <t>2022-06-13T15:58:16-05:00</t>
        </is>
      </c>
      <c r="X119">
        <f>IFERROR(1/COUNTIF($I:$I,@$I:$I), 0)</f>
        <v/>
      </c>
    </row>
    <row r="120">
      <c r="A120">
        <f>HYPERLINK("https://drivetime.tpondemand.com/entity/133537", "133537")</f>
        <v/>
      </c>
      <c r="B120" t="inlineStr">
        <is>
          <t>[BC NEXT][WEB] Bypass/Hide Pre-Login Page from Web</t>
        </is>
      </c>
      <c r="C120" t="inlineStr">
        <is>
          <t>UserStory</t>
        </is>
      </c>
      <c r="D120" t="inlineStr">
        <is>
          <t>Servicing: BC Next</t>
        </is>
      </c>
      <c r="E120" t="inlineStr">
        <is>
          <t>BC Digital Drakon</t>
        </is>
      </c>
      <c r="F120" t="inlineStr">
        <is>
          <t>31</t>
        </is>
      </c>
      <c r="G120" t="inlineStr">
        <is>
          <t>Yokeshwaran Lokanathan</t>
        </is>
      </c>
      <c r="H120" t="inlineStr">
        <is>
          <t>[BC NEXT] Bug Fixes/Enhancements for August</t>
        </is>
      </c>
      <c r="I120" t="n">
        <v>25</v>
      </c>
      <c r="J120" t="n">
        <v>42.94203703703703</v>
      </c>
      <c r="K120">
        <f>HYPERLINK("https://drivetime.tpondemand.com/entity/136925", "136925")</f>
        <v/>
      </c>
      <c r="L120" t="inlineStr"/>
      <c r="M120" t="n">
        <v>3</v>
      </c>
      <c r="N120" t="n">
        <v>133019</v>
      </c>
      <c r="O120" t="inlineStr">
        <is>
          <t>Done</t>
        </is>
      </c>
      <c r="P120" t="n">
        <v>1</v>
      </c>
      <c r="Q120" t="inlineStr">
        <is>
          <t>Drakon 10</t>
        </is>
      </c>
      <c r="R120" t="inlineStr">
        <is>
          <t>2022-06-30</t>
        </is>
      </c>
      <c r="S120" t="inlineStr">
        <is>
          <t>2022-07-13</t>
        </is>
      </c>
      <c r="T120" t="inlineStr">
        <is>
          <t>Drakon 10 : 2022-06-30 - 2022-07-13</t>
        </is>
      </c>
      <c r="U120" t="inlineStr">
        <is>
          <t>2022-08-02T00:00:00-05:00</t>
        </is>
      </c>
      <c r="V120" t="inlineStr">
        <is>
          <t>2022-07-08T00:00:00-05:00</t>
        </is>
      </c>
      <c r="W120" t="inlineStr">
        <is>
          <t>2022-08-02T16:02:15-05:00</t>
        </is>
      </c>
      <c r="X120">
        <f>IFERROR(1/COUNTIF($I:$I,@$I:$I), 0)</f>
        <v/>
      </c>
    </row>
    <row r="121">
      <c r="A121">
        <f>HYPERLINK("https://drivetime.tpondemand.com/entity/133565", "133565")</f>
        <v/>
      </c>
      <c r="B121" t="inlineStr">
        <is>
          <t>[BC NEXT][WEB] Update When Outage Modal Displayed</t>
        </is>
      </c>
      <c r="C121" t="inlineStr">
        <is>
          <t>UserStory</t>
        </is>
      </c>
      <c r="D121" t="inlineStr">
        <is>
          <t>Servicing: BC Next</t>
        </is>
      </c>
      <c r="E121" t="inlineStr">
        <is>
          <t>BC Digital Drakon</t>
        </is>
      </c>
      <c r="F121" t="inlineStr">
        <is>
          <t>26</t>
        </is>
      </c>
      <c r="G121" t="inlineStr">
        <is>
          <t>Abbas Shamshi</t>
        </is>
      </c>
      <c r="H121" t="inlineStr">
        <is>
          <t>[BC NEXT] Bug Fixes/Enhancements for July</t>
        </is>
      </c>
      <c r="I121" t="n">
        <v>3</v>
      </c>
      <c r="J121" t="n">
        <v>10.07748842592593</v>
      </c>
      <c r="K121">
        <f>HYPERLINK("https://drivetime.tpondemand.com/entity/135384", "135384")</f>
        <v/>
      </c>
      <c r="L121" t="inlineStr"/>
      <c r="M121" t="n">
        <v>3</v>
      </c>
      <c r="N121" t="n">
        <v>133018</v>
      </c>
      <c r="O121" t="inlineStr">
        <is>
          <t>Done</t>
        </is>
      </c>
      <c r="P121" t="n">
        <v>0</v>
      </c>
      <c r="Q121" t="inlineStr">
        <is>
          <t>Drakon 9</t>
        </is>
      </c>
      <c r="R121" t="inlineStr">
        <is>
          <t>2022-06-16</t>
        </is>
      </c>
      <c r="S121" t="inlineStr">
        <is>
          <t>2022-06-29</t>
        </is>
      </c>
      <c r="T121" t="inlineStr">
        <is>
          <t>Drakon 9 : 2022-06-16 - 2022-06-29</t>
        </is>
      </c>
      <c r="U121" t="inlineStr">
        <is>
          <t>2022-06-30T00:00:00-05:00</t>
        </is>
      </c>
      <c r="V121" t="inlineStr">
        <is>
          <t>2022-06-27T00:00:00-05:00</t>
        </is>
      </c>
      <c r="W121" t="inlineStr">
        <is>
          <t>2022-06-30T11:30:38-05:00</t>
        </is>
      </c>
      <c r="X121">
        <f>IFERROR(1/COUNTIF($I:$I,@$I:$I), 0)</f>
        <v/>
      </c>
    </row>
    <row r="122">
      <c r="A122">
        <f>HYPERLINK("https://drivetime.tpondemand.com/entity/133863", "133863")</f>
        <v/>
      </c>
      <c r="B122" t="inlineStr">
        <is>
          <t>[BC NEXT] Pending Payments Modal popping at odd times</t>
        </is>
      </c>
      <c r="C122" t="inlineStr">
        <is>
          <t>UserStory</t>
        </is>
      </c>
      <c r="D122" t="inlineStr">
        <is>
          <t>Servicing: BC Next</t>
        </is>
      </c>
      <c r="E122" t="inlineStr">
        <is>
          <t>BC Digital Drakon</t>
        </is>
      </c>
      <c r="F122" t="inlineStr">
        <is>
          <t>33</t>
        </is>
      </c>
      <c r="G122" t="inlineStr">
        <is>
          <t>Abbas Shamshi</t>
        </is>
      </c>
      <c r="H122" t="inlineStr">
        <is>
          <t>[BC NEXT] Bug Fixes/Enhancements for August</t>
        </is>
      </c>
      <c r="I122" t="n">
        <v>8</v>
      </c>
      <c r="J122" t="n">
        <v>21.33076388888889</v>
      </c>
      <c r="K122">
        <f>HYPERLINK("https://drivetime.tpondemand.com/entity/137715", "137715")</f>
        <v/>
      </c>
      <c r="L122" t="inlineStr"/>
      <c r="M122" t="n">
        <v>3</v>
      </c>
      <c r="N122" t="n">
        <v>136568</v>
      </c>
      <c r="O122" t="inlineStr">
        <is>
          <t>Done</t>
        </is>
      </c>
      <c r="P122" t="n">
        <v>0</v>
      </c>
      <c r="Q122" t="inlineStr">
        <is>
          <t>Drakon 12</t>
        </is>
      </c>
      <c r="R122" t="inlineStr">
        <is>
          <t>2022-07-28</t>
        </is>
      </c>
      <c r="S122" t="inlineStr">
        <is>
          <t>2022-08-10</t>
        </is>
      </c>
      <c r="T122" t="inlineStr">
        <is>
          <t>Drakon 12 : 2022-07-28 - 2022-08-10</t>
        </is>
      </c>
      <c r="U122" t="inlineStr">
        <is>
          <t>2022-08-17T00:00:00-05:00</t>
        </is>
      </c>
      <c r="V122" t="inlineStr">
        <is>
          <t>2022-08-09T00:00:00-05:00</t>
        </is>
      </c>
      <c r="W122" t="inlineStr">
        <is>
          <t>2022-08-17T17:36:20-05:00</t>
        </is>
      </c>
      <c r="X122">
        <f>IFERROR(1/COUNTIF($I:$I,@$I:$I), 0)</f>
        <v/>
      </c>
    </row>
    <row r="123">
      <c r="A123">
        <f>HYPERLINK("https://drivetime.tpondemand.com/entity/133877", "133877")</f>
        <v/>
      </c>
      <c r="B123" t="inlineStr">
        <is>
          <t>[BC NEXT] Page Loading Spinner bug on OTP</t>
        </is>
      </c>
      <c r="C123" t="inlineStr">
        <is>
          <t>UserStory</t>
        </is>
      </c>
      <c r="D123" t="inlineStr">
        <is>
          <t>Servicing: BC Next</t>
        </is>
      </c>
      <c r="E123" t="inlineStr">
        <is>
          <t>BC Digital Drakon</t>
        </is>
      </c>
      <c r="F123" t="inlineStr">
        <is>
          <t>26</t>
        </is>
      </c>
      <c r="G123" t="inlineStr">
        <is>
          <t>Joseph Kranak</t>
        </is>
      </c>
      <c r="H123" t="inlineStr">
        <is>
          <t>[BC NEXT] Bug Fixes/Enhancements for July</t>
        </is>
      </c>
      <c r="I123" t="n">
        <v>3</v>
      </c>
      <c r="J123" t="n">
        <v>13.05239583333333</v>
      </c>
      <c r="K123">
        <f>HYPERLINK("https://drivetime.tpondemand.com/entity/135384", "135384")</f>
        <v/>
      </c>
      <c r="L123" t="inlineStr"/>
      <c r="M123" t="n">
        <v>3</v>
      </c>
      <c r="N123" t="n">
        <v>133018</v>
      </c>
      <c r="O123" t="inlineStr">
        <is>
          <t>Done</t>
        </is>
      </c>
      <c r="P123" t="n">
        <v>1</v>
      </c>
      <c r="Q123" t="inlineStr">
        <is>
          <t>Drakon 9</t>
        </is>
      </c>
      <c r="R123" t="inlineStr">
        <is>
          <t>2022-06-16</t>
        </is>
      </c>
      <c r="S123" t="inlineStr">
        <is>
          <t>2022-06-29</t>
        </is>
      </c>
      <c r="T123" t="inlineStr">
        <is>
          <t>Drakon 9 : 2022-06-16 - 2022-06-29</t>
        </is>
      </c>
      <c r="U123" t="inlineStr">
        <is>
          <t>2022-06-30T00:00:00-05:00</t>
        </is>
      </c>
      <c r="V123" t="inlineStr">
        <is>
          <t>2022-06-27T00:00:00-05:00</t>
        </is>
      </c>
      <c r="W123" t="inlineStr">
        <is>
          <t>2022-06-30T11:29:02-05:00</t>
        </is>
      </c>
      <c r="X123">
        <f>IFERROR(1/COUNTIF($I:$I,@$I:$I), 0)</f>
        <v/>
      </c>
    </row>
    <row r="124">
      <c r="A124">
        <f>HYPERLINK("https://drivetime.tpondemand.com/entity/133892", "133892")</f>
        <v/>
      </c>
      <c r="B124" t="inlineStr">
        <is>
          <t>[BC NEXT] Ionic Upgrade - Accordions</t>
        </is>
      </c>
      <c r="C124" t="inlineStr">
        <is>
          <t>UserStory</t>
        </is>
      </c>
      <c r="D124" t="inlineStr">
        <is>
          <t>Servicing: BC Next</t>
        </is>
      </c>
      <c r="E124" t="inlineStr">
        <is>
          <t>BC Digital Drakon</t>
        </is>
      </c>
      <c r="F124" t="inlineStr">
        <is>
          <t>32</t>
        </is>
      </c>
      <c r="G124" t="inlineStr">
        <is>
          <t>Shyam Senthil Nathan</t>
        </is>
      </c>
      <c r="H124" t="inlineStr">
        <is>
          <t>[BC NEXT] Bug Fixes/Enhancements for August</t>
        </is>
      </c>
      <c r="I124" t="n">
        <v>6</v>
      </c>
      <c r="J124" t="n">
        <v>42.93504629629629</v>
      </c>
      <c r="K124">
        <f>HYPERLINK("https://drivetime.tpondemand.com/entity/137348", "137348")</f>
        <v/>
      </c>
      <c r="L124" t="inlineStr"/>
      <c r="M124" t="n">
        <v>3</v>
      </c>
      <c r="N124" t="n">
        <v>136568</v>
      </c>
      <c r="O124" t="inlineStr">
        <is>
          <t>Done</t>
        </is>
      </c>
      <c r="P124" t="n">
        <v>3</v>
      </c>
      <c r="Q124" t="inlineStr">
        <is>
          <t>Drakon 12</t>
        </is>
      </c>
      <c r="R124" t="inlineStr">
        <is>
          <t>2022-07-28</t>
        </is>
      </c>
      <c r="S124" t="inlineStr">
        <is>
          <t>2022-08-10</t>
        </is>
      </c>
      <c r="T124" t="inlineStr">
        <is>
          <t>Drakon 12 : 2022-07-28 - 2022-08-10</t>
        </is>
      </c>
      <c r="U124" t="inlineStr">
        <is>
          <t>2022-08-09T00:00:00-05:00</t>
        </is>
      </c>
      <c r="V124" t="inlineStr">
        <is>
          <t>2022-08-03T00:00:00-05:00</t>
        </is>
      </c>
      <c r="W124" t="inlineStr">
        <is>
          <t>2022-08-11T09:14:24-05:00</t>
        </is>
      </c>
      <c r="X124">
        <f>IFERROR(1/COUNTIF($I:$I,@$I:$I), 0)</f>
        <v/>
      </c>
    </row>
    <row r="125">
      <c r="A125">
        <f>HYPERLINK("https://drivetime.tpondemand.com/entity/133931", "133931")</f>
        <v/>
      </c>
      <c r="B125" t="inlineStr">
        <is>
          <t>[BC NEXT][WEB] Refetch data upon successful payment/autopay enrollment mutation call</t>
        </is>
      </c>
      <c r="C125" t="inlineStr">
        <is>
          <t>UserStory</t>
        </is>
      </c>
      <c r="D125" t="inlineStr">
        <is>
          <t>Servicing: BC Next</t>
        </is>
      </c>
      <c r="E125" t="inlineStr">
        <is>
          <t>BC Digital Drakon</t>
        </is>
      </c>
      <c r="F125" t="inlineStr">
        <is>
          <t>26</t>
        </is>
      </c>
      <c r="G125" t="inlineStr">
        <is>
          <t>Chirag Khandhar</t>
        </is>
      </c>
      <c r="H125" t="inlineStr">
        <is>
          <t>[BC NEXT] Bug Fixes/Enhancements for July</t>
        </is>
      </c>
      <c r="I125" t="n">
        <v>3</v>
      </c>
      <c r="J125" t="n">
        <v>14.09967592592593</v>
      </c>
      <c r="K125">
        <f>HYPERLINK("https://drivetime.tpondemand.com/entity/135384", "135384")</f>
        <v/>
      </c>
      <c r="L125" t="inlineStr"/>
      <c r="M125" t="n">
        <v>3</v>
      </c>
      <c r="N125" t="n">
        <v>133018</v>
      </c>
      <c r="O125" t="inlineStr">
        <is>
          <t>Done</t>
        </is>
      </c>
      <c r="P125" t="n">
        <v>3</v>
      </c>
      <c r="Q125" t="inlineStr">
        <is>
          <t>Drakon 9</t>
        </is>
      </c>
      <c r="R125" t="inlineStr">
        <is>
          <t>2022-06-16</t>
        </is>
      </c>
      <c r="S125" t="inlineStr">
        <is>
          <t>2022-06-29</t>
        </is>
      </c>
      <c r="T125" t="inlineStr">
        <is>
          <t>Drakon 9 : 2022-06-16 - 2022-06-29</t>
        </is>
      </c>
      <c r="U125" t="inlineStr">
        <is>
          <t>2022-06-30T00:00:00-05:00</t>
        </is>
      </c>
      <c r="V125" t="inlineStr">
        <is>
          <t>2022-06-27T00:00:00-05:00</t>
        </is>
      </c>
      <c r="W125" t="inlineStr">
        <is>
          <t>2022-06-30T11:28:14-05:00</t>
        </is>
      </c>
      <c r="X125">
        <f>IFERROR(1/COUNTIF($I:$I,@$I:$I), 0)</f>
        <v/>
      </c>
    </row>
    <row r="126">
      <c r="A126">
        <f>HYPERLINK("https://drivetime.tpondemand.com/entity/134028", "134028")</f>
        <v/>
      </c>
      <c r="B126" t="inlineStr">
        <is>
          <t>[BC NEXT] Update code references to new subdomain</t>
        </is>
      </c>
      <c r="C126" t="inlineStr">
        <is>
          <t>UserStory</t>
        </is>
      </c>
      <c r="D126" t="inlineStr">
        <is>
          <t>Servicing: BC Next</t>
        </is>
      </c>
      <c r="E126" t="inlineStr">
        <is>
          <t>BC Digital Drakon</t>
        </is>
      </c>
      <c r="F126" t="inlineStr">
        <is>
          <t>25</t>
        </is>
      </c>
      <c r="G126" t="inlineStr">
        <is>
          <t>Shyam Senthil Nathan</t>
        </is>
      </c>
      <c r="H126" t="inlineStr">
        <is>
          <t>[BC NEXT] Bug Fixes/Enhancements for June Release</t>
        </is>
      </c>
      <c r="I126" t="n">
        <v>0</v>
      </c>
      <c r="J126" t="n">
        <v>5.133090277777778</v>
      </c>
      <c r="K126">
        <f>HYPERLINK("https://drivetime.tpondemand.com/entity/134248", "134248")</f>
        <v/>
      </c>
      <c r="L126" t="inlineStr"/>
      <c r="M126" t="n">
        <v>3</v>
      </c>
      <c r="N126" t="n">
        <v>133018</v>
      </c>
      <c r="O126" t="inlineStr">
        <is>
          <t>Done</t>
        </is>
      </c>
      <c r="P126" t="n">
        <v>0</v>
      </c>
      <c r="Q126" t="inlineStr">
        <is>
          <t>Drakon 9</t>
        </is>
      </c>
      <c r="R126" t="inlineStr">
        <is>
          <t>2022-06-16</t>
        </is>
      </c>
      <c r="S126" t="inlineStr">
        <is>
          <t>2022-06-29</t>
        </is>
      </c>
      <c r="T126" t="inlineStr">
        <is>
          <t>Drakon 9 : 2022-06-16 - 2022-06-29</t>
        </is>
      </c>
      <c r="U126" t="inlineStr">
        <is>
          <t>2022-06-22T00:00:00-05:00</t>
        </is>
      </c>
      <c r="V126" t="inlineStr">
        <is>
          <t>2022-06-22T00:00:00-05:00</t>
        </is>
      </c>
      <c r="W126" t="inlineStr">
        <is>
          <t>2022-06-22T16:55:44-05:00</t>
        </is>
      </c>
      <c r="X126">
        <f>IFERROR(1/COUNTIF($I:$I,@$I:$I), 0)</f>
        <v/>
      </c>
    </row>
    <row r="127">
      <c r="A127">
        <f>HYPERLINK("https://drivetime.tpondemand.com/entity/134398", "134398")</f>
        <v/>
      </c>
      <c r="B127" t="inlineStr">
        <is>
          <t>[BC NEXT] Manage Mods - Scaffolding</t>
        </is>
      </c>
      <c r="C127" t="inlineStr">
        <is>
          <t>UserStory</t>
        </is>
      </c>
      <c r="D127" t="inlineStr">
        <is>
          <t>Servicing: BC Next</t>
        </is>
      </c>
      <c r="E127" t="inlineStr">
        <is>
          <t>BC Digital Drakon</t>
        </is>
      </c>
      <c r="F127" t="inlineStr">
        <is>
          <t>29</t>
        </is>
      </c>
      <c r="G127" t="inlineStr">
        <is>
          <t>Chirag Khandhar</t>
        </is>
      </c>
      <c r="H127" t="inlineStr">
        <is>
          <t>[BC NEXT]Phase 3: Manage Modifications Page</t>
        </is>
      </c>
      <c r="I127" t="n">
        <v>7</v>
      </c>
      <c r="J127" t="n">
        <v>13.25201388888889</v>
      </c>
      <c r="K127">
        <f>HYPERLINK("https://drivetime.tpondemand.com/entity/136946", "136946")</f>
        <v/>
      </c>
      <c r="L127" t="inlineStr"/>
      <c r="M127" t="n">
        <v>3</v>
      </c>
      <c r="N127" t="n">
        <v>133019</v>
      </c>
      <c r="O127" t="inlineStr">
        <is>
          <t>Done</t>
        </is>
      </c>
      <c r="P127" t="n">
        <v>1</v>
      </c>
      <c r="Q127" t="inlineStr">
        <is>
          <t>Drakon 10</t>
        </is>
      </c>
      <c r="R127" t="inlineStr">
        <is>
          <t>2022-06-30</t>
        </is>
      </c>
      <c r="S127" t="inlineStr">
        <is>
          <t>2022-07-13</t>
        </is>
      </c>
      <c r="T127" t="inlineStr">
        <is>
          <t>Drakon 10 : 2022-06-30 - 2022-07-13</t>
        </is>
      </c>
      <c r="U127" t="inlineStr">
        <is>
          <t>2022-07-19T00:00:00-05:00</t>
        </is>
      </c>
      <c r="V127" t="inlineStr">
        <is>
          <t>2022-07-12T00:00:00-05:00</t>
        </is>
      </c>
      <c r="W127" t="inlineStr">
        <is>
          <t>2022-07-19T14:06:52-05:00</t>
        </is>
      </c>
      <c r="X127">
        <f>IFERROR(1/COUNTIF($I:$I,@$I:$I), 0)</f>
        <v/>
      </c>
    </row>
    <row r="128">
      <c r="A128">
        <f>HYPERLINK("https://drivetime.tpondemand.com/entity/134405", "134405")</f>
        <v/>
      </c>
      <c r="B128" t="inlineStr">
        <is>
          <t>[BC NEXT] Manage Mods - Landing Pages</t>
        </is>
      </c>
      <c r="C128" t="inlineStr">
        <is>
          <t>UserStory</t>
        </is>
      </c>
      <c r="D128" t="inlineStr">
        <is>
          <t>Servicing: BC Next</t>
        </is>
      </c>
      <c r="E128" t="inlineStr">
        <is>
          <t>BC Digital Drakon</t>
        </is>
      </c>
      <c r="F128" t="inlineStr">
        <is>
          <t>30</t>
        </is>
      </c>
      <c r="G128" t="inlineStr">
        <is>
          <t>Chirag Khandhar and Pete Wesselius</t>
        </is>
      </c>
      <c r="H128" t="inlineStr">
        <is>
          <t>[BC NEXT]Phase 3: Manage Modifications Page</t>
        </is>
      </c>
      <c r="I128" t="n">
        <v>1</v>
      </c>
      <c r="J128" t="n">
        <v>20.99702546296296</v>
      </c>
      <c r="K128">
        <f>HYPERLINK("https://drivetime.tpondemand.com/entity/136946", "136946")</f>
        <v/>
      </c>
      <c r="L128" t="inlineStr"/>
      <c r="M128" t="n">
        <v>3</v>
      </c>
      <c r="N128" t="n">
        <v>133020</v>
      </c>
      <c r="O128" t="inlineStr">
        <is>
          <t>Done</t>
        </is>
      </c>
      <c r="P128" t="n">
        <v>1</v>
      </c>
      <c r="Q128" t="inlineStr">
        <is>
          <t>Drakon 11</t>
        </is>
      </c>
      <c r="R128" t="inlineStr">
        <is>
          <t>2022-07-14</t>
        </is>
      </c>
      <c r="S128" t="inlineStr">
        <is>
          <t>2022-07-27</t>
        </is>
      </c>
      <c r="T128" t="inlineStr">
        <is>
          <t>Drakon 11 : 2022-07-14 - 2022-07-27</t>
        </is>
      </c>
      <c r="U128" t="inlineStr">
        <is>
          <t>2022-07-27T00:00:00-05:00</t>
        </is>
      </c>
      <c r="V128" t="inlineStr">
        <is>
          <t>2022-07-26T00:00:00-05:00</t>
        </is>
      </c>
      <c r="W128" t="inlineStr">
        <is>
          <t>2022-07-27T10:51:02-05:00</t>
        </is>
      </c>
      <c r="X128">
        <f>IFERROR(1/COUNTIF($I:$I,@$I:$I), 0)</f>
        <v/>
      </c>
    </row>
    <row r="129">
      <c r="A129">
        <f>HYPERLINK("https://drivetime.tpondemand.com/entity/134417", "134417")</f>
        <v/>
      </c>
      <c r="B129" t="inlineStr">
        <is>
          <t>[BC NEXT][WEB] Update Loading Spinner Page in AP Flows to add top nav and footer</t>
        </is>
      </c>
      <c r="C129" t="inlineStr">
        <is>
          <t>UserStory</t>
        </is>
      </c>
      <c r="D129" t="inlineStr">
        <is>
          <t>Servicing: BC Next</t>
        </is>
      </c>
      <c r="E129" t="inlineStr">
        <is>
          <t>BC Digital Drakon</t>
        </is>
      </c>
      <c r="F129" t="inlineStr">
        <is>
          <t>29</t>
        </is>
      </c>
      <c r="G129" t="inlineStr">
        <is>
          <t>Antonio Posada</t>
        </is>
      </c>
      <c r="H129" t="inlineStr">
        <is>
          <t>[BC NEXT] Bug Fixes/Enhancements for July</t>
        </is>
      </c>
      <c r="I129" t="n">
        <v>15</v>
      </c>
      <c r="J129" t="n">
        <v>28.28340277777778</v>
      </c>
      <c r="K129">
        <f>HYPERLINK("https://drivetime.tpondemand.com/entity/135225", "135225")</f>
        <v/>
      </c>
      <c r="L129" t="inlineStr"/>
      <c r="M129" t="n">
        <v>3</v>
      </c>
      <c r="N129" t="n">
        <v>133019</v>
      </c>
      <c r="O129" t="inlineStr">
        <is>
          <t>Done</t>
        </is>
      </c>
      <c r="P129" t="n">
        <v>1</v>
      </c>
      <c r="Q129" t="inlineStr">
        <is>
          <t>Drakon 10</t>
        </is>
      </c>
      <c r="R129" t="inlineStr">
        <is>
          <t>2022-06-30</t>
        </is>
      </c>
      <c r="S129" t="inlineStr">
        <is>
          <t>2022-07-13</t>
        </is>
      </c>
      <c r="T129" t="inlineStr">
        <is>
          <t>Drakon 10 : 2022-06-30 - 2022-07-13</t>
        </is>
      </c>
      <c r="U129" t="inlineStr">
        <is>
          <t>2022-07-20T00:00:00-05:00</t>
        </is>
      </c>
      <c r="V129" t="inlineStr">
        <is>
          <t>2022-07-05T00:00:00-05:00</t>
        </is>
      </c>
      <c r="W129" t="inlineStr">
        <is>
          <t>2022-07-20T16:13:35-05:00</t>
        </is>
      </c>
      <c r="X129">
        <f>IFERROR(1/COUNTIF($I:$I,@$I:$I), 0)</f>
        <v/>
      </c>
    </row>
    <row r="130">
      <c r="A130">
        <f>HYPERLINK("https://drivetime.tpondemand.com/entity/134419", "134419")</f>
        <v/>
      </c>
      <c r="B130" t="inlineStr">
        <is>
          <t>[BC NEXT][WEB][RESEARCH]Share login across tabs</t>
        </is>
      </c>
      <c r="C130" t="inlineStr">
        <is>
          <t>UserStory</t>
        </is>
      </c>
      <c r="D130" t="inlineStr">
        <is>
          <t>Servicing: BC Next</t>
        </is>
      </c>
      <c r="E130" t="inlineStr">
        <is>
          <t>BC Digital Drakon</t>
        </is>
      </c>
      <c r="F130" t="inlineStr">
        <is>
          <t>26</t>
        </is>
      </c>
      <c r="G130" t="inlineStr">
        <is>
          <t>Joseph Kranak</t>
        </is>
      </c>
      <c r="H130" t="inlineStr">
        <is>
          <t>[BC NEXT] Bug Fixes/Enhancements for July</t>
        </is>
      </c>
      <c r="I130" t="n">
        <v>0</v>
      </c>
      <c r="J130" t="n">
        <v>5.818831018518519</v>
      </c>
      <c r="K130" t="inlineStr"/>
      <c r="L130" t="inlineStr"/>
      <c r="M130" t="n">
        <v>3</v>
      </c>
      <c r="N130" t="n">
        <v>133018</v>
      </c>
      <c r="O130" t="inlineStr">
        <is>
          <t>Done</t>
        </is>
      </c>
      <c r="P130" t="n">
        <v>0</v>
      </c>
      <c r="Q130" t="inlineStr">
        <is>
          <t>Drakon 9</t>
        </is>
      </c>
      <c r="R130" t="inlineStr">
        <is>
          <t>2022-06-16</t>
        </is>
      </c>
      <c r="S130" t="inlineStr">
        <is>
          <t>2022-06-29</t>
        </is>
      </c>
      <c r="T130" t="inlineStr">
        <is>
          <t>Drakon 9 : 2022-06-16 - 2022-06-29</t>
        </is>
      </c>
      <c r="U130" t="inlineStr">
        <is>
          <t>2022-06-30T00:00:00-05:00</t>
        </is>
      </c>
      <c r="V130" t="inlineStr">
        <is>
          <t>2022-06-30T00:00:00-05:00</t>
        </is>
      </c>
      <c r="W130" t="inlineStr">
        <is>
          <t>2022-06-30T11:31:57-05:00</t>
        </is>
      </c>
      <c r="X130">
        <f>IFERROR(1/COUNTIF($I:$I,@$I:$I), 0)</f>
        <v/>
      </c>
    </row>
    <row r="131">
      <c r="A131">
        <f>HYPERLINK("https://drivetime.tpondemand.com/entity/134478", "134478")</f>
        <v/>
      </c>
      <c r="B131" t="inlineStr">
        <is>
          <t>[BC NEXT] Manage Mods - Update Recent Activity and Account Settings for Mods</t>
        </is>
      </c>
      <c r="C131" t="inlineStr">
        <is>
          <t>UserStory</t>
        </is>
      </c>
      <c r="D131" t="inlineStr">
        <is>
          <t>Servicing: BC Next</t>
        </is>
      </c>
      <c r="E131" t="inlineStr">
        <is>
          <t>BC Digital Drakon</t>
        </is>
      </c>
      <c r="F131" t="inlineStr">
        <is>
          <t>30</t>
        </is>
      </c>
      <c r="G131" t="inlineStr">
        <is>
          <t>Joseph Kranak</t>
        </is>
      </c>
      <c r="H131" t="inlineStr">
        <is>
          <t>[BC NEXT]Phase 3: Manage Modifications Page</t>
        </is>
      </c>
      <c r="I131" t="n">
        <v>6</v>
      </c>
      <c r="J131" t="n">
        <v>26.98940972222222</v>
      </c>
      <c r="K131">
        <f>HYPERLINK("https://drivetime.tpondemand.com/entity/136946", "136946")</f>
        <v/>
      </c>
      <c r="L131" t="inlineStr"/>
      <c r="M131" t="n">
        <v>3</v>
      </c>
      <c r="N131" t="n">
        <v>133020</v>
      </c>
      <c r="O131" t="inlineStr">
        <is>
          <t>Done</t>
        </is>
      </c>
      <c r="P131" t="n">
        <v>4</v>
      </c>
      <c r="Q131" t="inlineStr">
        <is>
          <t>Drakon 11</t>
        </is>
      </c>
      <c r="R131" t="inlineStr">
        <is>
          <t>2022-07-14</t>
        </is>
      </c>
      <c r="S131" t="inlineStr">
        <is>
          <t>2022-07-27</t>
        </is>
      </c>
      <c r="T131" t="inlineStr">
        <is>
          <t>Drakon 11 : 2022-07-14 - 2022-07-27</t>
        </is>
      </c>
      <c r="U131" t="inlineStr">
        <is>
          <t>2022-07-27T00:00:00-05:00</t>
        </is>
      </c>
      <c r="V131" t="inlineStr">
        <is>
          <t>2022-07-21T00:00:00-05:00</t>
        </is>
      </c>
      <c r="W131" t="inlineStr">
        <is>
          <t>2022-07-27T10:51:12-05:00</t>
        </is>
      </c>
      <c r="X131">
        <f>IFERROR(1/COUNTIF($I:$I,@$I:$I), 0)</f>
        <v/>
      </c>
    </row>
    <row r="132">
      <c r="A132">
        <f>HYPERLINK("https://drivetime.tpondemand.com/entity/134636", "134636")</f>
        <v/>
      </c>
      <c r="B132" t="inlineStr">
        <is>
          <t>[SSP] Update Launch Darkly SDK to pass second key</t>
        </is>
      </c>
      <c r="C132" t="inlineStr">
        <is>
          <t>UserStory</t>
        </is>
      </c>
      <c r="D132" t="inlineStr">
        <is>
          <t>Servicing: BC Next</t>
        </is>
      </c>
      <c r="E132" t="inlineStr">
        <is>
          <t>BC Digital Drakon</t>
        </is>
      </c>
      <c r="F132" t="inlineStr">
        <is>
          <t>27</t>
        </is>
      </c>
      <c r="G132" t="inlineStr">
        <is>
          <t>Connor Golobich</t>
        </is>
      </c>
      <c r="H132" t="inlineStr">
        <is>
          <t>[BC NEXT] Phased Rollout</t>
        </is>
      </c>
      <c r="I132" t="n">
        <v>7</v>
      </c>
      <c r="J132" t="n">
        <v>11.09138888888889</v>
      </c>
      <c r="K132">
        <f>HYPERLINK("https://drivetime.tpondemand.com/entity/134997", "134997")</f>
        <v/>
      </c>
      <c r="L132" t="inlineStr"/>
      <c r="M132" t="n">
        <v>3</v>
      </c>
      <c r="N132" t="n">
        <v>133018</v>
      </c>
      <c r="O132" t="inlineStr">
        <is>
          <t>Done</t>
        </is>
      </c>
      <c r="P132" t="n">
        <v>0</v>
      </c>
      <c r="Q132" t="inlineStr">
        <is>
          <t>Drakon 9</t>
        </is>
      </c>
      <c r="R132" t="inlineStr">
        <is>
          <t>2022-06-16</t>
        </is>
      </c>
      <c r="S132" t="inlineStr">
        <is>
          <t>2022-06-29</t>
        </is>
      </c>
      <c r="T132" t="inlineStr">
        <is>
          <t>Drakon 9 : 2022-06-16 - 2022-06-29</t>
        </is>
      </c>
      <c r="U132" t="inlineStr">
        <is>
          <t>2022-07-05T00:00:00-05:00</t>
        </is>
      </c>
      <c r="V132" t="inlineStr">
        <is>
          <t>2022-06-28T00:00:00-05:00</t>
        </is>
      </c>
      <c r="W132" t="inlineStr">
        <is>
          <t>2022-07-05T15:55:14-05:00</t>
        </is>
      </c>
      <c r="X132">
        <f>IFERROR(1/COUNTIF($I:$I,@$I:$I), 0)</f>
        <v/>
      </c>
    </row>
    <row r="133">
      <c r="A133">
        <f>HYPERLINK("https://drivetime.tpondemand.com/entity/135148", "135148")</f>
        <v/>
      </c>
      <c r="B133" t="inlineStr">
        <is>
          <t>[BC NEXT] Plan to Cure - Routes, Metadata, and Scaffolding</t>
        </is>
      </c>
      <c r="C133" t="inlineStr">
        <is>
          <t>UserStory</t>
        </is>
      </c>
      <c r="D133" t="inlineStr">
        <is>
          <t>Servicing: BC Next</t>
        </is>
      </c>
      <c r="E133" t="inlineStr">
        <is>
          <t>BC Digital Drakon</t>
        </is>
      </c>
      <c r="F133" t="inlineStr">
        <is>
          <t>46</t>
        </is>
      </c>
      <c r="G133" t="inlineStr">
        <is>
          <t>Michael Wang</t>
        </is>
      </c>
      <c r="H133" t="inlineStr">
        <is>
          <t>[BC NEXT]Phase 3: Payment Plan (PTC)</t>
        </is>
      </c>
      <c r="I133" t="n">
        <v>11</v>
      </c>
      <c r="J133" t="n">
        <v>22.06533564814815</v>
      </c>
      <c r="K133">
        <f>HYPERLINK("https://drivetime.tpondemand.com/entity/144073", "144073")</f>
        <v/>
      </c>
      <c r="L133" t="inlineStr"/>
      <c r="M133" t="n">
        <v>3</v>
      </c>
      <c r="N133" t="n">
        <v>136578</v>
      </c>
      <c r="O133" t="inlineStr">
        <is>
          <t>Done</t>
        </is>
      </c>
      <c r="P133" t="n">
        <v>1</v>
      </c>
      <c r="Q133" t="inlineStr">
        <is>
          <t>Drakon 19</t>
        </is>
      </c>
      <c r="R133" t="inlineStr">
        <is>
          <t>2022-11-03</t>
        </is>
      </c>
      <c r="S133" t="inlineStr">
        <is>
          <t>2022-11-16</t>
        </is>
      </c>
      <c r="T133" t="inlineStr">
        <is>
          <t>Drakon 19 : 2022-11-03 - 2022-11-16</t>
        </is>
      </c>
      <c r="U133" t="inlineStr">
        <is>
          <t>2022-11-15T00:00:00-06:00</t>
        </is>
      </c>
      <c r="V133" t="inlineStr">
        <is>
          <t>2022-11-04T00:00:00-05:00</t>
        </is>
      </c>
      <c r="W133" t="inlineStr">
        <is>
          <t>2022-11-15T15:36:18-06:00</t>
        </is>
      </c>
      <c r="X133">
        <f>IFERROR(1/COUNTIF($I:$I,@$I:$I), 0)</f>
        <v/>
      </c>
    </row>
    <row r="134">
      <c r="A134">
        <f>HYPERLINK("https://drivetime.tpondemand.com/entity/135427", "135427")</f>
        <v/>
      </c>
      <c r="B134" t="inlineStr">
        <is>
          <t>[BC NEXT][RESEARCH] Understand connection from Quick Access page to Paymentus account page</t>
        </is>
      </c>
      <c r="C134" t="inlineStr">
        <is>
          <t>UserStory</t>
        </is>
      </c>
      <c r="D134" t="inlineStr">
        <is>
          <t>Servicing: BC Next</t>
        </is>
      </c>
      <c r="E134" t="inlineStr">
        <is>
          <t>BC Digital Drakon</t>
        </is>
      </c>
      <c r="F134" t="inlineStr">
        <is>
          <t>28</t>
        </is>
      </c>
      <c r="G134" t="inlineStr">
        <is>
          <t>Connor Golobich</t>
        </is>
      </c>
      <c r="H134" t="inlineStr">
        <is>
          <t>[BC NEXT] Paymentus Quick Access Page</t>
        </is>
      </c>
      <c r="I134" t="n">
        <v>0</v>
      </c>
      <c r="J134" t="n">
        <v>1.21875</v>
      </c>
      <c r="K134" t="inlineStr"/>
      <c r="L134" t="inlineStr"/>
      <c r="M134" t="n">
        <v>3</v>
      </c>
      <c r="N134" t="n">
        <v>133020</v>
      </c>
      <c r="O134" t="inlineStr">
        <is>
          <t>Done</t>
        </is>
      </c>
      <c r="P134" t="n">
        <v>0</v>
      </c>
      <c r="Q134" t="inlineStr">
        <is>
          <t>Drakon 11</t>
        </is>
      </c>
      <c r="R134" t="inlineStr">
        <is>
          <t>2022-07-14</t>
        </is>
      </c>
      <c r="S134" t="inlineStr">
        <is>
          <t>2022-07-27</t>
        </is>
      </c>
      <c r="T134" t="inlineStr">
        <is>
          <t>Drakon 11 : 2022-07-14 - 2022-07-27</t>
        </is>
      </c>
      <c r="U134" t="inlineStr">
        <is>
          <t>2022-07-15T00:00:00-05:00</t>
        </is>
      </c>
      <c r="V134" t="inlineStr">
        <is>
          <t>2022-07-15T00:00:00-05:00</t>
        </is>
      </c>
      <c r="W134" t="inlineStr">
        <is>
          <t>2022-07-15T16:22:49-05:00</t>
        </is>
      </c>
      <c r="X134">
        <f>IFERROR(1/COUNTIF($I:$I,@$I:$I), 0)</f>
        <v/>
      </c>
    </row>
    <row r="135">
      <c r="A135">
        <f>HYPERLINK("https://drivetime.tpondemand.com/entity/135774", "135774")</f>
        <v/>
      </c>
      <c r="B135" t="inlineStr">
        <is>
          <t>[BC NEXT] OUTAGE - Duplicate payments processing for some accounts</t>
        </is>
      </c>
      <c r="C135" t="inlineStr">
        <is>
          <t>UserStory</t>
        </is>
      </c>
      <c r="D135" t="inlineStr">
        <is>
          <t>Servicing: BC Next</t>
        </is>
      </c>
      <c r="E135" t="inlineStr">
        <is>
          <t>BC Digital Drakon</t>
        </is>
      </c>
      <c r="F135" t="inlineStr">
        <is>
          <t>29</t>
        </is>
      </c>
      <c r="G135" t="inlineStr">
        <is>
          <t>Akshay Golash and Camilo Guerrero and Venkatmahesh Polur</t>
        </is>
      </c>
      <c r="H135" t="inlineStr">
        <is>
          <t>[BC NEXT] Bug Fixes/Enhancements for July</t>
        </is>
      </c>
      <c r="I135" t="n">
        <v>0</v>
      </c>
      <c r="J135" t="n">
        <v>0.3135532407407407</v>
      </c>
      <c r="K135">
        <f>HYPERLINK("https://drivetime.tpondemand.com/entity/135788", "135788")</f>
        <v/>
      </c>
      <c r="L135" t="inlineStr"/>
      <c r="M135" t="n">
        <v>3</v>
      </c>
      <c r="N135" t="n">
        <v>133020</v>
      </c>
      <c r="O135" t="inlineStr">
        <is>
          <t>Done</t>
        </is>
      </c>
      <c r="P135" t="n">
        <v>0</v>
      </c>
      <c r="Q135" t="inlineStr">
        <is>
          <t>Drakon 11</t>
        </is>
      </c>
      <c r="R135" t="inlineStr">
        <is>
          <t>2022-07-14</t>
        </is>
      </c>
      <c r="S135" t="inlineStr">
        <is>
          <t>2022-07-27</t>
        </is>
      </c>
      <c r="T135" t="inlineStr">
        <is>
          <t>Drakon 11 : 2022-07-14 - 2022-07-27</t>
        </is>
      </c>
      <c r="U135" t="inlineStr">
        <is>
          <t>2022-07-18T00:00:00-05:00</t>
        </is>
      </c>
      <c r="V135" t="inlineStr">
        <is>
          <t>2022-07-18T00:00:00-05:00</t>
        </is>
      </c>
      <c r="W135" t="inlineStr">
        <is>
          <t>2022-07-18T17:19:13-05:00</t>
        </is>
      </c>
      <c r="X135">
        <f>IFERROR(1/COUNTIF($I:$I,@$I:$I), 0)</f>
        <v/>
      </c>
    </row>
    <row r="136">
      <c r="A136">
        <f>HYPERLINK("https://drivetime.tpondemand.com/entity/135843", "135843")</f>
        <v/>
      </c>
      <c r="B136" t="inlineStr">
        <is>
          <t>[BC NEXT] Paymentus Quick Access - Success Page</t>
        </is>
      </c>
      <c r="C136" t="inlineStr">
        <is>
          <t>UserStory</t>
        </is>
      </c>
      <c r="D136" t="inlineStr">
        <is>
          <t>Servicing: BC Next</t>
        </is>
      </c>
      <c r="E136" t="inlineStr">
        <is>
          <t>BC Digital Drakon</t>
        </is>
      </c>
      <c r="F136" t="inlineStr">
        <is>
          <t>33</t>
        </is>
      </c>
      <c r="G136" t="inlineStr">
        <is>
          <t>Shyam Senthil Nathan</t>
        </is>
      </c>
      <c r="H136" t="inlineStr">
        <is>
          <t>[BC NEXT] Paymentus Quick Access Page</t>
        </is>
      </c>
      <c r="I136" t="n">
        <v>2</v>
      </c>
      <c r="J136" t="n">
        <v>16.01138888888889</v>
      </c>
      <c r="K136">
        <f>HYPERLINK("https://drivetime.tpondemand.com/entity/138993", "138993")</f>
        <v/>
      </c>
      <c r="L136" t="inlineStr"/>
      <c r="M136" t="n">
        <v>3</v>
      </c>
      <c r="N136" t="n">
        <v>136569</v>
      </c>
      <c r="O136" t="inlineStr">
        <is>
          <t>Done</t>
        </is>
      </c>
      <c r="P136" t="n">
        <v>1</v>
      </c>
      <c r="Q136" t="inlineStr">
        <is>
          <t>Drakon 13</t>
        </is>
      </c>
      <c r="R136" t="inlineStr">
        <is>
          <t>2022-08-11</t>
        </is>
      </c>
      <c r="S136" t="inlineStr">
        <is>
          <t>2022-08-24</t>
        </is>
      </c>
      <c r="T136" t="inlineStr">
        <is>
          <t>Drakon 13 : 2022-08-11 - 2022-08-24</t>
        </is>
      </c>
      <c r="U136" t="inlineStr">
        <is>
          <t>2022-08-17T00:00:00-05:00</t>
        </is>
      </c>
      <c r="V136" t="inlineStr">
        <is>
          <t>2022-08-15T00:00:00-05:00</t>
        </is>
      </c>
      <c r="W136" t="inlineStr">
        <is>
          <t>2022-08-17T09:04:03-05:00</t>
        </is>
      </c>
      <c r="X136">
        <f>IFERROR(1/COUNTIF($I:$I,@$I:$I), 0)</f>
        <v/>
      </c>
    </row>
    <row r="137">
      <c r="A137">
        <f>HYPERLINK("https://drivetime.tpondemand.com/entity/136546", "136546")</f>
        <v/>
      </c>
      <c r="B137" t="inlineStr">
        <is>
          <t>[BC NEXT] Missing Analytics</t>
        </is>
      </c>
      <c r="C137" t="inlineStr">
        <is>
          <t>UserStory</t>
        </is>
      </c>
      <c r="D137" t="inlineStr">
        <is>
          <t>Servicing: BC Next</t>
        </is>
      </c>
      <c r="E137" t="inlineStr">
        <is>
          <t>BC Digital Drakon</t>
        </is>
      </c>
      <c r="F137" t="inlineStr">
        <is>
          <t>34</t>
        </is>
      </c>
      <c r="G137" t="inlineStr">
        <is>
          <t>Joseph Kranak</t>
        </is>
      </c>
      <c r="H137" t="inlineStr">
        <is>
          <t>[BC NEXT] Bug Fixes/Enhancements for August</t>
        </is>
      </c>
      <c r="I137" t="n">
        <v>20</v>
      </c>
      <c r="J137" t="n">
        <v>28.26121527777778</v>
      </c>
      <c r="K137">
        <f>HYPERLINK("https://drivetime.tpondemand.com/entity/138249", "138249")</f>
        <v/>
      </c>
      <c r="L137" t="inlineStr"/>
      <c r="M137" t="n">
        <v>3</v>
      </c>
      <c r="N137" t="n">
        <v>136569</v>
      </c>
      <c r="O137" t="inlineStr">
        <is>
          <t>Done</t>
        </is>
      </c>
      <c r="P137" t="n">
        <v>2</v>
      </c>
      <c r="Q137" t="inlineStr">
        <is>
          <t>Drakon 13</t>
        </is>
      </c>
      <c r="R137" t="inlineStr">
        <is>
          <t>2022-08-11</t>
        </is>
      </c>
      <c r="S137" t="inlineStr">
        <is>
          <t>2022-08-24</t>
        </is>
      </c>
      <c r="T137" t="inlineStr">
        <is>
          <t>Drakon 13 : 2022-08-11 - 2022-08-24</t>
        </is>
      </c>
      <c r="U137" t="inlineStr">
        <is>
          <t>2022-08-24T00:00:00-05:00</t>
        </is>
      </c>
      <c r="V137" t="inlineStr">
        <is>
          <t>2022-08-04T00:00:00-05:00</t>
        </is>
      </c>
      <c r="W137" t="inlineStr">
        <is>
          <t>2022-08-24T15:43:38-05:00</t>
        </is>
      </c>
      <c r="X137">
        <f>IFERROR(1/COUNTIF($I:$I,@$I:$I), 0)</f>
        <v/>
      </c>
    </row>
    <row r="138">
      <c r="A138">
        <f>HYPERLINK("https://drivetime.tpondemand.com/entity/136551", "136551")</f>
        <v/>
      </c>
      <c r="B138" t="inlineStr">
        <is>
          <t>[BC NEXT][PROD BUG] Infinite spinner with bad payment method on AutoPay flows</t>
        </is>
      </c>
      <c r="C138" t="inlineStr">
        <is>
          <t>UserStory</t>
        </is>
      </c>
      <c r="D138" t="inlineStr">
        <is>
          <t>Servicing: BC Next</t>
        </is>
      </c>
      <c r="E138" t="inlineStr">
        <is>
          <t>BC Digital Drakon</t>
        </is>
      </c>
      <c r="F138" t="inlineStr">
        <is>
          <t>34</t>
        </is>
      </c>
      <c r="G138" t="inlineStr">
        <is>
          <t>Abbas Shamshi</t>
        </is>
      </c>
      <c r="H138" t="inlineStr">
        <is>
          <t>null</t>
        </is>
      </c>
      <c r="I138" t="n">
        <v>9</v>
      </c>
      <c r="J138" t="n">
        <v>22.93922453703703</v>
      </c>
      <c r="K138">
        <f>HYPERLINK("https://drivetime.tpondemand.com/entity/138249", "138249")</f>
        <v/>
      </c>
      <c r="L138" t="inlineStr"/>
      <c r="M138" t="n">
        <v>3</v>
      </c>
      <c r="N138" t="n">
        <v>136569</v>
      </c>
      <c r="O138" t="inlineStr">
        <is>
          <t>Done</t>
        </is>
      </c>
      <c r="P138" t="n">
        <v>0</v>
      </c>
      <c r="Q138" t="inlineStr">
        <is>
          <t>Drakon 13</t>
        </is>
      </c>
      <c r="R138" t="inlineStr">
        <is>
          <t>2022-08-11</t>
        </is>
      </c>
      <c r="S138" t="inlineStr">
        <is>
          <t>2022-08-24</t>
        </is>
      </c>
      <c r="T138" t="inlineStr">
        <is>
          <t>Drakon 13 : 2022-08-11 - 2022-08-24</t>
        </is>
      </c>
      <c r="U138" t="inlineStr">
        <is>
          <t>2022-08-24T00:00:00-05:00</t>
        </is>
      </c>
      <c r="V138" t="inlineStr">
        <is>
          <t>2022-08-15T00:00:00-05:00</t>
        </is>
      </c>
      <c r="W138" t="inlineStr">
        <is>
          <t>2022-08-24T15:43:34-05:00</t>
        </is>
      </c>
      <c r="X138">
        <f>IFERROR(1/COUNTIF($I:$I,@$I:$I), 0)</f>
        <v/>
      </c>
    </row>
    <row r="139">
      <c r="A139">
        <f>HYPERLINK("https://drivetime.tpondemand.com/entity/136661", "136661")</f>
        <v/>
      </c>
      <c r="B139" t="inlineStr">
        <is>
          <t>[BC NEXT] Manage Mods - Create Feature Flag for Mods Experience</t>
        </is>
      </c>
      <c r="C139" t="inlineStr">
        <is>
          <t>UserStory</t>
        </is>
      </c>
      <c r="D139" t="inlineStr">
        <is>
          <t>Servicing: BC Next</t>
        </is>
      </c>
      <c r="E139" t="inlineStr">
        <is>
          <t>BC Digital Drakon</t>
        </is>
      </c>
      <c r="F139" t="inlineStr">
        <is>
          <t>32</t>
        </is>
      </c>
      <c r="G139" t="inlineStr">
        <is>
          <t>Yokeshwaran Lokanathan</t>
        </is>
      </c>
      <c r="H139" t="inlineStr">
        <is>
          <t>[BC NEXT]Phase 3: Manage Modifications Page</t>
        </is>
      </c>
      <c r="I139" t="n">
        <v>3</v>
      </c>
      <c r="J139" t="n">
        <v>14.02826388888889</v>
      </c>
      <c r="K139">
        <f>HYPERLINK("https://drivetime.tpondemand.com/entity/136946", "136946")</f>
        <v/>
      </c>
      <c r="L139" t="inlineStr"/>
      <c r="M139" t="n">
        <v>3</v>
      </c>
      <c r="N139" t="n">
        <v>136568</v>
      </c>
      <c r="O139" t="inlineStr">
        <is>
          <t>Done</t>
        </is>
      </c>
      <c r="P139" t="n">
        <v>1</v>
      </c>
      <c r="Q139" t="inlineStr">
        <is>
          <t>Drakon 12</t>
        </is>
      </c>
      <c r="R139" t="inlineStr">
        <is>
          <t>2022-07-28</t>
        </is>
      </c>
      <c r="S139" t="inlineStr">
        <is>
          <t>2022-08-10</t>
        </is>
      </c>
      <c r="T139" t="inlineStr">
        <is>
          <t>Drakon 12 : 2022-07-28 - 2022-08-10</t>
        </is>
      </c>
      <c r="U139" t="inlineStr">
        <is>
          <t>2022-08-12T00:00:00-05:00</t>
        </is>
      </c>
      <c r="V139" t="inlineStr">
        <is>
          <t>2022-08-09T00:00:00-05:00</t>
        </is>
      </c>
      <c r="W139" t="inlineStr">
        <is>
          <t>2022-08-12T11:30:53-05:00</t>
        </is>
      </c>
      <c r="X139">
        <f>IFERROR(1/COUNTIF($I:$I,@$I:$I), 0)</f>
        <v/>
      </c>
    </row>
    <row r="140">
      <c r="A140">
        <f>HYPERLINK("https://drivetime.tpondemand.com/entity/136880", "136880")</f>
        <v/>
      </c>
      <c r="B140" t="inlineStr">
        <is>
          <t>[BC NEXT] Upgrade to Capacitor 4</t>
        </is>
      </c>
      <c r="C140" t="inlineStr">
        <is>
          <t>UserStory</t>
        </is>
      </c>
      <c r="D140" t="inlineStr">
        <is>
          <t>Servicing: BC Next</t>
        </is>
      </c>
      <c r="E140" t="inlineStr">
        <is>
          <t>BC Digital Drakon</t>
        </is>
      </c>
      <c r="F140" t="inlineStr">
        <is>
          <t>32</t>
        </is>
      </c>
      <c r="G140" t="inlineStr">
        <is>
          <t>Connor Golobich</t>
        </is>
      </c>
      <c r="H140" t="inlineStr">
        <is>
          <t>[BC NEXT] Bug Fixes/Enhancements for August</t>
        </is>
      </c>
      <c r="I140" t="n">
        <v>1</v>
      </c>
      <c r="J140" t="n">
        <v>6.926273148148148</v>
      </c>
      <c r="K140">
        <f>HYPERLINK("https://drivetime.tpondemand.com/entity/137348", "137348")</f>
        <v/>
      </c>
      <c r="L140" t="inlineStr"/>
      <c r="M140" t="n">
        <v>3</v>
      </c>
      <c r="N140" t="n">
        <v>136568</v>
      </c>
      <c r="O140" t="inlineStr">
        <is>
          <t>Done</t>
        </is>
      </c>
      <c r="P140" t="n">
        <v>0</v>
      </c>
      <c r="Q140" t="inlineStr">
        <is>
          <t>Drakon 12</t>
        </is>
      </c>
      <c r="R140" t="inlineStr">
        <is>
          <t>2022-07-28</t>
        </is>
      </c>
      <c r="S140" t="inlineStr">
        <is>
          <t>2022-08-10</t>
        </is>
      </c>
      <c r="T140" t="inlineStr">
        <is>
          <t>Drakon 12 : 2022-07-28 - 2022-08-10</t>
        </is>
      </c>
      <c r="U140" t="inlineStr">
        <is>
          <t>2022-08-09T00:00:00-05:00</t>
        </is>
      </c>
      <c r="V140" t="inlineStr">
        <is>
          <t>2022-08-08T00:00:00-05:00</t>
        </is>
      </c>
      <c r="W140" t="inlineStr">
        <is>
          <t>2022-08-11T09:14:23-05:00</t>
        </is>
      </c>
      <c r="X140">
        <f>IFERROR(1/COUNTIF($I:$I,@$I:$I), 0)</f>
        <v/>
      </c>
    </row>
    <row r="141">
      <c r="A141">
        <f>HYPERLINK("https://drivetime.tpondemand.com/entity/137052", "137052")</f>
        <v/>
      </c>
      <c r="B141" t="inlineStr">
        <is>
          <t>PageName and PageSubname using where you are being directed to vs. the page you took the action</t>
        </is>
      </c>
      <c r="C141" t="inlineStr">
        <is>
          <t>UserStory</t>
        </is>
      </c>
      <c r="D141" t="inlineStr">
        <is>
          <t>Servicing: BC Next</t>
        </is>
      </c>
      <c r="E141" t="inlineStr">
        <is>
          <t>BC Digital Drakon</t>
        </is>
      </c>
      <c r="F141" t="inlineStr">
        <is>
          <t>41</t>
        </is>
      </c>
      <c r="G141" t="inlineStr">
        <is>
          <t>Shyam Senthil Nathan</t>
        </is>
      </c>
      <c r="H141" t="inlineStr">
        <is>
          <t>Register Email Deep Linking</t>
        </is>
      </c>
      <c r="I141" t="n">
        <v>9</v>
      </c>
      <c r="J141" t="n">
        <v>33.94245370370371</v>
      </c>
      <c r="K141">
        <f>HYPERLINK("https://drivetime.tpondemand.com/entity/141385", "141385")</f>
        <v/>
      </c>
      <c r="L141" t="inlineStr"/>
      <c r="M141" t="n">
        <v>3</v>
      </c>
      <c r="N141" t="n">
        <v>136576</v>
      </c>
      <c r="O141" t="inlineStr">
        <is>
          <t>Done</t>
        </is>
      </c>
      <c r="P141" t="n">
        <v>0</v>
      </c>
      <c r="Q141" t="inlineStr">
        <is>
          <t>Drakon 17</t>
        </is>
      </c>
      <c r="R141" t="inlineStr">
        <is>
          <t>2022-10-06</t>
        </is>
      </c>
      <c r="S141" t="inlineStr">
        <is>
          <t>2022-10-19</t>
        </is>
      </c>
      <c r="T141" t="inlineStr">
        <is>
          <t>Drakon 17 : 2022-10-06 - 2022-10-19</t>
        </is>
      </c>
      <c r="U141" t="inlineStr">
        <is>
          <t>2022-10-12T00:00:00-05:00</t>
        </is>
      </c>
      <c r="V141" t="inlineStr">
        <is>
          <t>2022-10-03T00:00:00-05:00</t>
        </is>
      </c>
      <c r="W141" t="inlineStr">
        <is>
          <t>2022-10-12T09:38:00-05:00</t>
        </is>
      </c>
      <c r="X141">
        <f>IFERROR(1/COUNTIF($I:$I,@$I:$I), 0)</f>
        <v/>
      </c>
    </row>
    <row r="142">
      <c r="A142">
        <f>HYPERLINK("https://drivetime.tpondemand.com/entity/137140", "137140")</f>
        <v/>
      </c>
      <c r="B142" t="inlineStr">
        <is>
          <t>[BC NEXT][RESEARCH] Plan to Cure - Understand Stored Procedures</t>
        </is>
      </c>
      <c r="C142" t="inlineStr">
        <is>
          <t>UserStory</t>
        </is>
      </c>
      <c r="D142" t="inlineStr">
        <is>
          <t>Servicing: BC Next</t>
        </is>
      </c>
      <c r="E142" t="inlineStr">
        <is>
          <t>BC Digital Drakon</t>
        </is>
      </c>
      <c r="F142" t="inlineStr">
        <is>
          <t>34</t>
        </is>
      </c>
      <c r="G142" t="inlineStr">
        <is>
          <t>Joseph Kranak</t>
        </is>
      </c>
      <c r="H142" t="inlineStr">
        <is>
          <t>[BC NEXT]Phase 3: Payment Plan (PTC)</t>
        </is>
      </c>
      <c r="I142" t="n">
        <v>0</v>
      </c>
      <c r="J142" t="n">
        <v>6.207974537037037</v>
      </c>
      <c r="K142" t="inlineStr"/>
      <c r="L142" t="inlineStr"/>
      <c r="M142" t="n">
        <v>3</v>
      </c>
      <c r="N142" t="n">
        <v>136569</v>
      </c>
      <c r="O142" t="inlineStr">
        <is>
          <t>Done</t>
        </is>
      </c>
      <c r="P142" t="n">
        <v>0</v>
      </c>
      <c r="Q142" t="inlineStr">
        <is>
          <t>Drakon 13</t>
        </is>
      </c>
      <c r="R142" t="inlineStr">
        <is>
          <t>2022-08-11</t>
        </is>
      </c>
      <c r="S142" t="inlineStr">
        <is>
          <t>2022-08-24</t>
        </is>
      </c>
      <c r="T142" t="inlineStr">
        <is>
          <t>Drakon 13 : 2022-08-11 - 2022-08-24</t>
        </is>
      </c>
      <c r="U142" t="inlineStr">
        <is>
          <t>2022-08-22T00:00:00-05:00</t>
        </is>
      </c>
      <c r="V142" t="inlineStr">
        <is>
          <t>2022-08-22T00:00:00-05:00</t>
        </is>
      </c>
      <c r="W142" t="inlineStr">
        <is>
          <t>2022-08-22T15:48:59-05:00</t>
        </is>
      </c>
      <c r="X142">
        <f>IFERROR(1/COUNTIF($I:$I,@$I:$I), 0)</f>
        <v/>
      </c>
    </row>
    <row r="143">
      <c r="A143">
        <f>HYPERLINK("https://drivetime.tpondemand.com/entity/137203", "137203")</f>
        <v/>
      </c>
      <c r="B143" t="inlineStr">
        <is>
          <t>[BC NEXT] Paymentus Quick Access Deployment</t>
        </is>
      </c>
      <c r="C143" t="inlineStr">
        <is>
          <t>UserStory</t>
        </is>
      </c>
      <c r="D143" t="inlineStr">
        <is>
          <t>Servicing: BC Next</t>
        </is>
      </c>
      <c r="E143" t="inlineStr">
        <is>
          <t>BC Digital Drakon</t>
        </is>
      </c>
      <c r="F143" t="inlineStr">
        <is>
          <t>36</t>
        </is>
      </c>
      <c r="G143" t="inlineStr">
        <is>
          <t>Yokeshwaran Lokanathan</t>
        </is>
      </c>
      <c r="H143" t="inlineStr">
        <is>
          <t>[BC NEXT] Paymentus Quick Access Page</t>
        </is>
      </c>
      <c r="I143" t="n">
        <v>5</v>
      </c>
      <c r="J143" t="n">
        <v>12.2631712962963</v>
      </c>
      <c r="K143">
        <f>HYPERLINK("https://drivetime.tpondemand.com/entity/138993", "138993")</f>
        <v/>
      </c>
      <c r="L143" t="inlineStr"/>
      <c r="M143" t="n">
        <v>3</v>
      </c>
      <c r="N143" t="n">
        <v>136572</v>
      </c>
      <c r="O143" t="inlineStr">
        <is>
          <t>Done</t>
        </is>
      </c>
      <c r="P143" t="n">
        <v>0</v>
      </c>
      <c r="Q143" t="inlineStr">
        <is>
          <t>Drakon 14</t>
        </is>
      </c>
      <c r="R143" t="inlineStr">
        <is>
          <t>2022-08-25</t>
        </is>
      </c>
      <c r="S143" t="inlineStr">
        <is>
          <t>2022-09-07</t>
        </is>
      </c>
      <c r="T143" t="inlineStr">
        <is>
          <t>Drakon 14 : 2022-08-25 - 2022-09-07</t>
        </is>
      </c>
      <c r="U143" t="inlineStr">
        <is>
          <t>2022-09-06T00:00:00-05:00</t>
        </is>
      </c>
      <c r="V143" t="inlineStr">
        <is>
          <t>2022-09-01T00:00:00-05:00</t>
        </is>
      </c>
      <c r="W143" t="inlineStr">
        <is>
          <t>2022-09-06T17:32:59-05:00</t>
        </is>
      </c>
      <c r="X143">
        <f>IFERROR(1/COUNTIF($I:$I,@$I:$I), 0)</f>
        <v/>
      </c>
    </row>
    <row r="144">
      <c r="A144">
        <f>HYPERLINK("https://drivetime.tpondemand.com/entity/137292", "137292")</f>
        <v/>
      </c>
      <c r="B144" t="inlineStr">
        <is>
          <t>[BC NEXT][WEB] Update Impersonation delete user modal functionality</t>
        </is>
      </c>
      <c r="C144" t="inlineStr">
        <is>
          <t>UserStory</t>
        </is>
      </c>
      <c r="D144" t="inlineStr">
        <is>
          <t>Servicing: BC Next</t>
        </is>
      </c>
      <c r="E144" t="inlineStr">
        <is>
          <t>BC Digital Drakon</t>
        </is>
      </c>
      <c r="F144" t="inlineStr">
        <is>
          <t>40</t>
        </is>
      </c>
      <c r="G144" t="inlineStr">
        <is>
          <t>Connor Golobich</t>
        </is>
      </c>
      <c r="H144" t="inlineStr">
        <is>
          <t>null</t>
        </is>
      </c>
      <c r="I144" t="n">
        <v>14</v>
      </c>
      <c r="J144" t="n">
        <v>36.30108796296296</v>
      </c>
      <c r="K144">
        <f>HYPERLINK("https://drivetime.tpondemand.com/entity/140516", "140516")</f>
        <v/>
      </c>
      <c r="L144" t="inlineStr"/>
      <c r="M144" t="n">
        <v>3</v>
      </c>
      <c r="N144" t="n">
        <v>136574</v>
      </c>
      <c r="O144" t="inlineStr">
        <is>
          <t>Done</t>
        </is>
      </c>
      <c r="P144" t="n">
        <v>0</v>
      </c>
      <c r="Q144" t="inlineStr">
        <is>
          <t>Drakon 15</t>
        </is>
      </c>
      <c r="R144" t="inlineStr">
        <is>
          <t>2022-09-08</t>
        </is>
      </c>
      <c r="S144" t="inlineStr">
        <is>
          <t>2022-09-21</t>
        </is>
      </c>
      <c r="T144" t="inlineStr">
        <is>
          <t>Drakon 15 : 2022-09-08 - 2022-09-21</t>
        </is>
      </c>
      <c r="U144" t="inlineStr">
        <is>
          <t>2022-10-04T00:00:00-05:00</t>
        </is>
      </c>
      <c r="V144" t="inlineStr">
        <is>
          <t>2022-09-20T00:00:00-05:00</t>
        </is>
      </c>
      <c r="W144" t="inlineStr">
        <is>
          <t>2022-10-04T18:09:59-05:00</t>
        </is>
      </c>
      <c r="X144">
        <f>IFERROR(1/COUNTIF($I:$I,@$I:$I), 0)</f>
        <v/>
      </c>
    </row>
    <row r="145">
      <c r="A145">
        <f>HYPERLINK("https://drivetime.tpondemand.com/entity/137511", "137511")</f>
        <v/>
      </c>
      <c r="B145" t="inlineStr">
        <is>
          <t>[BC NEXT] Add Image Replacer Library</t>
        </is>
      </c>
      <c r="C145" t="inlineStr">
        <is>
          <t>UserStory</t>
        </is>
      </c>
      <c r="D145" t="inlineStr">
        <is>
          <t>Servicing: BC Next</t>
        </is>
      </c>
      <c r="E145" t="inlineStr">
        <is>
          <t>BC Digital Drakon</t>
        </is>
      </c>
      <c r="F145" t="inlineStr">
        <is>
          <t>40</t>
        </is>
      </c>
      <c r="G145" t="inlineStr">
        <is>
          <t>Chirag Khandhar and Antonio Posada</t>
        </is>
      </c>
      <c r="H145" t="inlineStr">
        <is>
          <t>null</t>
        </is>
      </c>
      <c r="I145" t="n">
        <v>12</v>
      </c>
      <c r="J145" t="n">
        <v>40.23490740740741</v>
      </c>
      <c r="K145">
        <f>HYPERLINK("https://drivetime.tpondemand.com/entity/140516", "140516")</f>
        <v/>
      </c>
      <c r="L145" t="inlineStr"/>
      <c r="M145" t="n">
        <v>3</v>
      </c>
      <c r="N145" t="n">
        <v>136575</v>
      </c>
      <c r="O145" t="inlineStr">
        <is>
          <t>Done</t>
        </is>
      </c>
      <c r="P145" t="n">
        <v>1</v>
      </c>
      <c r="Q145" t="inlineStr">
        <is>
          <t>Drakon 16</t>
        </is>
      </c>
      <c r="R145" t="inlineStr">
        <is>
          <t>2022-09-22</t>
        </is>
      </c>
      <c r="S145" t="inlineStr">
        <is>
          <t>2022-10-05</t>
        </is>
      </c>
      <c r="T145" t="inlineStr">
        <is>
          <t>Drakon 16 : 2022-09-22 - 2022-10-05</t>
        </is>
      </c>
      <c r="U145" t="inlineStr">
        <is>
          <t>2022-10-04T00:00:00-05:00</t>
        </is>
      </c>
      <c r="V145" t="inlineStr">
        <is>
          <t>2022-09-22T00:00:00-05:00</t>
        </is>
      </c>
      <c r="W145" t="inlineStr">
        <is>
          <t>2022-10-04T18:09:58-05:00</t>
        </is>
      </c>
      <c r="X145">
        <f>IFERROR(1/COUNTIF($I:$I,@$I:$I), 0)</f>
        <v/>
      </c>
    </row>
    <row r="146">
      <c r="A146">
        <f>HYPERLINK("https://drivetime.tpondemand.com/entity/138132", "138132")</f>
        <v/>
      </c>
      <c r="B146" t="inlineStr">
        <is>
          <t>[BC NEXT] Payoff Quote - Routes, Metadata, and Scaffolding</t>
        </is>
      </c>
      <c r="C146" t="inlineStr">
        <is>
          <t>UserStory</t>
        </is>
      </c>
      <c r="D146" t="inlineStr">
        <is>
          <t>Servicing: BC Next</t>
        </is>
      </c>
      <c r="E146" t="inlineStr">
        <is>
          <t>BC Digital Drakon</t>
        </is>
      </c>
      <c r="F146" t="inlineStr">
        <is>
          <t>40</t>
        </is>
      </c>
      <c r="G146" t="inlineStr">
        <is>
          <t>Chirag Khandhar</t>
        </is>
      </c>
      <c r="H146" t="inlineStr">
        <is>
          <t>[BC NEXT]Phase 3: Payoff Quote</t>
        </is>
      </c>
      <c r="I146" t="n">
        <v>4</v>
      </c>
      <c r="J146" t="n">
        <v>12.06613425925926</v>
      </c>
      <c r="K146">
        <f>HYPERLINK("https://drivetime.tpondemand.com/entity/141476", "141476")</f>
        <v/>
      </c>
      <c r="L146" t="inlineStr"/>
      <c r="M146" t="n">
        <v>3</v>
      </c>
      <c r="N146" t="n">
        <v>136575</v>
      </c>
      <c r="O146" t="inlineStr">
        <is>
          <t>Done</t>
        </is>
      </c>
      <c r="P146" t="n">
        <v>2</v>
      </c>
      <c r="Q146" t="inlineStr">
        <is>
          <t>Drakon 16</t>
        </is>
      </c>
      <c r="R146" t="inlineStr">
        <is>
          <t>2022-09-22</t>
        </is>
      </c>
      <c r="S146" t="inlineStr">
        <is>
          <t>2022-10-05</t>
        </is>
      </c>
      <c r="T146" t="inlineStr">
        <is>
          <t>Drakon 16 : 2022-09-22 - 2022-10-05</t>
        </is>
      </c>
      <c r="U146" t="inlineStr">
        <is>
          <t>2022-10-04T00:00:00-05:00</t>
        </is>
      </c>
      <c r="V146" t="inlineStr">
        <is>
          <t>2022-09-30T00:00:00-05:00</t>
        </is>
      </c>
      <c r="W146" t="inlineStr">
        <is>
          <t>2022-10-04T10:18:29-05:00</t>
        </is>
      </c>
      <c r="X146">
        <f>IFERROR(1/COUNTIF($I:$I,@$I:$I), 0)</f>
        <v/>
      </c>
    </row>
    <row r="147">
      <c r="A147">
        <f>HYPERLINK("https://drivetime.tpondemand.com/entity/138186", "138186")</f>
        <v/>
      </c>
      <c r="B147" t="inlineStr">
        <is>
          <t>[BC NEXT] Customer Support Center - Routes, Metadata, and Scaffolding</t>
        </is>
      </c>
      <c r="C147" t="inlineStr">
        <is>
          <t>UserStory</t>
        </is>
      </c>
      <c r="D147" t="inlineStr">
        <is>
          <t>Servicing: BC Next</t>
        </is>
      </c>
      <c r="E147" t="inlineStr">
        <is>
          <t>BC Digital Drakon</t>
        </is>
      </c>
      <c r="F147" t="inlineStr">
        <is>
          <t>45</t>
        </is>
      </c>
      <c r="G147" t="inlineStr">
        <is>
          <t>Antonio Posada</t>
        </is>
      </c>
      <c r="H147" t="inlineStr">
        <is>
          <t>[BC NEXT]Phase 3: Customer Support Center</t>
        </is>
      </c>
      <c r="I147" t="n">
        <v>13</v>
      </c>
      <c r="J147" t="n">
        <v>49.01876157407407</v>
      </c>
      <c r="K147">
        <f>HYPERLINK("https://drivetime.tpondemand.com/entity/143326", "143326")</f>
        <v/>
      </c>
      <c r="L147" t="inlineStr"/>
      <c r="M147" t="n">
        <v>3</v>
      </c>
      <c r="N147" t="n">
        <v>136578</v>
      </c>
      <c r="O147" t="inlineStr">
        <is>
          <t>Done</t>
        </is>
      </c>
      <c r="P147" t="n">
        <v>3</v>
      </c>
      <c r="Q147" t="inlineStr">
        <is>
          <t>Drakon 19</t>
        </is>
      </c>
      <c r="R147" t="inlineStr">
        <is>
          <t>2022-11-03</t>
        </is>
      </c>
      <c r="S147" t="inlineStr">
        <is>
          <t>2022-11-16</t>
        </is>
      </c>
      <c r="T147" t="inlineStr">
        <is>
          <t>Drakon 19 : 2022-11-03 - 2022-11-16</t>
        </is>
      </c>
      <c r="U147" t="inlineStr">
        <is>
          <t>2022-11-08T00:00:00-06:00</t>
        </is>
      </c>
      <c r="V147" t="inlineStr">
        <is>
          <t>2022-10-26T00:00:00-05:00</t>
        </is>
      </c>
      <c r="W147" t="inlineStr">
        <is>
          <t>2022-11-10T09:24:53-06:00</t>
        </is>
      </c>
      <c r="X147">
        <f>IFERROR(1/COUNTIF($I:$I,@$I:$I), 0)</f>
        <v/>
      </c>
    </row>
    <row r="148">
      <c r="A148">
        <f>HYPERLINK("https://drivetime.tpondemand.com/entity/138948", "138948")</f>
        <v/>
      </c>
      <c r="B148" t="inlineStr">
        <is>
          <t>[BC NEXT] My Profile - Update Account Settings Page</t>
        </is>
      </c>
      <c r="C148" t="inlineStr">
        <is>
          <t>UserStory</t>
        </is>
      </c>
      <c r="D148" t="inlineStr">
        <is>
          <t>Servicing: BC Next</t>
        </is>
      </c>
      <c r="E148" t="inlineStr">
        <is>
          <t>BC Digital Drakon</t>
        </is>
      </c>
      <c r="F148" t="inlineStr">
        <is>
          <t>50</t>
        </is>
      </c>
      <c r="G148" t="inlineStr">
        <is>
          <t>Abbas Shamshi</t>
        </is>
      </c>
      <c r="H148" t="inlineStr">
        <is>
          <t>[BC NEXT] Phase 3: Account Settings/My Profile</t>
        </is>
      </c>
      <c r="I148" t="n">
        <v>56</v>
      </c>
      <c r="J148" t="n">
        <v>63.88324074074074</v>
      </c>
      <c r="K148">
        <f>HYPERLINK("https://drivetime.tpondemand.com/entity/141937", "141937")</f>
        <v/>
      </c>
      <c r="L148" t="inlineStr"/>
      <c r="M148" t="n">
        <v>3</v>
      </c>
      <c r="N148" t="n">
        <v>136576</v>
      </c>
      <c r="O148" t="inlineStr">
        <is>
          <t>Done</t>
        </is>
      </c>
      <c r="P148" t="n">
        <v>3</v>
      </c>
      <c r="Q148" t="inlineStr">
        <is>
          <t>Drakon 17</t>
        </is>
      </c>
      <c r="R148" t="inlineStr">
        <is>
          <t>2022-10-06</t>
        </is>
      </c>
      <c r="S148" t="inlineStr">
        <is>
          <t>2022-10-19</t>
        </is>
      </c>
      <c r="T148" t="inlineStr">
        <is>
          <t>Drakon 17 : 2022-10-06 - 2022-10-19</t>
        </is>
      </c>
      <c r="U148" t="inlineStr">
        <is>
          <t>2022-12-14T00:00:00-06:00</t>
        </is>
      </c>
      <c r="V148" t="inlineStr">
        <is>
          <t>2022-10-19T00:00:00-05:00</t>
        </is>
      </c>
      <c r="W148" t="inlineStr">
        <is>
          <t>2022-12-14T08:16:08-06:00</t>
        </is>
      </c>
      <c r="X148">
        <f>IFERROR(1/COUNTIF($I:$I,@$I:$I), 0)</f>
        <v/>
      </c>
    </row>
    <row r="149">
      <c r="A149">
        <f>HYPERLINK("https://drivetime.tpondemand.com/entity/138952", "138952")</f>
        <v/>
      </c>
      <c r="B149" t="inlineStr">
        <is>
          <t>[BC NEXT] My Profile - Routes, Metadata, and Scaffolding</t>
        </is>
      </c>
      <c r="C149" t="inlineStr">
        <is>
          <t>UserStory</t>
        </is>
      </c>
      <c r="D149" t="inlineStr">
        <is>
          <t>Servicing: BC Next</t>
        </is>
      </c>
      <c r="E149" t="inlineStr">
        <is>
          <t>BC Digital Drakon</t>
        </is>
      </c>
      <c r="F149" t="inlineStr">
        <is>
          <t>42</t>
        </is>
      </c>
      <c r="G149" t="inlineStr">
        <is>
          <t>Yokeshwaran Lokanathan</t>
        </is>
      </c>
      <c r="H149" t="inlineStr">
        <is>
          <t>[BC NEXT] Phase 3: Account Settings/My Profile</t>
        </is>
      </c>
      <c r="I149" t="n">
        <v>6</v>
      </c>
      <c r="J149" t="n">
        <v>20.13115740740741</v>
      </c>
      <c r="K149">
        <f>HYPERLINK("https://drivetime.tpondemand.com/entity/141731", "141731")</f>
        <v/>
      </c>
      <c r="L149" t="inlineStr"/>
      <c r="M149" t="n">
        <v>3</v>
      </c>
      <c r="N149" t="n">
        <v>136576</v>
      </c>
      <c r="O149" t="inlineStr">
        <is>
          <t>Done</t>
        </is>
      </c>
      <c r="P149" t="n">
        <v>1</v>
      </c>
      <c r="Q149" t="inlineStr">
        <is>
          <t>Drakon 17</t>
        </is>
      </c>
      <c r="R149" t="inlineStr">
        <is>
          <t>2022-10-06</t>
        </is>
      </c>
      <c r="S149" t="inlineStr">
        <is>
          <t>2022-10-19</t>
        </is>
      </c>
      <c r="T149" t="inlineStr">
        <is>
          <t>Drakon 17 : 2022-10-06 - 2022-10-19</t>
        </is>
      </c>
      <c r="U149" t="inlineStr">
        <is>
          <t>2022-10-18T00:00:00-05:00</t>
        </is>
      </c>
      <c r="V149" t="inlineStr">
        <is>
          <t>2022-10-12T00:00:00-05:00</t>
        </is>
      </c>
      <c r="W149" t="inlineStr">
        <is>
          <t>2022-10-18T16:24:50-05:00</t>
        </is>
      </c>
      <c r="X149">
        <f>IFERROR(1/COUNTIF($I:$I,@$I:$I), 0)</f>
        <v/>
      </c>
    </row>
    <row r="150">
      <c r="A150">
        <f>HYPERLINK("https://drivetime.tpondemand.com/entity/139404", "139404")</f>
        <v/>
      </c>
      <c r="B150" t="inlineStr">
        <is>
          <t>[BC NEXT] My Profile - Create My Contact Numbers UI on My Profile Page</t>
        </is>
      </c>
      <c r="C150" t="inlineStr">
        <is>
          <t>UserStory</t>
        </is>
      </c>
      <c r="D150" t="inlineStr">
        <is>
          <t>Servicing: BC Next</t>
        </is>
      </c>
      <c r="E150" t="inlineStr">
        <is>
          <t>BC Digital Drakon</t>
        </is>
      </c>
      <c r="F150" t="inlineStr">
        <is>
          <t>46</t>
        </is>
      </c>
      <c r="G150" t="inlineStr">
        <is>
          <t>Shyam Senthil Nathan</t>
        </is>
      </c>
      <c r="H150" t="inlineStr">
        <is>
          <t>[BC NEXT] Phase 3: Account Settings/My Profile</t>
        </is>
      </c>
      <c r="I150" t="n">
        <v>7</v>
      </c>
      <c r="J150" t="n">
        <v>36.31730324074074</v>
      </c>
      <c r="K150">
        <f>HYPERLINK("https://drivetime.tpondemand.com/entity/144279", "144279")</f>
        <v/>
      </c>
      <c r="L150" t="inlineStr"/>
      <c r="M150" t="n">
        <v>3</v>
      </c>
      <c r="N150" t="n">
        <v>136578</v>
      </c>
      <c r="O150" t="inlineStr">
        <is>
          <t>Done</t>
        </is>
      </c>
      <c r="P150" t="n">
        <v>3</v>
      </c>
      <c r="Q150" t="inlineStr">
        <is>
          <t>Drakon 19</t>
        </is>
      </c>
      <c r="R150" t="inlineStr">
        <is>
          <t>2022-11-03</t>
        </is>
      </c>
      <c r="S150" t="inlineStr">
        <is>
          <t>2022-11-16</t>
        </is>
      </c>
      <c r="T150" t="inlineStr">
        <is>
          <t>Drakon 19 : 2022-11-03 - 2022-11-16</t>
        </is>
      </c>
      <c r="U150" t="inlineStr">
        <is>
          <t>2022-11-16T00:00:00-06:00</t>
        </is>
      </c>
      <c r="V150" t="inlineStr">
        <is>
          <t>2022-11-09T00:00:00-06:00</t>
        </is>
      </c>
      <c r="W150" t="inlineStr">
        <is>
          <t>2022-11-16T16:45:23-06:00</t>
        </is>
      </c>
      <c r="X150">
        <f>IFERROR(1/COUNTIF($I:$I,@$I:$I), 0)</f>
        <v/>
      </c>
    </row>
    <row r="151">
      <c r="A151">
        <f>HYPERLINK("https://drivetime.tpondemand.com/entity/139444", "139444")</f>
        <v/>
      </c>
      <c r="B151" t="inlineStr">
        <is>
          <t>[BC NEXT] My Profile - Change Login Email Address Modal Logic</t>
        </is>
      </c>
      <c r="C151" t="inlineStr">
        <is>
          <t>UserStory</t>
        </is>
      </c>
      <c r="D151" t="inlineStr">
        <is>
          <t>Servicing: BC Next</t>
        </is>
      </c>
      <c r="E151" t="inlineStr">
        <is>
          <t>BC Digital Drakon</t>
        </is>
      </c>
      <c r="F151" t="inlineStr"/>
      <c r="G151" t="inlineStr"/>
      <c r="H151" t="inlineStr">
        <is>
          <t>[BC NEXT] Phase 3: Account Settings/My Profile</t>
        </is>
      </c>
      <c r="I151" t="inlineStr"/>
      <c r="K151" t="inlineStr"/>
      <c r="L151" t="inlineStr"/>
      <c r="M151" t="n">
        <v>3</v>
      </c>
      <c r="N151" t="inlineStr"/>
      <c r="O151" t="inlineStr">
        <is>
          <t>Backlog</t>
        </is>
      </c>
      <c r="P151" t="n">
        <v>0</v>
      </c>
      <c r="Q151" t="inlineStr"/>
      <c r="R151" t="inlineStr"/>
      <c r="S151" t="inlineStr"/>
      <c r="T151" t="inlineStr"/>
      <c r="U151" t="inlineStr"/>
      <c r="V151" t="inlineStr"/>
      <c r="X151">
        <f>IFERROR(1/COUNTIF($I:$I,@$I:$I), 0)</f>
        <v/>
      </c>
    </row>
    <row r="152">
      <c r="A152">
        <f>HYPERLINK("https://drivetime.tpondemand.com/entity/140342", "140342")</f>
        <v/>
      </c>
      <c r="B152" t="inlineStr">
        <is>
          <t>[BC NEXT] Customer Support Center - Create My Profile page</t>
        </is>
      </c>
      <c r="C152" t="inlineStr">
        <is>
          <t>UserStory</t>
        </is>
      </c>
      <c r="D152" t="inlineStr">
        <is>
          <t>Servicing: BC Next</t>
        </is>
      </c>
      <c r="E152" t="inlineStr">
        <is>
          <t>BC Digital Drakon</t>
        </is>
      </c>
      <c r="F152" t="inlineStr"/>
      <c r="G152" t="inlineStr"/>
      <c r="H152" t="inlineStr">
        <is>
          <t>[BC NEXT]Phase 3: Customer Support Center</t>
        </is>
      </c>
      <c r="I152" t="inlineStr"/>
      <c r="K152" t="inlineStr"/>
      <c r="L152" t="inlineStr"/>
      <c r="M152" t="n">
        <v>3</v>
      </c>
      <c r="N152" t="inlineStr"/>
      <c r="O152" t="inlineStr">
        <is>
          <t>Backlog</t>
        </is>
      </c>
      <c r="P152" t="n">
        <v>0</v>
      </c>
      <c r="Q152" t="inlineStr"/>
      <c r="R152" t="inlineStr"/>
      <c r="S152" t="inlineStr"/>
      <c r="T152" t="inlineStr"/>
      <c r="U152" t="inlineStr"/>
      <c r="V152" t="inlineStr"/>
      <c r="X152">
        <f>IFERROR(1/COUNTIF($I:$I,@$I:$I), 0)</f>
        <v/>
      </c>
    </row>
    <row r="153">
      <c r="A153">
        <f>HYPERLINK("https://drivetime.tpondemand.com/entity/140343", "140343")</f>
        <v/>
      </c>
      <c r="B153" t="inlineStr">
        <is>
          <t>[BC NEXT] Customer Support Center - Create My Payments page</t>
        </is>
      </c>
      <c r="C153" t="inlineStr">
        <is>
          <t>UserStory</t>
        </is>
      </c>
      <c r="D153" t="inlineStr">
        <is>
          <t>Servicing: BC Next</t>
        </is>
      </c>
      <c r="E153" t="inlineStr">
        <is>
          <t>BC Digital Drakon</t>
        </is>
      </c>
      <c r="F153" t="inlineStr"/>
      <c r="G153" t="inlineStr"/>
      <c r="H153" t="inlineStr">
        <is>
          <t>[BC NEXT]Phase 3: Customer Support Center</t>
        </is>
      </c>
      <c r="I153" t="inlineStr"/>
      <c r="K153" t="inlineStr"/>
      <c r="L153" t="inlineStr"/>
      <c r="M153" t="n">
        <v>3</v>
      </c>
      <c r="N153" t="inlineStr"/>
      <c r="O153" t="inlineStr">
        <is>
          <t>Backlog</t>
        </is>
      </c>
      <c r="P153" t="n">
        <v>0</v>
      </c>
      <c r="Q153" t="inlineStr"/>
      <c r="R153" t="inlineStr"/>
      <c r="S153" t="inlineStr"/>
      <c r="T153" t="inlineStr"/>
      <c r="U153" t="inlineStr"/>
      <c r="V153" t="inlineStr"/>
      <c r="X153">
        <f>IFERROR(1/COUNTIF($I:$I,@$I:$I), 0)</f>
        <v/>
      </c>
    </row>
    <row r="154">
      <c r="A154">
        <f>HYPERLINK("https://drivetime.tpondemand.com/entity/140344", "140344")</f>
        <v/>
      </c>
      <c r="B154" t="inlineStr">
        <is>
          <t>[BC NEXT] Customer Support Center - Create Insurance and Claims page</t>
        </is>
      </c>
      <c r="C154" t="inlineStr">
        <is>
          <t>UserStory</t>
        </is>
      </c>
      <c r="D154" t="inlineStr">
        <is>
          <t>Servicing: BC Next</t>
        </is>
      </c>
      <c r="E154" t="inlineStr">
        <is>
          <t>BC Digital Drakon</t>
        </is>
      </c>
      <c r="F154" t="inlineStr"/>
      <c r="G154" t="inlineStr"/>
      <c r="H154" t="inlineStr">
        <is>
          <t>[BC NEXT]Phase 3: Customer Support Center</t>
        </is>
      </c>
      <c r="I154" t="inlineStr"/>
      <c r="K154" t="inlineStr"/>
      <c r="L154" t="inlineStr"/>
      <c r="M154" t="n">
        <v>3</v>
      </c>
      <c r="N154" t="inlineStr"/>
      <c r="O154" t="inlineStr">
        <is>
          <t>Backlog</t>
        </is>
      </c>
      <c r="P154" t="n">
        <v>0</v>
      </c>
      <c r="Q154" t="inlineStr"/>
      <c r="R154" t="inlineStr"/>
      <c r="S154" t="inlineStr"/>
      <c r="T154" t="inlineStr"/>
      <c r="U154" t="inlineStr"/>
      <c r="V154" t="inlineStr"/>
      <c r="X154">
        <f>IFERROR(1/COUNTIF($I:$I,@$I:$I), 0)</f>
        <v/>
      </c>
    </row>
    <row r="155">
      <c r="A155">
        <f>HYPERLINK("https://drivetime.tpondemand.com/entity/140345", "140345")</f>
        <v/>
      </c>
      <c r="B155" t="inlineStr">
        <is>
          <t>[BC NEXT] Customer Support Center - Create My Vehicle page</t>
        </is>
      </c>
      <c r="C155" t="inlineStr">
        <is>
          <t>UserStory</t>
        </is>
      </c>
      <c r="D155" t="inlineStr">
        <is>
          <t>Servicing: BC Next</t>
        </is>
      </c>
      <c r="E155" t="inlineStr">
        <is>
          <t>BC Digital Drakon</t>
        </is>
      </c>
      <c r="F155" t="inlineStr"/>
      <c r="G155" t="inlineStr"/>
      <c r="H155" t="inlineStr">
        <is>
          <t>[BC NEXT]Phase 3: Customer Support Center</t>
        </is>
      </c>
      <c r="I155" t="inlineStr"/>
      <c r="K155" t="inlineStr"/>
      <c r="L155" t="inlineStr"/>
      <c r="M155" t="n">
        <v>3</v>
      </c>
      <c r="N155" t="inlineStr"/>
      <c r="O155" t="inlineStr">
        <is>
          <t>Backlog</t>
        </is>
      </c>
      <c r="P155" t="n">
        <v>0</v>
      </c>
      <c r="Q155" t="inlineStr"/>
      <c r="R155" t="inlineStr"/>
      <c r="S155" t="inlineStr"/>
      <c r="T155" t="inlineStr"/>
      <c r="U155" t="inlineStr"/>
      <c r="V155" t="inlineStr"/>
      <c r="X155">
        <f>IFERROR(1/COUNTIF($I:$I,@$I:$I), 0)</f>
        <v/>
      </c>
    </row>
    <row r="156">
      <c r="A156">
        <f>HYPERLINK("https://drivetime.tpondemand.com/entity/140346", "140346")</f>
        <v/>
      </c>
      <c r="B156" t="inlineStr">
        <is>
          <t>[BC NEXT] Customer Support Center - Create Simple Interest page</t>
        </is>
      </c>
      <c r="C156" t="inlineStr">
        <is>
          <t>UserStory</t>
        </is>
      </c>
      <c r="D156" t="inlineStr">
        <is>
          <t>Servicing: BC Next</t>
        </is>
      </c>
      <c r="E156" t="inlineStr">
        <is>
          <t>BC Digital Drakon</t>
        </is>
      </c>
      <c r="F156" t="inlineStr"/>
      <c r="G156" t="inlineStr"/>
      <c r="H156" t="inlineStr">
        <is>
          <t>[BC NEXT]Phase 3: Customer Support Center</t>
        </is>
      </c>
      <c r="I156" t="inlineStr"/>
      <c r="K156" t="inlineStr"/>
      <c r="L156" t="inlineStr"/>
      <c r="M156" t="n">
        <v>3</v>
      </c>
      <c r="N156" t="inlineStr"/>
      <c r="O156" t="inlineStr">
        <is>
          <t>Backlog</t>
        </is>
      </c>
      <c r="P156" t="n">
        <v>0</v>
      </c>
      <c r="Q156" t="inlineStr"/>
      <c r="R156" t="inlineStr"/>
      <c r="S156" t="inlineStr"/>
      <c r="T156" t="inlineStr"/>
      <c r="U156" t="inlineStr"/>
      <c r="V156" t="inlineStr"/>
      <c r="X156">
        <f>IFERROR(1/COUNTIF($I:$I,@$I:$I), 0)</f>
        <v/>
      </c>
    </row>
    <row r="157">
      <c r="A157">
        <f>HYPERLINK("https://drivetime.tpondemand.com/entity/140347", "140347")</f>
        <v/>
      </c>
      <c r="B157" t="inlineStr">
        <is>
          <t>[BC NEXT] Customer Support Center - Create My AutoPay page</t>
        </is>
      </c>
      <c r="C157" t="inlineStr">
        <is>
          <t>UserStory</t>
        </is>
      </c>
      <c r="D157" t="inlineStr">
        <is>
          <t>Servicing: BC Next</t>
        </is>
      </c>
      <c r="E157" t="inlineStr">
        <is>
          <t>BC Digital Drakon</t>
        </is>
      </c>
      <c r="F157" t="inlineStr"/>
      <c r="G157" t="inlineStr"/>
      <c r="H157" t="inlineStr">
        <is>
          <t>[BC NEXT]Phase 3: Customer Support Center</t>
        </is>
      </c>
      <c r="I157" t="inlineStr"/>
      <c r="K157" t="inlineStr"/>
      <c r="L157" t="inlineStr"/>
      <c r="M157" t="n">
        <v>3</v>
      </c>
      <c r="N157" t="inlineStr"/>
      <c r="O157" t="inlineStr">
        <is>
          <t>Backlog</t>
        </is>
      </c>
      <c r="P157" t="n">
        <v>0</v>
      </c>
      <c r="Q157" t="inlineStr"/>
      <c r="R157" t="inlineStr"/>
      <c r="S157" t="inlineStr"/>
      <c r="T157" t="inlineStr"/>
      <c r="U157" t="inlineStr"/>
      <c r="V157" t="inlineStr"/>
      <c r="X157">
        <f>IFERROR(1/COUNTIF($I:$I,@$I:$I), 0)</f>
        <v/>
      </c>
    </row>
    <row r="158">
      <c r="A158">
        <f>HYPERLINK("https://drivetime.tpondemand.com/entity/140348", "140348")</f>
        <v/>
      </c>
      <c r="B158" t="inlineStr">
        <is>
          <t>[BC NEXT] Customer Support Center - Create My Title page</t>
        </is>
      </c>
      <c r="C158" t="inlineStr">
        <is>
          <t>UserStory</t>
        </is>
      </c>
      <c r="D158" t="inlineStr">
        <is>
          <t>Servicing: BC Next</t>
        </is>
      </c>
      <c r="E158" t="inlineStr">
        <is>
          <t>BC Digital Drakon</t>
        </is>
      </c>
      <c r="F158" t="inlineStr"/>
      <c r="G158" t="inlineStr"/>
      <c r="H158" t="inlineStr">
        <is>
          <t>[BC NEXT]Phase 3: Customer Support Center</t>
        </is>
      </c>
      <c r="I158" t="inlineStr"/>
      <c r="K158" t="inlineStr"/>
      <c r="L158" t="inlineStr"/>
      <c r="M158" t="n">
        <v>3</v>
      </c>
      <c r="N158" t="inlineStr"/>
      <c r="O158" t="inlineStr">
        <is>
          <t>Backlog</t>
        </is>
      </c>
      <c r="P158" t="n">
        <v>0</v>
      </c>
      <c r="Q158" t="inlineStr"/>
      <c r="R158" t="inlineStr"/>
      <c r="S158" t="inlineStr"/>
      <c r="T158" t="inlineStr"/>
      <c r="U158" t="inlineStr"/>
      <c r="V158" t="inlineStr"/>
      <c r="X158">
        <f>IFERROR(1/COUNTIF($I:$I,@$I:$I), 0)</f>
        <v/>
      </c>
    </row>
    <row r="159">
      <c r="A159">
        <f>HYPERLINK("https://drivetime.tpondemand.com/entity/140349", "140349")</f>
        <v/>
      </c>
      <c r="B159" t="inlineStr">
        <is>
          <t>[BC NEXT] Customer Support Center - Create Tax Refund Benefits page</t>
        </is>
      </c>
      <c r="C159" t="inlineStr">
        <is>
          <t>UserStory</t>
        </is>
      </c>
      <c r="D159" t="inlineStr">
        <is>
          <t>Servicing: BC Next</t>
        </is>
      </c>
      <c r="E159" t="inlineStr">
        <is>
          <t>BC Digital Drakon</t>
        </is>
      </c>
      <c r="F159" t="inlineStr"/>
      <c r="G159" t="inlineStr">
        <is>
          <t>Abbas Shamshi</t>
        </is>
      </c>
      <c r="H159" t="inlineStr">
        <is>
          <t>[BC NEXT]Phase 3: Customer Support Center</t>
        </is>
      </c>
      <c r="I159" t="inlineStr"/>
      <c r="J159" t="n">
        <v>4.716312419798611</v>
      </c>
      <c r="K159" t="inlineStr"/>
      <c r="L159" t="inlineStr"/>
      <c r="M159" t="n">
        <v>3</v>
      </c>
      <c r="N159" t="n">
        <v>146434</v>
      </c>
      <c r="O159" t="inlineStr">
        <is>
          <t>UAT</t>
        </is>
      </c>
      <c r="P159" t="n">
        <v>1</v>
      </c>
      <c r="Q159" t="inlineStr">
        <is>
          <t>Drakon 23</t>
        </is>
      </c>
      <c r="R159" t="inlineStr">
        <is>
          <t>2022-12-29</t>
        </is>
      </c>
      <c r="S159" t="inlineStr">
        <is>
          <t>2023-01-11</t>
        </is>
      </c>
      <c r="T159" t="inlineStr">
        <is>
          <t>Drakon 23 : 2022-12-29 - 2023-01-11</t>
        </is>
      </c>
      <c r="U159" t="inlineStr"/>
      <c r="V159" t="inlineStr">
        <is>
          <t>2022-12-30T00:00:00-06:00</t>
        </is>
      </c>
      <c r="X159">
        <f>IFERROR(1/COUNTIF($I:$I,@$I:$I), 0)</f>
        <v/>
      </c>
    </row>
    <row r="160">
      <c r="A160">
        <f>HYPERLINK("https://drivetime.tpondemand.com/entity/140350", "140350")</f>
        <v/>
      </c>
      <c r="B160" t="inlineStr">
        <is>
          <t>[BC NEXT] Customer Support Center - Create Skip a Payment page</t>
        </is>
      </c>
      <c r="C160" t="inlineStr">
        <is>
          <t>UserStory</t>
        </is>
      </c>
      <c r="D160" t="inlineStr">
        <is>
          <t>Servicing: BC Next</t>
        </is>
      </c>
      <c r="E160" t="inlineStr">
        <is>
          <t>BC Digital Drakon</t>
        </is>
      </c>
      <c r="F160" t="inlineStr"/>
      <c r="G160" t="inlineStr">
        <is>
          <t>Abbas Shamshi</t>
        </is>
      </c>
      <c r="H160" t="inlineStr">
        <is>
          <t>[BC NEXT]Phase 3: Customer Support Center</t>
        </is>
      </c>
      <c r="I160" t="inlineStr"/>
      <c r="J160" t="n">
        <v>3.952909642020833</v>
      </c>
      <c r="K160" t="inlineStr"/>
      <c r="L160" t="inlineStr"/>
      <c r="M160" t="n">
        <v>3</v>
      </c>
      <c r="N160" t="n">
        <v>146434</v>
      </c>
      <c r="O160" t="inlineStr">
        <is>
          <t>UAT</t>
        </is>
      </c>
      <c r="P160" t="n">
        <v>1</v>
      </c>
      <c r="Q160" t="inlineStr">
        <is>
          <t>Drakon 23</t>
        </is>
      </c>
      <c r="R160" t="inlineStr">
        <is>
          <t>2022-12-29</t>
        </is>
      </c>
      <c r="S160" t="inlineStr">
        <is>
          <t>2023-01-11</t>
        </is>
      </c>
      <c r="T160" t="inlineStr">
        <is>
          <t>Drakon 23 : 2022-12-29 - 2023-01-11</t>
        </is>
      </c>
      <c r="U160" t="inlineStr"/>
      <c r="V160" t="inlineStr">
        <is>
          <t>2022-12-30T00:00:00-06:00</t>
        </is>
      </c>
      <c r="X160">
        <f>IFERROR(1/COUNTIF($I:$I,@$I:$I), 0)</f>
        <v/>
      </c>
    </row>
    <row r="161">
      <c r="A161">
        <f>HYPERLINK("https://drivetime.tpondemand.com/entity/140699", "140699")</f>
        <v/>
      </c>
      <c r="B161" t="inlineStr">
        <is>
          <t>[BC NEXT] My Profile - Create Vision Classic comments for Vision Classic</t>
        </is>
      </c>
      <c r="C161" t="inlineStr">
        <is>
          <t>UserStory</t>
        </is>
      </c>
      <c r="D161" t="inlineStr">
        <is>
          <t>Servicing: BC Next</t>
        </is>
      </c>
      <c r="E161" t="inlineStr">
        <is>
          <t>BC Digital Drakon</t>
        </is>
      </c>
      <c r="F161" t="inlineStr"/>
      <c r="G161" t="inlineStr"/>
      <c r="H161" t="inlineStr">
        <is>
          <t>[BC NEXT] Phase 3: Account Settings/My Profile</t>
        </is>
      </c>
      <c r="I161" t="inlineStr"/>
      <c r="K161" t="inlineStr"/>
      <c r="L161" t="inlineStr"/>
      <c r="M161" t="n">
        <v>3</v>
      </c>
      <c r="N161" t="inlineStr"/>
      <c r="O161" t="inlineStr">
        <is>
          <t>Backlog</t>
        </is>
      </c>
      <c r="P161" t="n">
        <v>0</v>
      </c>
      <c r="Q161" t="inlineStr"/>
      <c r="R161" t="inlineStr"/>
      <c r="S161" t="inlineStr"/>
      <c r="T161" t="inlineStr"/>
      <c r="U161" t="inlineStr"/>
      <c r="V161" t="inlineStr"/>
      <c r="X161">
        <f>IFERROR(1/COUNTIF($I:$I,@$I:$I), 0)</f>
        <v/>
      </c>
    </row>
    <row r="162">
      <c r="A162">
        <f>HYPERLINK("https://drivetime.tpondemand.com/entity/140780", "140780")</f>
        <v/>
      </c>
      <c r="B162" t="inlineStr">
        <is>
          <t>[BC NEXT] Manage Mods - Opt Out Page</t>
        </is>
      </c>
      <c r="C162" t="inlineStr">
        <is>
          <t>UserStory</t>
        </is>
      </c>
      <c r="D162" t="inlineStr">
        <is>
          <t>Servicing: BC Next</t>
        </is>
      </c>
      <c r="E162" t="inlineStr">
        <is>
          <t>BC Digital Drakon</t>
        </is>
      </c>
      <c r="F162" t="inlineStr">
        <is>
          <t>45</t>
        </is>
      </c>
      <c r="G162" t="inlineStr">
        <is>
          <t>Antonio Posada</t>
        </is>
      </c>
      <c r="H162" t="inlineStr">
        <is>
          <t>[BC NEXT]Phase 3: Manage Modifications Page</t>
        </is>
      </c>
      <c r="I162" t="n">
        <v>20</v>
      </c>
      <c r="J162" t="n">
        <v>32.60943287037037</v>
      </c>
      <c r="K162">
        <f>HYPERLINK("https://drivetime.tpondemand.com/entity/143326", "143326")</f>
        <v/>
      </c>
      <c r="L162" t="inlineStr"/>
      <c r="M162" t="n">
        <v>3</v>
      </c>
      <c r="N162" t="n">
        <v>136578</v>
      </c>
      <c r="O162" t="inlineStr">
        <is>
          <t>Done</t>
        </is>
      </c>
      <c r="P162" t="n">
        <v>1</v>
      </c>
      <c r="Q162" t="inlineStr">
        <is>
          <t>Drakon 19</t>
        </is>
      </c>
      <c r="R162" t="inlineStr">
        <is>
          <t>2022-11-03</t>
        </is>
      </c>
      <c r="S162" t="inlineStr">
        <is>
          <t>2022-11-16</t>
        </is>
      </c>
      <c r="T162" t="inlineStr">
        <is>
          <t>Drakon 19 : 2022-11-03 - 2022-11-16</t>
        </is>
      </c>
      <c r="U162" t="inlineStr">
        <is>
          <t>2022-11-10T00:00:00-06:00</t>
        </is>
      </c>
      <c r="V162" t="inlineStr">
        <is>
          <t>2022-10-21T00:00:00-05:00</t>
        </is>
      </c>
      <c r="W162" t="inlineStr">
        <is>
          <t>2022-11-08T00:00:00-06:00</t>
        </is>
      </c>
      <c r="X162">
        <f>IFERROR(1/COUNTIF($I:$I,@$I:$I), 0)</f>
        <v/>
      </c>
    </row>
    <row r="163">
      <c r="A163">
        <f>HYPERLINK("https://drivetime.tpondemand.com/entity/141305", "141305")</f>
        <v/>
      </c>
      <c r="B163" t="inlineStr">
        <is>
          <t>[BCAPI] Allow querying of PayoffQuote within SelfServiceCustomer Queries</t>
        </is>
      </c>
      <c r="C163" t="inlineStr">
        <is>
          <t>UserStory</t>
        </is>
      </c>
      <c r="D163" t="inlineStr">
        <is>
          <t>Servicing: BC Next</t>
        </is>
      </c>
      <c r="E163" t="inlineStr">
        <is>
          <t>BC Digital Drakon</t>
        </is>
      </c>
      <c r="F163" t="inlineStr">
        <is>
          <t>41</t>
        </is>
      </c>
      <c r="G163" t="inlineStr">
        <is>
          <t>Connor Golobich</t>
        </is>
      </c>
      <c r="H163" t="inlineStr">
        <is>
          <t>[BC NEXT]Phase 3: Payoff Quote</t>
        </is>
      </c>
      <c r="I163" t="n">
        <v>0</v>
      </c>
      <c r="J163" t="n">
        <v>2.102800925925926</v>
      </c>
      <c r="K163">
        <f>HYPERLINK("https://drivetime.tpondemand.com/entity/141481", "141481")</f>
        <v/>
      </c>
      <c r="L163" t="inlineStr"/>
      <c r="M163" t="n">
        <v>3</v>
      </c>
      <c r="N163" t="n">
        <v>136576</v>
      </c>
      <c r="O163" t="inlineStr">
        <is>
          <t>Done</t>
        </is>
      </c>
      <c r="P163" t="n">
        <v>0</v>
      </c>
      <c r="Q163" t="inlineStr">
        <is>
          <t>Drakon 17</t>
        </is>
      </c>
      <c r="R163" t="inlineStr">
        <is>
          <t>2022-10-06</t>
        </is>
      </c>
      <c r="S163" t="inlineStr">
        <is>
          <t>2022-10-19</t>
        </is>
      </c>
      <c r="T163" t="inlineStr">
        <is>
          <t>Drakon 17 : 2022-10-06 - 2022-10-19</t>
        </is>
      </c>
      <c r="U163" t="inlineStr">
        <is>
          <t>2022-10-12T00:00:00-05:00</t>
        </is>
      </c>
      <c r="V163" t="inlineStr">
        <is>
          <t>2022-10-12T00:00:00-05:00</t>
        </is>
      </c>
      <c r="W163" t="inlineStr">
        <is>
          <t>2022-10-12T17:36:52-05:00</t>
        </is>
      </c>
      <c r="X163">
        <f>IFERROR(1/COUNTIF($I:$I,@$I:$I), 0)</f>
        <v/>
      </c>
    </row>
    <row r="164">
      <c r="A164">
        <f>HYPERLINK("https://drivetime.tpondemand.com/entity/141807", "141807")</f>
        <v/>
      </c>
      <c r="B164" t="inlineStr">
        <is>
          <t>[BC API] My Profile - Update BC API to capture identifiers</t>
        </is>
      </c>
      <c r="C164" t="inlineStr">
        <is>
          <t>UserStory</t>
        </is>
      </c>
      <c r="D164" t="inlineStr">
        <is>
          <t>Servicing: BC Next</t>
        </is>
      </c>
      <c r="E164" t="inlineStr">
        <is>
          <t>BC Digital Drakon</t>
        </is>
      </c>
      <c r="F164" t="inlineStr">
        <is>
          <t>50</t>
        </is>
      </c>
      <c r="G164" t="inlineStr">
        <is>
          <t>Pete Wesselius</t>
        </is>
      </c>
      <c r="H164" t="inlineStr">
        <is>
          <t>[BC NEXT] Phase 3: Account Settings/My Profile</t>
        </is>
      </c>
      <c r="I164" t="n">
        <v>8</v>
      </c>
      <c r="J164" t="n">
        <v>44.25616898148148</v>
      </c>
      <c r="K164">
        <f>HYPERLINK("https://drivetime.tpondemand.com/entity/146647", "146647")</f>
        <v/>
      </c>
      <c r="L164" t="inlineStr"/>
      <c r="M164" t="n">
        <v>3</v>
      </c>
      <c r="N164" t="n">
        <v>136580</v>
      </c>
      <c r="O164" t="inlineStr">
        <is>
          <t>Done</t>
        </is>
      </c>
      <c r="P164" t="n">
        <v>1</v>
      </c>
      <c r="Q164" t="inlineStr">
        <is>
          <t>Drakon 21</t>
        </is>
      </c>
      <c r="R164" t="inlineStr">
        <is>
          <t>2022-12-01</t>
        </is>
      </c>
      <c r="S164" t="inlineStr">
        <is>
          <t>2022-12-14</t>
        </is>
      </c>
      <c r="T164" t="inlineStr">
        <is>
          <t>Drakon 21 : 2022-12-01 - 2022-12-14</t>
        </is>
      </c>
      <c r="U164" t="inlineStr">
        <is>
          <t>2022-12-15T00:00:00-06:00</t>
        </is>
      </c>
      <c r="V164" t="inlineStr">
        <is>
          <t>2022-12-07T00:00:00-06:00</t>
        </is>
      </c>
      <c r="W164" t="inlineStr">
        <is>
          <t>2022-12-15T17:03:48-06:00</t>
        </is>
      </c>
      <c r="X164">
        <f>IFERROR(1/COUNTIF($I:$I,@$I:$I), 0)</f>
        <v/>
      </c>
    </row>
    <row r="165">
      <c r="A165">
        <f>HYPERLINK("https://drivetime.tpondemand.com/entity/143001", "143001")</f>
        <v/>
      </c>
      <c r="B165" t="inlineStr">
        <is>
          <t>Upgrade Cypress Version</t>
        </is>
      </c>
      <c r="C165" t="inlineStr">
        <is>
          <t>UserStory</t>
        </is>
      </c>
      <c r="D165" t="inlineStr">
        <is>
          <t>Servicing: BC Next</t>
        </is>
      </c>
      <c r="E165" t="inlineStr">
        <is>
          <t>BC Digital Drakon</t>
        </is>
      </c>
      <c r="F165" t="inlineStr">
        <is>
          <t>46</t>
        </is>
      </c>
      <c r="G165" t="inlineStr">
        <is>
          <t>Abbas Shamshi</t>
        </is>
      </c>
      <c r="H165" t="inlineStr">
        <is>
          <t>null</t>
        </is>
      </c>
      <c r="I165" t="n">
        <v>1</v>
      </c>
      <c r="J165" t="n">
        <v>12.98189814814815</v>
      </c>
      <c r="K165">
        <f>HYPERLINK("https://drivetime.tpondemand.com/entity/144410", "144410")</f>
        <v/>
      </c>
      <c r="L165" t="inlineStr"/>
      <c r="M165" t="n">
        <v>3</v>
      </c>
      <c r="N165" t="n">
        <v>136578</v>
      </c>
      <c r="O165" t="inlineStr">
        <is>
          <t>Done</t>
        </is>
      </c>
      <c r="P165" t="n">
        <v>0</v>
      </c>
      <c r="Q165" t="inlineStr">
        <is>
          <t>Drakon 19</t>
        </is>
      </c>
      <c r="R165" t="inlineStr">
        <is>
          <t>2022-11-03</t>
        </is>
      </c>
      <c r="S165" t="inlineStr">
        <is>
          <t>2022-11-16</t>
        </is>
      </c>
      <c r="T165" t="inlineStr">
        <is>
          <t>Drakon 19 : 2022-11-03 - 2022-11-16</t>
        </is>
      </c>
      <c r="U165" t="inlineStr">
        <is>
          <t>2022-11-17T00:00:00-06:00</t>
        </is>
      </c>
      <c r="V165" t="inlineStr">
        <is>
          <t>2022-11-16T00:00:00-06:00</t>
        </is>
      </c>
      <c r="W165" t="inlineStr">
        <is>
          <t>2022-11-17T13:55:48-06:00</t>
        </is>
      </c>
      <c r="X165">
        <f>IFERROR(1/COUNTIF($I:$I,@$I:$I), 0)</f>
        <v/>
      </c>
    </row>
    <row r="166">
      <c r="A166">
        <f>HYPERLINK("https://drivetime.tpondemand.com/entity/144024", "144024")</f>
        <v/>
      </c>
      <c r="B166" t="inlineStr">
        <is>
          <t>[BC NEXT] Manage Modifications - Automation</t>
        </is>
      </c>
      <c r="C166" t="inlineStr">
        <is>
          <t>UserStory</t>
        </is>
      </c>
      <c r="D166" t="inlineStr">
        <is>
          <t>Servicing: BC Next</t>
        </is>
      </c>
      <c r="E166" t="inlineStr">
        <is>
          <t>BC Digital Drakon</t>
        </is>
      </c>
      <c r="F166" t="inlineStr">
        <is>
          <t>49</t>
        </is>
      </c>
      <c r="G166" t="inlineStr">
        <is>
          <t>Connor Golobich</t>
        </is>
      </c>
      <c r="H166" t="inlineStr">
        <is>
          <t>[BC NEXT]Phase 3: Manage Modifications Page</t>
        </is>
      </c>
      <c r="I166" t="n">
        <v>2</v>
      </c>
      <c r="J166" t="n">
        <v>7.584907407407407</v>
      </c>
      <c r="K166">
        <f>HYPERLINK("https://drivetime.tpondemand.com/entity/145895", "145895")</f>
        <v/>
      </c>
      <c r="L166" t="inlineStr"/>
      <c r="M166" t="n">
        <v>3</v>
      </c>
      <c r="N166" t="n">
        <v>136580</v>
      </c>
      <c r="O166" t="inlineStr">
        <is>
          <t>Done</t>
        </is>
      </c>
      <c r="P166" t="n">
        <v>0</v>
      </c>
      <c r="Q166" t="inlineStr">
        <is>
          <t>Drakon 21</t>
        </is>
      </c>
      <c r="R166" t="inlineStr">
        <is>
          <t>2022-12-01</t>
        </is>
      </c>
      <c r="S166" t="inlineStr">
        <is>
          <t>2022-12-14</t>
        </is>
      </c>
      <c r="T166" t="inlineStr">
        <is>
          <t>Drakon 21 : 2022-12-01 - 2022-12-14</t>
        </is>
      </c>
      <c r="U166" t="inlineStr">
        <is>
          <t>2022-12-07T00:00:00-06:00</t>
        </is>
      </c>
      <c r="V166" t="inlineStr">
        <is>
          <t>2022-12-05T00:00:00-06:00</t>
        </is>
      </c>
      <c r="W166" t="inlineStr">
        <is>
          <t>2022-12-07T00:00:00-06:00</t>
        </is>
      </c>
      <c r="X166">
        <f>IFERROR(1/COUNTIF($I:$I,@$I:$I), 0)</f>
        <v/>
      </c>
    </row>
    <row r="167">
      <c r="A167">
        <f>HYPERLINK("https://drivetime.tpondemand.com/entity/144523", "144523")</f>
        <v/>
      </c>
      <c r="B167" t="inlineStr">
        <is>
          <t>[BC NEXT] My Profile - Inaccurate Email Validation</t>
        </is>
      </c>
      <c r="C167" t="inlineStr">
        <is>
          <t>UserStory</t>
        </is>
      </c>
      <c r="D167" t="inlineStr">
        <is>
          <t>Servicing: BC Next</t>
        </is>
      </c>
      <c r="E167" t="inlineStr">
        <is>
          <t>BC Digital Drakon</t>
        </is>
      </c>
      <c r="F167" t="inlineStr">
        <is>
          <t>49</t>
        </is>
      </c>
      <c r="G167" t="inlineStr">
        <is>
          <t>Shyam Senthil Nathan</t>
        </is>
      </c>
      <c r="H167" t="inlineStr">
        <is>
          <t>[BC NEXT] Phase 3: Account Settings/My Profile</t>
        </is>
      </c>
      <c r="I167" t="n">
        <v>14</v>
      </c>
      <c r="J167" t="n">
        <v>20.53694444444444</v>
      </c>
      <c r="K167">
        <f>HYPERLINK("https://drivetime.tpondemand.com/entity/145895", "145895")</f>
        <v/>
      </c>
      <c r="L167" t="inlineStr"/>
      <c r="M167" t="n">
        <v>3</v>
      </c>
      <c r="N167" t="n">
        <v>136579</v>
      </c>
      <c r="O167" t="inlineStr">
        <is>
          <t>Done</t>
        </is>
      </c>
      <c r="P167" t="n">
        <v>0</v>
      </c>
      <c r="Q167" t="inlineStr">
        <is>
          <t>Drakon 20</t>
        </is>
      </c>
      <c r="R167" t="inlineStr">
        <is>
          <t>2022-11-17</t>
        </is>
      </c>
      <c r="S167" t="inlineStr">
        <is>
          <t>2022-11-30</t>
        </is>
      </c>
      <c r="T167" t="inlineStr">
        <is>
          <t>Drakon 20 : 2022-11-17 - 2022-11-30</t>
        </is>
      </c>
      <c r="U167" t="inlineStr">
        <is>
          <t>2022-12-07T00:00:00-06:00</t>
        </is>
      </c>
      <c r="V167" t="inlineStr">
        <is>
          <t>2022-11-23T00:00:00-06:00</t>
        </is>
      </c>
      <c r="W167" t="inlineStr">
        <is>
          <t>2022-12-07T00:00:00-06:00</t>
        </is>
      </c>
      <c r="X167">
        <f>IFERROR(1/COUNTIF($I:$I,@$I:$I), 0)</f>
        <v/>
      </c>
    </row>
    <row r="168">
      <c r="A168">
        <f>HYPERLINK("https://drivetime.tpondemand.com/entity/145756", "145756")</f>
        <v/>
      </c>
      <c r="B168" t="inlineStr">
        <is>
          <t>[BC NEXT] Plan to Cure - Feature Clean Up</t>
        </is>
      </c>
      <c r="C168" t="inlineStr">
        <is>
          <t>UserStory</t>
        </is>
      </c>
      <c r="D168" t="inlineStr">
        <is>
          <t>Servicing: BC Next</t>
        </is>
      </c>
      <c r="E168" t="inlineStr">
        <is>
          <t>BC Digital Drakon</t>
        </is>
      </c>
      <c r="F168" t="inlineStr">
        <is>
          <t>51</t>
        </is>
      </c>
      <c r="G168" t="inlineStr">
        <is>
          <t>Shyam Senthil Nathan</t>
        </is>
      </c>
      <c r="H168" t="inlineStr">
        <is>
          <t>[BC NEXT]Phase 3: Payment Plan (PTC)</t>
        </is>
      </c>
      <c r="I168" t="n">
        <v>4</v>
      </c>
      <c r="J168" t="n">
        <v>11.25756944444444</v>
      </c>
      <c r="K168">
        <f>HYPERLINK("https://drivetime.tpondemand.com/entity/146744", "146744")</f>
        <v/>
      </c>
      <c r="L168" t="inlineStr"/>
      <c r="M168" t="n">
        <v>3</v>
      </c>
      <c r="N168" t="n">
        <v>136581</v>
      </c>
      <c r="O168" t="inlineStr">
        <is>
          <t>Done</t>
        </is>
      </c>
      <c r="P168" t="n">
        <v>1</v>
      </c>
      <c r="Q168" t="inlineStr">
        <is>
          <t>Drakon 22</t>
        </is>
      </c>
      <c r="R168" t="inlineStr">
        <is>
          <t>2022-12-15</t>
        </is>
      </c>
      <c r="S168" t="inlineStr">
        <is>
          <t>2022-12-28</t>
        </is>
      </c>
      <c r="T168" t="inlineStr">
        <is>
          <t>Drakon 22 : 2022-12-15 - 2022-12-28</t>
        </is>
      </c>
      <c r="U168" t="inlineStr">
        <is>
          <t>2022-12-20T00:00:00-06:00</t>
        </is>
      </c>
      <c r="V168" t="inlineStr">
        <is>
          <t>2022-12-16T00:00:00-06:00</t>
        </is>
      </c>
      <c r="W168" t="inlineStr">
        <is>
          <t>2022-12-20T15:36:13-06:00</t>
        </is>
      </c>
      <c r="X168">
        <f>IFERROR(1/COUNTIF($I:$I,@$I:$I), 0)</f>
        <v/>
      </c>
    </row>
    <row r="169">
      <c r="A169">
        <f>HYPERLINK("https://drivetime.tpondemand.com/entity/125523", "125523")</f>
        <v/>
      </c>
      <c r="B169" t="inlineStr">
        <is>
          <t>[BC NEXT][BUG] Dashboard - Date Due Same Day</t>
        </is>
      </c>
      <c r="C169" t="inlineStr">
        <is>
          <t>UserStory</t>
        </is>
      </c>
      <c r="D169" t="inlineStr">
        <is>
          <t>Servicing: BC Next</t>
        </is>
      </c>
      <c r="E169" t="inlineStr">
        <is>
          <t>BC Digital Drakon</t>
        </is>
      </c>
      <c r="F169" t="inlineStr">
        <is>
          <t>02</t>
        </is>
      </c>
      <c r="G169" t="inlineStr">
        <is>
          <t>Yokeshwaran Lokanathan</t>
        </is>
      </c>
      <c r="H169" t="inlineStr">
        <is>
          <t>[BC NEXT] Prior to Launch Tech Investment</t>
        </is>
      </c>
      <c r="I169" t="n">
        <v>3</v>
      </c>
      <c r="J169" t="n">
        <v>4.075439814814815</v>
      </c>
      <c r="K169">
        <f>HYPERLINK("https://drivetime.tpondemand.com/entity/125462", "125462")</f>
        <v/>
      </c>
      <c r="L169" t="inlineStr"/>
      <c r="M169" t="n">
        <v>2</v>
      </c>
      <c r="N169" t="n">
        <v>125717</v>
      </c>
      <c r="O169" t="inlineStr">
        <is>
          <t>Done</t>
        </is>
      </c>
      <c r="P169" t="n">
        <v>0</v>
      </c>
      <c r="Q169" t="inlineStr">
        <is>
          <t>Kraken 50</t>
        </is>
      </c>
      <c r="R169" t="inlineStr">
        <is>
          <t>2022-01-13</t>
        </is>
      </c>
      <c r="S169" t="inlineStr">
        <is>
          <t>2022-01-26</t>
        </is>
      </c>
      <c r="T169" t="inlineStr">
        <is>
          <t>Kraken 50 : 2022-01-13 - 2022-01-26</t>
        </is>
      </c>
      <c r="U169" t="inlineStr">
        <is>
          <t>2022-01-14T00:00:00-06:00</t>
        </is>
      </c>
      <c r="V169" t="inlineStr">
        <is>
          <t>2022-01-11T00:00:00-06:00</t>
        </is>
      </c>
      <c r="W169" t="inlineStr">
        <is>
          <t>2022-01-14T17:21:21-06:00</t>
        </is>
      </c>
      <c r="X169">
        <f>IFERROR(1/COUNTIF($I:$I,@$I:$I), 0)</f>
        <v/>
      </c>
    </row>
    <row r="170">
      <c r="A170">
        <f>HYPERLINK("https://drivetime.tpondemand.com/entity/125691", "125691")</f>
        <v/>
      </c>
      <c r="B170" t="inlineStr">
        <is>
          <t>[BC NEXT][OBSERVATION][2] AutoPay - Sorting by Sale Date</t>
        </is>
      </c>
      <c r="C170" t="inlineStr">
        <is>
          <t>UserStory</t>
        </is>
      </c>
      <c r="D170" t="inlineStr">
        <is>
          <t>Servicing: BC Next</t>
        </is>
      </c>
      <c r="E170" t="inlineStr">
        <is>
          <t>BC Digital Drakon</t>
        </is>
      </c>
      <c r="F170" t="inlineStr">
        <is>
          <t>04</t>
        </is>
      </c>
      <c r="G170" t="inlineStr">
        <is>
          <t>Connor Golobich</t>
        </is>
      </c>
      <c r="H170" t="inlineStr">
        <is>
          <t>[BC NEXT] Prior to Launch Tech Investment</t>
        </is>
      </c>
      <c r="I170" t="n">
        <v>1</v>
      </c>
      <c r="J170" t="n">
        <v>4.605150462962963</v>
      </c>
      <c r="K170">
        <f>HYPERLINK("https://drivetime.tpondemand.com/entity/126491", "126491")</f>
        <v/>
      </c>
      <c r="L170" t="inlineStr"/>
      <c r="M170" t="n">
        <v>2</v>
      </c>
      <c r="N170" t="n">
        <v>125717</v>
      </c>
      <c r="O170" t="inlineStr">
        <is>
          <t>Done</t>
        </is>
      </c>
      <c r="P170" t="n">
        <v>0</v>
      </c>
      <c r="Q170" t="inlineStr">
        <is>
          <t>Kraken 50</t>
        </is>
      </c>
      <c r="R170" t="inlineStr">
        <is>
          <t>2022-01-13</t>
        </is>
      </c>
      <c r="S170" t="inlineStr">
        <is>
          <t>2022-01-26</t>
        </is>
      </c>
      <c r="T170" t="inlineStr">
        <is>
          <t>Kraken 50 : 2022-01-13 - 2022-01-26</t>
        </is>
      </c>
      <c r="U170" t="inlineStr">
        <is>
          <t>2022-01-26T00:00:00-06:00</t>
        </is>
      </c>
      <c r="V170" t="inlineStr">
        <is>
          <t>2022-01-25T00:00:00-06:00</t>
        </is>
      </c>
      <c r="W170" t="inlineStr">
        <is>
          <t>2022-01-26T00:00:00-06:00</t>
        </is>
      </c>
      <c r="X170">
        <f>IFERROR(1/COUNTIF($I:$I,@$I:$I), 0)</f>
        <v/>
      </c>
    </row>
    <row r="171">
      <c r="A171">
        <f>HYPERLINK("https://drivetime.tpondemand.com/entity/126241", "126241")</f>
        <v/>
      </c>
      <c r="B171" t="inlineStr">
        <is>
          <t>[SSP][Research] Login &amp; Multi-Factor Auth</t>
        </is>
      </c>
      <c r="C171" t="inlineStr">
        <is>
          <t>UserStory</t>
        </is>
      </c>
      <c r="D171" t="inlineStr">
        <is>
          <t>Servicing: BC Next</t>
        </is>
      </c>
      <c r="E171" t="inlineStr">
        <is>
          <t>BC Digital Drakon</t>
        </is>
      </c>
      <c r="F171" t="inlineStr">
        <is>
          <t>04</t>
        </is>
      </c>
      <c r="G171" t="inlineStr">
        <is>
          <t>Connor Golobich</t>
        </is>
      </c>
      <c r="H171" t="inlineStr">
        <is>
          <t>[BC NEXT][WEB]Phase 3: Auth0 Website Integration</t>
        </is>
      </c>
      <c r="I171" t="n">
        <v>0</v>
      </c>
      <c r="J171" t="n">
        <v>1.998113425925926</v>
      </c>
      <c r="K171" t="inlineStr"/>
      <c r="L171" t="inlineStr"/>
      <c r="M171" t="n">
        <v>2</v>
      </c>
      <c r="N171" t="n">
        <v>126418</v>
      </c>
      <c r="O171" t="inlineStr">
        <is>
          <t>Done</t>
        </is>
      </c>
      <c r="P171" t="n">
        <v>0</v>
      </c>
      <c r="Q171" t="inlineStr">
        <is>
          <t>Kraken 51</t>
        </is>
      </c>
      <c r="R171" t="inlineStr">
        <is>
          <t>2022-01-27</t>
        </is>
      </c>
      <c r="S171" t="inlineStr">
        <is>
          <t>2022-02-09</t>
        </is>
      </c>
      <c r="T171" t="inlineStr">
        <is>
          <t>Kraken 51 : 2022-01-27 - 2022-02-09</t>
        </is>
      </c>
      <c r="U171" t="inlineStr">
        <is>
          <t>2022-01-27T00:00:00-06:00</t>
        </is>
      </c>
      <c r="V171" t="inlineStr">
        <is>
          <t>2022-01-27T00:00:00-06:00</t>
        </is>
      </c>
      <c r="W171" t="inlineStr">
        <is>
          <t>2022-01-27T09:58:27-06:00</t>
        </is>
      </c>
      <c r="X171">
        <f>IFERROR(1/COUNTIF($I:$I,@$I:$I), 0)</f>
        <v/>
      </c>
    </row>
    <row r="172">
      <c r="A172">
        <f>HYPERLINK("https://drivetime.tpondemand.com/entity/126798", "126798")</f>
        <v/>
      </c>
      <c r="B172" t="inlineStr">
        <is>
          <t>[BC NEXT][WEB BACKEND] Search Engine Optimization - Open Graph Data</t>
        </is>
      </c>
      <c r="C172" t="inlineStr">
        <is>
          <t>UserStory</t>
        </is>
      </c>
      <c r="D172" t="inlineStr">
        <is>
          <t>Servicing: BC Next</t>
        </is>
      </c>
      <c r="E172" t="inlineStr">
        <is>
          <t>BC Digital Drakon</t>
        </is>
      </c>
      <c r="F172" t="inlineStr">
        <is>
          <t>11</t>
        </is>
      </c>
      <c r="G172" t="inlineStr">
        <is>
          <t>Yokeshwaran Lokanathan</t>
        </is>
      </c>
      <c r="H172" t="inlineStr">
        <is>
          <t>[BC NEXT][WEB] Phase 3: Technical Backend Setup</t>
        </is>
      </c>
      <c r="I172" t="n">
        <v>4</v>
      </c>
      <c r="J172" t="n">
        <v>8.900532407407407</v>
      </c>
      <c r="K172">
        <f>HYPERLINK("https://drivetime.tpondemand.com/entity/128571", "128571")</f>
        <v/>
      </c>
      <c r="L172" t="inlineStr"/>
      <c r="M172" t="n">
        <v>2</v>
      </c>
      <c r="N172" t="n">
        <v>126421</v>
      </c>
      <c r="O172" t="inlineStr">
        <is>
          <t>Done</t>
        </is>
      </c>
      <c r="P172" t="n">
        <v>0</v>
      </c>
      <c r="Q172" t="inlineStr">
        <is>
          <t>Drakon 2</t>
        </is>
      </c>
      <c r="R172" t="inlineStr">
        <is>
          <t>2022-03-10</t>
        </is>
      </c>
      <c r="S172" t="inlineStr">
        <is>
          <t>2022-03-23</t>
        </is>
      </c>
      <c r="T172" t="inlineStr">
        <is>
          <t>Drakon 2 : 2022-03-10 - 2022-03-23</t>
        </is>
      </c>
      <c r="U172" t="inlineStr">
        <is>
          <t>2022-03-16T00:00:00-05:00</t>
        </is>
      </c>
      <c r="V172" t="inlineStr">
        <is>
          <t>2022-03-11T00:00:00-06:00</t>
        </is>
      </c>
      <c r="W172" t="inlineStr">
        <is>
          <t>2022-03-16T15:43:37-05:00</t>
        </is>
      </c>
      <c r="X172">
        <f>IFERROR(1/COUNTIF($I:$I,@$I:$I), 0)</f>
        <v/>
      </c>
    </row>
    <row r="173">
      <c r="A173">
        <f>HYPERLINK("https://drivetime.tpondemand.com/entity/126817", "126817")</f>
        <v/>
      </c>
      <c r="B173" t="inlineStr">
        <is>
          <t>[BC NEXT] Fault Injection</t>
        </is>
      </c>
      <c r="C173" t="inlineStr">
        <is>
          <t>UserStory</t>
        </is>
      </c>
      <c r="D173" t="inlineStr">
        <is>
          <t>Servicing: BC Next</t>
        </is>
      </c>
      <c r="E173" t="inlineStr">
        <is>
          <t>BC Digital Drakon</t>
        </is>
      </c>
      <c r="F173" t="inlineStr">
        <is>
          <t>09</t>
        </is>
      </c>
      <c r="G173" t="inlineStr">
        <is>
          <t>Pete Wesselius</t>
        </is>
      </c>
      <c r="H173" t="inlineStr">
        <is>
          <t>[BC NEXT][WEB] Phase 3: Technical Backend Setup</t>
        </is>
      </c>
      <c r="I173" t="n">
        <v>2</v>
      </c>
      <c r="J173" t="n">
        <v>28.23494212962963</v>
      </c>
      <c r="K173">
        <f>HYPERLINK("https://drivetime.tpondemand.com/entity/128068", "128068")</f>
        <v/>
      </c>
      <c r="L173" t="inlineStr"/>
      <c r="M173" t="n">
        <v>2</v>
      </c>
      <c r="N173" t="n">
        <v>126420</v>
      </c>
      <c r="O173" t="inlineStr">
        <is>
          <t>Done</t>
        </is>
      </c>
      <c r="P173" t="n">
        <v>0</v>
      </c>
      <c r="Q173" t="inlineStr">
        <is>
          <t>Drakon 1</t>
        </is>
      </c>
      <c r="R173" t="inlineStr">
        <is>
          <t>2022-02-24</t>
        </is>
      </c>
      <c r="S173" t="inlineStr">
        <is>
          <t>2022-03-09</t>
        </is>
      </c>
      <c r="T173" t="inlineStr">
        <is>
          <t>Drakon 1 : 2022-02-24 - 2022-03-09</t>
        </is>
      </c>
      <c r="U173" t="inlineStr">
        <is>
          <t>2022-03-03T00:00:00-06:00</t>
        </is>
      </c>
      <c r="V173" t="inlineStr">
        <is>
          <t>2022-03-01T00:00:00-06:00</t>
        </is>
      </c>
      <c r="W173" t="inlineStr">
        <is>
          <t>2022-03-03T16:09:24-06:00</t>
        </is>
      </c>
      <c r="X173">
        <f>IFERROR(1/COUNTIF($I:$I,@$I:$I), 0)</f>
        <v/>
      </c>
    </row>
    <row r="174">
      <c r="A174">
        <f>HYPERLINK("https://drivetime.tpondemand.com/entity/127693", "127693")</f>
        <v/>
      </c>
      <c r="B174" t="inlineStr">
        <is>
          <t>[BC NEXT] [WEB BACKEND] Update link redirects for AutoPay flows</t>
        </is>
      </c>
      <c r="C174" t="inlineStr">
        <is>
          <t>UserStory</t>
        </is>
      </c>
      <c r="D174" t="inlineStr">
        <is>
          <t>Servicing: BC Next</t>
        </is>
      </c>
      <c r="E174" t="inlineStr">
        <is>
          <t>BC Digital Drakon</t>
        </is>
      </c>
      <c r="F174" t="inlineStr">
        <is>
          <t>09</t>
        </is>
      </c>
      <c r="G174" t="inlineStr">
        <is>
          <t>Shyam Senthil Nathan</t>
        </is>
      </c>
      <c r="H174" t="inlineStr">
        <is>
          <t>[BC NEXT][WEB] Phase 3: Technical Backend Setup</t>
        </is>
      </c>
      <c r="I174" t="n">
        <v>3</v>
      </c>
      <c r="J174" t="n">
        <v>7.256284722222222</v>
      </c>
      <c r="K174">
        <f>HYPERLINK("https://drivetime.tpondemand.com/entity/128068", "128068")</f>
        <v/>
      </c>
      <c r="L174" t="inlineStr"/>
      <c r="M174" t="n">
        <v>2</v>
      </c>
      <c r="N174" t="n">
        <v>126420</v>
      </c>
      <c r="O174" t="inlineStr">
        <is>
          <t>Done</t>
        </is>
      </c>
      <c r="P174" t="n">
        <v>0</v>
      </c>
      <c r="Q174" t="inlineStr">
        <is>
          <t>Drakon 1</t>
        </is>
      </c>
      <c r="R174" t="inlineStr">
        <is>
          <t>2022-02-24</t>
        </is>
      </c>
      <c r="S174" t="inlineStr">
        <is>
          <t>2022-03-09</t>
        </is>
      </c>
      <c r="T174" t="inlineStr">
        <is>
          <t>Drakon 1 : 2022-02-24 - 2022-03-09</t>
        </is>
      </c>
      <c r="U174" t="inlineStr">
        <is>
          <t>2022-03-03T00:00:00-06:00</t>
        </is>
      </c>
      <c r="V174" t="inlineStr">
        <is>
          <t>2022-02-28T00:00:00-06:00</t>
        </is>
      </c>
      <c r="W174" t="inlineStr">
        <is>
          <t>2022-03-03T16:09:20-06:00</t>
        </is>
      </c>
      <c r="X174">
        <f>IFERROR(1/COUNTIF($I:$I,@$I:$I), 0)</f>
        <v/>
      </c>
    </row>
    <row r="175">
      <c r="A175">
        <f>HYPERLINK("https://drivetime.tpondemand.com/entity/127710", "127710")</f>
        <v/>
      </c>
      <c r="B175" t="inlineStr">
        <is>
          <t>[BC NEXT][WEB] OTP - Step 2: Review</t>
        </is>
      </c>
      <c r="C175" t="inlineStr">
        <is>
          <t>UserStory</t>
        </is>
      </c>
      <c r="D175" t="inlineStr">
        <is>
          <t>Servicing: BC Next</t>
        </is>
      </c>
      <c r="E175" t="inlineStr">
        <is>
          <t>BC Digital Drakon</t>
        </is>
      </c>
      <c r="F175" t="inlineStr">
        <is>
          <t>13</t>
        </is>
      </c>
      <c r="G175" t="inlineStr">
        <is>
          <t>Chirag Khandhar</t>
        </is>
      </c>
      <c r="H175" t="inlineStr">
        <is>
          <t>[BC NEXT][WEB] Phase 3: ACH One Time Payment</t>
        </is>
      </c>
      <c r="I175" t="n">
        <v>13</v>
      </c>
      <c r="J175" t="n">
        <v>26.37381944444444</v>
      </c>
      <c r="K175">
        <f>HYPERLINK("https://drivetime.tpondemand.com/entity/129428", "129428")</f>
        <v/>
      </c>
      <c r="L175" t="inlineStr"/>
      <c r="M175" t="n">
        <v>2</v>
      </c>
      <c r="N175" t="n">
        <v>126422</v>
      </c>
      <c r="O175" t="inlineStr">
        <is>
          <t>Done</t>
        </is>
      </c>
      <c r="P175" t="n">
        <v>2</v>
      </c>
      <c r="Q175" t="inlineStr">
        <is>
          <t>Drakon 3</t>
        </is>
      </c>
      <c r="R175" t="inlineStr">
        <is>
          <t>2022-03-24</t>
        </is>
      </c>
      <c r="S175" t="inlineStr">
        <is>
          <t>2022-04-06</t>
        </is>
      </c>
      <c r="T175" t="inlineStr">
        <is>
          <t>Drakon 3 : 2022-03-24 - 2022-04-06</t>
        </is>
      </c>
      <c r="U175" t="inlineStr">
        <is>
          <t>2022-03-31T00:00:00-05:00</t>
        </is>
      </c>
      <c r="V175" t="inlineStr">
        <is>
          <t>2022-03-18T00:00:00-05:00</t>
        </is>
      </c>
      <c r="W175" t="inlineStr">
        <is>
          <t>2022-03-31T00:00:00-05:00</t>
        </is>
      </c>
      <c r="X175">
        <f>IFERROR(1/COUNTIF($I:$I,@$I:$I), 0)</f>
        <v/>
      </c>
    </row>
    <row r="176">
      <c r="A176">
        <f>HYPERLINK("https://drivetime.tpondemand.com/entity/127927", "127927")</f>
        <v/>
      </c>
      <c r="B176" t="inlineStr">
        <is>
          <t>[BC NEXT][WEB] OTP - Loading Spinner</t>
        </is>
      </c>
      <c r="C176" t="inlineStr">
        <is>
          <t>UserStory</t>
        </is>
      </c>
      <c r="D176" t="inlineStr">
        <is>
          <t>Servicing: BC Next</t>
        </is>
      </c>
      <c r="E176" t="inlineStr">
        <is>
          <t>BC Digital Drakon</t>
        </is>
      </c>
      <c r="F176" t="inlineStr">
        <is>
          <t>13</t>
        </is>
      </c>
      <c r="G176" t="inlineStr">
        <is>
          <t>Abbas Shamshi</t>
        </is>
      </c>
      <c r="H176" t="inlineStr">
        <is>
          <t>[BC NEXT][WEB] Phase 3: ACH One Time Payment</t>
        </is>
      </c>
      <c r="I176" t="n">
        <v>5</v>
      </c>
      <c r="J176" t="n">
        <v>15.10184027777778</v>
      </c>
      <c r="K176">
        <f>HYPERLINK("https://drivetime.tpondemand.com/entity/129294", "129294")</f>
        <v/>
      </c>
      <c r="L176" t="inlineStr"/>
      <c r="M176" t="n">
        <v>2</v>
      </c>
      <c r="N176" t="n">
        <v>126422</v>
      </c>
      <c r="O176" t="inlineStr">
        <is>
          <t>Done</t>
        </is>
      </c>
      <c r="P176" t="n">
        <v>0</v>
      </c>
      <c r="Q176" t="inlineStr">
        <is>
          <t>Drakon 3</t>
        </is>
      </c>
      <c r="R176" t="inlineStr">
        <is>
          <t>2022-03-24</t>
        </is>
      </c>
      <c r="S176" t="inlineStr">
        <is>
          <t>2022-04-06</t>
        </is>
      </c>
      <c r="T176" t="inlineStr">
        <is>
          <t>Drakon 3 : 2022-03-24 - 2022-04-06</t>
        </is>
      </c>
      <c r="U176" t="inlineStr">
        <is>
          <t>2022-03-30T00:00:00-05:00</t>
        </is>
      </c>
      <c r="V176" t="inlineStr">
        <is>
          <t>2022-03-25T00:00:00-05:00</t>
        </is>
      </c>
      <c r="W176" t="inlineStr">
        <is>
          <t>2022-03-30T00:00:00-05:00</t>
        </is>
      </c>
      <c r="X176">
        <f>IFERROR(1/COUNTIF($I:$I,@$I:$I), 0)</f>
        <v/>
      </c>
    </row>
    <row r="177">
      <c r="A177">
        <f>HYPERLINK("https://drivetime.tpondemand.com/entity/127930", "127930")</f>
        <v/>
      </c>
      <c r="B177" t="inlineStr">
        <is>
          <t>[BC NEXT][WEB] OTP - Success Page</t>
        </is>
      </c>
      <c r="C177" t="inlineStr">
        <is>
          <t>UserStory</t>
        </is>
      </c>
      <c r="D177" t="inlineStr">
        <is>
          <t>Servicing: BC Next</t>
        </is>
      </c>
      <c r="E177" t="inlineStr">
        <is>
          <t>BC Digital Drakon</t>
        </is>
      </c>
      <c r="F177" t="inlineStr">
        <is>
          <t>13</t>
        </is>
      </c>
      <c r="G177" t="inlineStr">
        <is>
          <t>Shyam Senthil Nathan</t>
        </is>
      </c>
      <c r="H177" t="inlineStr">
        <is>
          <t>[BC NEXT][WEB] Phase 3: ACH One Time Payment</t>
        </is>
      </c>
      <c r="I177" t="n">
        <v>2</v>
      </c>
      <c r="J177" t="n">
        <v>21.5912962962963</v>
      </c>
      <c r="K177">
        <f>HYPERLINK("https://drivetime.tpondemand.com/entity/129428", "129428")</f>
        <v/>
      </c>
      <c r="L177" t="inlineStr"/>
      <c r="M177" t="n">
        <v>2</v>
      </c>
      <c r="N177" t="n">
        <v>126422</v>
      </c>
      <c r="O177" t="inlineStr">
        <is>
          <t>Done</t>
        </is>
      </c>
      <c r="P177" t="n">
        <v>1</v>
      </c>
      <c r="Q177" t="inlineStr">
        <is>
          <t>Drakon 3</t>
        </is>
      </c>
      <c r="R177" t="inlineStr">
        <is>
          <t>2022-03-24</t>
        </is>
      </c>
      <c r="S177" t="inlineStr">
        <is>
          <t>2022-04-06</t>
        </is>
      </c>
      <c r="T177" t="inlineStr">
        <is>
          <t>Drakon 3 : 2022-03-24 - 2022-04-06</t>
        </is>
      </c>
      <c r="U177" t="inlineStr">
        <is>
          <t>2022-03-31T00:00:00-05:00</t>
        </is>
      </c>
      <c r="V177" t="inlineStr">
        <is>
          <t>2022-03-29T00:00:00-05:00</t>
        </is>
      </c>
      <c r="W177" t="inlineStr">
        <is>
          <t>2022-03-31T00:00:00-05:00</t>
        </is>
      </c>
      <c r="X177">
        <f>IFERROR(1/COUNTIF($I:$I,@$I:$I), 0)</f>
        <v/>
      </c>
    </row>
    <row r="178">
      <c r="A178">
        <f>HYPERLINK("https://drivetime.tpondemand.com/entity/127977", "127977")</f>
        <v/>
      </c>
      <c r="B178" t="inlineStr">
        <is>
          <t>[BC NEXT] The logo is cut off on the pre-login page</t>
        </is>
      </c>
      <c r="C178" t="inlineStr">
        <is>
          <t>UserStory</t>
        </is>
      </c>
      <c r="D178" t="inlineStr">
        <is>
          <t>Servicing: BC Next</t>
        </is>
      </c>
      <c r="E178" t="inlineStr">
        <is>
          <t>BC Digital Drakon</t>
        </is>
      </c>
      <c r="F178" t="inlineStr">
        <is>
          <t>11</t>
        </is>
      </c>
      <c r="G178" t="inlineStr">
        <is>
          <t>Connor Golobich</t>
        </is>
      </c>
      <c r="H178" t="inlineStr">
        <is>
          <t>[BC NEXT] Bug Fixes for April App Release</t>
        </is>
      </c>
      <c r="I178" t="n">
        <v>5</v>
      </c>
      <c r="J178" t="n">
        <v>10.02373842592593</v>
      </c>
      <c r="K178">
        <f>HYPERLINK("https://drivetime.tpondemand.com/entity/128571", "128571")</f>
        <v/>
      </c>
      <c r="L178" t="inlineStr"/>
      <c r="M178" t="n">
        <v>2</v>
      </c>
      <c r="N178" t="n">
        <v>126421</v>
      </c>
      <c r="O178" t="inlineStr">
        <is>
          <t>Done</t>
        </is>
      </c>
      <c r="P178" t="n">
        <v>0</v>
      </c>
      <c r="Q178" t="inlineStr">
        <is>
          <t>Drakon 2</t>
        </is>
      </c>
      <c r="R178" t="inlineStr">
        <is>
          <t>2022-03-10</t>
        </is>
      </c>
      <c r="S178" t="inlineStr">
        <is>
          <t>2022-03-23</t>
        </is>
      </c>
      <c r="T178" t="inlineStr">
        <is>
          <t>Drakon 2 : 2022-03-10 - 2022-03-23</t>
        </is>
      </c>
      <c r="U178" t="inlineStr">
        <is>
          <t>2022-03-17T00:00:00-05:00</t>
        </is>
      </c>
      <c r="V178" t="inlineStr">
        <is>
          <t>2022-03-11T00:00:00-06:00</t>
        </is>
      </c>
      <c r="W178" t="inlineStr">
        <is>
          <t>2022-03-17T10:33:27-05:00</t>
        </is>
      </c>
      <c r="X178">
        <f>IFERROR(1/COUNTIF($I:$I,@$I:$I), 0)</f>
        <v/>
      </c>
    </row>
    <row r="179">
      <c r="A179">
        <f>HYPERLINK("https://drivetime.tpondemand.com/entity/127979", "127979")</f>
        <v/>
      </c>
      <c r="B179" t="inlineStr">
        <is>
          <t>[BC NEXT] Verify Email Button Does Not Open In Gmail app</t>
        </is>
      </c>
      <c r="C179" t="inlineStr">
        <is>
          <t>UserStory</t>
        </is>
      </c>
      <c r="D179" t="inlineStr">
        <is>
          <t>Servicing: BC Next</t>
        </is>
      </c>
      <c r="E179" t="inlineStr">
        <is>
          <t>BC Digital Drakon</t>
        </is>
      </c>
      <c r="F179" t="inlineStr">
        <is>
          <t>09</t>
        </is>
      </c>
      <c r="G179" t="inlineStr">
        <is>
          <t>Ari Pace</t>
        </is>
      </c>
      <c r="H179" t="inlineStr">
        <is>
          <t>[BC NEXT][WEB]Phase 3: Auth0 Website Integration</t>
        </is>
      </c>
      <c r="I179" t="n">
        <v>0</v>
      </c>
      <c r="J179" t="n">
        <v>0.04813657407407407</v>
      </c>
      <c r="K179" t="inlineStr"/>
      <c r="L179" t="inlineStr"/>
      <c r="M179" t="n">
        <v>2</v>
      </c>
      <c r="N179" t="n">
        <v>126420</v>
      </c>
      <c r="O179" t="inlineStr">
        <is>
          <t>Done</t>
        </is>
      </c>
      <c r="P179" t="n">
        <v>0</v>
      </c>
      <c r="Q179" t="inlineStr">
        <is>
          <t>Drakon 1</t>
        </is>
      </c>
      <c r="R179" t="inlineStr">
        <is>
          <t>2022-02-24</t>
        </is>
      </c>
      <c r="S179" t="inlineStr">
        <is>
          <t>2022-03-09</t>
        </is>
      </c>
      <c r="T179" t="inlineStr">
        <is>
          <t>Drakon 1 : 2022-02-24 - 2022-03-09</t>
        </is>
      </c>
      <c r="U179" t="inlineStr">
        <is>
          <t>2022-03-01T00:00:00-06:00</t>
        </is>
      </c>
      <c r="V179" t="inlineStr">
        <is>
          <t>2022-03-01T00:00:00-06:00</t>
        </is>
      </c>
      <c r="W179" t="inlineStr">
        <is>
          <t>2022-03-01T15:04:17-06:00</t>
        </is>
      </c>
      <c r="X179">
        <f>IFERROR(1/COUNTIF($I:$I,@$I:$I), 0)</f>
        <v/>
      </c>
    </row>
    <row r="180">
      <c r="A180">
        <f>HYPERLINK("https://drivetime.tpondemand.com/entity/128048", "128048")</f>
        <v/>
      </c>
      <c r="B180" t="inlineStr">
        <is>
          <t>[BC NEXT][WEB] AutoPay - Modals</t>
        </is>
      </c>
      <c r="C180" t="inlineStr">
        <is>
          <t>UserStory</t>
        </is>
      </c>
      <c r="D180" t="inlineStr">
        <is>
          <t>Servicing: BC Next</t>
        </is>
      </c>
      <c r="E180" t="inlineStr">
        <is>
          <t>BC Digital Drakon</t>
        </is>
      </c>
      <c r="F180" t="inlineStr">
        <is>
          <t>16</t>
        </is>
      </c>
      <c r="G180" t="inlineStr">
        <is>
          <t>Abbas Shamshi</t>
        </is>
      </c>
      <c r="H180" t="inlineStr">
        <is>
          <t>[BC NEXT][WEB] Phase 3: AutoPay Enrollment</t>
        </is>
      </c>
      <c r="I180" t="n">
        <v>5</v>
      </c>
      <c r="J180" t="n">
        <v>25.24636574074074</v>
      </c>
      <c r="K180">
        <f>HYPERLINK("https://drivetime.tpondemand.com/entity/131354", "131354")</f>
        <v/>
      </c>
      <c r="L180" t="inlineStr"/>
      <c r="M180" t="n">
        <v>2</v>
      </c>
      <c r="N180" t="n">
        <v>129063</v>
      </c>
      <c r="O180" t="inlineStr">
        <is>
          <t>Done</t>
        </is>
      </c>
      <c r="P180" t="n">
        <v>1</v>
      </c>
      <c r="Q180" t="inlineStr">
        <is>
          <t>Drakon 4</t>
        </is>
      </c>
      <c r="R180" t="inlineStr">
        <is>
          <t>2022-04-07</t>
        </is>
      </c>
      <c r="S180" t="inlineStr">
        <is>
          <t>2022-04-20</t>
        </is>
      </c>
      <c r="T180" t="inlineStr">
        <is>
          <t>Drakon 4 : 2022-04-07 - 2022-04-20</t>
        </is>
      </c>
      <c r="U180" t="inlineStr">
        <is>
          <t>2022-04-19T00:00:00-05:00</t>
        </is>
      </c>
      <c r="V180" t="inlineStr">
        <is>
          <t>2022-04-14T00:00:00-05:00</t>
        </is>
      </c>
      <c r="W180" t="inlineStr">
        <is>
          <t>2022-04-19T16:04:33-05:00</t>
        </is>
      </c>
      <c r="X180">
        <f>IFERROR(1/COUNTIF($I:$I,@$I:$I), 0)</f>
        <v/>
      </c>
    </row>
    <row r="181">
      <c r="A181">
        <f>HYPERLINK("https://drivetime.tpondemand.com/entity/128051", "128051")</f>
        <v/>
      </c>
      <c r="B181" t="inlineStr">
        <is>
          <t>[BC NEXT][WEB] AutoPay - Success Page</t>
        </is>
      </c>
      <c r="C181" t="inlineStr">
        <is>
          <t>UserStory</t>
        </is>
      </c>
      <c r="D181" t="inlineStr">
        <is>
          <t>Servicing: BC Next</t>
        </is>
      </c>
      <c r="E181" t="inlineStr">
        <is>
          <t>BC Digital Drakon</t>
        </is>
      </c>
      <c r="F181" t="inlineStr">
        <is>
          <t>16</t>
        </is>
      </c>
      <c r="G181" t="inlineStr">
        <is>
          <t>Connor Golobich</t>
        </is>
      </c>
      <c r="H181" t="inlineStr">
        <is>
          <t>[BC NEXT][WEB] Phase 3: AutoPay Enrollment</t>
        </is>
      </c>
      <c r="I181" t="n">
        <v>6</v>
      </c>
      <c r="J181" t="n">
        <v>21.00982638888889</v>
      </c>
      <c r="K181">
        <f>HYPERLINK("https://drivetime.tpondemand.com/entity/131354", "131354")</f>
        <v/>
      </c>
      <c r="L181" t="inlineStr"/>
      <c r="M181" t="n">
        <v>2</v>
      </c>
      <c r="N181" t="n">
        <v>129063</v>
      </c>
      <c r="O181" t="inlineStr">
        <is>
          <t>Done</t>
        </is>
      </c>
      <c r="P181" t="n">
        <v>1</v>
      </c>
      <c r="Q181" t="inlineStr">
        <is>
          <t>Drakon 4</t>
        </is>
      </c>
      <c r="R181" t="inlineStr">
        <is>
          <t>2022-04-07</t>
        </is>
      </c>
      <c r="S181" t="inlineStr">
        <is>
          <t>2022-04-20</t>
        </is>
      </c>
      <c r="T181" t="inlineStr">
        <is>
          <t>Drakon 4 : 2022-04-07 - 2022-04-20</t>
        </is>
      </c>
      <c r="U181" t="inlineStr">
        <is>
          <t>2022-04-19T00:00:00-05:00</t>
        </is>
      </c>
      <c r="V181" t="inlineStr">
        <is>
          <t>2022-04-13T00:00:00-05:00</t>
        </is>
      </c>
      <c r="W181" t="inlineStr">
        <is>
          <t>2022-04-19T11:11:29-05:00</t>
        </is>
      </c>
      <c r="X181">
        <f>IFERROR(1/COUNTIF($I:$I,@$I:$I), 0)</f>
        <v/>
      </c>
    </row>
    <row r="182">
      <c r="A182">
        <f>HYPERLINK("https://drivetime.tpondemand.com/entity/128058", "128058")</f>
        <v/>
      </c>
      <c r="B182" t="inlineStr">
        <is>
          <t>[BC NEXT][LAUNCH DARKLY] RESEARCH Bucketing on SSP</t>
        </is>
      </c>
      <c r="C182" t="inlineStr">
        <is>
          <t>UserStory</t>
        </is>
      </c>
      <c r="D182" t="inlineStr">
        <is>
          <t>Servicing: BC Next</t>
        </is>
      </c>
      <c r="E182" t="inlineStr">
        <is>
          <t>BC Digital Drakon</t>
        </is>
      </c>
      <c r="F182" t="inlineStr">
        <is>
          <t>15</t>
        </is>
      </c>
      <c r="G182" t="inlineStr">
        <is>
          <t>Connor Golobich</t>
        </is>
      </c>
      <c r="H182" t="inlineStr">
        <is>
          <t>[BC NEXT][WEB] Phase 3: Technical Backend Setup</t>
        </is>
      </c>
      <c r="I182" t="n">
        <v>28</v>
      </c>
      <c r="J182" t="n">
        <v>33.99760416666666</v>
      </c>
      <c r="K182" t="inlineStr"/>
      <c r="L182" t="inlineStr"/>
      <c r="M182" t="n">
        <v>2</v>
      </c>
      <c r="N182" t="n">
        <v>126421</v>
      </c>
      <c r="O182" t="inlineStr">
        <is>
          <t>Done</t>
        </is>
      </c>
      <c r="P182" t="n">
        <v>0</v>
      </c>
      <c r="Q182" t="inlineStr">
        <is>
          <t>Drakon 2</t>
        </is>
      </c>
      <c r="R182" t="inlineStr">
        <is>
          <t>2022-03-10</t>
        </is>
      </c>
      <c r="S182" t="inlineStr">
        <is>
          <t>2022-03-23</t>
        </is>
      </c>
      <c r="T182" t="inlineStr">
        <is>
          <t>Drakon 2 : 2022-03-10 - 2022-03-23</t>
        </is>
      </c>
      <c r="U182" t="inlineStr">
        <is>
          <t>2022-04-12T00:00:00-05:00</t>
        </is>
      </c>
      <c r="V182" t="inlineStr">
        <is>
          <t>2022-03-15T00:00:00-05:00</t>
        </is>
      </c>
      <c r="W182" t="inlineStr">
        <is>
          <t>2022-04-12T09:59:36-05:00</t>
        </is>
      </c>
      <c r="X182">
        <f>IFERROR(1/COUNTIF($I:$I,@$I:$I), 0)</f>
        <v/>
      </c>
    </row>
    <row r="183">
      <c r="A183">
        <f>HYPERLINK("https://drivetime.tpondemand.com/entity/128227", "128227")</f>
        <v/>
      </c>
      <c r="B183" t="inlineStr">
        <is>
          <t>[BC NEXT][WEB] Update links to point at correct environment</t>
        </is>
      </c>
      <c r="C183" t="inlineStr">
        <is>
          <t>UserStory</t>
        </is>
      </c>
      <c r="D183" t="inlineStr">
        <is>
          <t>Servicing: BC Next</t>
        </is>
      </c>
      <c r="E183" t="inlineStr">
        <is>
          <t>BC Digital Drakon</t>
        </is>
      </c>
      <c r="F183" t="inlineStr">
        <is>
          <t>12</t>
        </is>
      </c>
      <c r="G183" t="inlineStr">
        <is>
          <t>Chirag Khandhar</t>
        </is>
      </c>
      <c r="H183" t="inlineStr">
        <is>
          <t>[BC NEXT] Bug Fixes for April App Release</t>
        </is>
      </c>
      <c r="I183" t="n">
        <v>1</v>
      </c>
      <c r="J183" t="n">
        <v>2.185092592592592</v>
      </c>
      <c r="K183" t="inlineStr"/>
      <c r="L183" t="inlineStr"/>
      <c r="M183" t="n">
        <v>2</v>
      </c>
      <c r="N183" t="n">
        <v>126421</v>
      </c>
      <c r="O183" t="inlineStr">
        <is>
          <t>Done</t>
        </is>
      </c>
      <c r="P183" t="n">
        <v>0</v>
      </c>
      <c r="Q183" t="inlineStr">
        <is>
          <t>Drakon 2</t>
        </is>
      </c>
      <c r="R183" t="inlineStr">
        <is>
          <t>2022-03-10</t>
        </is>
      </c>
      <c r="S183" t="inlineStr">
        <is>
          <t>2022-03-23</t>
        </is>
      </c>
      <c r="T183" t="inlineStr">
        <is>
          <t>Drakon 2 : 2022-03-10 - 2022-03-23</t>
        </is>
      </c>
      <c r="U183" t="inlineStr">
        <is>
          <t>2022-03-23T00:00:00-05:00</t>
        </is>
      </c>
      <c r="V183" t="inlineStr">
        <is>
          <t>2022-03-22T00:00:00-05:00</t>
        </is>
      </c>
      <c r="W183" t="inlineStr">
        <is>
          <t>2022-03-23T16:01:18-05:00</t>
        </is>
      </c>
      <c r="X183">
        <f>IFERROR(1/COUNTIF($I:$I,@$I:$I), 0)</f>
        <v/>
      </c>
    </row>
    <row r="184">
      <c r="A184">
        <f>HYPERLINK("https://drivetime.tpondemand.com/entity/128264", "128264")</f>
        <v/>
      </c>
      <c r="B184" t="inlineStr">
        <is>
          <t>[BC NEXT][WEB] Dashboard - No Accounts Found</t>
        </is>
      </c>
      <c r="C184" t="inlineStr">
        <is>
          <t>UserStory</t>
        </is>
      </c>
      <c r="D184" t="inlineStr">
        <is>
          <t>Servicing: BC Next</t>
        </is>
      </c>
      <c r="E184" t="inlineStr">
        <is>
          <t>BC Digital Drakon</t>
        </is>
      </c>
      <c r="F184" t="inlineStr">
        <is>
          <t>12</t>
        </is>
      </c>
      <c r="G184" t="inlineStr">
        <is>
          <t>Chirag Khandhar</t>
        </is>
      </c>
      <c r="H184" t="inlineStr">
        <is>
          <t>[BC NEXT][WEB] Phase 3: Dashboard</t>
        </is>
      </c>
      <c r="I184" t="n">
        <v>6</v>
      </c>
      <c r="J184" t="n">
        <v>14.1743287037037</v>
      </c>
      <c r="K184" t="inlineStr"/>
      <c r="L184" t="inlineStr"/>
      <c r="M184" t="n">
        <v>2</v>
      </c>
      <c r="N184" t="n">
        <v>126421</v>
      </c>
      <c r="O184" t="inlineStr">
        <is>
          <t>Done</t>
        </is>
      </c>
      <c r="P184" t="n">
        <v>2</v>
      </c>
      <c r="Q184" t="inlineStr">
        <is>
          <t>Drakon 2</t>
        </is>
      </c>
      <c r="R184" t="inlineStr">
        <is>
          <t>2022-03-10</t>
        </is>
      </c>
      <c r="S184" t="inlineStr">
        <is>
          <t>2022-03-23</t>
        </is>
      </c>
      <c r="T184" t="inlineStr">
        <is>
          <t>Drakon 2 : 2022-03-10 - 2022-03-23</t>
        </is>
      </c>
      <c r="U184" t="inlineStr">
        <is>
          <t>2022-03-23T00:00:00-05:00</t>
        </is>
      </c>
      <c r="V184" t="inlineStr">
        <is>
          <t>2022-03-17T00:00:00-05:00</t>
        </is>
      </c>
      <c r="W184" t="inlineStr">
        <is>
          <t>2022-03-23T16:02:41-05:00</t>
        </is>
      </c>
      <c r="X184">
        <f>IFERROR(1/COUNTIF($I:$I,@$I:$I), 0)</f>
        <v/>
      </c>
    </row>
    <row r="185">
      <c r="A185">
        <f>HYPERLINK("https://drivetime.tpondemand.com/entity/128300", "128300")</f>
        <v/>
      </c>
      <c r="B185" t="inlineStr">
        <is>
          <t>[BC NEXT] Fix logic to show Sign Up button</t>
        </is>
      </c>
      <c r="C185" t="inlineStr">
        <is>
          <t>UserStory</t>
        </is>
      </c>
      <c r="D185" t="inlineStr">
        <is>
          <t>Servicing: BC Next</t>
        </is>
      </c>
      <c r="E185" t="inlineStr">
        <is>
          <t>BC Digital Drakon</t>
        </is>
      </c>
      <c r="F185" t="inlineStr">
        <is>
          <t>13</t>
        </is>
      </c>
      <c r="G185" t="inlineStr">
        <is>
          <t>Shyam Senthil Nathan</t>
        </is>
      </c>
      <c r="H185" t="inlineStr">
        <is>
          <t>[BC NEXT] Bug Fixes for April App Release</t>
        </is>
      </c>
      <c r="I185" t="n">
        <v>14</v>
      </c>
      <c r="J185" t="n">
        <v>17.47784722222222</v>
      </c>
      <c r="K185">
        <f>HYPERLINK("https://drivetime.tpondemand.com/entity/129029", "129029")</f>
        <v/>
      </c>
      <c r="L185" t="inlineStr"/>
      <c r="M185" t="n">
        <v>2</v>
      </c>
      <c r="N185" t="n">
        <v>126422</v>
      </c>
      <c r="O185" t="inlineStr">
        <is>
          <t>Done</t>
        </is>
      </c>
      <c r="P185" t="n">
        <v>0</v>
      </c>
      <c r="Q185" t="inlineStr">
        <is>
          <t>Drakon 3</t>
        </is>
      </c>
      <c r="R185" t="inlineStr">
        <is>
          <t>2022-03-24</t>
        </is>
      </c>
      <c r="S185" t="inlineStr">
        <is>
          <t>2022-04-06</t>
        </is>
      </c>
      <c r="T185" t="inlineStr">
        <is>
          <t>Drakon 3 : 2022-03-24 - 2022-04-06</t>
        </is>
      </c>
      <c r="U185" t="inlineStr">
        <is>
          <t>2022-03-28T00:00:00-05:00</t>
        </is>
      </c>
      <c r="V185" t="inlineStr">
        <is>
          <t>2022-03-14T00:00:00-05:00</t>
        </is>
      </c>
      <c r="W185" t="inlineStr">
        <is>
          <t>2022-03-28T00:00:00-05:00</t>
        </is>
      </c>
      <c r="X185">
        <f>IFERROR(1/COUNTIF($I:$I,@$I:$I), 0)</f>
        <v/>
      </c>
    </row>
    <row r="186">
      <c r="A186">
        <f>HYPERLINK("https://drivetime.tpondemand.com/entity/128673", "128673")</f>
        <v/>
      </c>
      <c r="B186" t="inlineStr">
        <is>
          <t>[BC NEXT][WEB] APPD - Modals</t>
        </is>
      </c>
      <c r="C186" t="inlineStr">
        <is>
          <t>UserStory</t>
        </is>
      </c>
      <c r="D186" t="inlineStr">
        <is>
          <t>Servicing: BC Next</t>
        </is>
      </c>
      <c r="E186" t="inlineStr">
        <is>
          <t>BC Digital Drakon</t>
        </is>
      </c>
      <c r="F186" t="inlineStr">
        <is>
          <t>16</t>
        </is>
      </c>
      <c r="G186" t="inlineStr">
        <is>
          <t>Abbas Shamshi</t>
        </is>
      </c>
      <c r="H186" t="inlineStr">
        <is>
          <t>[BC NEXT] Phase 3: Web - AP Past Due</t>
        </is>
      </c>
      <c r="I186" t="n">
        <v>5</v>
      </c>
      <c r="J186" t="n">
        <v>21.93204861111111</v>
      </c>
      <c r="K186">
        <f>HYPERLINK("https://drivetime.tpondemand.com/entity/131354", "131354")</f>
        <v/>
      </c>
      <c r="L186" t="inlineStr"/>
      <c r="M186" t="n">
        <v>2</v>
      </c>
      <c r="N186" t="n">
        <v>129063</v>
      </c>
      <c r="O186" t="inlineStr">
        <is>
          <t>Done</t>
        </is>
      </c>
      <c r="P186" t="n">
        <v>0</v>
      </c>
      <c r="Q186" t="inlineStr">
        <is>
          <t>Drakon 4</t>
        </is>
      </c>
      <c r="R186" t="inlineStr">
        <is>
          <t>2022-04-07</t>
        </is>
      </c>
      <c r="S186" t="inlineStr">
        <is>
          <t>2022-04-20</t>
        </is>
      </c>
      <c r="T186" t="inlineStr">
        <is>
          <t>Drakon 4 : 2022-04-07 - 2022-04-20</t>
        </is>
      </c>
      <c r="U186" t="inlineStr">
        <is>
          <t>2022-04-19T00:00:00-05:00</t>
        </is>
      </c>
      <c r="V186" t="inlineStr">
        <is>
          <t>2022-04-14T00:00:00-05:00</t>
        </is>
      </c>
      <c r="W186" t="inlineStr">
        <is>
          <t>2022-04-19T16:05:01-05:00</t>
        </is>
      </c>
      <c r="X186">
        <f>IFERROR(1/COUNTIF($I:$I,@$I:$I), 0)</f>
        <v/>
      </c>
    </row>
    <row r="187">
      <c r="A187">
        <f>HYPERLINK("https://drivetime.tpondemand.com/entity/128674", "128674")</f>
        <v/>
      </c>
      <c r="B187" t="inlineStr">
        <is>
          <t>[BC NEXT][WEB] APPD - Success</t>
        </is>
      </c>
      <c r="C187" t="inlineStr">
        <is>
          <t>UserStory</t>
        </is>
      </c>
      <c r="D187" t="inlineStr">
        <is>
          <t>Servicing: BC Next</t>
        </is>
      </c>
      <c r="E187" t="inlineStr">
        <is>
          <t>BC Digital Drakon</t>
        </is>
      </c>
      <c r="F187" t="inlineStr">
        <is>
          <t>17</t>
        </is>
      </c>
      <c r="G187" t="inlineStr">
        <is>
          <t>Connor Golobich</t>
        </is>
      </c>
      <c r="H187" t="inlineStr">
        <is>
          <t>[BC NEXT] Phase 3: Web - AP Past Due</t>
        </is>
      </c>
      <c r="I187" t="n">
        <v>0</v>
      </c>
      <c r="J187" t="n">
        <v>15.17359953703704</v>
      </c>
      <c r="K187" t="inlineStr"/>
      <c r="L187" t="inlineStr"/>
      <c r="M187" t="n">
        <v>2</v>
      </c>
      <c r="N187" t="n">
        <v>129064</v>
      </c>
      <c r="O187" t="inlineStr">
        <is>
          <t>Done</t>
        </is>
      </c>
      <c r="P187" t="n">
        <v>1</v>
      </c>
      <c r="Q187" t="inlineStr">
        <is>
          <t>Drakon 5</t>
        </is>
      </c>
      <c r="R187" t="inlineStr">
        <is>
          <t>2022-04-21</t>
        </is>
      </c>
      <c r="S187" t="inlineStr">
        <is>
          <t>2022-05-04</t>
        </is>
      </c>
      <c r="T187" t="inlineStr">
        <is>
          <t>Drakon 5 : 2022-04-21 - 2022-05-04</t>
        </is>
      </c>
      <c r="U187" t="inlineStr">
        <is>
          <t>2022-04-28T00:00:00-05:00</t>
        </is>
      </c>
      <c r="V187" t="inlineStr">
        <is>
          <t>2022-04-28T00:00:00-05:00</t>
        </is>
      </c>
      <c r="W187" t="inlineStr">
        <is>
          <t>2022-04-28T14:59:11-05:00</t>
        </is>
      </c>
      <c r="X187">
        <f>IFERROR(1/COUNTIF($I:$I,@$I:$I), 0)</f>
        <v/>
      </c>
    </row>
    <row r="188">
      <c r="A188">
        <f>HYPERLINK("https://drivetime.tpondemand.com/entity/128963", "128963")</f>
        <v/>
      </c>
      <c r="B188" t="inlineStr">
        <is>
          <t>[BC NEXT][WEB] Fix Amount Due logic when Amount Due is $0</t>
        </is>
      </c>
      <c r="C188" t="inlineStr">
        <is>
          <t>UserStory</t>
        </is>
      </c>
      <c r="D188" t="inlineStr">
        <is>
          <t>Servicing: BC Next</t>
        </is>
      </c>
      <c r="E188" t="inlineStr">
        <is>
          <t>BC Digital Drakon</t>
        </is>
      </c>
      <c r="F188" t="inlineStr">
        <is>
          <t>13</t>
        </is>
      </c>
      <c r="G188" t="inlineStr">
        <is>
          <t>Shyam Senthil Nathan</t>
        </is>
      </c>
      <c r="H188" t="inlineStr">
        <is>
          <t>null</t>
        </is>
      </c>
      <c r="I188" t="n">
        <v>7</v>
      </c>
      <c r="J188" t="n">
        <v>7.462893518518518</v>
      </c>
      <c r="K188">
        <f>HYPERLINK("https://drivetime.tpondemand.com/entity/129294", "129294")</f>
        <v/>
      </c>
      <c r="L188" t="inlineStr"/>
      <c r="M188" t="n">
        <v>2</v>
      </c>
      <c r="N188" t="n">
        <v>126422</v>
      </c>
      <c r="O188" t="inlineStr">
        <is>
          <t>Done</t>
        </is>
      </c>
      <c r="P188" t="n">
        <v>0</v>
      </c>
      <c r="Q188" t="inlineStr">
        <is>
          <t>Drakon 3</t>
        </is>
      </c>
      <c r="R188" t="inlineStr">
        <is>
          <t>2022-03-24</t>
        </is>
      </c>
      <c r="S188" t="inlineStr">
        <is>
          <t>2022-04-06</t>
        </is>
      </c>
      <c r="T188" t="inlineStr">
        <is>
          <t>Drakon 3 : 2022-03-24 - 2022-04-06</t>
        </is>
      </c>
      <c r="U188" t="inlineStr">
        <is>
          <t>2022-03-30T00:00:00-05:00</t>
        </is>
      </c>
      <c r="V188" t="inlineStr">
        <is>
          <t>2022-03-23T00:00:00-05:00</t>
        </is>
      </c>
      <c r="W188" t="inlineStr">
        <is>
          <t>2022-03-30T00:00:00-05:00</t>
        </is>
      </c>
      <c r="X188">
        <f>IFERROR(1/COUNTIF($I:$I,@$I:$I), 0)</f>
        <v/>
      </c>
    </row>
    <row r="189">
      <c r="A189">
        <f>HYPERLINK("https://drivetime.tpondemand.com/entity/129253", "129253")</f>
        <v/>
      </c>
      <c r="B189" t="inlineStr">
        <is>
          <t>[BC NEXT][WEB] Dashboard - Hide additional links in Top/Side Nav for No Accounts Found Experience</t>
        </is>
      </c>
      <c r="C189" t="inlineStr">
        <is>
          <t>UserStory</t>
        </is>
      </c>
      <c r="D189" t="inlineStr">
        <is>
          <t>Servicing: BC Next</t>
        </is>
      </c>
      <c r="E189" t="inlineStr">
        <is>
          <t>BC Digital Drakon</t>
        </is>
      </c>
      <c r="F189" t="inlineStr">
        <is>
          <t>16</t>
        </is>
      </c>
      <c r="G189" t="inlineStr">
        <is>
          <t>Abbas Shamshi</t>
        </is>
      </c>
      <c r="H189" t="inlineStr">
        <is>
          <t>[BC NEXT][WEB] Phase 3: Dashboard</t>
        </is>
      </c>
      <c r="I189" t="n">
        <v>4</v>
      </c>
      <c r="J189" t="n">
        <v>16.96393518518519</v>
      </c>
      <c r="K189">
        <f>HYPERLINK("https://drivetime.tpondemand.com/entity/130138", "130138")</f>
        <v/>
      </c>
      <c r="L189" t="inlineStr"/>
      <c r="M189" t="n">
        <v>2</v>
      </c>
      <c r="N189" t="n">
        <v>129063</v>
      </c>
      <c r="O189" t="inlineStr">
        <is>
          <t>Done</t>
        </is>
      </c>
      <c r="P189" t="n">
        <v>0</v>
      </c>
      <c r="Q189" t="inlineStr">
        <is>
          <t>Drakon 4</t>
        </is>
      </c>
      <c r="R189" t="inlineStr">
        <is>
          <t>2022-04-07</t>
        </is>
      </c>
      <c r="S189" t="inlineStr">
        <is>
          <t>2022-04-20</t>
        </is>
      </c>
      <c r="T189" t="inlineStr">
        <is>
          <t>Drakon 4 : 2022-04-07 - 2022-04-20</t>
        </is>
      </c>
      <c r="U189" t="inlineStr">
        <is>
          <t>2022-04-18T00:00:00-05:00</t>
        </is>
      </c>
      <c r="V189" t="inlineStr">
        <is>
          <t>2022-04-14T00:00:00-05:00</t>
        </is>
      </c>
      <c r="W189" t="inlineStr">
        <is>
          <t>2022-04-18T15:30:55-05:00</t>
        </is>
      </c>
      <c r="X189">
        <f>IFERROR(1/COUNTIF($I:$I,@$I:$I), 0)</f>
        <v/>
      </c>
    </row>
    <row r="190">
      <c r="A190">
        <f>HYPERLINK("https://drivetime.tpondemand.com/entity/129714", "129714")</f>
        <v/>
      </c>
      <c r="B190" t="inlineStr">
        <is>
          <t>[BC NEXT][WEB] Payment Ineligibility Page</t>
        </is>
      </c>
      <c r="C190" t="inlineStr">
        <is>
          <t>UserStory</t>
        </is>
      </c>
      <c r="D190" t="inlineStr">
        <is>
          <t>Servicing: BC Next</t>
        </is>
      </c>
      <c r="E190" t="inlineStr">
        <is>
          <t>BC Digital Drakon</t>
        </is>
      </c>
      <c r="F190" t="inlineStr">
        <is>
          <t>24</t>
        </is>
      </c>
      <c r="G190" t="inlineStr">
        <is>
          <t>Antonio Posada</t>
        </is>
      </c>
      <c r="H190" t="inlineStr">
        <is>
          <t>[BC NEXT][WEB] Phase 3: Misc Pages</t>
        </is>
      </c>
      <c r="I190" t="n">
        <v>27</v>
      </c>
      <c r="J190" t="n">
        <v>41.09260416666667</v>
      </c>
      <c r="K190">
        <f>HYPERLINK("https://drivetime.tpondemand.com/entity/132448", "132448")</f>
        <v/>
      </c>
      <c r="L190" t="inlineStr"/>
      <c r="M190" t="n">
        <v>2</v>
      </c>
      <c r="N190" t="n">
        <v>130166</v>
      </c>
      <c r="O190" t="inlineStr">
        <is>
          <t>Done</t>
        </is>
      </c>
      <c r="P190" t="n">
        <v>1</v>
      </c>
      <c r="Q190" t="inlineStr">
        <is>
          <t>Drakon 6</t>
        </is>
      </c>
      <c r="R190" t="inlineStr">
        <is>
          <t>2022-05-05</t>
        </is>
      </c>
      <c r="S190" t="inlineStr">
        <is>
          <t>2022-05-18</t>
        </is>
      </c>
      <c r="T190" t="inlineStr">
        <is>
          <t>Drakon 6 : 2022-05-05 - 2022-05-18</t>
        </is>
      </c>
      <c r="U190" t="inlineStr">
        <is>
          <t>2022-06-14T00:00:00-05:00</t>
        </is>
      </c>
      <c r="V190" t="inlineStr">
        <is>
          <t>2022-05-18T00:00:00-05:00</t>
        </is>
      </c>
      <c r="W190" t="inlineStr">
        <is>
          <t>2022-06-14T13:01:05-05:00</t>
        </is>
      </c>
      <c r="X190">
        <f>IFERROR(1/COUNTIF($I:$I,@$I:$I), 0)</f>
        <v/>
      </c>
    </row>
    <row r="191">
      <c r="A191">
        <f>HYPERLINK("https://drivetime.tpondemand.com/entity/129715", "129715")</f>
        <v/>
      </c>
      <c r="B191" t="inlineStr">
        <is>
          <t>[BC NEXT][WEB] Issue Processing Request Page</t>
        </is>
      </c>
      <c r="C191" t="inlineStr">
        <is>
          <t>UserStory</t>
        </is>
      </c>
      <c r="D191" t="inlineStr">
        <is>
          <t>Servicing: BC Next</t>
        </is>
      </c>
      <c r="E191" t="inlineStr">
        <is>
          <t>BC Digital Drakon</t>
        </is>
      </c>
      <c r="F191" t="inlineStr">
        <is>
          <t>19</t>
        </is>
      </c>
      <c r="G191" t="inlineStr">
        <is>
          <t>Joseph Kranak</t>
        </is>
      </c>
      <c r="H191" t="inlineStr">
        <is>
          <t>[BC NEXT][WEB] Phase 3: Misc Pages</t>
        </is>
      </c>
      <c r="I191" t="n">
        <v>7</v>
      </c>
      <c r="J191" t="n">
        <v>14.7341087962963</v>
      </c>
      <c r="K191">
        <f>HYPERLINK("https://drivetime.tpondemand.com/entity/131615", "131615")</f>
        <v/>
      </c>
      <c r="L191" t="inlineStr"/>
      <c r="M191" t="n">
        <v>2</v>
      </c>
      <c r="N191" t="n">
        <v>130166</v>
      </c>
      <c r="O191" t="inlineStr">
        <is>
          <t>Done</t>
        </is>
      </c>
      <c r="P191" t="n">
        <v>2</v>
      </c>
      <c r="Q191" t="inlineStr">
        <is>
          <t>Drakon 6</t>
        </is>
      </c>
      <c r="R191" t="inlineStr">
        <is>
          <t>2022-05-05</t>
        </is>
      </c>
      <c r="S191" t="inlineStr">
        <is>
          <t>2022-05-18</t>
        </is>
      </c>
      <c r="T191" t="inlineStr">
        <is>
          <t>Drakon 6 : 2022-05-05 - 2022-05-18</t>
        </is>
      </c>
      <c r="U191" t="inlineStr">
        <is>
          <t>2022-05-11T00:00:00-05:00</t>
        </is>
      </c>
      <c r="V191" t="inlineStr">
        <is>
          <t>2022-05-04T00:00:00-05:00</t>
        </is>
      </c>
      <c r="W191" t="inlineStr">
        <is>
          <t>2022-05-12T08:56:28-05:00</t>
        </is>
      </c>
      <c r="X191">
        <f>IFERROR(1/COUNTIF($I:$I,@$I:$I), 0)</f>
        <v/>
      </c>
    </row>
    <row r="192">
      <c r="A192">
        <f>HYPERLINK("https://drivetime.tpondemand.com/entity/129717", "129717")</f>
        <v/>
      </c>
      <c r="B192" t="inlineStr">
        <is>
          <t>[BC NEXT][WEB] Outage Modal</t>
        </is>
      </c>
      <c r="C192" t="inlineStr">
        <is>
          <t>UserStory</t>
        </is>
      </c>
      <c r="D192" t="inlineStr">
        <is>
          <t>Servicing: BC Next</t>
        </is>
      </c>
      <c r="E192" t="inlineStr">
        <is>
          <t>BC Digital Drakon</t>
        </is>
      </c>
      <c r="F192" t="inlineStr">
        <is>
          <t>22</t>
        </is>
      </c>
      <c r="G192" t="inlineStr">
        <is>
          <t>Antonio Posada</t>
        </is>
      </c>
      <c r="H192" t="inlineStr">
        <is>
          <t>[BC NEXT][WEB] Phase 3: Misc Pages</t>
        </is>
      </c>
      <c r="I192" t="n">
        <v>2</v>
      </c>
      <c r="J192" t="n">
        <v>15.9684375</v>
      </c>
      <c r="K192">
        <f>HYPERLINK("https://drivetime.tpondemand.com/entity/133076", "133076")</f>
        <v/>
      </c>
      <c r="L192" t="inlineStr"/>
      <c r="M192" t="n">
        <v>2</v>
      </c>
      <c r="N192" t="n">
        <v>130167</v>
      </c>
      <c r="O192" t="inlineStr">
        <is>
          <t>Done</t>
        </is>
      </c>
      <c r="P192" t="n">
        <v>0</v>
      </c>
      <c r="Q192" t="inlineStr">
        <is>
          <t>Drakon 7</t>
        </is>
      </c>
      <c r="R192" t="inlineStr">
        <is>
          <t>2022-05-19</t>
        </is>
      </c>
      <c r="S192" t="inlineStr">
        <is>
          <t>2022-06-01</t>
        </is>
      </c>
      <c r="T192" t="inlineStr">
        <is>
          <t>Drakon 7 : 2022-05-19 - 2022-06-01</t>
        </is>
      </c>
      <c r="U192" t="inlineStr">
        <is>
          <t>2022-06-02T00:00:00-05:00</t>
        </is>
      </c>
      <c r="V192" t="inlineStr">
        <is>
          <t>2022-05-31T00:00:00-05:00</t>
        </is>
      </c>
      <c r="W192" t="inlineStr">
        <is>
          <t>2022-06-02T09:11:43-05:00</t>
        </is>
      </c>
      <c r="X192">
        <f>IFERROR(1/COUNTIF($I:$I,@$I:$I), 0)</f>
        <v/>
      </c>
    </row>
    <row r="193">
      <c r="A193">
        <f>HYPERLINK("https://drivetime.tpondemand.com/entity/129784", "129784")</f>
        <v/>
      </c>
      <c r="B193" t="inlineStr">
        <is>
          <t>[BC NEXT] Dashboard - Update Account Summary Card message for accounts due today</t>
        </is>
      </c>
      <c r="C193" t="inlineStr">
        <is>
          <t>UserStory</t>
        </is>
      </c>
      <c r="D193" t="inlineStr">
        <is>
          <t>Servicing: BC Next</t>
        </is>
      </c>
      <c r="E193" t="inlineStr">
        <is>
          <t>BC Digital Drakon</t>
        </is>
      </c>
      <c r="F193" t="inlineStr">
        <is>
          <t>22</t>
        </is>
      </c>
      <c r="G193" t="inlineStr">
        <is>
          <t>Joseph Kranak</t>
        </is>
      </c>
      <c r="H193" t="inlineStr">
        <is>
          <t>[BC NEXT] Bug Fixes/Enhancements for June Release</t>
        </is>
      </c>
      <c r="I193" t="n">
        <v>6</v>
      </c>
      <c r="J193" t="n">
        <v>13.14855324074074</v>
      </c>
      <c r="K193">
        <f>HYPERLINK("https://drivetime.tpondemand.com/entity/133005", "133005")</f>
        <v/>
      </c>
      <c r="L193" t="inlineStr"/>
      <c r="M193" t="n">
        <v>2</v>
      </c>
      <c r="N193" t="n">
        <v>130167</v>
      </c>
      <c r="O193" t="inlineStr">
        <is>
          <t>Done</t>
        </is>
      </c>
      <c r="P193" t="n">
        <v>1</v>
      </c>
      <c r="Q193" t="inlineStr">
        <is>
          <t>Drakon 7</t>
        </is>
      </c>
      <c r="R193" t="inlineStr">
        <is>
          <t>2022-05-19</t>
        </is>
      </c>
      <c r="S193" t="inlineStr">
        <is>
          <t>2022-06-01</t>
        </is>
      </c>
      <c r="T193" t="inlineStr">
        <is>
          <t>Drakon 7 : 2022-05-19 - 2022-06-01</t>
        </is>
      </c>
      <c r="U193" t="inlineStr">
        <is>
          <t>2022-05-31T00:00:00-05:00</t>
        </is>
      </c>
      <c r="V193" t="inlineStr">
        <is>
          <t>2022-05-25T00:00:00-05:00</t>
        </is>
      </c>
      <c r="W193" t="inlineStr">
        <is>
          <t>2022-05-31T17:47:22-05:00</t>
        </is>
      </c>
      <c r="X193">
        <f>IFERROR(1/COUNTIF($I:$I,@$I:$I), 0)</f>
        <v/>
      </c>
    </row>
    <row r="194">
      <c r="A194">
        <f>HYPERLINK("https://drivetime.tpondemand.com/entity/129786", "129786")</f>
        <v/>
      </c>
      <c r="B194" t="inlineStr">
        <is>
          <t>[BC NEXT] Manage Payments - Not pulling AutoPay payments after enrolled</t>
        </is>
      </c>
      <c r="C194" t="inlineStr">
        <is>
          <t>UserStory</t>
        </is>
      </c>
      <c r="D194" t="inlineStr">
        <is>
          <t>Servicing: BC Next</t>
        </is>
      </c>
      <c r="E194" t="inlineStr">
        <is>
          <t>BC Digital Drakon</t>
        </is>
      </c>
      <c r="F194" t="inlineStr">
        <is>
          <t>22</t>
        </is>
      </c>
      <c r="G194" t="inlineStr">
        <is>
          <t>Yokeshwaran Lokanathan</t>
        </is>
      </c>
      <c r="H194" t="inlineStr">
        <is>
          <t>[BC NEXT] Bug Fixes/Enhancements for June Release</t>
        </is>
      </c>
      <c r="I194" t="n">
        <v>14</v>
      </c>
      <c r="J194" t="n">
        <v>21.0621875</v>
      </c>
      <c r="K194">
        <f>HYPERLINK("https://drivetime.tpondemand.com/entity/133005", "133005")</f>
        <v/>
      </c>
      <c r="L194" t="inlineStr"/>
      <c r="M194" t="n">
        <v>2</v>
      </c>
      <c r="N194" t="n">
        <v>130167</v>
      </c>
      <c r="O194" t="inlineStr">
        <is>
          <t>Done</t>
        </is>
      </c>
      <c r="P194" t="n">
        <v>1</v>
      </c>
      <c r="Q194" t="inlineStr">
        <is>
          <t>Drakon 7</t>
        </is>
      </c>
      <c r="R194" t="inlineStr">
        <is>
          <t>2022-05-19</t>
        </is>
      </c>
      <c r="S194" t="inlineStr">
        <is>
          <t>2022-06-01</t>
        </is>
      </c>
      <c r="T194" t="inlineStr">
        <is>
          <t>Drakon 7 : 2022-05-19 - 2022-06-01</t>
        </is>
      </c>
      <c r="U194" t="inlineStr">
        <is>
          <t>2022-05-31T00:00:00-05:00</t>
        </is>
      </c>
      <c r="V194" t="inlineStr">
        <is>
          <t>2022-05-17T00:00:00-05:00</t>
        </is>
      </c>
      <c r="W194" t="inlineStr">
        <is>
          <t>2022-05-31T17:47:29-05:00</t>
        </is>
      </c>
      <c r="X194">
        <f>IFERROR(1/COUNTIF($I:$I,@$I:$I), 0)</f>
        <v/>
      </c>
    </row>
    <row r="195">
      <c r="A195">
        <f>HYPERLINK("https://drivetime.tpondemand.com/entity/131616", "131616")</f>
        <v/>
      </c>
      <c r="B195" t="inlineStr">
        <is>
          <t>[BC NEXT][RESEARCH] Manage Debit Cards - Cards not syncing in Paymentus</t>
        </is>
      </c>
      <c r="C195" t="inlineStr">
        <is>
          <t>UserStory</t>
        </is>
      </c>
      <c r="D195" t="inlineStr">
        <is>
          <t>Servicing: BC Next</t>
        </is>
      </c>
      <c r="E195" t="inlineStr">
        <is>
          <t>BC Digital Drakon</t>
        </is>
      </c>
      <c r="F195" t="inlineStr">
        <is>
          <t>20</t>
        </is>
      </c>
      <c r="G195" t="inlineStr">
        <is>
          <t>Pete Wesselius</t>
        </is>
      </c>
      <c r="H195" t="inlineStr">
        <is>
          <t>[BC NEXT] Bug Fixes/Enhancements for June Release</t>
        </is>
      </c>
      <c r="I195" t="n">
        <v>0</v>
      </c>
      <c r="J195" t="n">
        <v>4.169409722222222</v>
      </c>
      <c r="K195" t="inlineStr"/>
      <c r="L195" t="inlineStr"/>
      <c r="M195" t="n">
        <v>2</v>
      </c>
      <c r="N195" t="n">
        <v>130166</v>
      </c>
      <c r="O195" t="inlineStr">
        <is>
          <t>Done</t>
        </is>
      </c>
      <c r="P195" t="n">
        <v>0</v>
      </c>
      <c r="Q195" t="inlineStr">
        <is>
          <t>Drakon 6</t>
        </is>
      </c>
      <c r="R195" t="inlineStr">
        <is>
          <t>2022-05-05</t>
        </is>
      </c>
      <c r="S195" t="inlineStr">
        <is>
          <t>2022-05-18</t>
        </is>
      </c>
      <c r="T195" t="inlineStr">
        <is>
          <t>Drakon 6 : 2022-05-05 - 2022-05-18</t>
        </is>
      </c>
      <c r="U195" t="inlineStr">
        <is>
          <t>2022-05-17T00:00:00-05:00</t>
        </is>
      </c>
      <c r="V195" t="inlineStr">
        <is>
          <t>2022-05-17T00:00:00-05:00</t>
        </is>
      </c>
      <c r="W195" t="inlineStr">
        <is>
          <t>2022-05-17T15:07:32-05:00</t>
        </is>
      </c>
      <c r="X195">
        <f>IFERROR(1/COUNTIF($I:$I,@$I:$I), 0)</f>
        <v/>
      </c>
    </row>
    <row r="196">
      <c r="A196">
        <f>HYPERLINK("https://drivetime.tpondemand.com/entity/132144", "132144")</f>
        <v/>
      </c>
      <c r="B196" t="inlineStr">
        <is>
          <t>[BC NEXT][WEB] Login Pages - Verify Email</t>
        </is>
      </c>
      <c r="C196" t="inlineStr">
        <is>
          <t>UserStory</t>
        </is>
      </c>
      <c r="D196" t="inlineStr">
        <is>
          <t>Servicing: BC Next</t>
        </is>
      </c>
      <c r="E196" t="inlineStr">
        <is>
          <t>BC Digital Drakon</t>
        </is>
      </c>
      <c r="F196" t="inlineStr">
        <is>
          <t>21</t>
        </is>
      </c>
      <c r="G196" t="inlineStr">
        <is>
          <t>Chirag Khandhar</t>
        </is>
      </c>
      <c r="H196" t="inlineStr">
        <is>
          <t>[BC NEXT][WEB] Phase 3: Login Pages</t>
        </is>
      </c>
      <c r="I196" t="n">
        <v>2</v>
      </c>
      <c r="J196" t="n">
        <v>6.182152777777778</v>
      </c>
      <c r="K196">
        <f>HYPERLINK("https://drivetime.tpondemand.com/entity/132710", "132710")</f>
        <v/>
      </c>
      <c r="L196" t="inlineStr"/>
      <c r="M196" t="n">
        <v>2</v>
      </c>
      <c r="N196" t="n">
        <v>130167</v>
      </c>
      <c r="O196" t="inlineStr">
        <is>
          <t>Done</t>
        </is>
      </c>
      <c r="P196" t="n">
        <v>1</v>
      </c>
      <c r="Q196" t="inlineStr">
        <is>
          <t>Drakon 7</t>
        </is>
      </c>
      <c r="R196" t="inlineStr">
        <is>
          <t>2022-05-19</t>
        </is>
      </c>
      <c r="S196" t="inlineStr">
        <is>
          <t>2022-06-01</t>
        </is>
      </c>
      <c r="T196" t="inlineStr">
        <is>
          <t>Drakon 7 : 2022-05-19 - 2022-06-01</t>
        </is>
      </c>
      <c r="U196" t="inlineStr">
        <is>
          <t>2022-05-25T00:00:00-05:00</t>
        </is>
      </c>
      <c r="V196" t="inlineStr">
        <is>
          <t>2022-05-23T00:00:00-05:00</t>
        </is>
      </c>
      <c r="W196" t="inlineStr">
        <is>
          <t>2022-05-25T15:15:46-05:00</t>
        </is>
      </c>
      <c r="X196">
        <f>IFERROR(1/COUNTIF($I:$I,@$I:$I), 0)</f>
        <v/>
      </c>
    </row>
    <row r="197">
      <c r="A197">
        <f>HYPERLINK("https://drivetime.tpondemand.com/entity/132152", "132152")</f>
        <v/>
      </c>
      <c r="B197" t="inlineStr">
        <is>
          <t>[BC NEXT] Take user through login to land on logged in Contact Us page</t>
        </is>
      </c>
      <c r="C197" t="inlineStr">
        <is>
          <t>UserStory</t>
        </is>
      </c>
      <c r="D197" t="inlineStr">
        <is>
          <t>Servicing: BC Next</t>
        </is>
      </c>
      <c r="E197" t="inlineStr">
        <is>
          <t>BC Digital Drakon</t>
        </is>
      </c>
      <c r="F197" t="inlineStr">
        <is>
          <t>24</t>
        </is>
      </c>
      <c r="G197" t="inlineStr">
        <is>
          <t>Yokeshwaran Lokanathan</t>
        </is>
      </c>
      <c r="H197" t="inlineStr">
        <is>
          <t>[BC NEXT] Bug Fixes/Enhancements for June Release</t>
        </is>
      </c>
      <c r="I197" t="n">
        <v>5</v>
      </c>
      <c r="J197" t="n">
        <v>6.194699074074074</v>
      </c>
      <c r="K197">
        <f>HYPERLINK("https://drivetime.tpondemand.com/entity/133957", "133957")</f>
        <v/>
      </c>
      <c r="L197" t="inlineStr"/>
      <c r="M197" t="n">
        <v>2</v>
      </c>
      <c r="N197" t="n">
        <v>130168</v>
      </c>
      <c r="O197" t="inlineStr">
        <is>
          <t>Done</t>
        </is>
      </c>
      <c r="P197" t="n">
        <v>0</v>
      </c>
      <c r="Q197" t="inlineStr">
        <is>
          <t>Drakon 8</t>
        </is>
      </c>
      <c r="R197" t="inlineStr">
        <is>
          <t>2022-06-02</t>
        </is>
      </c>
      <c r="S197" t="inlineStr">
        <is>
          <t>2022-06-15</t>
        </is>
      </c>
      <c r="T197" t="inlineStr">
        <is>
          <t>Drakon 8 : 2022-06-02 - 2022-06-15</t>
        </is>
      </c>
      <c r="U197" t="inlineStr">
        <is>
          <t>2022-06-14T00:00:00-05:00</t>
        </is>
      </c>
      <c r="V197" t="inlineStr">
        <is>
          <t>2022-06-09T00:00:00-05:00</t>
        </is>
      </c>
      <c r="W197" t="inlineStr">
        <is>
          <t>2022-06-14T16:59:11-05:00</t>
        </is>
      </c>
      <c r="X197">
        <f>IFERROR(1/COUNTIF($I:$I,@$I:$I), 0)</f>
        <v/>
      </c>
    </row>
    <row r="198">
      <c r="A198">
        <f>HYPERLINK("https://drivetime.tpondemand.com/entity/132156", "132156")</f>
        <v/>
      </c>
      <c r="B198" t="inlineStr">
        <is>
          <t>[BC NEXT][WEB] Payment Options - Pay with Debit Card link broken pre-login</t>
        </is>
      </c>
      <c r="C198" t="inlineStr">
        <is>
          <t>UserStory</t>
        </is>
      </c>
      <c r="D198" t="inlineStr">
        <is>
          <t>Servicing: BC Next</t>
        </is>
      </c>
      <c r="E198" t="inlineStr">
        <is>
          <t>BC Digital Drakon</t>
        </is>
      </c>
      <c r="F198" t="inlineStr">
        <is>
          <t>23</t>
        </is>
      </c>
      <c r="G198" t="inlineStr">
        <is>
          <t>Antonio Posada</t>
        </is>
      </c>
      <c r="H198" t="inlineStr">
        <is>
          <t>[BC NEXT] Bug Fixes/Enhancements for June Release</t>
        </is>
      </c>
      <c r="I198" t="n">
        <v>2</v>
      </c>
      <c r="J198" t="n">
        <v>15.01596064814815</v>
      </c>
      <c r="K198">
        <f>HYPERLINK("https://drivetime.tpondemand.com/entity/133564", "133564")</f>
        <v/>
      </c>
      <c r="L198" t="inlineStr"/>
      <c r="M198" t="n">
        <v>2</v>
      </c>
      <c r="N198" t="n">
        <v>130168</v>
      </c>
      <c r="O198" t="inlineStr">
        <is>
          <t>Done</t>
        </is>
      </c>
      <c r="P198" t="n">
        <v>1</v>
      </c>
      <c r="Q198" t="inlineStr">
        <is>
          <t>Drakon 8</t>
        </is>
      </c>
      <c r="R198" t="inlineStr">
        <is>
          <t>2022-06-02</t>
        </is>
      </c>
      <c r="S198" t="inlineStr">
        <is>
          <t>2022-06-15</t>
        </is>
      </c>
      <c r="T198" t="inlineStr">
        <is>
          <t>Drakon 8 : 2022-06-02 - 2022-06-15</t>
        </is>
      </c>
      <c r="U198" t="inlineStr">
        <is>
          <t>2022-06-08T00:00:00-05:00</t>
        </is>
      </c>
      <c r="V198" t="inlineStr">
        <is>
          <t>2022-06-06T00:00:00-05:00</t>
        </is>
      </c>
      <c r="W198" t="inlineStr">
        <is>
          <t>2022-06-08T15:50:49-05:00</t>
        </is>
      </c>
      <c r="X198">
        <f>IFERROR(1/COUNTIF($I:$I,@$I:$I), 0)</f>
        <v/>
      </c>
    </row>
    <row r="199">
      <c r="A199">
        <f>HYPERLINK("https://drivetime.tpondemand.com/entity/133226", "133226")</f>
        <v/>
      </c>
      <c r="B199" t="inlineStr">
        <is>
          <t>[BC NEXT][WEB] Invalid route should land user on homepage/dashboard</t>
        </is>
      </c>
      <c r="C199" t="inlineStr">
        <is>
          <t>UserStory</t>
        </is>
      </c>
      <c r="D199" t="inlineStr">
        <is>
          <t>Servicing: BC Next</t>
        </is>
      </c>
      <c r="E199" t="inlineStr">
        <is>
          <t>BC Digital Drakon</t>
        </is>
      </c>
      <c r="F199" t="inlineStr">
        <is>
          <t>26</t>
        </is>
      </c>
      <c r="G199" t="inlineStr">
        <is>
          <t>Yokeshwaran Lokanathan</t>
        </is>
      </c>
      <c r="H199" t="inlineStr">
        <is>
          <t>[BC NEXT] Bug Fixes/Enhancements for July</t>
        </is>
      </c>
      <c r="I199" t="n">
        <v>7</v>
      </c>
      <c r="J199" t="n">
        <v>11.28616898148148</v>
      </c>
      <c r="K199">
        <f>HYPERLINK("https://drivetime.tpondemand.com/entity/134694", "134694")</f>
        <v/>
      </c>
      <c r="L199" t="inlineStr"/>
      <c r="M199" t="n">
        <v>2</v>
      </c>
      <c r="N199" t="n">
        <v>133018</v>
      </c>
      <c r="O199" t="inlineStr">
        <is>
          <t>Done</t>
        </is>
      </c>
      <c r="P199" t="n">
        <v>0</v>
      </c>
      <c r="Q199" t="inlineStr">
        <is>
          <t>Drakon 9</t>
        </is>
      </c>
      <c r="R199" t="inlineStr">
        <is>
          <t>2022-06-16</t>
        </is>
      </c>
      <c r="S199" t="inlineStr">
        <is>
          <t>2022-06-29</t>
        </is>
      </c>
      <c r="T199" t="inlineStr">
        <is>
          <t>Drakon 9 : 2022-06-16 - 2022-06-29</t>
        </is>
      </c>
      <c r="U199" t="inlineStr">
        <is>
          <t>2022-06-27T00:00:00-05:00</t>
        </is>
      </c>
      <c r="V199" t="inlineStr">
        <is>
          <t>2022-06-20T00:00:00-05:00</t>
        </is>
      </c>
      <c r="W199" t="inlineStr">
        <is>
          <t>2022-06-27T18:12:19-05:00</t>
        </is>
      </c>
      <c r="X199">
        <f>IFERROR(1/COUNTIF($I:$I,@$I:$I), 0)</f>
        <v/>
      </c>
    </row>
    <row r="200">
      <c r="A200">
        <f>HYPERLINK("https://drivetime.tpondemand.com/entity/133482", "133482")</f>
        <v/>
      </c>
      <c r="B200" t="inlineStr">
        <is>
          <t>[BC NEXT][WEB] Fix Footer</t>
        </is>
      </c>
      <c r="C200" t="inlineStr">
        <is>
          <t>UserStory</t>
        </is>
      </c>
      <c r="D200" t="inlineStr">
        <is>
          <t>Servicing: BC Next</t>
        </is>
      </c>
      <c r="E200" t="inlineStr">
        <is>
          <t>BC Digital Drakon</t>
        </is>
      </c>
      <c r="F200" t="inlineStr">
        <is>
          <t>26</t>
        </is>
      </c>
      <c r="G200" t="inlineStr">
        <is>
          <t>Abbas Shamshi</t>
        </is>
      </c>
      <c r="H200" t="inlineStr">
        <is>
          <t>[BC NEXT] Bug Fixes/Enhancements for July</t>
        </is>
      </c>
      <c r="I200" t="n">
        <v>7</v>
      </c>
      <c r="J200" t="n">
        <v>11.17648148148148</v>
      </c>
      <c r="K200">
        <f>HYPERLINK("https://drivetime.tpondemand.com/entity/134694", "134694")</f>
        <v/>
      </c>
      <c r="L200" t="inlineStr"/>
      <c r="M200" t="n">
        <v>2</v>
      </c>
      <c r="N200" t="n">
        <v>133018</v>
      </c>
      <c r="O200" t="inlineStr">
        <is>
          <t>Done</t>
        </is>
      </c>
      <c r="P200" t="n">
        <v>1</v>
      </c>
      <c r="Q200" t="inlineStr">
        <is>
          <t>Drakon 9</t>
        </is>
      </c>
      <c r="R200" t="inlineStr">
        <is>
          <t>2022-06-16</t>
        </is>
      </c>
      <c r="S200" t="inlineStr">
        <is>
          <t>2022-06-29</t>
        </is>
      </c>
      <c r="T200" t="inlineStr">
        <is>
          <t>Drakon 9 : 2022-06-16 - 2022-06-29</t>
        </is>
      </c>
      <c r="U200" t="inlineStr">
        <is>
          <t>2022-06-27T00:00:00-05:00</t>
        </is>
      </c>
      <c r="V200" t="inlineStr">
        <is>
          <t>2022-06-20T00:00:00-05:00</t>
        </is>
      </c>
      <c r="W200" t="inlineStr">
        <is>
          <t>2022-06-27T18:12:21-05:00</t>
        </is>
      </c>
      <c r="X200">
        <f>IFERROR(1/COUNTIF($I:$I,@$I:$I), 0)</f>
        <v/>
      </c>
    </row>
    <row r="201">
      <c r="A201">
        <f>HYPERLINK("https://drivetime.tpondemand.com/entity/133563", "133563")</f>
        <v/>
      </c>
      <c r="B201" t="inlineStr">
        <is>
          <t>[BC NEXT] Fix relative paths</t>
        </is>
      </c>
      <c r="C201" t="inlineStr">
        <is>
          <t>UserStory</t>
        </is>
      </c>
      <c r="D201" t="inlineStr">
        <is>
          <t>Servicing: BC Next</t>
        </is>
      </c>
      <c r="E201" t="inlineStr">
        <is>
          <t>BC Digital Drakon</t>
        </is>
      </c>
      <c r="F201" t="inlineStr">
        <is>
          <t>23</t>
        </is>
      </c>
      <c r="G201" t="inlineStr">
        <is>
          <t>Joseph Kranak</t>
        </is>
      </c>
      <c r="H201" t="inlineStr">
        <is>
          <t>null</t>
        </is>
      </c>
      <c r="I201" t="n">
        <v>0</v>
      </c>
      <c r="J201" t="n">
        <v>0.1849074074074074</v>
      </c>
      <c r="K201">
        <f>HYPERLINK("https://drivetime.tpondemand.com/entity/133564", "133564")</f>
        <v/>
      </c>
      <c r="L201" t="inlineStr"/>
      <c r="M201" t="n">
        <v>2</v>
      </c>
      <c r="N201" t="n">
        <v>130168</v>
      </c>
      <c r="O201" t="inlineStr">
        <is>
          <t>Done</t>
        </is>
      </c>
      <c r="P201" t="n">
        <v>0</v>
      </c>
      <c r="Q201" t="inlineStr">
        <is>
          <t>Drakon 8</t>
        </is>
      </c>
      <c r="R201" t="inlineStr">
        <is>
          <t>2022-06-02</t>
        </is>
      </c>
      <c r="S201" t="inlineStr">
        <is>
          <t>2022-06-15</t>
        </is>
      </c>
      <c r="T201" t="inlineStr">
        <is>
          <t>Drakon 8 : 2022-06-02 - 2022-06-15</t>
        </is>
      </c>
      <c r="U201" t="inlineStr">
        <is>
          <t>2022-06-08T00:00:00-05:00</t>
        </is>
      </c>
      <c r="V201" t="inlineStr">
        <is>
          <t>2022-06-08T00:00:00-05:00</t>
        </is>
      </c>
      <c r="W201" t="inlineStr">
        <is>
          <t>2022-06-08T15:50:53-05:00</t>
        </is>
      </c>
      <c r="X201">
        <f>IFERROR(1/COUNTIF($I:$I,@$I:$I), 0)</f>
        <v/>
      </c>
    </row>
    <row r="202">
      <c r="A202">
        <f>HYPERLINK("https://drivetime.tpondemand.com/entity/133860", "133860")</f>
        <v/>
      </c>
      <c r="B202" t="inlineStr">
        <is>
          <t>[BC NEXT][RESEARCH] Contact Us Backend in SSP</t>
        </is>
      </c>
      <c r="C202" t="inlineStr">
        <is>
          <t>UserStory</t>
        </is>
      </c>
      <c r="D202" t="inlineStr">
        <is>
          <t>Servicing: BC Next</t>
        </is>
      </c>
      <c r="E202" t="inlineStr">
        <is>
          <t>BC Digital Drakon</t>
        </is>
      </c>
      <c r="F202" t="inlineStr">
        <is>
          <t>28</t>
        </is>
      </c>
      <c r="G202" t="inlineStr">
        <is>
          <t>Yokeshwaran Lokanathan</t>
        </is>
      </c>
      <c r="H202" t="inlineStr">
        <is>
          <t>[BC NEXT]Phase 3: Customer Support Center</t>
        </is>
      </c>
      <c r="I202" t="n">
        <v>7</v>
      </c>
      <c r="J202" t="n">
        <v>11.99210648148148</v>
      </c>
      <c r="K202" t="inlineStr"/>
      <c r="L202" t="inlineStr"/>
      <c r="M202" t="n">
        <v>2</v>
      </c>
      <c r="N202" t="n">
        <v>133019</v>
      </c>
      <c r="O202" t="inlineStr">
        <is>
          <t>Done</t>
        </is>
      </c>
      <c r="P202" t="n">
        <v>0</v>
      </c>
      <c r="Q202" t="inlineStr">
        <is>
          <t>Drakon 10</t>
        </is>
      </c>
      <c r="R202" t="inlineStr">
        <is>
          <t>2022-06-30</t>
        </is>
      </c>
      <c r="S202" t="inlineStr">
        <is>
          <t>2022-07-13</t>
        </is>
      </c>
      <c r="T202" t="inlineStr">
        <is>
          <t>Drakon 10 : 2022-06-30 - 2022-07-13</t>
        </is>
      </c>
      <c r="U202" t="inlineStr">
        <is>
          <t>2022-07-13T00:00:00-05:00</t>
        </is>
      </c>
      <c r="V202" t="inlineStr">
        <is>
          <t>2022-07-06T00:00:00-05:00</t>
        </is>
      </c>
      <c r="W202" t="inlineStr">
        <is>
          <t>2022-07-13T09:49:45-05:00</t>
        </is>
      </c>
      <c r="X202">
        <f>IFERROR(1/COUNTIF($I:$I,@$I:$I), 0)</f>
        <v/>
      </c>
    </row>
    <row r="203">
      <c r="A203">
        <f>HYPERLINK("https://drivetime.tpondemand.com/entity/133897", "133897")</f>
        <v/>
      </c>
      <c r="B203" t="inlineStr">
        <is>
          <t>[BC NEXT] Redirect Select Account page to Issue Processing Request when API error</t>
        </is>
      </c>
      <c r="C203" t="inlineStr">
        <is>
          <t>UserStory</t>
        </is>
      </c>
      <c r="D203" t="inlineStr">
        <is>
          <t>Servicing: BC Next</t>
        </is>
      </c>
      <c r="E203" t="inlineStr">
        <is>
          <t>BC Digital Drakon</t>
        </is>
      </c>
      <c r="F203" t="inlineStr">
        <is>
          <t>26</t>
        </is>
      </c>
      <c r="G203" t="inlineStr">
        <is>
          <t>Yokeshwaran Lokanathan</t>
        </is>
      </c>
      <c r="H203" t="inlineStr">
        <is>
          <t>null</t>
        </is>
      </c>
      <c r="I203" t="n">
        <v>10</v>
      </c>
      <c r="J203" t="n">
        <v>13.82783564814815</v>
      </c>
      <c r="K203" t="inlineStr"/>
      <c r="L203" t="inlineStr"/>
      <c r="M203" t="n">
        <v>2</v>
      </c>
      <c r="N203" t="n">
        <v>133018</v>
      </c>
      <c r="O203" t="inlineStr">
        <is>
          <t>Done</t>
        </is>
      </c>
      <c r="P203" t="n">
        <v>0</v>
      </c>
      <c r="Q203" t="inlineStr">
        <is>
          <t>Drakon 9</t>
        </is>
      </c>
      <c r="R203" t="inlineStr">
        <is>
          <t>2022-06-16</t>
        </is>
      </c>
      <c r="S203" t="inlineStr">
        <is>
          <t>2022-06-29</t>
        </is>
      </c>
      <c r="T203" t="inlineStr">
        <is>
          <t>Drakon 9 : 2022-06-16 - 2022-06-29</t>
        </is>
      </c>
      <c r="U203" t="inlineStr">
        <is>
          <t>2022-06-30T00:00:00-05:00</t>
        </is>
      </c>
      <c r="V203" t="inlineStr">
        <is>
          <t>2022-06-20T00:00:00-05:00</t>
        </is>
      </c>
      <c r="W203" t="inlineStr">
        <is>
          <t>2022-06-30T11:05:17-05:00</t>
        </is>
      </c>
      <c r="X203">
        <f>IFERROR(1/COUNTIF($I:$I,@$I:$I), 0)</f>
        <v/>
      </c>
    </row>
    <row r="204">
      <c r="A204">
        <f>HYPERLINK("https://drivetime.tpondemand.com/entity/134037", "134037")</f>
        <v/>
      </c>
      <c r="B204" t="inlineStr">
        <is>
          <t>[BC NEXT] Update linting to enforce private names to start with underscore</t>
        </is>
      </c>
      <c r="C204" t="inlineStr">
        <is>
          <t>UserStory</t>
        </is>
      </c>
      <c r="D204" t="inlineStr">
        <is>
          <t>Servicing: BC Next</t>
        </is>
      </c>
      <c r="E204" t="inlineStr">
        <is>
          <t>BC Digital Drakon</t>
        </is>
      </c>
      <c r="F204" t="inlineStr">
        <is>
          <t>24</t>
        </is>
      </c>
      <c r="G204" t="inlineStr">
        <is>
          <t>Joseph Kranak</t>
        </is>
      </c>
      <c r="H204" t="inlineStr">
        <is>
          <t>null</t>
        </is>
      </c>
      <c r="I204" t="n">
        <v>1</v>
      </c>
      <c r="J204" t="n">
        <v>1.350740740740741</v>
      </c>
      <c r="K204">
        <f>HYPERLINK("https://drivetime.tpondemand.com/entity/134034", "134034")</f>
        <v/>
      </c>
      <c r="L204" t="inlineStr"/>
      <c r="M204" t="n">
        <v>2</v>
      </c>
      <c r="N204" t="n">
        <v>133018</v>
      </c>
      <c r="O204" t="inlineStr">
        <is>
          <t>Done</t>
        </is>
      </c>
      <c r="P204" t="n">
        <v>0</v>
      </c>
      <c r="Q204" t="inlineStr">
        <is>
          <t>Drakon 9</t>
        </is>
      </c>
      <c r="R204" t="inlineStr">
        <is>
          <t>2022-06-16</t>
        </is>
      </c>
      <c r="S204" t="inlineStr">
        <is>
          <t>2022-06-29</t>
        </is>
      </c>
      <c r="T204" t="inlineStr">
        <is>
          <t>Drakon 9 : 2022-06-16 - 2022-06-29</t>
        </is>
      </c>
      <c r="U204" t="inlineStr">
        <is>
          <t>2022-06-16T00:00:00-05:00</t>
        </is>
      </c>
      <c r="V204" t="inlineStr">
        <is>
          <t>2022-06-15T00:00:00-05:00</t>
        </is>
      </c>
      <c r="W204" t="inlineStr">
        <is>
          <t>2022-06-16T20:12:45-05:00</t>
        </is>
      </c>
      <c r="X204">
        <f>IFERROR(1/COUNTIF($I:$I,@$I:$I), 0)</f>
        <v/>
      </c>
    </row>
    <row r="205">
      <c r="A205">
        <f>HYPERLINK("https://drivetime.tpondemand.com/entity/134084", "134084")</f>
        <v/>
      </c>
      <c r="B205" t="inlineStr">
        <is>
          <t>[SSP] Update Launch Darkly SDK</t>
        </is>
      </c>
      <c r="C205" t="inlineStr">
        <is>
          <t>UserStory</t>
        </is>
      </c>
      <c r="D205" t="inlineStr">
        <is>
          <t>Servicing: BC Next</t>
        </is>
      </c>
      <c r="E205" t="inlineStr">
        <is>
          <t>BC Digital Drakon</t>
        </is>
      </c>
      <c r="F205" t="inlineStr">
        <is>
          <t>25</t>
        </is>
      </c>
      <c r="G205" t="inlineStr">
        <is>
          <t>Connor Golobich</t>
        </is>
      </c>
      <c r="H205" t="inlineStr">
        <is>
          <t>[BC NEXT] Bug Fixes/Enhancements for June Release</t>
        </is>
      </c>
      <c r="I205" t="n">
        <v>0</v>
      </c>
      <c r="J205" t="n">
        <v>1.217418981481482</v>
      </c>
      <c r="K205">
        <f>HYPERLINK("https://drivetime.tpondemand.com/entity/134413", "134413")</f>
        <v/>
      </c>
      <c r="L205" t="inlineStr"/>
      <c r="M205" t="n">
        <v>2</v>
      </c>
      <c r="N205" t="n">
        <v>133018</v>
      </c>
      <c r="O205" t="inlineStr">
        <is>
          <t>Done</t>
        </is>
      </c>
      <c r="P205" t="n">
        <v>0</v>
      </c>
      <c r="Q205" t="inlineStr">
        <is>
          <t>Drakon 9</t>
        </is>
      </c>
      <c r="R205" t="inlineStr">
        <is>
          <t>2022-06-16</t>
        </is>
      </c>
      <c r="S205" t="inlineStr">
        <is>
          <t>2022-06-29</t>
        </is>
      </c>
      <c r="T205" t="inlineStr">
        <is>
          <t>Drakon 9 : 2022-06-16 - 2022-06-29</t>
        </is>
      </c>
      <c r="U205" t="inlineStr">
        <is>
          <t>2022-06-21T00:00:00-05:00</t>
        </is>
      </c>
      <c r="V205" t="inlineStr">
        <is>
          <t>2022-06-21T00:00:00-05:00</t>
        </is>
      </c>
      <c r="W205" t="inlineStr">
        <is>
          <t>2022-06-21T16:16:17-05:00</t>
        </is>
      </c>
      <c r="X205">
        <f>IFERROR(1/COUNTIF($I:$I,@$I:$I), 0)</f>
        <v/>
      </c>
    </row>
    <row r="206">
      <c r="A206">
        <f>HYPERLINK("https://drivetime.tpondemand.com/entity/134179", "134179")</f>
        <v/>
      </c>
      <c r="B206" t="inlineStr">
        <is>
          <t>[BC NEXT] Manage Mods - Routes and Metadata</t>
        </is>
      </c>
      <c r="C206" t="inlineStr">
        <is>
          <t>UserStory</t>
        </is>
      </c>
      <c r="D206" t="inlineStr">
        <is>
          <t>Servicing: BC Next</t>
        </is>
      </c>
      <c r="E206" t="inlineStr">
        <is>
          <t>BC Digital Drakon</t>
        </is>
      </c>
      <c r="F206" t="inlineStr">
        <is>
          <t>29</t>
        </is>
      </c>
      <c r="G206" t="inlineStr">
        <is>
          <t>Antonio Posada</t>
        </is>
      </c>
      <c r="H206" t="inlineStr">
        <is>
          <t>[BC NEXT]Phase 3: Manage Modifications Page</t>
        </is>
      </c>
      <c r="I206" t="n">
        <v>8</v>
      </c>
      <c r="J206" t="n">
        <v>19.14414351851852</v>
      </c>
      <c r="K206">
        <f>HYPERLINK("https://drivetime.tpondemand.com/entity/136946", "136946")</f>
        <v/>
      </c>
      <c r="L206" t="inlineStr"/>
      <c r="M206" t="n">
        <v>2</v>
      </c>
      <c r="N206" t="n">
        <v>133019</v>
      </c>
      <c r="O206" t="inlineStr">
        <is>
          <t>Done</t>
        </is>
      </c>
      <c r="P206" t="n">
        <v>0</v>
      </c>
      <c r="Q206" t="inlineStr">
        <is>
          <t>Drakon 10</t>
        </is>
      </c>
      <c r="R206" t="inlineStr">
        <is>
          <t>2022-06-30</t>
        </is>
      </c>
      <c r="S206" t="inlineStr">
        <is>
          <t>2022-07-13</t>
        </is>
      </c>
      <c r="T206" t="inlineStr">
        <is>
          <t>Drakon 10 : 2022-06-30 - 2022-07-13</t>
        </is>
      </c>
      <c r="U206" t="inlineStr">
        <is>
          <t>2022-07-19T00:00:00-05:00</t>
        </is>
      </c>
      <c r="V206" t="inlineStr">
        <is>
          <t>2022-07-11T00:00:00-05:00</t>
        </is>
      </c>
      <c r="W206" t="inlineStr">
        <is>
          <t>2022-07-19T14:06:06-05:00</t>
        </is>
      </c>
      <c r="X206">
        <f>IFERROR(1/COUNTIF($I:$I,@$I:$I), 0)</f>
        <v/>
      </c>
    </row>
    <row r="207">
      <c r="A207">
        <f>HYPERLINK("https://drivetime.tpondemand.com/entity/134705", "134705")</f>
        <v/>
      </c>
      <c r="B207" t="inlineStr">
        <is>
          <t>[SSP] Update SSP redirect exclusion list to include additional URLS</t>
        </is>
      </c>
      <c r="C207" t="inlineStr">
        <is>
          <t>UserStory</t>
        </is>
      </c>
      <c r="D207" t="inlineStr">
        <is>
          <t>Servicing: BC Next</t>
        </is>
      </c>
      <c r="E207" t="inlineStr">
        <is>
          <t>BC Digital Drakon</t>
        </is>
      </c>
      <c r="F207" t="inlineStr">
        <is>
          <t>27</t>
        </is>
      </c>
      <c r="G207" t="inlineStr">
        <is>
          <t>Connor Golobich</t>
        </is>
      </c>
      <c r="H207" t="inlineStr">
        <is>
          <t>[BC NEXT] Phased Rollout</t>
        </is>
      </c>
      <c r="I207" t="n">
        <v>7</v>
      </c>
      <c r="J207" t="n">
        <v>7.988136574074074</v>
      </c>
      <c r="K207">
        <f>HYPERLINK("https://drivetime.tpondemand.com/entity/134997", "134997")</f>
        <v/>
      </c>
      <c r="L207" t="inlineStr"/>
      <c r="M207" t="n">
        <v>2</v>
      </c>
      <c r="N207" t="n">
        <v>133018</v>
      </c>
      <c r="O207" t="inlineStr">
        <is>
          <t>Done</t>
        </is>
      </c>
      <c r="P207" t="n">
        <v>0</v>
      </c>
      <c r="Q207" t="inlineStr">
        <is>
          <t>Drakon 9</t>
        </is>
      </c>
      <c r="R207" t="inlineStr">
        <is>
          <t>2022-06-16</t>
        </is>
      </c>
      <c r="S207" t="inlineStr">
        <is>
          <t>2022-06-29</t>
        </is>
      </c>
      <c r="T207" t="inlineStr">
        <is>
          <t>Drakon 9 : 2022-06-16 - 2022-06-29</t>
        </is>
      </c>
      <c r="U207" t="inlineStr">
        <is>
          <t>2022-07-05T00:00:00-05:00</t>
        </is>
      </c>
      <c r="V207" t="inlineStr">
        <is>
          <t>2022-06-28T00:00:00-05:00</t>
        </is>
      </c>
      <c r="W207" t="inlineStr">
        <is>
          <t>2022-07-05T15:55:15-05:00</t>
        </is>
      </c>
      <c r="X207">
        <f>IFERROR(1/COUNTIF($I:$I,@$I:$I), 0)</f>
        <v/>
      </c>
    </row>
    <row r="208">
      <c r="A208">
        <f>HYPERLINK("https://drivetime.tpondemand.com/entity/135103", "135103")</f>
        <v/>
      </c>
      <c r="B208" t="inlineStr">
        <is>
          <t>[BC NEXT] Manage Mods - Update Redirect for /manage-modifications for non-qualifying accounts</t>
        </is>
      </c>
      <c r="C208" t="inlineStr">
        <is>
          <t>UserStory</t>
        </is>
      </c>
      <c r="D208" t="inlineStr">
        <is>
          <t>Servicing: BC Next</t>
        </is>
      </c>
      <c r="E208" t="inlineStr">
        <is>
          <t>BC Digital Drakon</t>
        </is>
      </c>
      <c r="F208" t="inlineStr">
        <is>
          <t>30</t>
        </is>
      </c>
      <c r="G208" t="inlineStr">
        <is>
          <t>Chirag Khandhar</t>
        </is>
      </c>
      <c r="H208" t="inlineStr">
        <is>
          <t>[BC NEXT]Phase 3: Manage Modifications Page</t>
        </is>
      </c>
      <c r="I208" t="n">
        <v>1</v>
      </c>
      <c r="J208" t="n">
        <v>5.9953125</v>
      </c>
      <c r="K208">
        <f>HYPERLINK("https://drivetime.tpondemand.com/entity/136946", "136946")</f>
        <v/>
      </c>
      <c r="L208" t="inlineStr"/>
      <c r="M208" t="n">
        <v>2</v>
      </c>
      <c r="N208" t="n">
        <v>133020</v>
      </c>
      <c r="O208" t="inlineStr">
        <is>
          <t>Done</t>
        </is>
      </c>
      <c r="P208" t="n">
        <v>0</v>
      </c>
      <c r="Q208" t="inlineStr">
        <is>
          <t>Drakon 11</t>
        </is>
      </c>
      <c r="R208" t="inlineStr">
        <is>
          <t>2022-07-14</t>
        </is>
      </c>
      <c r="S208" t="inlineStr">
        <is>
          <t>2022-07-27</t>
        </is>
      </c>
      <c r="T208" t="inlineStr">
        <is>
          <t>Drakon 11 : 2022-07-14 - 2022-07-27</t>
        </is>
      </c>
      <c r="U208" t="inlineStr">
        <is>
          <t>2022-07-27T00:00:00-05:00</t>
        </is>
      </c>
      <c r="V208" t="inlineStr">
        <is>
          <t>2022-07-26T00:00:00-05:00</t>
        </is>
      </c>
      <c r="W208" t="inlineStr">
        <is>
          <t>2022-07-27T10:50:57-05:00</t>
        </is>
      </c>
      <c r="X208">
        <f>IFERROR(1/COUNTIF($I:$I,@$I:$I), 0)</f>
        <v/>
      </c>
    </row>
    <row r="209">
      <c r="A209">
        <f>HYPERLINK("https://drivetime.tpondemand.com/entity/135410", "135410")</f>
        <v/>
      </c>
      <c r="B209" t="inlineStr">
        <is>
          <t>[BC NEXT] Paymentus Quick Access - Routes, Metadata, and Scaffolding</t>
        </is>
      </c>
      <c r="C209" t="inlineStr">
        <is>
          <t>UserStory</t>
        </is>
      </c>
      <c r="D209" t="inlineStr">
        <is>
          <t>Servicing: BC Next</t>
        </is>
      </c>
      <c r="E209" t="inlineStr">
        <is>
          <t>BC Digital Drakon</t>
        </is>
      </c>
      <c r="F209" t="inlineStr">
        <is>
          <t>31</t>
        </is>
      </c>
      <c r="G209" t="inlineStr">
        <is>
          <t>Chirag Khandhar</t>
        </is>
      </c>
      <c r="H209" t="inlineStr">
        <is>
          <t>[BC NEXT] Paymentus Quick Access Page</t>
        </is>
      </c>
      <c r="I209" t="n">
        <v>0</v>
      </c>
      <c r="J209" t="n">
        <v>9.258472222222222</v>
      </c>
      <c r="K209">
        <f>HYPERLINK("https://drivetime.tpondemand.com/entity/138993", "138993")</f>
        <v/>
      </c>
      <c r="L209" t="inlineStr"/>
      <c r="M209" t="n">
        <v>2</v>
      </c>
      <c r="N209" t="n">
        <v>136568</v>
      </c>
      <c r="O209" t="inlineStr">
        <is>
          <t>Done</t>
        </is>
      </c>
      <c r="P209" t="n">
        <v>0</v>
      </c>
      <c r="Q209" t="inlineStr">
        <is>
          <t>Drakon 12</t>
        </is>
      </c>
      <c r="R209" t="inlineStr">
        <is>
          <t>2022-07-28</t>
        </is>
      </c>
      <c r="S209" t="inlineStr">
        <is>
          <t>2022-08-10</t>
        </is>
      </c>
      <c r="T209" t="inlineStr">
        <is>
          <t>Drakon 12 : 2022-07-28 - 2022-08-10</t>
        </is>
      </c>
      <c r="U209" t="inlineStr">
        <is>
          <t>2022-08-03T00:00:00-05:00</t>
        </is>
      </c>
      <c r="V209" t="inlineStr">
        <is>
          <t>2022-08-03T00:00:00-05:00</t>
        </is>
      </c>
      <c r="W209" t="inlineStr">
        <is>
          <t>2022-08-03T16:09:31-05:00</t>
        </is>
      </c>
      <c r="X209">
        <f>IFERROR(1/COUNTIF($I:$I,@$I:$I), 0)</f>
        <v/>
      </c>
    </row>
    <row r="210">
      <c r="A210">
        <f>HYPERLINK("https://drivetime.tpondemand.com/entity/135922", "135922")</f>
        <v/>
      </c>
      <c r="B210" t="inlineStr">
        <is>
          <t>[BC NEXT] Manage Modifications Deployment</t>
        </is>
      </c>
      <c r="C210" t="inlineStr">
        <is>
          <t>UserStory</t>
        </is>
      </c>
      <c r="D210" t="inlineStr">
        <is>
          <t>Servicing: BC Next</t>
        </is>
      </c>
      <c r="E210" t="inlineStr">
        <is>
          <t>BC Digital Drakon</t>
        </is>
      </c>
      <c r="F210" t="inlineStr">
        <is>
          <t>39</t>
        </is>
      </c>
      <c r="G210" t="inlineStr">
        <is>
          <t>Chirag Khandhar</t>
        </is>
      </c>
      <c r="H210" t="inlineStr">
        <is>
          <t>[BC NEXT]Phase 3: Manage Modifications Page</t>
        </is>
      </c>
      <c r="I210" t="n">
        <v>0</v>
      </c>
      <c r="J210" t="n">
        <v>50.01322916666666</v>
      </c>
      <c r="K210">
        <f>HYPERLINK("https://drivetime.tpondemand.com/entity/136946", "136946")</f>
        <v/>
      </c>
      <c r="L210" t="inlineStr"/>
      <c r="M210" t="n">
        <v>2</v>
      </c>
      <c r="N210" t="n">
        <v>136574</v>
      </c>
      <c r="O210" t="inlineStr">
        <is>
          <t>Done</t>
        </is>
      </c>
      <c r="P210" t="n">
        <v>0</v>
      </c>
      <c r="Q210" t="inlineStr">
        <is>
          <t>Drakon 15</t>
        </is>
      </c>
      <c r="R210" t="inlineStr">
        <is>
          <t>2022-09-08</t>
        </is>
      </c>
      <c r="S210" t="inlineStr">
        <is>
          <t>2022-09-21</t>
        </is>
      </c>
      <c r="T210" t="inlineStr">
        <is>
          <t>Drakon 15 : 2022-09-08 - 2022-09-21</t>
        </is>
      </c>
      <c r="U210" t="inlineStr">
        <is>
          <t>2022-09-27T00:00:00-05:00</t>
        </is>
      </c>
      <c r="V210" t="inlineStr">
        <is>
          <t>2022-09-27T00:00:00-05:00</t>
        </is>
      </c>
      <c r="W210" t="inlineStr">
        <is>
          <t>2022-09-27T16:37:01-05:00</t>
        </is>
      </c>
      <c r="X210">
        <f>IFERROR(1/COUNTIF($I:$I,@$I:$I), 0)</f>
        <v/>
      </c>
    </row>
    <row r="211">
      <c r="A211">
        <f>HYPERLINK("https://drivetime.tpondemand.com/entity/136623", "136623")</f>
        <v/>
      </c>
      <c r="B211" t="inlineStr">
        <is>
          <t>[BC NEXT] APP - Add version number to Account Settings Page</t>
        </is>
      </c>
      <c r="C211" t="inlineStr">
        <is>
          <t>UserStory</t>
        </is>
      </c>
      <c r="D211" t="inlineStr">
        <is>
          <t>Servicing: BC Next</t>
        </is>
      </c>
      <c r="E211" t="inlineStr">
        <is>
          <t>BC Digital Drakon</t>
        </is>
      </c>
      <c r="F211" t="inlineStr">
        <is>
          <t>33</t>
        </is>
      </c>
      <c r="G211" t="inlineStr">
        <is>
          <t>Joseph Kranak</t>
        </is>
      </c>
      <c r="H211" t="inlineStr">
        <is>
          <t>[BC NEXT] Bug Fixes/Enhancements for August</t>
        </is>
      </c>
      <c r="I211" t="n">
        <v>7</v>
      </c>
      <c r="J211" t="n">
        <v>9.05429398148148</v>
      </c>
      <c r="K211">
        <f>HYPERLINK("https://drivetime.tpondemand.com/entity/137715", "137715")</f>
        <v/>
      </c>
      <c r="L211" t="inlineStr"/>
      <c r="M211" t="n">
        <v>2</v>
      </c>
      <c r="N211" t="inlineStr"/>
      <c r="O211" t="inlineStr">
        <is>
          <t>Done</t>
        </is>
      </c>
      <c r="P211" t="n">
        <v>1</v>
      </c>
      <c r="Q211" t="inlineStr"/>
      <c r="R211" t="inlineStr"/>
      <c r="S211" t="inlineStr"/>
      <c r="T211" t="inlineStr"/>
      <c r="U211" t="inlineStr">
        <is>
          <t>2022-08-17T00:00:00-05:00</t>
        </is>
      </c>
      <c r="V211" t="inlineStr">
        <is>
          <t>2022-08-10T00:00:00-05:00</t>
        </is>
      </c>
      <c r="W211" t="inlineStr">
        <is>
          <t>2022-08-17T17:36:19-05:00</t>
        </is>
      </c>
      <c r="X211">
        <f>IFERROR(1/COUNTIF($I:$I,@$I:$I), 0)</f>
        <v/>
      </c>
    </row>
    <row r="212">
      <c r="A212">
        <f>HYPERLINK("https://drivetime.tpondemand.com/entity/136651", "136651")</f>
        <v/>
      </c>
      <c r="B212" t="inlineStr">
        <is>
          <t>[BC NEXT] Debit Cards not syncing with Paymentus when added through Manage Debit Cards page</t>
        </is>
      </c>
      <c r="C212" t="inlineStr">
        <is>
          <t>UserStory</t>
        </is>
      </c>
      <c r="D212" t="inlineStr">
        <is>
          <t>Servicing: BC Next</t>
        </is>
      </c>
      <c r="E212" t="inlineStr">
        <is>
          <t>BC Digital Drakon</t>
        </is>
      </c>
      <c r="F212" t="inlineStr">
        <is>
          <t>31</t>
        </is>
      </c>
      <c r="G212" t="inlineStr">
        <is>
          <t>Camilo Guerrero</t>
        </is>
      </c>
      <c r="H212" t="inlineStr">
        <is>
          <t>[BC NEXT] Bug Fixes/Enhancements for August</t>
        </is>
      </c>
      <c r="I212" t="n">
        <v>4</v>
      </c>
      <c r="J212" t="n">
        <v>6.205925925925926</v>
      </c>
      <c r="K212">
        <f>HYPERLINK("https://drivetime.tpondemand.com/entity/136925", "136925")</f>
        <v/>
      </c>
      <c r="L212" t="inlineStr"/>
      <c r="M212" t="n">
        <v>2</v>
      </c>
      <c r="N212" t="n">
        <v>136568</v>
      </c>
      <c r="O212" t="inlineStr">
        <is>
          <t>Done</t>
        </is>
      </c>
      <c r="P212" t="n">
        <v>0</v>
      </c>
      <c r="Q212" t="inlineStr">
        <is>
          <t>Drakon 12</t>
        </is>
      </c>
      <c r="R212" t="inlineStr">
        <is>
          <t>2022-07-28</t>
        </is>
      </c>
      <c r="S212" t="inlineStr">
        <is>
          <t>2022-08-10</t>
        </is>
      </c>
      <c r="T212" t="inlineStr">
        <is>
          <t>Drakon 12 : 2022-07-28 - 2022-08-10</t>
        </is>
      </c>
      <c r="U212" t="inlineStr">
        <is>
          <t>2022-08-02T00:00:00-05:00</t>
        </is>
      </c>
      <c r="V212" t="inlineStr">
        <is>
          <t>2022-07-29T00:00:00-05:00</t>
        </is>
      </c>
      <c r="W212" t="inlineStr">
        <is>
          <t>2022-08-02T16:02:19-05:00</t>
        </is>
      </c>
      <c r="X212">
        <f>IFERROR(1/COUNTIF($I:$I,@$I:$I), 0)</f>
        <v/>
      </c>
    </row>
    <row r="213">
      <c r="A213">
        <f>HYPERLINK("https://drivetime.tpondemand.com/entity/139238", "139238")</f>
        <v/>
      </c>
      <c r="B213" t="inlineStr">
        <is>
          <t>[BC NEXT][RESEARCH] Payoff Quote - How is Payoff Quote Summary document created</t>
        </is>
      </c>
      <c r="C213" t="inlineStr">
        <is>
          <t>UserStory</t>
        </is>
      </c>
      <c r="D213" t="inlineStr">
        <is>
          <t>Servicing: BC Next</t>
        </is>
      </c>
      <c r="E213" t="inlineStr">
        <is>
          <t>BC Digital Drakon</t>
        </is>
      </c>
      <c r="F213" t="inlineStr">
        <is>
          <t>39</t>
        </is>
      </c>
      <c r="G213" t="inlineStr">
        <is>
          <t>Chirag Khandhar</t>
        </is>
      </c>
      <c r="H213" t="inlineStr">
        <is>
          <t>[BC NEXT]Phase 3: Payoff Quote</t>
        </is>
      </c>
      <c r="I213" t="n">
        <v>0</v>
      </c>
      <c r="J213" t="n">
        <v>5.206377314814815</v>
      </c>
      <c r="K213" t="inlineStr"/>
      <c r="L213" t="inlineStr"/>
      <c r="M213" t="n">
        <v>2</v>
      </c>
      <c r="N213" t="n">
        <v>136575</v>
      </c>
      <c r="O213" t="inlineStr">
        <is>
          <t>Done</t>
        </is>
      </c>
      <c r="P213" t="n">
        <v>0</v>
      </c>
      <c r="Q213" t="inlineStr">
        <is>
          <t>Drakon 16</t>
        </is>
      </c>
      <c r="R213" t="inlineStr">
        <is>
          <t>2022-09-22</t>
        </is>
      </c>
      <c r="S213" t="inlineStr">
        <is>
          <t>2022-10-05</t>
        </is>
      </c>
      <c r="T213" t="inlineStr">
        <is>
          <t>Drakon 16 : 2022-09-22 - 2022-10-05</t>
        </is>
      </c>
      <c r="U213" t="inlineStr">
        <is>
          <t>2022-09-27T00:00:00-05:00</t>
        </is>
      </c>
      <c r="V213" t="inlineStr">
        <is>
          <t>2022-09-27T00:00:00-05:00</t>
        </is>
      </c>
      <c r="W213" t="inlineStr">
        <is>
          <t>2022-09-27T13:40:24-05:00</t>
        </is>
      </c>
      <c r="X213">
        <f>IFERROR(1/COUNTIF($I:$I,@$I:$I), 0)</f>
        <v/>
      </c>
    </row>
    <row r="214">
      <c r="A214">
        <f>HYPERLINK("https://drivetime.tpondemand.com/entity/139705", "139705")</f>
        <v/>
      </c>
      <c r="B214" t="inlineStr">
        <is>
          <t>[BC NEXT] Hide Non Logged-in Debit Card Experience</t>
        </is>
      </c>
      <c r="C214" t="inlineStr">
        <is>
          <t>UserStory</t>
        </is>
      </c>
      <c r="D214" t="inlineStr">
        <is>
          <t>Servicing: BC Next</t>
        </is>
      </c>
      <c r="E214" t="inlineStr">
        <is>
          <t>BC Digital Drakon</t>
        </is>
      </c>
      <c r="F214" t="inlineStr">
        <is>
          <t>37</t>
        </is>
      </c>
      <c r="G214" t="inlineStr">
        <is>
          <t>Abbas Shamshi</t>
        </is>
      </c>
      <c r="H214" t="inlineStr">
        <is>
          <t>null</t>
        </is>
      </c>
      <c r="I214" t="n">
        <v>1</v>
      </c>
      <c r="J214" t="n">
        <v>0.8947222222222222</v>
      </c>
      <c r="K214">
        <f>HYPERLINK("https://drivetime.tpondemand.com/entity/139752", "139752")</f>
        <v/>
      </c>
      <c r="L214" t="inlineStr"/>
      <c r="M214" t="n">
        <v>2</v>
      </c>
      <c r="N214" t="inlineStr"/>
      <c r="O214" t="inlineStr">
        <is>
          <t>Done</t>
        </is>
      </c>
      <c r="P214" t="n">
        <v>0</v>
      </c>
      <c r="Q214" t="inlineStr"/>
      <c r="R214" t="inlineStr"/>
      <c r="S214" t="inlineStr"/>
      <c r="T214" t="inlineStr"/>
      <c r="U214" t="inlineStr">
        <is>
          <t>2022-09-16T00:00:00-05:00</t>
        </is>
      </c>
      <c r="V214" t="inlineStr">
        <is>
          <t>2022-09-15T00:00:00-05:00</t>
        </is>
      </c>
      <c r="W214" t="inlineStr">
        <is>
          <t>2022-09-16T10:40:57-05:00</t>
        </is>
      </c>
      <c r="X214">
        <f>IFERROR(1/COUNTIF($I:$I,@$I:$I), 0)</f>
        <v/>
      </c>
    </row>
    <row r="215">
      <c r="A215">
        <f>HYPERLINK("https://drivetime.tpondemand.com/entity/140200", "140200")</f>
        <v/>
      </c>
      <c r="B215" t="inlineStr">
        <is>
          <t>[BC NEXT] Add disclaimer to Account Lookup page</t>
        </is>
      </c>
      <c r="C215" t="inlineStr">
        <is>
          <t>UserStory</t>
        </is>
      </c>
      <c r="D215" t="inlineStr">
        <is>
          <t>Servicing: BC Next</t>
        </is>
      </c>
      <c r="E215" t="inlineStr">
        <is>
          <t>BC Digital Drakon</t>
        </is>
      </c>
      <c r="F215" t="inlineStr">
        <is>
          <t>40</t>
        </is>
      </c>
      <c r="G215" t="inlineStr">
        <is>
          <t>Abbas Shamshi</t>
        </is>
      </c>
      <c r="H215" t="inlineStr">
        <is>
          <t>null</t>
        </is>
      </c>
      <c r="I215" t="n">
        <v>8</v>
      </c>
      <c r="J215" t="n">
        <v>12.09701388888889</v>
      </c>
      <c r="K215">
        <f>HYPERLINK("https://drivetime.tpondemand.com/entity/140516", "140516")</f>
        <v/>
      </c>
      <c r="L215" t="inlineStr"/>
      <c r="M215" t="n">
        <v>2</v>
      </c>
      <c r="N215" t="n">
        <v>136575</v>
      </c>
      <c r="O215" t="inlineStr">
        <is>
          <t>Done</t>
        </is>
      </c>
      <c r="P215" t="n">
        <v>0</v>
      </c>
      <c r="Q215" t="inlineStr">
        <is>
          <t>Drakon 16</t>
        </is>
      </c>
      <c r="R215" t="inlineStr">
        <is>
          <t>2022-09-22</t>
        </is>
      </c>
      <c r="S215" t="inlineStr">
        <is>
          <t>2022-10-05</t>
        </is>
      </c>
      <c r="T215" t="inlineStr">
        <is>
          <t>Drakon 16 : 2022-09-22 - 2022-10-05</t>
        </is>
      </c>
      <c r="U215" t="inlineStr">
        <is>
          <t>2022-10-04T00:00:00-05:00</t>
        </is>
      </c>
      <c r="V215" t="inlineStr">
        <is>
          <t>2022-09-26T00:00:00-05:00</t>
        </is>
      </c>
      <c r="W215" t="inlineStr">
        <is>
          <t>2022-10-04T18:09:56-05:00</t>
        </is>
      </c>
      <c r="X215">
        <f>IFERROR(1/COUNTIF($I:$I,@$I:$I), 0)</f>
        <v/>
      </c>
    </row>
    <row r="216">
      <c r="A216">
        <f>HYPERLINK("https://drivetime.tpondemand.com/entity/140796", "140796")</f>
        <v/>
      </c>
      <c r="B216" t="inlineStr">
        <is>
          <t>[BC NEXT][SSP] Add Manage Modifications URLs to redirect flag</t>
        </is>
      </c>
      <c r="C216" t="inlineStr">
        <is>
          <t>UserStory</t>
        </is>
      </c>
      <c r="D216" t="inlineStr">
        <is>
          <t>Servicing: BC Next</t>
        </is>
      </c>
      <c r="E216" t="inlineStr">
        <is>
          <t>BC Digital Drakon</t>
        </is>
      </c>
      <c r="F216" t="inlineStr">
        <is>
          <t>42</t>
        </is>
      </c>
      <c r="G216" t="inlineStr">
        <is>
          <t>Connor Golobich</t>
        </is>
      </c>
      <c r="H216" t="inlineStr">
        <is>
          <t>[BC NEXT]Phase 3: Manage Modifications Page</t>
        </is>
      </c>
      <c r="I216" t="n">
        <v>6</v>
      </c>
      <c r="J216" t="n">
        <v>14.05828703703704</v>
      </c>
      <c r="K216" t="inlineStr"/>
      <c r="L216" t="inlineStr"/>
      <c r="M216" t="n">
        <v>2</v>
      </c>
      <c r="N216" t="n">
        <v>136576</v>
      </c>
      <c r="O216" t="inlineStr">
        <is>
          <t>Done</t>
        </is>
      </c>
      <c r="P216" t="n">
        <v>0</v>
      </c>
      <c r="Q216" t="inlineStr">
        <is>
          <t>Drakon 17</t>
        </is>
      </c>
      <c r="R216" t="inlineStr">
        <is>
          <t>2022-10-06</t>
        </is>
      </c>
      <c r="S216" t="inlineStr">
        <is>
          <t>2022-10-19</t>
        </is>
      </c>
      <c r="T216" t="inlineStr">
        <is>
          <t>Drakon 17 : 2022-10-06 - 2022-10-19</t>
        </is>
      </c>
      <c r="U216" t="inlineStr">
        <is>
          <t>2022-10-20T00:00:00-05:00</t>
        </is>
      </c>
      <c r="V216" t="inlineStr">
        <is>
          <t>2022-10-14T00:00:00-05:00</t>
        </is>
      </c>
      <c r="W216" t="inlineStr">
        <is>
          <t>2022-10-20T14:58:40-05:00</t>
        </is>
      </c>
      <c r="X216">
        <f>IFERROR(1/COUNTIF($I:$I,@$I:$I), 0)</f>
        <v/>
      </c>
    </row>
    <row r="217">
      <c r="A217">
        <f>HYPERLINK("https://drivetime.tpondemand.com/entity/140944", "140944")</f>
        <v/>
      </c>
      <c r="B217" t="inlineStr">
        <is>
          <t>[BC NEXT] Payoff Quote - Update Payoff Quote Letter</t>
        </is>
      </c>
      <c r="C217" t="inlineStr">
        <is>
          <t>UserStory</t>
        </is>
      </c>
      <c r="D217" t="inlineStr">
        <is>
          <t>Servicing: BC Next</t>
        </is>
      </c>
      <c r="E217" t="inlineStr">
        <is>
          <t>BC Digital Drakon</t>
        </is>
      </c>
      <c r="F217" t="inlineStr">
        <is>
          <t>43</t>
        </is>
      </c>
      <c r="G217" t="inlineStr">
        <is>
          <t>Chirag Khandhar</t>
        </is>
      </c>
      <c r="H217" t="inlineStr">
        <is>
          <t>[BC NEXT]Phase 3: Payoff Quote</t>
        </is>
      </c>
      <c r="I217" t="n">
        <v>3</v>
      </c>
      <c r="J217" t="n">
        <v>4.254525462962963</v>
      </c>
      <c r="K217">
        <f>HYPERLINK("https://drivetime.tpondemand.com/entity/142204", "142204")</f>
        <v/>
      </c>
      <c r="L217" t="inlineStr"/>
      <c r="M217" t="n">
        <v>2</v>
      </c>
      <c r="N217" t="n">
        <v>136577</v>
      </c>
      <c r="O217" t="inlineStr">
        <is>
          <t>Done</t>
        </is>
      </c>
      <c r="P217" t="n">
        <v>1</v>
      </c>
      <c r="Q217" t="inlineStr">
        <is>
          <t>Drakon 18</t>
        </is>
      </c>
      <c r="R217" t="inlineStr">
        <is>
          <t>2022-10-20</t>
        </is>
      </c>
      <c r="S217" t="inlineStr">
        <is>
          <t>2022-11-02</t>
        </is>
      </c>
      <c r="T217" t="inlineStr">
        <is>
          <t>Drakon 18 : 2022-10-20 - 2022-11-02</t>
        </is>
      </c>
      <c r="U217" t="inlineStr">
        <is>
          <t>2022-10-24T00:00:00-05:00</t>
        </is>
      </c>
      <c r="V217" t="inlineStr">
        <is>
          <t>2022-10-21T00:00:00-05:00</t>
        </is>
      </c>
      <c r="W217" t="inlineStr">
        <is>
          <t>2022-10-24T17:06:24-05:00</t>
        </is>
      </c>
      <c r="X217">
        <f>IFERROR(1/COUNTIF($I:$I,@$I:$I), 0)</f>
        <v/>
      </c>
    </row>
    <row r="218">
      <c r="A218">
        <f>HYPERLINK("https://drivetime.tpondemand.com/entity/145321", "145321")</f>
        <v/>
      </c>
      <c r="B218" t="inlineStr">
        <is>
          <t>[BC NEXT] My Profile - Create unit tests for email validation</t>
        </is>
      </c>
      <c r="C218" t="inlineStr">
        <is>
          <t>UserStory</t>
        </is>
      </c>
      <c r="D218" t="inlineStr">
        <is>
          <t>Servicing: BC Next</t>
        </is>
      </c>
      <c r="E218" t="inlineStr">
        <is>
          <t>BC Digital Drakon</t>
        </is>
      </c>
      <c r="F218" t="inlineStr">
        <is>
          <t>50</t>
        </is>
      </c>
      <c r="G218" t="inlineStr">
        <is>
          <t>Michael Wang</t>
        </is>
      </c>
      <c r="H218" t="inlineStr">
        <is>
          <t>[BC NEXT] Phase 3: Account Settings/My Profile</t>
        </is>
      </c>
      <c r="I218" t="n">
        <v>0</v>
      </c>
      <c r="J218" t="n">
        <v>7.579490740740741</v>
      </c>
      <c r="K218">
        <f>HYPERLINK("https://drivetime.tpondemand.com/entity/146568", "146568")</f>
        <v/>
      </c>
      <c r="L218" t="inlineStr"/>
      <c r="M218" t="n">
        <v>2</v>
      </c>
      <c r="N218" t="n">
        <v>136580</v>
      </c>
      <c r="O218" t="inlineStr">
        <is>
          <t>Done</t>
        </is>
      </c>
      <c r="P218" t="n">
        <v>0</v>
      </c>
      <c r="Q218" t="inlineStr">
        <is>
          <t>Drakon 21</t>
        </is>
      </c>
      <c r="R218" t="inlineStr">
        <is>
          <t>2022-12-01</t>
        </is>
      </c>
      <c r="S218" t="inlineStr">
        <is>
          <t>2022-12-14</t>
        </is>
      </c>
      <c r="T218" t="inlineStr">
        <is>
          <t>Drakon 21 : 2022-12-01 - 2022-12-14</t>
        </is>
      </c>
      <c r="U218" t="inlineStr">
        <is>
          <t>2022-12-14T00:00:00-06:00</t>
        </is>
      </c>
      <c r="V218" t="inlineStr">
        <is>
          <t>2022-12-14T00:00:00-06:00</t>
        </is>
      </c>
      <c r="W218" t="inlineStr">
        <is>
          <t>2022-12-14T00:00:00-06:00</t>
        </is>
      </c>
      <c r="X218">
        <f>IFERROR(1/COUNTIF($I:$I,@$I:$I), 0)</f>
        <v/>
      </c>
    </row>
    <row r="219">
      <c r="A219">
        <f>HYPERLINK("https://drivetime.tpondemand.com/entity/125514", "125514")</f>
        <v/>
      </c>
      <c r="B219" t="inlineStr">
        <is>
          <t>[BC NEXT] App Pilot - SSP Banner Links</t>
        </is>
      </c>
      <c r="C219" t="inlineStr">
        <is>
          <t>UserStory</t>
        </is>
      </c>
      <c r="D219" t="inlineStr">
        <is>
          <t>Servicing: BC Next</t>
        </is>
      </c>
      <c r="E219" t="inlineStr">
        <is>
          <t>BC Digital Drakon</t>
        </is>
      </c>
      <c r="F219" t="inlineStr">
        <is>
          <t>02</t>
        </is>
      </c>
      <c r="G219" t="inlineStr">
        <is>
          <t>Pete Wesselius</t>
        </is>
      </c>
      <c r="H219" t="inlineStr">
        <is>
          <t>[BC NEXT] Mobile App Pilot - App Dev</t>
        </is>
      </c>
      <c r="I219" t="n">
        <v>1</v>
      </c>
      <c r="J219" t="n">
        <v>0.974849537037037</v>
      </c>
      <c r="K219">
        <f>HYPERLINK("https://drivetime.tpondemand.com/entity/124683", "124683")</f>
        <v/>
      </c>
      <c r="L219" t="inlineStr"/>
      <c r="M219" t="n">
        <v>1</v>
      </c>
      <c r="N219" t="n">
        <v>121857</v>
      </c>
      <c r="O219" t="inlineStr">
        <is>
          <t>Done</t>
        </is>
      </c>
      <c r="P219" t="n">
        <v>0</v>
      </c>
      <c r="Q219" t="inlineStr">
        <is>
          <t>Kraken 49</t>
        </is>
      </c>
      <c r="R219" t="inlineStr">
        <is>
          <t>2021-12-16</t>
        </is>
      </c>
      <c r="S219" t="inlineStr">
        <is>
          <t>2022-01-12</t>
        </is>
      </c>
      <c r="T219" t="inlineStr">
        <is>
          <t>Kraken 49 : 2021-12-16 - 2022-01-12</t>
        </is>
      </c>
      <c r="U219" t="inlineStr">
        <is>
          <t>2022-01-12T00:00:00-06:00</t>
        </is>
      </c>
      <c r="V219" t="inlineStr">
        <is>
          <t>2022-01-11T00:00:00-06:00</t>
        </is>
      </c>
      <c r="W219" t="inlineStr">
        <is>
          <t>2022-01-12T12:05:54-06:00</t>
        </is>
      </c>
      <c r="X219">
        <f>IFERROR(1/COUNTIF($I:$I,@$I:$I), 0)</f>
        <v/>
      </c>
    </row>
    <row r="220">
      <c r="A220">
        <f>HYPERLINK("https://drivetime.tpondemand.com/entity/129645", "129645")</f>
        <v/>
      </c>
      <c r="B220" t="inlineStr">
        <is>
          <t>[BC NEXT][WEB] Update Homepage Login Button to Blue Button</t>
        </is>
      </c>
      <c r="C220" t="inlineStr">
        <is>
          <t>UserStory</t>
        </is>
      </c>
      <c r="D220" t="inlineStr">
        <is>
          <t>Servicing: BC Next</t>
        </is>
      </c>
      <c r="E220" t="inlineStr">
        <is>
          <t>BC Digital Drakon</t>
        </is>
      </c>
      <c r="F220" t="inlineStr">
        <is>
          <t>20</t>
        </is>
      </c>
      <c r="G220" t="inlineStr">
        <is>
          <t>Shyam Senthil Nathan</t>
        </is>
      </c>
      <c r="H220" t="inlineStr">
        <is>
          <t>[BC NEXT] Bug Fixes/Enhancements for June Release</t>
        </is>
      </c>
      <c r="I220" t="n">
        <v>0</v>
      </c>
      <c r="J220" t="n">
        <v>12.24811342592593</v>
      </c>
      <c r="K220" t="inlineStr"/>
      <c r="L220" t="inlineStr"/>
      <c r="M220" t="n">
        <v>1</v>
      </c>
      <c r="N220" t="n">
        <v>130166</v>
      </c>
      <c r="O220" t="inlineStr">
        <is>
          <t>Done</t>
        </is>
      </c>
      <c r="P220" t="n">
        <v>0</v>
      </c>
      <c r="Q220" t="inlineStr">
        <is>
          <t>Drakon 6</t>
        </is>
      </c>
      <c r="R220" t="inlineStr">
        <is>
          <t>2022-05-05</t>
        </is>
      </c>
      <c r="S220" t="inlineStr">
        <is>
          <t>2022-05-18</t>
        </is>
      </c>
      <c r="T220" t="inlineStr">
        <is>
          <t>Drakon 6 : 2022-05-05 - 2022-05-18</t>
        </is>
      </c>
      <c r="U220" t="inlineStr">
        <is>
          <t>2022-05-18T00:00:00-05:00</t>
        </is>
      </c>
      <c r="V220" t="inlineStr">
        <is>
          <t>2022-05-18T00:00:00-05:00</t>
        </is>
      </c>
      <c r="W220" t="inlineStr">
        <is>
          <t>2022-05-18T15:00:29-05:00</t>
        </is>
      </c>
      <c r="X220">
        <f>IFERROR(1/COUNTIF($I:$I,@$I:$I), 0)</f>
        <v/>
      </c>
    </row>
    <row r="221">
      <c r="A221">
        <f>HYPERLINK("https://drivetime.tpondemand.com/entity/132151", "132151")</f>
        <v/>
      </c>
      <c r="B221" t="inlineStr">
        <is>
          <t>[BC NEXT][WEB] Update favicon</t>
        </is>
      </c>
      <c r="C221" t="inlineStr">
        <is>
          <t>UserStory</t>
        </is>
      </c>
      <c r="D221" t="inlineStr">
        <is>
          <t>Servicing: BC Next</t>
        </is>
      </c>
      <c r="E221" t="inlineStr">
        <is>
          <t>BC Digital Drakon</t>
        </is>
      </c>
      <c r="F221" t="inlineStr">
        <is>
          <t>22</t>
        </is>
      </c>
      <c r="G221" t="inlineStr">
        <is>
          <t>Antonio Posada</t>
        </is>
      </c>
      <c r="H221" t="inlineStr">
        <is>
          <t>[BC NEXT] Bug Fixes/Enhancements for June Release</t>
        </is>
      </c>
      <c r="I221" t="n">
        <v>2</v>
      </c>
      <c r="J221" t="n">
        <v>2.836296296296296</v>
      </c>
      <c r="K221">
        <f>HYPERLINK("https://drivetime.tpondemand.com/entity/133076", "133076")</f>
        <v/>
      </c>
      <c r="L221" t="inlineStr"/>
      <c r="M221" t="n">
        <v>1</v>
      </c>
      <c r="N221" t="n">
        <v>130167</v>
      </c>
      <c r="O221" t="inlineStr">
        <is>
          <t>Done</t>
        </is>
      </c>
      <c r="P221" t="n">
        <v>0</v>
      </c>
      <c r="Q221" t="inlineStr">
        <is>
          <t>Drakon 7</t>
        </is>
      </c>
      <c r="R221" t="inlineStr">
        <is>
          <t>2022-05-19</t>
        </is>
      </c>
      <c r="S221" t="inlineStr">
        <is>
          <t>2022-06-01</t>
        </is>
      </c>
      <c r="T221" t="inlineStr">
        <is>
          <t>Drakon 7 : 2022-05-19 - 2022-06-01</t>
        </is>
      </c>
      <c r="U221" t="inlineStr">
        <is>
          <t>2022-06-02T00:00:00-05:00</t>
        </is>
      </c>
      <c r="V221" t="inlineStr">
        <is>
          <t>2022-05-31T00:00:00-05:00</t>
        </is>
      </c>
      <c r="W221" t="inlineStr">
        <is>
          <t>2022-06-02T09:11:45-05:00</t>
        </is>
      </c>
      <c r="X221">
        <f>IFERROR(1/COUNTIF($I:$I,@$I:$I), 0)</f>
        <v/>
      </c>
    </row>
    <row r="222">
      <c r="A222">
        <f>HYPERLINK("https://drivetime.tpondemand.com/entity/133224", "133224")</f>
        <v/>
      </c>
      <c r="B222" t="inlineStr">
        <is>
          <t>[BC NEXT][APP] Update button on pre-login page</t>
        </is>
      </c>
      <c r="C222" t="inlineStr">
        <is>
          <t>UserStory</t>
        </is>
      </c>
      <c r="D222" t="inlineStr">
        <is>
          <t>Servicing: BC Next</t>
        </is>
      </c>
      <c r="E222" t="inlineStr">
        <is>
          <t>BC Digital Drakon</t>
        </is>
      </c>
      <c r="F222" t="inlineStr">
        <is>
          <t>23</t>
        </is>
      </c>
      <c r="G222" t="inlineStr">
        <is>
          <t>Joseph Kranak</t>
        </is>
      </c>
      <c r="H222" t="inlineStr">
        <is>
          <t>[BC NEXT] Bug Fixes/Enhancements for July</t>
        </is>
      </c>
      <c r="I222" t="n">
        <v>0</v>
      </c>
      <c r="J222" t="n">
        <v>1.043726851851852</v>
      </c>
      <c r="K222">
        <f>HYPERLINK("https://drivetime.tpondemand.com/entity/133564", "133564")</f>
        <v/>
      </c>
      <c r="L222" t="inlineStr"/>
      <c r="M222" t="n">
        <v>1</v>
      </c>
      <c r="N222" t="n">
        <v>130168</v>
      </c>
      <c r="O222" t="inlineStr">
        <is>
          <t>Done</t>
        </is>
      </c>
      <c r="P222" t="n">
        <v>0</v>
      </c>
      <c r="Q222" t="inlineStr">
        <is>
          <t>Drakon 8</t>
        </is>
      </c>
      <c r="R222" t="inlineStr">
        <is>
          <t>2022-06-02</t>
        </is>
      </c>
      <c r="S222" t="inlineStr">
        <is>
          <t>2022-06-15</t>
        </is>
      </c>
      <c r="T222" t="inlineStr">
        <is>
          <t>Drakon 8 : 2022-06-02 - 2022-06-15</t>
        </is>
      </c>
      <c r="U222" t="inlineStr">
        <is>
          <t>2022-06-08T00:00:00-05:00</t>
        </is>
      </c>
      <c r="V222" t="inlineStr">
        <is>
          <t>2022-06-08T00:00:00-05:00</t>
        </is>
      </c>
      <c r="W222" t="inlineStr">
        <is>
          <t>2022-06-08T15:50:52-05:00</t>
        </is>
      </c>
      <c r="X222">
        <f>IFERROR(1/COUNTIF($I:$I,@$I:$I), 0)</f>
        <v/>
      </c>
    </row>
    <row r="223">
      <c r="A223">
        <f>HYPERLINK("https://drivetime.tpondemand.com/entity/135036", "135036")</f>
        <v/>
      </c>
      <c r="B223" t="inlineStr">
        <is>
          <t>[BC NEXT] Update language on Payment Options page</t>
        </is>
      </c>
      <c r="C223" t="inlineStr">
        <is>
          <t>UserStory</t>
        </is>
      </c>
      <c r="D223" t="inlineStr">
        <is>
          <t>Servicing: BC Next</t>
        </is>
      </c>
      <c r="E223" t="inlineStr">
        <is>
          <t>BC Digital Drakon</t>
        </is>
      </c>
      <c r="F223" t="inlineStr">
        <is>
          <t>28</t>
        </is>
      </c>
      <c r="G223" t="inlineStr">
        <is>
          <t>Chirag Khandhar</t>
        </is>
      </c>
      <c r="H223" t="inlineStr">
        <is>
          <t>[BC NEXT] Bug Fixes/Enhancements for July</t>
        </is>
      </c>
      <c r="I223" t="n">
        <v>11</v>
      </c>
      <c r="J223" t="n">
        <v>11.14648148148148</v>
      </c>
      <c r="K223">
        <f>HYPERLINK("https://drivetime.tpondemand.com/entity/135384", "135384")</f>
        <v/>
      </c>
      <c r="L223" t="inlineStr"/>
      <c r="M223" t="n">
        <v>1</v>
      </c>
      <c r="N223" t="n">
        <v>133019</v>
      </c>
      <c r="O223" t="inlineStr">
        <is>
          <t>Done</t>
        </is>
      </c>
      <c r="P223" t="n">
        <v>0</v>
      </c>
      <c r="Q223" t="inlineStr">
        <is>
          <t>Drakon 10</t>
        </is>
      </c>
      <c r="R223" t="inlineStr">
        <is>
          <t>2022-06-30</t>
        </is>
      </c>
      <c r="S223" t="inlineStr">
        <is>
          <t>2022-07-13</t>
        </is>
      </c>
      <c r="T223" t="inlineStr">
        <is>
          <t>Drakon 10 : 2022-06-30 - 2022-07-13</t>
        </is>
      </c>
      <c r="U223" t="inlineStr">
        <is>
          <t>2022-07-12T00:00:00-05:00</t>
        </is>
      </c>
      <c r="V223" t="inlineStr">
        <is>
          <t>2022-07-01T00:00:00-05:00</t>
        </is>
      </c>
      <c r="W223" t="inlineStr">
        <is>
          <t>2022-07-12T14:44:21-05:00</t>
        </is>
      </c>
      <c r="X223">
        <f>IFERROR(1/COUNTIF($I:$I,@$I:$I), 0)</f>
        <v/>
      </c>
    </row>
    <row r="224">
      <c r="A224">
        <f>HYPERLINK("https://drivetime.tpondemand.com/entity/142086", "142086")</f>
        <v/>
      </c>
      <c r="B224" t="inlineStr">
        <is>
          <t>[BC NEXT][SSP] Deploy Manage Modifications redirects</t>
        </is>
      </c>
      <c r="C224" t="inlineStr">
        <is>
          <t>UserStory</t>
        </is>
      </c>
      <c r="D224" t="inlineStr">
        <is>
          <t>Servicing: BC Next</t>
        </is>
      </c>
      <c r="E224" t="inlineStr">
        <is>
          <t>BC Digital Drakon</t>
        </is>
      </c>
      <c r="F224" t="inlineStr">
        <is>
          <t>48</t>
        </is>
      </c>
      <c r="G224" t="inlineStr">
        <is>
          <t>Connor Golobich</t>
        </is>
      </c>
      <c r="H224" t="inlineStr">
        <is>
          <t>[BC NEXT]Phase 3: Manage Modifications Page</t>
        </is>
      </c>
      <c r="I224" t="n">
        <v>12</v>
      </c>
      <c r="J224" t="n">
        <v>11.73509259259259</v>
      </c>
      <c r="K224">
        <f>HYPERLINK("https://drivetime.tpondemand.com/entity/144706", "144706")</f>
        <v/>
      </c>
      <c r="L224" t="inlineStr"/>
      <c r="M224" t="n">
        <v>1</v>
      </c>
      <c r="N224" t="n">
        <v>136579</v>
      </c>
      <c r="O224" t="inlineStr">
        <is>
          <t>Done</t>
        </is>
      </c>
      <c r="P224" t="n">
        <v>0</v>
      </c>
      <c r="Q224" t="inlineStr">
        <is>
          <t>Drakon 20</t>
        </is>
      </c>
      <c r="R224" t="inlineStr">
        <is>
          <t>2022-11-17</t>
        </is>
      </c>
      <c r="S224" t="inlineStr">
        <is>
          <t>2022-11-30</t>
        </is>
      </c>
      <c r="T224" t="inlineStr">
        <is>
          <t>Drakon 20 : 2022-11-17 - 2022-11-30</t>
        </is>
      </c>
      <c r="U224" t="inlineStr">
        <is>
          <t>2022-11-29T00:00:00-06:00</t>
        </is>
      </c>
      <c r="V224" t="inlineStr">
        <is>
          <t>2022-11-17T00:00:00-06:00</t>
        </is>
      </c>
      <c r="W224" t="inlineStr">
        <is>
          <t>2022-11-29T09:26:02-06:00</t>
        </is>
      </c>
      <c r="X224">
        <f>IFERROR(1/COUNTIF($I:$I,@$I:$I), 0)</f>
        <v/>
      </c>
    </row>
    <row r="225">
      <c r="A225">
        <f>HYPERLINK("https://drivetime.tpondemand.com/entity/125432", "125432")</f>
        <v/>
      </c>
      <c r="B225" t="inlineStr">
        <is>
          <t>[BC NEXT][OBSERVATIONS][1] Transaction History is not showing recent payments</t>
        </is>
      </c>
      <c r="C225" t="inlineStr">
        <is>
          <t>UserStory</t>
        </is>
      </c>
      <c r="D225" t="inlineStr">
        <is>
          <t>Servicing: BC Next</t>
        </is>
      </c>
      <c r="E225" t="inlineStr">
        <is>
          <t>BC Digital Drakon</t>
        </is>
      </c>
      <c r="F225" t="inlineStr">
        <is>
          <t>02</t>
        </is>
      </c>
      <c r="G225" t="inlineStr"/>
      <c r="H225" t="inlineStr">
        <is>
          <t>[BC NEXT] Prior to Launch Tech Investment</t>
        </is>
      </c>
      <c r="I225" t="n">
        <v>0</v>
      </c>
      <c r="J225" t="n">
        <v>2.314814814814815e-05</v>
      </c>
      <c r="K225" t="inlineStr"/>
      <c r="L225" t="inlineStr"/>
      <c r="M225" t="n">
        <v>0</v>
      </c>
      <c r="N225" t="inlineStr"/>
      <c r="O225" t="inlineStr">
        <is>
          <t>Done</t>
        </is>
      </c>
      <c r="P225" t="n">
        <v>0</v>
      </c>
      <c r="Q225" t="inlineStr"/>
      <c r="R225" t="inlineStr"/>
      <c r="S225" t="inlineStr"/>
      <c r="T225" t="inlineStr"/>
      <c r="U225" t="inlineStr">
        <is>
          <t>2022-01-12T00:00:00-06:00</t>
        </is>
      </c>
      <c r="V225" t="inlineStr">
        <is>
          <t>2022-01-12T00:00:00-06:00</t>
        </is>
      </c>
      <c r="W225" t="inlineStr">
        <is>
          <t>2022-01-12T11:57:47-06:00</t>
        </is>
      </c>
      <c r="X225">
        <f>IFERROR(1/COUNTIF($I:$I,@$I:$I), 0)</f>
        <v/>
      </c>
    </row>
    <row r="226">
      <c r="A226">
        <f>HYPERLINK("https://drivetime.tpondemand.com/entity/125763", "125763")</f>
        <v/>
      </c>
      <c r="B226" t="inlineStr">
        <is>
          <t>[BC NEXT] [RESEARCH] Understand how payment reversals and fees are delivered through BCAPI</t>
        </is>
      </c>
      <c r="C226" t="inlineStr">
        <is>
          <t>UserStory</t>
        </is>
      </c>
      <c r="D226" t="inlineStr">
        <is>
          <t>Servicing: BC Next</t>
        </is>
      </c>
      <c r="E226" t="inlineStr">
        <is>
          <t>BC Digital Drakon</t>
        </is>
      </c>
      <c r="F226" t="inlineStr">
        <is>
          <t>03</t>
        </is>
      </c>
      <c r="G226" t="inlineStr">
        <is>
          <t>Connor Golobich</t>
        </is>
      </c>
      <c r="H226" t="inlineStr">
        <is>
          <t>[BC NEXT] Prior to Launch Tech Investment</t>
        </is>
      </c>
      <c r="I226" t="n">
        <v>0</v>
      </c>
      <c r="J226" t="n">
        <v>0.9633912037037037</v>
      </c>
      <c r="K226" t="inlineStr"/>
      <c r="L226" t="inlineStr"/>
      <c r="M226" t="n">
        <v>0</v>
      </c>
      <c r="N226" t="inlineStr"/>
      <c r="O226" t="inlineStr">
        <is>
          <t>Done</t>
        </is>
      </c>
      <c r="P226" t="n">
        <v>0</v>
      </c>
      <c r="Q226" t="inlineStr"/>
      <c r="R226" t="inlineStr"/>
      <c r="S226" t="inlineStr"/>
      <c r="T226" t="inlineStr"/>
      <c r="U226" t="inlineStr">
        <is>
          <t>2022-01-20T00:00:00-06:00</t>
        </is>
      </c>
      <c r="V226" t="inlineStr">
        <is>
          <t>2022-01-20T00:00:00-06:00</t>
        </is>
      </c>
      <c r="W226" t="inlineStr">
        <is>
          <t>2022-01-20T09:28:45-06:00</t>
        </is>
      </c>
      <c r="X226">
        <f>IFERROR(1/COUNTIF($I:$I,@$I:$I), 0)</f>
        <v/>
      </c>
    </row>
    <row r="227">
      <c r="A227">
        <f>HYPERLINK("https://drivetime.tpondemand.com/entity/127975", "127975")</f>
        <v/>
      </c>
      <c r="B227" t="inlineStr">
        <is>
          <t>[BC NEXT] Fix Bio-auth Error on Login</t>
        </is>
      </c>
      <c r="C227" t="inlineStr">
        <is>
          <t>UserStory</t>
        </is>
      </c>
      <c r="D227" t="inlineStr">
        <is>
          <t>Servicing: BC Next</t>
        </is>
      </c>
      <c r="E227" t="inlineStr">
        <is>
          <t>BC Digital Drakon</t>
        </is>
      </c>
      <c r="F227" t="inlineStr">
        <is>
          <t>14</t>
        </is>
      </c>
      <c r="G227" t="inlineStr"/>
      <c r="H227" t="inlineStr">
        <is>
          <t>[BC NEXT] Bug Fixes/Enhancements for June Release</t>
        </is>
      </c>
      <c r="I227" t="n">
        <v>0</v>
      </c>
      <c r="J227" t="n">
        <v>0.2047222222222222</v>
      </c>
      <c r="K227" t="inlineStr"/>
      <c r="L227" t="inlineStr"/>
      <c r="M227" t="n">
        <v>0</v>
      </c>
      <c r="N227" t="inlineStr"/>
      <c r="O227" t="inlineStr">
        <is>
          <t>Done</t>
        </is>
      </c>
      <c r="P227" t="n">
        <v>0</v>
      </c>
      <c r="Q227" t="inlineStr"/>
      <c r="R227" t="inlineStr"/>
      <c r="S227" t="inlineStr"/>
      <c r="T227" t="inlineStr"/>
      <c r="U227" t="inlineStr">
        <is>
          <t>2022-04-08T00:00:00-05:00</t>
        </is>
      </c>
      <c r="V227" t="inlineStr">
        <is>
          <t>2022-04-08T00:00:00-05:00</t>
        </is>
      </c>
      <c r="W227" t="inlineStr">
        <is>
          <t>2022-04-08T16:00:55-05:00</t>
        </is>
      </c>
      <c r="X227">
        <f>IFERROR(1/COUNTIF($I:$I,@$I:$I), 0)</f>
        <v/>
      </c>
    </row>
    <row r="228">
      <c r="A228">
        <f>HYPERLINK("https://drivetime.tpondemand.com/entity/134998", "134998")</f>
        <v/>
      </c>
      <c r="B228" t="inlineStr">
        <is>
          <t>[BC NEXT][WEB] Deploy int branch from code freeze</t>
        </is>
      </c>
      <c r="C228" t="inlineStr">
        <is>
          <t>UserStory</t>
        </is>
      </c>
      <c r="D228" t="inlineStr">
        <is>
          <t>Servicing: BC Next</t>
        </is>
      </c>
      <c r="E228" t="inlineStr">
        <is>
          <t>BC Digital Drakon</t>
        </is>
      </c>
      <c r="F228" t="inlineStr">
        <is>
          <t>28</t>
        </is>
      </c>
      <c r="G228" t="inlineStr"/>
      <c r="H228" t="inlineStr">
        <is>
          <t>[BC NEXT] Bug Fixes/Enhancements for July</t>
        </is>
      </c>
      <c r="I228" t="n">
        <v>1</v>
      </c>
      <c r="J228" t="n">
        <v>1.151412037037037</v>
      </c>
      <c r="K228">
        <f>HYPERLINK("https://drivetime.tpondemand.com/entity/135384", "135384")</f>
        <v/>
      </c>
      <c r="L228" t="inlineStr"/>
      <c r="M228" t="n">
        <v>0</v>
      </c>
      <c r="N228" t="inlineStr"/>
      <c r="O228" t="inlineStr">
        <is>
          <t>Done</t>
        </is>
      </c>
      <c r="P228" t="n">
        <v>0</v>
      </c>
      <c r="Q228" t="inlineStr"/>
      <c r="R228" t="inlineStr"/>
      <c r="S228" t="inlineStr"/>
      <c r="T228" t="inlineStr"/>
      <c r="U228" t="inlineStr">
        <is>
          <t>2022-07-12T00:00:00-05:00</t>
        </is>
      </c>
      <c r="V228" t="inlineStr">
        <is>
          <t>2022-07-11T00:00:00-05:00</t>
        </is>
      </c>
      <c r="W228" t="inlineStr">
        <is>
          <t>2022-07-12T14:44:19-05:00</t>
        </is>
      </c>
      <c r="X228">
        <f>IFERROR(1/COUNTIF($I:$I,@$I:$I), 0)</f>
        <v/>
      </c>
    </row>
    <row r="229">
      <c r="A229">
        <f>HYPERLINK("https://drivetime.tpondemand.com/entity/136358", "136358")</f>
        <v/>
      </c>
      <c r="B229" t="inlineStr">
        <is>
          <t>[BC NEXT] HOT FIX - AutoPay Enrollment for Same Day Sales</t>
        </is>
      </c>
      <c r="C229" t="inlineStr">
        <is>
          <t>UserStory</t>
        </is>
      </c>
      <c r="D229" t="inlineStr">
        <is>
          <t>Servicing: BC Next</t>
        </is>
      </c>
      <c r="E229" t="inlineStr">
        <is>
          <t>BC Digital Drakon</t>
        </is>
      </c>
      <c r="F229" t="inlineStr">
        <is>
          <t>30</t>
        </is>
      </c>
      <c r="G229" t="inlineStr">
        <is>
          <t>Camilo Guerrero</t>
        </is>
      </c>
      <c r="H229" t="inlineStr">
        <is>
          <t>[BC NEXT] Bug Fixes/Enhancements for July</t>
        </is>
      </c>
      <c r="I229" t="n">
        <v>0</v>
      </c>
      <c r="J229" t="n">
        <v>0.3003009259259259</v>
      </c>
      <c r="K229">
        <f>HYPERLINK("https://drivetime.tpondemand.com/entity/136362", "136362")</f>
        <v/>
      </c>
      <c r="L229" t="inlineStr"/>
      <c r="M229" t="n">
        <v>0</v>
      </c>
      <c r="N229" t="inlineStr"/>
      <c r="O229" t="inlineStr">
        <is>
          <t>Done</t>
        </is>
      </c>
      <c r="P229" t="n">
        <v>0</v>
      </c>
      <c r="Q229" t="inlineStr"/>
      <c r="R229" t="inlineStr"/>
      <c r="S229" t="inlineStr"/>
      <c r="T229" t="inlineStr"/>
      <c r="U229" t="inlineStr">
        <is>
          <t>2022-07-25T00:00:00-05:00</t>
        </is>
      </c>
      <c r="V229" t="inlineStr">
        <is>
          <t>2022-07-25T00:00:00-05:00</t>
        </is>
      </c>
      <c r="W229" t="inlineStr">
        <is>
          <t>2022-07-25T16:11:05-05:00</t>
        </is>
      </c>
      <c r="X229">
        <f>IFERROR(1/COUNTIF($I:$I,@$I:$I), 0)</f>
        <v/>
      </c>
    </row>
    <row r="230">
      <c r="A230">
        <f>HYPERLINK("https://drivetime.tpondemand.com/entity/140745", "140745")</f>
        <v/>
      </c>
      <c r="B230" t="inlineStr">
        <is>
          <t>[BC NEXT] Customer Support Center - Document Request section send request logic</t>
        </is>
      </c>
      <c r="C230" t="inlineStr">
        <is>
          <t>UserStory</t>
        </is>
      </c>
      <c r="D230" t="inlineStr">
        <is>
          <t>Servicing: BC Next</t>
        </is>
      </c>
      <c r="E230" t="inlineStr">
        <is>
          <t>BC Digital Drakon</t>
        </is>
      </c>
      <c r="F230" t="inlineStr"/>
      <c r="G230" t="inlineStr"/>
      <c r="H230" t="inlineStr">
        <is>
          <t>[BC NEXT]Phase 3: Customer Support Center</t>
        </is>
      </c>
      <c r="I230" t="inlineStr"/>
      <c r="K230" t="inlineStr"/>
      <c r="L230" t="inlineStr"/>
      <c r="M230" t="n">
        <v>0</v>
      </c>
      <c r="N230" t="inlineStr"/>
      <c r="O230" t="inlineStr">
        <is>
          <t>Icebox</t>
        </is>
      </c>
      <c r="P230" t="n">
        <v>0</v>
      </c>
      <c r="Q230" t="inlineStr"/>
      <c r="R230" t="inlineStr"/>
      <c r="S230" t="inlineStr"/>
      <c r="T230" t="inlineStr"/>
      <c r="U230" t="inlineStr"/>
      <c r="V230" t="inlineStr"/>
      <c r="X230">
        <f>IFERROR(1/COUNTIF($I:$I,@$I:$I), 0)</f>
        <v/>
      </c>
    </row>
    <row r="231">
      <c r="A231">
        <f>HYPERLINK("https://drivetime.tpondemand.com/entity/146841", "146841")</f>
        <v/>
      </c>
      <c r="B231" t="inlineStr">
        <is>
          <t>[BC NEXT] My Profile - Create Auth0 Password Update Mutation</t>
        </is>
      </c>
      <c r="C231" t="inlineStr">
        <is>
          <t>UserStory</t>
        </is>
      </c>
      <c r="D231" t="inlineStr">
        <is>
          <t>Servicing: BC Next</t>
        </is>
      </c>
      <c r="E231" t="inlineStr">
        <is>
          <t>BC Digital Drakon</t>
        </is>
      </c>
      <c r="F231" t="inlineStr"/>
      <c r="G231" t="inlineStr"/>
      <c r="H231" t="inlineStr">
        <is>
          <t>[BC NEXT] Phase 3: Account Settings/My Profile</t>
        </is>
      </c>
      <c r="I231" t="inlineStr"/>
      <c r="K231" t="inlineStr"/>
      <c r="L231" t="inlineStr"/>
      <c r="M231" t="n">
        <v>0</v>
      </c>
      <c r="N231" t="inlineStr"/>
      <c r="O231" t="inlineStr">
        <is>
          <t>Icebox</t>
        </is>
      </c>
      <c r="P231" t="n">
        <v>0</v>
      </c>
      <c r="Q231" t="inlineStr"/>
      <c r="R231" t="inlineStr"/>
      <c r="S231" t="inlineStr"/>
      <c r="T231" t="inlineStr"/>
      <c r="U231" t="inlineStr"/>
      <c r="V231" t="inlineStr"/>
      <c r="X231">
        <f>IFERROR(1/COUNTIF($I:$I,@$I:$I), 0)</f>
        <v/>
      </c>
    </row>
    <row r="232">
      <c r="A232">
        <f>HYPERLINK("https://drivetime.tpondemand.com/entity/147172", "147172")</f>
        <v/>
      </c>
      <c r="B232" t="inlineStr">
        <is>
          <t>[BC NEXT][SSP] Add Plan to Cure URLs to redirect flag</t>
        </is>
      </c>
      <c r="C232" t="inlineStr">
        <is>
          <t>UserStory</t>
        </is>
      </c>
      <c r="D232" t="inlineStr">
        <is>
          <t>Servicing: BC Next</t>
        </is>
      </c>
      <c r="E232" t="inlineStr">
        <is>
          <t>BC Digital Drakon</t>
        </is>
      </c>
      <c r="F232" t="inlineStr"/>
      <c r="G232" t="inlineStr"/>
      <c r="H232" t="inlineStr">
        <is>
          <t>[BC NEXT]Phase 3: Payment Plan (PTC)</t>
        </is>
      </c>
      <c r="I232" t="inlineStr"/>
      <c r="K232" t="inlineStr"/>
      <c r="L232" t="inlineStr"/>
      <c r="M232" t="n">
        <v>0</v>
      </c>
      <c r="N232" t="n">
        <v>146434</v>
      </c>
      <c r="O232" t="inlineStr">
        <is>
          <t>Committed</t>
        </is>
      </c>
      <c r="P232" t="n">
        <v>0</v>
      </c>
      <c r="Q232" t="inlineStr">
        <is>
          <t>Drakon 23</t>
        </is>
      </c>
      <c r="R232" t="inlineStr">
        <is>
          <t>2022-12-29</t>
        </is>
      </c>
      <c r="S232" t="inlineStr">
        <is>
          <t>2023-01-11</t>
        </is>
      </c>
      <c r="T232" t="inlineStr">
        <is>
          <t>Drakon 23 : 2022-12-29 - 2023-01-11</t>
        </is>
      </c>
      <c r="U232" t="inlineStr"/>
      <c r="V232" t="inlineStr"/>
      <c r="X232">
        <f>IFERROR(1/COUNTIF($I:$I,@$I:$I), 0)</f>
        <v/>
      </c>
    </row>
    <row r="233">
      <c r="A233">
        <f>HYPERLINK("https://drivetime.tpondemand.com/entity/147430", "147430")</f>
        <v/>
      </c>
      <c r="B233" t="inlineStr">
        <is>
          <t>[BC NEXT] My Profile - Clean up story</t>
        </is>
      </c>
      <c r="C233" t="inlineStr">
        <is>
          <t>UserStory</t>
        </is>
      </c>
      <c r="D233" t="inlineStr">
        <is>
          <t>Servicing: BC Next</t>
        </is>
      </c>
      <c r="E233" t="inlineStr">
        <is>
          <t>BC Digital Drakon</t>
        </is>
      </c>
      <c r="F233" t="inlineStr"/>
      <c r="G233" t="inlineStr"/>
      <c r="H233" t="inlineStr">
        <is>
          <t>[BC NEXT] Phase 3: Account Settings/My Profile</t>
        </is>
      </c>
      <c r="I233" t="inlineStr"/>
      <c r="K233" t="inlineStr"/>
      <c r="L233" t="inlineStr"/>
      <c r="M233" t="n">
        <v>0</v>
      </c>
      <c r="N233" t="inlineStr"/>
      <c r="O233" t="inlineStr">
        <is>
          <t>Backlog</t>
        </is>
      </c>
      <c r="P233" t="n">
        <v>0</v>
      </c>
      <c r="Q233" t="inlineStr"/>
      <c r="R233" t="inlineStr"/>
      <c r="S233" t="inlineStr"/>
      <c r="T233" t="inlineStr"/>
      <c r="U233" t="inlineStr"/>
      <c r="V233" t="inlineStr"/>
      <c r="X233">
        <f>IFERROR(1/COUNTIF($I:$I,@$I:$I), 0)</f>
        <v/>
      </c>
    </row>
    <row r="234">
      <c r="A234">
        <f>HYPERLINK("https://drivetime.tpondemand.com/entity/129702", "129702")</f>
        <v/>
      </c>
      <c r="B234" t="inlineStr">
        <is>
          <t>Email &amp; Text App Launch Communications for Current</t>
        </is>
      </c>
      <c r="C234" t="inlineStr">
        <is>
          <t>UserStory</t>
        </is>
      </c>
      <c r="D234" t="inlineStr">
        <is>
          <t>Servicing: BC Next</t>
        </is>
      </c>
      <c r="E234" t="inlineStr">
        <is>
          <t>BC Digital Comet</t>
        </is>
      </c>
      <c r="F234" t="inlineStr">
        <is>
          <t>20</t>
        </is>
      </c>
      <c r="G234" t="inlineStr">
        <is>
          <t>Sushma Gurram and Julie Ramos and Aditi Sharma</t>
        </is>
      </c>
      <c r="H234" t="inlineStr">
        <is>
          <t>[BC NEXT] App Launch Communications</t>
        </is>
      </c>
      <c r="I234" t="n">
        <v>7</v>
      </c>
      <c r="J234" t="n">
        <v>36.10170138888888</v>
      </c>
      <c r="K234">
        <f>HYPERLINK("https://drivetime.tpondemand.com/entity/132158", "132158")</f>
        <v/>
      </c>
      <c r="L234" t="inlineStr"/>
      <c r="M234" t="n">
        <v>8</v>
      </c>
      <c r="N234" t="n">
        <v>127315</v>
      </c>
      <c r="O234" t="inlineStr">
        <is>
          <t>Done</t>
        </is>
      </c>
      <c r="P234" t="n">
        <v>0</v>
      </c>
      <c r="Q234" t="inlineStr">
        <is>
          <t>Comet 83</t>
        </is>
      </c>
      <c r="R234" t="inlineStr">
        <is>
          <t>2022-05-05</t>
        </is>
      </c>
      <c r="S234" t="inlineStr">
        <is>
          <t>2022-05-18</t>
        </is>
      </c>
      <c r="T234" t="inlineStr">
        <is>
          <t>Comet 83 : 2022-05-05 - 2022-05-18</t>
        </is>
      </c>
      <c r="U234" t="inlineStr">
        <is>
          <t>2022-05-20T00:00:00-05:00</t>
        </is>
      </c>
      <c r="V234" t="inlineStr">
        <is>
          <t>2022-05-13T00:00:00-05:00</t>
        </is>
      </c>
      <c r="W234" t="inlineStr">
        <is>
          <t>2022-05-20T16:17:21-05:00</t>
        </is>
      </c>
      <c r="X234">
        <f>IFERROR(1/COUNTIF($I:$I,@$I:$I), 0)</f>
        <v/>
      </c>
    </row>
    <row r="235">
      <c r="A235">
        <f>HYPERLINK("https://drivetime.tpondemand.com/entity/133813", "133813")</f>
        <v/>
      </c>
      <c r="B235" t="inlineStr">
        <is>
          <t>Implement new Success and Error registration pages with deep linking</t>
        </is>
      </c>
      <c r="C235" t="inlineStr">
        <is>
          <t>UserStory</t>
        </is>
      </c>
      <c r="D235" t="inlineStr">
        <is>
          <t>Servicing: BC Next</t>
        </is>
      </c>
      <c r="E235" t="inlineStr">
        <is>
          <t>BC Digital Comet</t>
        </is>
      </c>
      <c r="F235" t="inlineStr">
        <is>
          <t>29</t>
        </is>
      </c>
      <c r="G235" t="inlineStr">
        <is>
          <t>Manuel Tenorio and Daniel Verhagen</t>
        </is>
      </c>
      <c r="H235" t="inlineStr">
        <is>
          <t>Register Email Deep Linking</t>
        </is>
      </c>
      <c r="I235" t="n">
        <v>9</v>
      </c>
      <c r="J235" t="n">
        <v>36.79193287037037</v>
      </c>
      <c r="K235">
        <f>HYPERLINK("https://drivetime.tpondemand.com/entity/135225", "135225")</f>
        <v/>
      </c>
      <c r="L235" t="inlineStr"/>
      <c r="M235" t="n">
        <v>8</v>
      </c>
      <c r="N235" t="n">
        <v>127319</v>
      </c>
      <c r="O235" t="inlineStr">
        <is>
          <t>Done</t>
        </is>
      </c>
      <c r="P235" t="n">
        <v>1</v>
      </c>
      <c r="Q235" t="inlineStr">
        <is>
          <t>Comet 87</t>
        </is>
      </c>
      <c r="R235" t="inlineStr">
        <is>
          <t>2022-06-30</t>
        </is>
      </c>
      <c r="S235" t="inlineStr">
        <is>
          <t>2022-07-13</t>
        </is>
      </c>
      <c r="T235" t="inlineStr">
        <is>
          <t>Comet 87 : 2022-06-30 - 2022-07-13</t>
        </is>
      </c>
      <c r="U235" t="inlineStr">
        <is>
          <t>2022-07-21T00:00:00-05:00</t>
        </is>
      </c>
      <c r="V235" t="inlineStr">
        <is>
          <t>2022-07-12T00:00:00-05:00</t>
        </is>
      </c>
      <c r="W235" t="inlineStr">
        <is>
          <t>2022-07-21T11:17:27-05:00</t>
        </is>
      </c>
      <c r="X235">
        <f>IFERROR(1/COUNTIF($I:$I,@$I:$I), 0)</f>
        <v/>
      </c>
    </row>
    <row r="236">
      <c r="A236">
        <f>HYPERLINK("https://drivetime.tpondemand.com/entity/125958", "125958")</f>
        <v/>
      </c>
      <c r="B236" t="inlineStr">
        <is>
          <t>[BC NEXT][OBSERVATIONS][1] Same Day Sale shows error page</t>
        </is>
      </c>
      <c r="C236" t="inlineStr">
        <is>
          <t>UserStory</t>
        </is>
      </c>
      <c r="D236" t="inlineStr">
        <is>
          <t>Servicing: BC Next</t>
        </is>
      </c>
      <c r="E236" t="inlineStr">
        <is>
          <t>BC Digital Comet</t>
        </is>
      </c>
      <c r="F236" t="inlineStr">
        <is>
          <t>04</t>
        </is>
      </c>
      <c r="G236" t="inlineStr">
        <is>
          <t>Akshay Golash and Marcus Rogers and Aditi Sharma</t>
        </is>
      </c>
      <c r="H236" t="inlineStr">
        <is>
          <t>[BC NEXT] Regression Testing &amp; App Bug Fixes</t>
        </is>
      </c>
      <c r="I236" t="n">
        <v>1</v>
      </c>
      <c r="J236" t="n">
        <v>7.218368055555556</v>
      </c>
      <c r="K236">
        <f>HYPERLINK("https://drivetime.tpondemand.com/entity/126335", "126335")</f>
        <v/>
      </c>
      <c r="L236" t="inlineStr"/>
      <c r="M236" t="n">
        <v>5</v>
      </c>
      <c r="N236" t="n">
        <v>116974</v>
      </c>
      <c r="O236" t="inlineStr">
        <is>
          <t>Done</t>
        </is>
      </c>
      <c r="P236" t="n">
        <v>0</v>
      </c>
      <c r="Q236" t="inlineStr">
        <is>
          <t>Comet 75</t>
        </is>
      </c>
      <c r="R236" t="inlineStr">
        <is>
          <t>2022-01-13</t>
        </is>
      </c>
      <c r="S236" t="inlineStr">
        <is>
          <t>2022-01-26</t>
        </is>
      </c>
      <c r="T236" t="inlineStr">
        <is>
          <t>Comet 75 : 2022-01-13 - 2022-01-26</t>
        </is>
      </c>
      <c r="U236" t="inlineStr">
        <is>
          <t>2022-01-26T00:00:00-06:00</t>
        </is>
      </c>
      <c r="V236" t="inlineStr">
        <is>
          <t>2022-01-25T00:00:00-06:00</t>
        </is>
      </c>
      <c r="W236" t="inlineStr">
        <is>
          <t>2022-01-26T15:39:11-06:00</t>
        </is>
      </c>
      <c r="X236">
        <f>IFERROR(1/COUNTIF($I:$I,@$I:$I), 0)</f>
        <v/>
      </c>
    </row>
    <row r="237">
      <c r="A237">
        <f>HYPERLINK("https://drivetime.tpondemand.com/entity/127408", "127408")</f>
        <v/>
      </c>
      <c r="B237" t="inlineStr">
        <is>
          <t>[RESEARCH SPIKE] Document options for push notifications</t>
        </is>
      </c>
      <c r="C237" t="inlineStr">
        <is>
          <t>UserStory</t>
        </is>
      </c>
      <c r="D237" t="inlineStr">
        <is>
          <t>Servicing: BC Next</t>
        </is>
      </c>
      <c r="E237" t="inlineStr">
        <is>
          <t>BC Digital Comet</t>
        </is>
      </c>
      <c r="F237" t="inlineStr">
        <is>
          <t>10</t>
        </is>
      </c>
      <c r="G237" t="inlineStr">
        <is>
          <t>Marcus Rogers and Aditi Sharma</t>
        </is>
      </c>
      <c r="H237" t="inlineStr">
        <is>
          <t>[BC NEXT] Push Notifications Research</t>
        </is>
      </c>
      <c r="I237" t="n">
        <v>0</v>
      </c>
      <c r="J237" t="n">
        <v>12.23158564814815</v>
      </c>
      <c r="K237" t="inlineStr"/>
      <c r="L237" t="inlineStr"/>
      <c r="M237" t="n">
        <v>5</v>
      </c>
      <c r="N237" t="n">
        <v>127310</v>
      </c>
      <c r="O237" t="inlineStr">
        <is>
          <t>Done</t>
        </is>
      </c>
      <c r="P237" t="n">
        <v>0</v>
      </c>
      <c r="Q237" t="inlineStr">
        <is>
          <t>Comet 78</t>
        </is>
      </c>
      <c r="R237" t="inlineStr">
        <is>
          <t>2022-02-24</t>
        </is>
      </c>
      <c r="S237" t="inlineStr">
        <is>
          <t>2022-03-09</t>
        </is>
      </c>
      <c r="T237" t="inlineStr">
        <is>
          <t>Comet 78 : 2022-02-24 - 2022-03-09</t>
        </is>
      </c>
      <c r="U237" t="inlineStr">
        <is>
          <t>2022-03-08T00:00:00-06:00</t>
        </is>
      </c>
      <c r="V237" t="inlineStr">
        <is>
          <t>2022-03-08T00:00:00-06:00</t>
        </is>
      </c>
      <c r="W237" t="inlineStr">
        <is>
          <t>2022-03-08T15:57:09-06:00</t>
        </is>
      </c>
      <c r="X237">
        <f>IFERROR(1/COUNTIF($I:$I,@$I:$I), 0)</f>
        <v/>
      </c>
    </row>
    <row r="238">
      <c r="A238">
        <f>HYPERLINK("https://drivetime.tpondemand.com/entity/130908", "130908")</f>
        <v/>
      </c>
      <c r="B238" t="inlineStr">
        <is>
          <t>[BC NEXT] PTC Banner - Active Payment Plan Banner</t>
        </is>
      </c>
      <c r="C238" t="inlineStr">
        <is>
          <t>UserStory</t>
        </is>
      </c>
      <c r="D238" t="inlineStr">
        <is>
          <t>Servicing: BC Next</t>
        </is>
      </c>
      <c r="E238" t="inlineStr">
        <is>
          <t>BC Digital Comet</t>
        </is>
      </c>
      <c r="F238" t="inlineStr">
        <is>
          <t>22</t>
        </is>
      </c>
      <c r="G238" t="inlineStr">
        <is>
          <t>Aditi Sharma</t>
        </is>
      </c>
      <c r="H238" t="inlineStr">
        <is>
          <t>[BC NEXT]Phase 3: Manage Modifications and Plan to Cure Banners</t>
        </is>
      </c>
      <c r="I238" t="n">
        <v>11</v>
      </c>
      <c r="J238" t="n">
        <v>18.03398148148148</v>
      </c>
      <c r="K238">
        <f>HYPERLINK("https://drivetime.tpondemand.com/entity/132566", "132566")</f>
        <v/>
      </c>
      <c r="L238" t="inlineStr"/>
      <c r="M238" t="n">
        <v>5</v>
      </c>
      <c r="N238" t="n">
        <v>127316</v>
      </c>
      <c r="O238" t="inlineStr">
        <is>
          <t>Done</t>
        </is>
      </c>
      <c r="P238" t="n">
        <v>0</v>
      </c>
      <c r="Q238" t="inlineStr">
        <is>
          <t>Comet 84</t>
        </is>
      </c>
      <c r="R238" t="inlineStr">
        <is>
          <t>2022-05-19</t>
        </is>
      </c>
      <c r="S238" t="inlineStr">
        <is>
          <t>2022-06-01</t>
        </is>
      </c>
      <c r="T238" t="inlineStr">
        <is>
          <t>Comet 84 : 2022-05-19 - 2022-06-01</t>
        </is>
      </c>
      <c r="U238" t="inlineStr">
        <is>
          <t>2022-05-31T00:00:00-05:00</t>
        </is>
      </c>
      <c r="V238" t="inlineStr">
        <is>
          <t>2022-05-20T00:00:00-05:00</t>
        </is>
      </c>
      <c r="W238" t="inlineStr">
        <is>
          <t>2022-05-31T12:36:09-05:00</t>
        </is>
      </c>
      <c r="X238">
        <f>IFERROR(1/COUNTIF($I:$I,@$I:$I), 0)</f>
        <v/>
      </c>
    </row>
    <row r="239">
      <c r="A239">
        <f>HYPERLINK("https://drivetime.tpondemand.com/entity/131712", "131712")</f>
        <v/>
      </c>
      <c r="B239" t="inlineStr">
        <is>
          <t>[BC NEXT] PTC Banner - View Payment Plans Options Banner</t>
        </is>
      </c>
      <c r="C239" t="inlineStr">
        <is>
          <t>UserStory</t>
        </is>
      </c>
      <c r="D239" t="inlineStr">
        <is>
          <t>Servicing: BC Next</t>
        </is>
      </c>
      <c r="E239" t="inlineStr">
        <is>
          <t>BC Digital Comet</t>
        </is>
      </c>
      <c r="F239" t="inlineStr">
        <is>
          <t>22</t>
        </is>
      </c>
      <c r="G239" t="inlineStr">
        <is>
          <t>Aditi Sharma</t>
        </is>
      </c>
      <c r="H239" t="inlineStr">
        <is>
          <t>[BC NEXT]Phase 3: Manage Modifications and Plan to Cure Banners</t>
        </is>
      </c>
      <c r="I239" t="n">
        <v>2</v>
      </c>
      <c r="J239" t="n">
        <v>13.03303240740741</v>
      </c>
      <c r="K239">
        <f>HYPERLINK("https://drivetime.tpondemand.com/entity/133201", "133201")</f>
        <v/>
      </c>
      <c r="L239" t="inlineStr"/>
      <c r="M239" t="n">
        <v>5</v>
      </c>
      <c r="N239" t="n">
        <v>127316</v>
      </c>
      <c r="O239" t="inlineStr">
        <is>
          <t>Done</t>
        </is>
      </c>
      <c r="P239" t="n">
        <v>0</v>
      </c>
      <c r="Q239" t="inlineStr">
        <is>
          <t>Comet 84</t>
        </is>
      </c>
      <c r="R239" t="inlineStr">
        <is>
          <t>2022-05-19</t>
        </is>
      </c>
      <c r="S239" t="inlineStr">
        <is>
          <t>2022-06-01</t>
        </is>
      </c>
      <c r="T239" t="inlineStr">
        <is>
          <t>Comet 84 : 2022-05-19 - 2022-06-01</t>
        </is>
      </c>
      <c r="U239" t="inlineStr">
        <is>
          <t>2022-06-02T00:00:00-05:00</t>
        </is>
      </c>
      <c r="V239" t="inlineStr">
        <is>
          <t>2022-05-31T00:00:00-05:00</t>
        </is>
      </c>
      <c r="W239" t="inlineStr">
        <is>
          <t>2022-06-02T13:59:18-05:00</t>
        </is>
      </c>
      <c r="X239">
        <f>IFERROR(1/COUNTIF($I:$I,@$I:$I), 0)</f>
        <v/>
      </c>
    </row>
    <row r="240">
      <c r="A240">
        <f>HYPERLINK("https://drivetime.tpondemand.com/entity/132103", "132103")</f>
        <v/>
      </c>
      <c r="B240" t="inlineStr">
        <is>
          <t>[BC NEXT] Implement TWT Widget on BC Next</t>
        </is>
      </c>
      <c r="C240" t="inlineStr">
        <is>
          <t>UserStory</t>
        </is>
      </c>
      <c r="D240" t="inlineStr">
        <is>
          <t>Servicing: BC Next</t>
        </is>
      </c>
      <c r="E240" t="inlineStr">
        <is>
          <t>BC Digital Comet</t>
        </is>
      </c>
      <c r="F240" t="inlineStr">
        <is>
          <t>25</t>
        </is>
      </c>
      <c r="G240" t="inlineStr">
        <is>
          <t>Marcus Rogers and Aditi Sharma</t>
        </is>
      </c>
      <c r="H240" t="inlineStr">
        <is>
          <t>[BC NEXT] TWT Widget</t>
        </is>
      </c>
      <c r="I240" t="n">
        <v>1</v>
      </c>
      <c r="J240" t="n">
        <v>21.67188657407407</v>
      </c>
      <c r="K240">
        <f>HYPERLINK("https://drivetime.tpondemand.com/entity/134382", "134382")</f>
        <v/>
      </c>
      <c r="L240" t="inlineStr"/>
      <c r="M240" t="n">
        <v>5</v>
      </c>
      <c r="N240" t="n">
        <v>127318</v>
      </c>
      <c r="O240" t="inlineStr">
        <is>
          <t>Done</t>
        </is>
      </c>
      <c r="P240" t="n">
        <v>0</v>
      </c>
      <c r="Q240" t="inlineStr">
        <is>
          <t>Comet 86</t>
        </is>
      </c>
      <c r="R240" t="inlineStr">
        <is>
          <t>2022-06-16</t>
        </is>
      </c>
      <c r="S240" t="inlineStr">
        <is>
          <t>2022-06-29</t>
        </is>
      </c>
      <c r="T240" t="inlineStr">
        <is>
          <t>Comet 86 : 2022-06-16 - 2022-06-29</t>
        </is>
      </c>
      <c r="U240" t="inlineStr">
        <is>
          <t>2022-06-22T00:00:00-05:00</t>
        </is>
      </c>
      <c r="V240" t="inlineStr">
        <is>
          <t>2022-06-21T00:00:00-05:00</t>
        </is>
      </c>
      <c r="W240" t="inlineStr">
        <is>
          <t>2022-06-22T11:19:45-05:00</t>
        </is>
      </c>
      <c r="X240">
        <f>IFERROR(1/COUNTIF($I:$I,@$I:$I), 0)</f>
        <v/>
      </c>
    </row>
    <row r="241">
      <c r="A241">
        <f>HYPERLINK("https://drivetime.tpondemand.com/entity/132624", "132624")</f>
        <v/>
      </c>
      <c r="B241" t="inlineStr">
        <is>
          <t>Implement Smart App Banner</t>
        </is>
      </c>
      <c r="C241" t="inlineStr">
        <is>
          <t>UserStory</t>
        </is>
      </c>
      <c r="D241" t="inlineStr">
        <is>
          <t>Servicing: BC Next</t>
        </is>
      </c>
      <c r="E241" t="inlineStr">
        <is>
          <t>BC Digital Comet</t>
        </is>
      </c>
      <c r="F241" t="inlineStr">
        <is>
          <t>31</t>
        </is>
      </c>
      <c r="G241" t="inlineStr">
        <is>
          <t>Aditi Sharma and Michael Wang</t>
        </is>
      </c>
      <c r="H241" t="inlineStr">
        <is>
          <t>[BC NEXT] Introduce Smart App Banner to BC Next</t>
        </is>
      </c>
      <c r="I241" t="n">
        <v>12</v>
      </c>
      <c r="J241" t="n">
        <v>33.8587962962963</v>
      </c>
      <c r="K241">
        <f>HYPERLINK("https://drivetime.tpondemand.com/entity/136788", "136788")</f>
        <v/>
      </c>
      <c r="L241" t="inlineStr"/>
      <c r="M241" t="n">
        <v>5</v>
      </c>
      <c r="N241" t="n">
        <v>127320</v>
      </c>
      <c r="O241" t="inlineStr">
        <is>
          <t>Done</t>
        </is>
      </c>
      <c r="P241" t="n">
        <v>0</v>
      </c>
      <c r="Q241" t="inlineStr">
        <is>
          <t>Comet 88</t>
        </is>
      </c>
      <c r="R241" t="inlineStr">
        <is>
          <t>2022-07-14</t>
        </is>
      </c>
      <c r="S241" t="inlineStr">
        <is>
          <t>2022-07-27</t>
        </is>
      </c>
      <c r="T241" t="inlineStr">
        <is>
          <t>Comet 88 : 2022-07-14 - 2022-07-27</t>
        </is>
      </c>
      <c r="U241" t="inlineStr">
        <is>
          <t>2022-08-03T00:00:00-05:00</t>
        </is>
      </c>
      <c r="V241" t="inlineStr">
        <is>
          <t>2022-07-22T00:00:00-05:00</t>
        </is>
      </c>
      <c r="W241" t="inlineStr">
        <is>
          <t>2022-08-03T11:18:28-05:00</t>
        </is>
      </c>
      <c r="X241">
        <f>IFERROR(1/COUNTIF($I:$I,@$I:$I), 0)</f>
        <v/>
      </c>
    </row>
    <row r="242">
      <c r="A242">
        <f>HYPERLINK("https://drivetime.tpondemand.com/entity/132628", "132628")</f>
        <v/>
      </c>
      <c r="B242" t="inlineStr">
        <is>
          <t>Research Deep Linking for Verification Email</t>
        </is>
      </c>
      <c r="C242" t="inlineStr">
        <is>
          <t>UserStory</t>
        </is>
      </c>
      <c r="D242" t="inlineStr">
        <is>
          <t>Servicing: BC Next</t>
        </is>
      </c>
      <c r="E242" t="inlineStr">
        <is>
          <t>BC Digital Comet</t>
        </is>
      </c>
      <c r="F242" t="inlineStr">
        <is>
          <t>24</t>
        </is>
      </c>
      <c r="G242" t="inlineStr">
        <is>
          <t>Daniel Verhagen</t>
        </is>
      </c>
      <c r="H242" t="inlineStr">
        <is>
          <t>Register Email Deep Linking</t>
        </is>
      </c>
      <c r="I242" t="n">
        <v>0</v>
      </c>
      <c r="J242" t="n">
        <v>12.98395833333333</v>
      </c>
      <c r="K242" t="inlineStr"/>
      <c r="L242" t="inlineStr"/>
      <c r="M242" t="n">
        <v>5</v>
      </c>
      <c r="N242" t="n">
        <v>127317</v>
      </c>
      <c r="O242" t="inlineStr">
        <is>
          <t>Done</t>
        </is>
      </c>
      <c r="P242" t="n">
        <v>0</v>
      </c>
      <c r="Q242" t="inlineStr">
        <is>
          <t>Comet 85</t>
        </is>
      </c>
      <c r="R242" t="inlineStr">
        <is>
          <t>2022-06-02</t>
        </is>
      </c>
      <c r="S242" t="inlineStr">
        <is>
          <t>2022-06-15</t>
        </is>
      </c>
      <c r="T242" t="inlineStr">
        <is>
          <t>Comet 85 : 2022-06-02 - 2022-06-15</t>
        </is>
      </c>
      <c r="U242" t="inlineStr">
        <is>
          <t>2022-06-13T00:00:00-05:00</t>
        </is>
      </c>
      <c r="V242" t="inlineStr">
        <is>
          <t>2022-06-13T00:00:00-05:00</t>
        </is>
      </c>
      <c r="W242" t="inlineStr">
        <is>
          <t>2022-06-13T18:18:52-05:00</t>
        </is>
      </c>
      <c r="X242">
        <f>IFERROR(1/COUNTIF($I:$I,@$I:$I), 0)</f>
        <v/>
      </c>
    </row>
    <row r="243">
      <c r="A243">
        <f>HYPERLINK("https://drivetime.tpondemand.com/entity/134472", "134472")</f>
        <v/>
      </c>
      <c r="B243" t="inlineStr">
        <is>
          <t>[BC NEXT] Manage Mods - Expired Modification Banner</t>
        </is>
      </c>
      <c r="C243" t="inlineStr">
        <is>
          <t>UserStory</t>
        </is>
      </c>
      <c r="D243" t="inlineStr">
        <is>
          <t>Servicing: BC Next</t>
        </is>
      </c>
      <c r="E243" t="inlineStr">
        <is>
          <t>BC Digital Comet</t>
        </is>
      </c>
      <c r="F243" t="inlineStr">
        <is>
          <t>40</t>
        </is>
      </c>
      <c r="G243" t="inlineStr">
        <is>
          <t>Marcus Rogers</t>
        </is>
      </c>
      <c r="H243" t="inlineStr">
        <is>
          <t>[BC NEXT]Phase 3: Manage Modifications Page</t>
        </is>
      </c>
      <c r="I243" t="n">
        <v>7</v>
      </c>
      <c r="J243" t="n">
        <v>35.77670138888889</v>
      </c>
      <c r="K243">
        <f>HYPERLINK("https://drivetime.tpondemand.com/entity/140775", "140775")</f>
        <v/>
      </c>
      <c r="L243" t="inlineStr"/>
      <c r="M243" t="n">
        <v>5</v>
      </c>
      <c r="N243" t="n">
        <v>127325</v>
      </c>
      <c r="O243" t="inlineStr">
        <is>
          <t>Done</t>
        </is>
      </c>
      <c r="P243" t="n">
        <v>2</v>
      </c>
      <c r="Q243" t="inlineStr">
        <is>
          <t>Comet 93</t>
        </is>
      </c>
      <c r="R243" t="inlineStr">
        <is>
          <t>2022-09-22</t>
        </is>
      </c>
      <c r="S243" t="inlineStr">
        <is>
          <t>2022-10-05</t>
        </is>
      </c>
      <c r="T243" t="inlineStr">
        <is>
          <t>Comet 93 : 2022-09-22 - 2022-10-05</t>
        </is>
      </c>
      <c r="U243" t="inlineStr">
        <is>
          <t>2022-10-04T00:00:00-05:00</t>
        </is>
      </c>
      <c r="V243" t="inlineStr">
        <is>
          <t>2022-09-27T00:00:00-05:00</t>
        </is>
      </c>
      <c r="W243" t="inlineStr">
        <is>
          <t>2022-10-04T11:17:37-05:00</t>
        </is>
      </c>
      <c r="X243">
        <f>IFERROR(1/COUNTIF($I:$I,@$I:$I), 0)</f>
        <v/>
      </c>
    </row>
    <row r="244">
      <c r="A244">
        <f>HYPERLINK("https://drivetime.tpondemand.com/entity/134480", "134480")</f>
        <v/>
      </c>
      <c r="B244" t="inlineStr">
        <is>
          <t>[BC NEXT] Visibility to TWT Widget when impersonating a user</t>
        </is>
      </c>
      <c r="C244" t="inlineStr">
        <is>
          <t>UserStory</t>
        </is>
      </c>
      <c r="D244" t="inlineStr">
        <is>
          <t>Servicing: BC Next</t>
        </is>
      </c>
      <c r="E244" t="inlineStr">
        <is>
          <t>BC Digital Comet</t>
        </is>
      </c>
      <c r="F244" t="inlineStr">
        <is>
          <t>29</t>
        </is>
      </c>
      <c r="G244" t="inlineStr">
        <is>
          <t>Michael Wang</t>
        </is>
      </c>
      <c r="H244" t="inlineStr">
        <is>
          <t>[BC NEXT] TWT Widget</t>
        </is>
      </c>
      <c r="I244" t="n">
        <v>13</v>
      </c>
      <c r="J244" t="n">
        <v>15.91232638888889</v>
      </c>
      <c r="K244">
        <f>HYPERLINK("https://drivetime.tpondemand.com/entity/135225", "135225")</f>
        <v/>
      </c>
      <c r="L244" t="inlineStr"/>
      <c r="M244" t="n">
        <v>5</v>
      </c>
      <c r="N244" t="n">
        <v>127319</v>
      </c>
      <c r="O244" t="inlineStr">
        <is>
          <t>Done</t>
        </is>
      </c>
      <c r="P244" t="n">
        <v>1</v>
      </c>
      <c r="Q244" t="inlineStr">
        <is>
          <t>Comet 87</t>
        </is>
      </c>
      <c r="R244" t="inlineStr">
        <is>
          <t>2022-06-30</t>
        </is>
      </c>
      <c r="S244" t="inlineStr">
        <is>
          <t>2022-07-13</t>
        </is>
      </c>
      <c r="T244" t="inlineStr">
        <is>
          <t>Comet 87 : 2022-06-30 - 2022-07-13</t>
        </is>
      </c>
      <c r="U244" t="inlineStr">
        <is>
          <t>2022-07-21T00:00:00-05:00</t>
        </is>
      </c>
      <c r="V244" t="inlineStr">
        <is>
          <t>2022-07-08T00:00:00-05:00</t>
        </is>
      </c>
      <c r="W244" t="inlineStr">
        <is>
          <t>2022-07-21T11:17:24-05:00</t>
        </is>
      </c>
      <c r="X244">
        <f>IFERROR(1/COUNTIF($I:$I,@$I:$I), 0)</f>
        <v/>
      </c>
    </row>
    <row r="245">
      <c r="A245">
        <f>HYPERLINK("https://drivetime.tpondemand.com/entity/139857", "139857")</f>
        <v/>
      </c>
      <c r="B245" t="inlineStr">
        <is>
          <t>[BC NEXT] Manage Mods - Processing and Completed Modification Banner</t>
        </is>
      </c>
      <c r="C245" t="inlineStr">
        <is>
          <t>UserStory</t>
        </is>
      </c>
      <c r="D245" t="inlineStr">
        <is>
          <t>Servicing: BC Next</t>
        </is>
      </c>
      <c r="E245" t="inlineStr">
        <is>
          <t>BC Digital Comet</t>
        </is>
      </c>
      <c r="F245" t="inlineStr">
        <is>
          <t>40</t>
        </is>
      </c>
      <c r="G245" t="inlineStr">
        <is>
          <t>Marcus Rogers</t>
        </is>
      </c>
      <c r="H245" t="inlineStr">
        <is>
          <t>[BC NEXT]Phase 3: Manage Modifications Page</t>
        </is>
      </c>
      <c r="I245" t="n">
        <v>1</v>
      </c>
      <c r="J245" t="n">
        <v>11.90665509259259</v>
      </c>
      <c r="K245">
        <f>HYPERLINK("https://drivetime.tpondemand.com/entity/140775", "140775")</f>
        <v/>
      </c>
      <c r="L245" t="inlineStr"/>
      <c r="M245" t="n">
        <v>5</v>
      </c>
      <c r="N245" t="n">
        <v>127325</v>
      </c>
      <c r="O245" t="inlineStr">
        <is>
          <t>Done</t>
        </is>
      </c>
      <c r="P245" t="n">
        <v>0</v>
      </c>
      <c r="Q245" t="inlineStr">
        <is>
          <t>Comet 93</t>
        </is>
      </c>
      <c r="R245" t="inlineStr">
        <is>
          <t>2022-09-22</t>
        </is>
      </c>
      <c r="S245" t="inlineStr">
        <is>
          <t>2022-10-05</t>
        </is>
      </c>
      <c r="T245" t="inlineStr">
        <is>
          <t>Comet 93 : 2022-09-22 - 2022-10-05</t>
        </is>
      </c>
      <c r="U245" t="inlineStr">
        <is>
          <t>2022-10-04T00:00:00-05:00</t>
        </is>
      </c>
      <c r="V245" t="inlineStr">
        <is>
          <t>2022-10-03T00:00:00-05:00</t>
        </is>
      </c>
      <c r="W245" t="inlineStr">
        <is>
          <t>2022-10-04T11:17:43-05:00</t>
        </is>
      </c>
      <c r="X245">
        <f>IFERROR(1/COUNTIF($I:$I,@$I:$I), 0)</f>
        <v/>
      </c>
    </row>
    <row r="246">
      <c r="A246">
        <f>HYPERLINK("https://drivetime.tpondemand.com/entity/125181", "125181")</f>
        <v/>
      </c>
      <c r="B246" t="inlineStr">
        <is>
          <t>[BC NEXT][OBSERVATIONS][1] MAP/AP/AP Past Due is showing previously logged in vehicle's info</t>
        </is>
      </c>
      <c r="C246" t="inlineStr">
        <is>
          <t>UserStory</t>
        </is>
      </c>
      <c r="D246" t="inlineStr">
        <is>
          <t>Servicing: BC Next</t>
        </is>
      </c>
      <c r="E246" t="inlineStr">
        <is>
          <t>BC Digital Comet</t>
        </is>
      </c>
      <c r="F246" t="inlineStr">
        <is>
          <t>02</t>
        </is>
      </c>
      <c r="G246" t="inlineStr">
        <is>
          <t>Akshay Golash</t>
        </is>
      </c>
      <c r="H246" t="inlineStr">
        <is>
          <t>[BC NEXT] Prior to Launch Tech Investment</t>
        </is>
      </c>
      <c r="I246" t="n">
        <v>0</v>
      </c>
      <c r="J246" t="n">
        <v>10.01972222222222</v>
      </c>
      <c r="K246">
        <f>HYPERLINK("https://drivetime.tpondemand.com/entity/125594", "125594")</f>
        <v/>
      </c>
      <c r="L246" t="inlineStr"/>
      <c r="M246" t="n">
        <v>3</v>
      </c>
      <c r="N246" t="n">
        <v>116974</v>
      </c>
      <c r="O246" t="inlineStr">
        <is>
          <t>Done</t>
        </is>
      </c>
      <c r="P246" t="n">
        <v>1</v>
      </c>
      <c r="Q246" t="inlineStr">
        <is>
          <t>Comet 75</t>
        </is>
      </c>
      <c r="R246" t="inlineStr">
        <is>
          <t>2022-01-13</t>
        </is>
      </c>
      <c r="S246" t="inlineStr">
        <is>
          <t>2022-01-26</t>
        </is>
      </c>
      <c r="T246" t="inlineStr">
        <is>
          <t>Comet 75 : 2022-01-13 - 2022-01-26</t>
        </is>
      </c>
      <c r="U246" t="inlineStr">
        <is>
          <t>2022-01-14T00:00:00-06:00</t>
        </is>
      </c>
      <c r="V246" t="inlineStr">
        <is>
          <t>2022-01-14T00:00:00-06:00</t>
        </is>
      </c>
      <c r="W246" t="inlineStr">
        <is>
          <t>2022-01-14T13:04:59-06:00</t>
        </is>
      </c>
      <c r="X246">
        <f>IFERROR(1/COUNTIF($I:$I,@$I:$I), 0)</f>
        <v/>
      </c>
    </row>
    <row r="247">
      <c r="A247">
        <f>HYPERLINK("https://drivetime.tpondemand.com/entity/125270", "125270")</f>
        <v/>
      </c>
      <c r="B247" t="inlineStr">
        <is>
          <t>[BC NEXT][OBSERVATIONS][1] Create events within Account Lookup/Email Verification Flow</t>
        </is>
      </c>
      <c r="C247" t="inlineStr">
        <is>
          <t>UserStory</t>
        </is>
      </c>
      <c r="D247" t="inlineStr">
        <is>
          <t>Servicing: BC Next</t>
        </is>
      </c>
      <c r="E247" t="inlineStr">
        <is>
          <t>BC Digital Comet</t>
        </is>
      </c>
      <c r="F247" t="inlineStr">
        <is>
          <t>05</t>
        </is>
      </c>
      <c r="G247" t="inlineStr">
        <is>
          <t>Marcus Rogers and Michael Wang</t>
        </is>
      </c>
      <c r="H247" t="inlineStr">
        <is>
          <t>[BC NEXT] Regression Testing &amp; App Bug Fixes</t>
        </is>
      </c>
      <c r="I247" t="n">
        <v>3</v>
      </c>
      <c r="J247" t="n">
        <v>16.7605787037037</v>
      </c>
      <c r="K247">
        <f>HYPERLINK("https://drivetime.tpondemand.com/entity/126564", "126564")</f>
        <v/>
      </c>
      <c r="L247" t="inlineStr"/>
      <c r="M247" t="n">
        <v>3</v>
      </c>
      <c r="N247" t="n">
        <v>116975</v>
      </c>
      <c r="O247" t="inlineStr">
        <is>
          <t>Done</t>
        </is>
      </c>
      <c r="P247" t="n">
        <v>1</v>
      </c>
      <c r="Q247" t="inlineStr">
        <is>
          <t>Comet 76</t>
        </is>
      </c>
      <c r="R247" t="inlineStr">
        <is>
          <t>2022-01-27</t>
        </is>
      </c>
      <c r="S247" t="inlineStr">
        <is>
          <t>2022-02-09</t>
        </is>
      </c>
      <c r="T247" t="inlineStr">
        <is>
          <t>Comet 76 : 2022-01-27 - 2022-02-09</t>
        </is>
      </c>
      <c r="U247" t="inlineStr">
        <is>
          <t>2022-01-31T00:00:00-06:00</t>
        </is>
      </c>
      <c r="V247" t="inlineStr">
        <is>
          <t>2022-01-28T00:00:00-06:00</t>
        </is>
      </c>
      <c r="W247" t="inlineStr">
        <is>
          <t>2022-01-31T10:16:09-06:00</t>
        </is>
      </c>
      <c r="X247">
        <f>IFERROR(1/COUNTIF($I:$I,@$I:$I), 0)</f>
        <v/>
      </c>
    </row>
    <row r="248">
      <c r="A248">
        <f>HYPERLINK("https://drivetime.tpondemand.com/entity/125982", "125982")</f>
        <v/>
      </c>
      <c r="B248" t="inlineStr">
        <is>
          <t>[MAR RC][BC NEXT][OBSERVATIONS][2] Cancel is not clearing AutoPay</t>
        </is>
      </c>
      <c r="C248" t="inlineStr">
        <is>
          <t>UserStory</t>
        </is>
      </c>
      <c r="D248" t="inlineStr">
        <is>
          <t>Servicing: BC Next</t>
        </is>
      </c>
      <c r="E248" t="inlineStr">
        <is>
          <t>BC Digital Comet</t>
        </is>
      </c>
      <c r="F248" t="inlineStr">
        <is>
          <t>08</t>
        </is>
      </c>
      <c r="G248" t="inlineStr">
        <is>
          <t>Marcus Rogers</t>
        </is>
      </c>
      <c r="H248" t="inlineStr">
        <is>
          <t>[BC NEXT] Regression Testing &amp; App Bug Fixes</t>
        </is>
      </c>
      <c r="I248" t="n">
        <v>1</v>
      </c>
      <c r="J248" t="n">
        <v>28.96145833333333</v>
      </c>
      <c r="K248">
        <f>HYPERLINK("https://drivetime.tpondemand.com/entity/127779", "127779")</f>
        <v/>
      </c>
      <c r="L248" t="inlineStr"/>
      <c r="M248" t="n">
        <v>3</v>
      </c>
      <c r="N248" t="n">
        <v>127310</v>
      </c>
      <c r="O248" t="inlineStr">
        <is>
          <t>Done</t>
        </is>
      </c>
      <c r="P248" t="n">
        <v>0</v>
      </c>
      <c r="Q248" t="inlineStr">
        <is>
          <t>Comet 78</t>
        </is>
      </c>
      <c r="R248" t="inlineStr">
        <is>
          <t>2022-02-24</t>
        </is>
      </c>
      <c r="S248" t="inlineStr">
        <is>
          <t>2022-03-09</t>
        </is>
      </c>
      <c r="T248" t="inlineStr">
        <is>
          <t>Comet 78 : 2022-02-24 - 2022-03-09</t>
        </is>
      </c>
      <c r="U248" t="inlineStr">
        <is>
          <t>2022-02-23T00:00:00-06:00</t>
        </is>
      </c>
      <c r="V248" t="inlineStr">
        <is>
          <t>2022-02-22T00:00:00-06:00</t>
        </is>
      </c>
      <c r="W248" t="inlineStr">
        <is>
          <t>2022-02-23T17:22:10-06:00</t>
        </is>
      </c>
      <c r="X248">
        <f>IFERROR(1/COUNTIF($I:$I,@$I:$I), 0)</f>
        <v/>
      </c>
    </row>
    <row r="249">
      <c r="A249">
        <f>HYPERLINK("https://drivetime.tpondemand.com/entity/126626", "126626")</f>
        <v/>
      </c>
      <c r="B249" t="inlineStr">
        <is>
          <t>[FEB RC][BC NEXT][OBSERVATIONS][1] Date is incorrect in the calendar</t>
        </is>
      </c>
      <c r="C249" t="inlineStr">
        <is>
          <t>UserStory</t>
        </is>
      </c>
      <c r="D249" t="inlineStr">
        <is>
          <t>Servicing: BC Next</t>
        </is>
      </c>
      <c r="E249" t="inlineStr">
        <is>
          <t>BC Digital Comet</t>
        </is>
      </c>
      <c r="F249" t="inlineStr">
        <is>
          <t>06</t>
        </is>
      </c>
      <c r="G249" t="inlineStr">
        <is>
          <t>Daniel Verhagen and Michael Wang</t>
        </is>
      </c>
      <c r="H249" t="inlineStr">
        <is>
          <t>[BC NEXT] Regression Testing &amp; App Bug Fixes</t>
        </is>
      </c>
      <c r="I249" t="n">
        <v>3</v>
      </c>
      <c r="J249" t="n">
        <v>9.763865740740741</v>
      </c>
      <c r="K249">
        <f>HYPERLINK("https://drivetime.tpondemand.com/entity/126944", "126944")</f>
        <v/>
      </c>
      <c r="L249" t="inlineStr"/>
      <c r="M249" t="n">
        <v>3</v>
      </c>
      <c r="N249" t="n">
        <v>116975</v>
      </c>
      <c r="O249" t="inlineStr">
        <is>
          <t>Done</t>
        </is>
      </c>
      <c r="P249" t="n">
        <v>0</v>
      </c>
      <c r="Q249" t="inlineStr">
        <is>
          <t>Comet 76</t>
        </is>
      </c>
      <c r="R249" t="inlineStr">
        <is>
          <t>2022-01-27</t>
        </is>
      </c>
      <c r="S249" t="inlineStr">
        <is>
          <t>2022-02-09</t>
        </is>
      </c>
      <c r="T249" t="inlineStr">
        <is>
          <t>Comet 76 : 2022-01-27 - 2022-02-09</t>
        </is>
      </c>
      <c r="U249" t="inlineStr">
        <is>
          <t>2022-02-07T00:00:00-06:00</t>
        </is>
      </c>
      <c r="V249" t="inlineStr">
        <is>
          <t>2022-02-04T00:00:00-06:00</t>
        </is>
      </c>
      <c r="W249" t="inlineStr">
        <is>
          <t>2022-02-07T10:14:55-06:00</t>
        </is>
      </c>
      <c r="X249">
        <f>IFERROR(1/COUNTIF($I:$I,@$I:$I), 0)</f>
        <v/>
      </c>
    </row>
    <row r="250">
      <c r="A250">
        <f>HYPERLINK("https://drivetime.tpondemand.com/entity/126759", "126759")</f>
        <v/>
      </c>
      <c r="B250" t="inlineStr">
        <is>
          <t>[BC NEXT][OBSERVATIONS][2] Analytic Bug Bunch</t>
        </is>
      </c>
      <c r="C250" t="inlineStr">
        <is>
          <t>UserStory</t>
        </is>
      </c>
      <c r="D250" t="inlineStr">
        <is>
          <t>Servicing: BC Next</t>
        </is>
      </c>
      <c r="E250" t="inlineStr">
        <is>
          <t>BC Digital Comet</t>
        </is>
      </c>
      <c r="F250" t="inlineStr">
        <is>
          <t>09</t>
        </is>
      </c>
      <c r="G250" t="inlineStr">
        <is>
          <t>Marcus Rogers and Daniel Verhagen and Michael Wang</t>
        </is>
      </c>
      <c r="H250" t="inlineStr">
        <is>
          <t>[BC NEXT] Regression Testing &amp; App Bug Fixes</t>
        </is>
      </c>
      <c r="I250" t="n">
        <v>3</v>
      </c>
      <c r="J250" t="n">
        <v>22.75611111111111</v>
      </c>
      <c r="K250">
        <f>HYPERLINK("https://drivetime.tpondemand.com/entity/128000", "128000")</f>
        <v/>
      </c>
      <c r="L250" t="inlineStr"/>
      <c r="M250" t="n">
        <v>3</v>
      </c>
      <c r="N250" t="n">
        <v>127310</v>
      </c>
      <c r="O250" t="inlineStr">
        <is>
          <t>Done</t>
        </is>
      </c>
      <c r="P250" t="n">
        <v>0</v>
      </c>
      <c r="Q250" t="inlineStr">
        <is>
          <t>Comet 78</t>
        </is>
      </c>
      <c r="R250" t="inlineStr">
        <is>
          <t>2022-02-24</t>
        </is>
      </c>
      <c r="S250" t="inlineStr">
        <is>
          <t>2022-03-09</t>
        </is>
      </c>
      <c r="T250" t="inlineStr">
        <is>
          <t>Comet 78 : 2022-02-24 - 2022-03-09</t>
        </is>
      </c>
      <c r="U250" t="inlineStr">
        <is>
          <t>2022-03-03T00:00:00-06:00</t>
        </is>
      </c>
      <c r="V250" t="inlineStr">
        <is>
          <t>2022-02-28T00:00:00-06:00</t>
        </is>
      </c>
      <c r="W250" t="inlineStr">
        <is>
          <t>2022-03-03T10:27:34-06:00</t>
        </is>
      </c>
      <c r="X250">
        <f>IFERROR(1/COUNTIF($I:$I,@$I:$I), 0)</f>
        <v/>
      </c>
    </row>
    <row r="251">
      <c r="A251">
        <f>HYPERLINK("https://drivetime.tpondemand.com/entity/126926", "126926")</f>
        <v/>
      </c>
      <c r="B251" t="inlineStr">
        <is>
          <t>[BC NEXT][OBSERVATIONS][2] Setup Victor Ops Alerts for BC Next AI Alerts</t>
        </is>
      </c>
      <c r="C251" t="inlineStr">
        <is>
          <t>UserStory</t>
        </is>
      </c>
      <c r="D251" t="inlineStr">
        <is>
          <t>Servicing: BC Next</t>
        </is>
      </c>
      <c r="E251" t="inlineStr">
        <is>
          <t>BC Digital Comet</t>
        </is>
      </c>
      <c r="F251" t="inlineStr">
        <is>
          <t>07</t>
        </is>
      </c>
      <c r="G251" t="inlineStr">
        <is>
          <t>Aditi Sharma</t>
        </is>
      </c>
      <c r="H251" t="inlineStr">
        <is>
          <t>[BC NEXT] Regression Testing &amp; App Bug Fixes</t>
        </is>
      </c>
      <c r="I251" t="n">
        <v>1</v>
      </c>
      <c r="J251" t="n">
        <v>6.774039351851852</v>
      </c>
      <c r="K251" t="inlineStr"/>
      <c r="L251" t="inlineStr"/>
      <c r="M251" t="n">
        <v>3</v>
      </c>
      <c r="N251" t="n">
        <v>127309</v>
      </c>
      <c r="O251" t="inlineStr">
        <is>
          <t>Done</t>
        </is>
      </c>
      <c r="P251" t="n">
        <v>0</v>
      </c>
      <c r="Q251" t="inlineStr">
        <is>
          <t>Comet 77</t>
        </is>
      </c>
      <c r="R251" t="inlineStr">
        <is>
          <t>2022-02-10</t>
        </is>
      </c>
      <c r="S251" t="inlineStr">
        <is>
          <t>2022-02-23</t>
        </is>
      </c>
      <c r="T251" t="inlineStr">
        <is>
          <t>Comet 77 : 2022-02-10 - 2022-02-23</t>
        </is>
      </c>
      <c r="U251" t="inlineStr">
        <is>
          <t>2022-02-16T00:00:00-06:00</t>
        </is>
      </c>
      <c r="V251" t="inlineStr">
        <is>
          <t>2022-02-15T00:00:00-06:00</t>
        </is>
      </c>
      <c r="W251" t="inlineStr">
        <is>
          <t>2022-02-16T10:31:26-06:00</t>
        </is>
      </c>
      <c r="X251">
        <f>IFERROR(1/COUNTIF($I:$I,@$I:$I), 0)</f>
        <v/>
      </c>
    </row>
    <row r="252">
      <c r="A252">
        <f>HYPERLINK("https://drivetime.tpondemand.com/entity/129752", "129752")</f>
        <v/>
      </c>
      <c r="B252" t="inlineStr">
        <is>
          <t>Configure different route for android and iOS deeplinks</t>
        </is>
      </c>
      <c r="C252" t="inlineStr">
        <is>
          <t>UserStory</t>
        </is>
      </c>
      <c r="D252" t="inlineStr">
        <is>
          <t>Servicing: BC Next</t>
        </is>
      </c>
      <c r="E252" t="inlineStr">
        <is>
          <t>BC Digital Comet</t>
        </is>
      </c>
      <c r="F252" t="inlineStr">
        <is>
          <t>19</t>
        </is>
      </c>
      <c r="G252" t="inlineStr">
        <is>
          <t>Daniel Verhagen</t>
        </is>
      </c>
      <c r="H252" t="inlineStr">
        <is>
          <t>[BC NEXT] App Launch Communications</t>
        </is>
      </c>
      <c r="I252" t="n">
        <v>7</v>
      </c>
      <c r="J252" t="n">
        <v>22.25795138888889</v>
      </c>
      <c r="K252">
        <f>HYPERLINK("https://drivetime.tpondemand.com/entity/131389", "131389")</f>
        <v/>
      </c>
      <c r="L252" t="inlineStr"/>
      <c r="M252" t="n">
        <v>3</v>
      </c>
      <c r="N252" t="n">
        <v>127314</v>
      </c>
      <c r="O252" t="inlineStr">
        <is>
          <t>Done</t>
        </is>
      </c>
      <c r="P252" t="n">
        <v>1</v>
      </c>
      <c r="Q252" t="inlineStr">
        <is>
          <t>Comet 82</t>
        </is>
      </c>
      <c r="R252" t="inlineStr">
        <is>
          <t>2022-04-21</t>
        </is>
      </c>
      <c r="S252" t="inlineStr">
        <is>
          <t>2022-05-04</t>
        </is>
      </c>
      <c r="T252" t="inlineStr">
        <is>
          <t>Comet 82 : 2022-04-21 - 2022-05-04</t>
        </is>
      </c>
      <c r="U252" t="inlineStr">
        <is>
          <t>2022-05-11T00:00:00-05:00</t>
        </is>
      </c>
      <c r="V252" t="inlineStr">
        <is>
          <t>2022-05-04T00:00:00-05:00</t>
        </is>
      </c>
      <c r="W252" t="inlineStr">
        <is>
          <t>2022-05-11T17:51:52-05:00</t>
        </is>
      </c>
      <c r="X252">
        <f>IFERROR(1/COUNTIF($I:$I,@$I:$I), 0)</f>
        <v/>
      </c>
    </row>
    <row r="253">
      <c r="A253">
        <f>HYPERLINK("https://drivetime.tpondemand.com/entity/130766", "130766")</f>
        <v/>
      </c>
      <c r="B253" t="inlineStr">
        <is>
          <t>[BC Next][BC API] Add endpoint in BC API to /api/loan/loanModSummary in Bc.Data.Collections</t>
        </is>
      </c>
      <c r="C253" t="inlineStr">
        <is>
          <t>UserStory</t>
        </is>
      </c>
      <c r="D253" t="inlineStr">
        <is>
          <t>Servicing: BC Next</t>
        </is>
      </c>
      <c r="E253" t="inlineStr">
        <is>
          <t>BC Digital Comet</t>
        </is>
      </c>
      <c r="F253" t="inlineStr">
        <is>
          <t>22</t>
        </is>
      </c>
      <c r="G253" t="inlineStr">
        <is>
          <t>Akshay Golash</t>
        </is>
      </c>
      <c r="H253" t="inlineStr">
        <is>
          <t>[BC NEXT]Phase 3: Manage Modifications and Plan to Cure Banners</t>
        </is>
      </c>
      <c r="I253" t="n">
        <v>14</v>
      </c>
      <c r="J253" t="n">
        <v>20.05809027777778</v>
      </c>
      <c r="K253">
        <f>HYPERLINK("https://drivetime.tpondemand.com/entity/132547", "132547")</f>
        <v/>
      </c>
      <c r="L253" t="inlineStr"/>
      <c r="M253" t="n">
        <v>3</v>
      </c>
      <c r="N253" t="n">
        <v>127316</v>
      </c>
      <c r="O253" t="inlineStr">
        <is>
          <t>Done</t>
        </is>
      </c>
      <c r="P253" t="n">
        <v>0</v>
      </c>
      <c r="Q253" t="inlineStr">
        <is>
          <t>Comet 84</t>
        </is>
      </c>
      <c r="R253" t="inlineStr">
        <is>
          <t>2022-05-19</t>
        </is>
      </c>
      <c r="S253" t="inlineStr">
        <is>
          <t>2022-06-01</t>
        </is>
      </c>
      <c r="T253" t="inlineStr">
        <is>
          <t>Comet 84 : 2022-05-19 - 2022-06-01</t>
        </is>
      </c>
      <c r="U253" t="inlineStr">
        <is>
          <t>2022-05-31T00:00:00-05:00</t>
        </is>
      </c>
      <c r="V253" t="inlineStr">
        <is>
          <t>2022-05-17T00:00:00-05:00</t>
        </is>
      </c>
      <c r="W253" t="inlineStr">
        <is>
          <t>2022-05-31T12:36:02-05:00</t>
        </is>
      </c>
      <c r="X253">
        <f>IFERROR(1/COUNTIF($I:$I,@$I:$I), 0)</f>
        <v/>
      </c>
    </row>
    <row r="254">
      <c r="A254">
        <f>HYPERLINK("https://drivetime.tpondemand.com/entity/130909", "130909")</f>
        <v/>
      </c>
      <c r="B254" t="inlineStr">
        <is>
          <t>[BC NEXT] Mod Banner - Approved and Pending Signature Banner</t>
        </is>
      </c>
      <c r="C254" t="inlineStr">
        <is>
          <t>UserStory</t>
        </is>
      </c>
      <c r="D254" t="inlineStr">
        <is>
          <t>Servicing: BC Next</t>
        </is>
      </c>
      <c r="E254" t="inlineStr">
        <is>
          <t>BC Digital Comet</t>
        </is>
      </c>
      <c r="F254" t="inlineStr">
        <is>
          <t>22</t>
        </is>
      </c>
      <c r="G254" t="inlineStr">
        <is>
          <t>Marcus Rogers</t>
        </is>
      </c>
      <c r="H254" t="inlineStr">
        <is>
          <t>[BC NEXT]Phase 3: Manage Modifications and Plan to Cure Banners</t>
        </is>
      </c>
      <c r="I254" t="n">
        <v>11</v>
      </c>
      <c r="J254" t="n">
        <v>17.86966435185185</v>
      </c>
      <c r="K254">
        <f>HYPERLINK("https://drivetime.tpondemand.com/entity/132566", "132566")</f>
        <v/>
      </c>
      <c r="L254" t="inlineStr"/>
      <c r="M254" t="n">
        <v>3</v>
      </c>
      <c r="N254" t="n">
        <v>127316</v>
      </c>
      <c r="O254" t="inlineStr">
        <is>
          <t>Done</t>
        </is>
      </c>
      <c r="P254" t="n">
        <v>0</v>
      </c>
      <c r="Q254" t="inlineStr">
        <is>
          <t>Comet 84</t>
        </is>
      </c>
      <c r="R254" t="inlineStr">
        <is>
          <t>2022-05-19</t>
        </is>
      </c>
      <c r="S254" t="inlineStr">
        <is>
          <t>2022-06-01</t>
        </is>
      </c>
      <c r="T254" t="inlineStr">
        <is>
          <t>Comet 84 : 2022-05-19 - 2022-06-01</t>
        </is>
      </c>
      <c r="U254" t="inlineStr">
        <is>
          <t>2022-05-31T00:00:00-05:00</t>
        </is>
      </c>
      <c r="V254" t="inlineStr">
        <is>
          <t>2022-05-20T00:00:00-05:00</t>
        </is>
      </c>
      <c r="W254" t="inlineStr">
        <is>
          <t>2022-05-31T12:36:18-05:00</t>
        </is>
      </c>
      <c r="X254">
        <f>IFERROR(1/COUNTIF($I:$I,@$I:$I), 0)</f>
        <v/>
      </c>
    </row>
    <row r="255">
      <c r="A255">
        <f>HYPERLINK("https://drivetime.tpondemand.com/entity/132436", "132436")</f>
        <v/>
      </c>
      <c r="B255" t="inlineStr">
        <is>
          <t>[BC Next] Research TWT widget implementation on BcNext</t>
        </is>
      </c>
      <c r="C255" t="inlineStr">
        <is>
          <t>UserStory</t>
        </is>
      </c>
      <c r="D255" t="inlineStr">
        <is>
          <t>Servicing: BC Next</t>
        </is>
      </c>
      <c r="E255" t="inlineStr">
        <is>
          <t>BC Digital Comet</t>
        </is>
      </c>
      <c r="F255" t="inlineStr">
        <is>
          <t>22</t>
        </is>
      </c>
      <c r="G255" t="inlineStr">
        <is>
          <t>Marcus Rogers</t>
        </is>
      </c>
      <c r="H255" t="inlineStr">
        <is>
          <t>[BC NEXT] TWT Widget</t>
        </is>
      </c>
      <c r="I255" t="n">
        <v>1</v>
      </c>
      <c r="J255" t="n">
        <v>11.87793981481481</v>
      </c>
      <c r="K255" t="inlineStr"/>
      <c r="L255" t="inlineStr"/>
      <c r="M255" t="n">
        <v>3</v>
      </c>
      <c r="N255" t="n">
        <v>127316</v>
      </c>
      <c r="O255" t="inlineStr">
        <is>
          <t>Done</t>
        </is>
      </c>
      <c r="P255" t="n">
        <v>0</v>
      </c>
      <c r="Q255" t="inlineStr">
        <is>
          <t>Comet 84</t>
        </is>
      </c>
      <c r="R255" t="inlineStr">
        <is>
          <t>2022-05-19</t>
        </is>
      </c>
      <c r="S255" t="inlineStr">
        <is>
          <t>2022-06-01</t>
        </is>
      </c>
      <c r="T255" t="inlineStr">
        <is>
          <t>Comet 84 : 2022-05-19 - 2022-06-01</t>
        </is>
      </c>
      <c r="U255" t="inlineStr">
        <is>
          <t>2022-06-01T00:00:00-05:00</t>
        </is>
      </c>
      <c r="V255" t="inlineStr">
        <is>
          <t>2022-05-31T00:00:00-05:00</t>
        </is>
      </c>
      <c r="W255" t="inlineStr">
        <is>
          <t>2022-06-01T09:38:34-05:00</t>
        </is>
      </c>
      <c r="X255">
        <f>IFERROR(1/COUNTIF($I:$I,@$I:$I), 0)</f>
        <v/>
      </c>
    </row>
    <row r="256">
      <c r="A256">
        <f>HYPERLINK("https://drivetime.tpondemand.com/entity/133789", "133789")</f>
        <v/>
      </c>
      <c r="B256" t="inlineStr">
        <is>
          <t>[BC Next] Modify BC Next Banner Hierarchy</t>
        </is>
      </c>
      <c r="C256" t="inlineStr">
        <is>
          <t>UserStory</t>
        </is>
      </c>
      <c r="D256" t="inlineStr">
        <is>
          <t>Servicing: BC Next</t>
        </is>
      </c>
      <c r="E256" t="inlineStr">
        <is>
          <t>BC Digital Comet</t>
        </is>
      </c>
      <c r="F256" t="inlineStr">
        <is>
          <t>25</t>
        </is>
      </c>
      <c r="G256" t="inlineStr">
        <is>
          <t>Manuel Tenorio and Michael Wang</t>
        </is>
      </c>
      <c r="H256" t="inlineStr">
        <is>
          <t>[BC NEXT]Phase 3: Manage Modifications and Plan to Cure Banners</t>
        </is>
      </c>
      <c r="I256" t="n">
        <v>5</v>
      </c>
      <c r="J256" t="n">
        <v>6.996585648148148</v>
      </c>
      <c r="K256">
        <f>HYPERLINK("https://drivetime.tpondemand.com/entity/134334", "134334")</f>
        <v/>
      </c>
      <c r="L256" t="inlineStr"/>
      <c r="M256" t="n">
        <v>3</v>
      </c>
      <c r="N256" t="n">
        <v>127318</v>
      </c>
      <c r="O256" t="inlineStr">
        <is>
          <t>Done</t>
        </is>
      </c>
      <c r="P256" t="n">
        <v>0</v>
      </c>
      <c r="Q256" t="inlineStr">
        <is>
          <t>Comet 86</t>
        </is>
      </c>
      <c r="R256" t="inlineStr">
        <is>
          <t>2022-06-16</t>
        </is>
      </c>
      <c r="S256" t="inlineStr">
        <is>
          <t>2022-06-29</t>
        </is>
      </c>
      <c r="T256" t="inlineStr">
        <is>
          <t>Comet 86 : 2022-06-16 - 2022-06-29</t>
        </is>
      </c>
      <c r="U256" t="inlineStr">
        <is>
          <t>2022-06-21T00:00:00-05:00</t>
        </is>
      </c>
      <c r="V256" t="inlineStr">
        <is>
          <t>2022-06-16T00:00:00-05:00</t>
        </is>
      </c>
      <c r="W256" t="inlineStr">
        <is>
          <t>2022-06-21T11:17:14-05:00</t>
        </is>
      </c>
      <c r="X256">
        <f>IFERROR(1/COUNTIF($I:$I,@$I:$I), 0)</f>
        <v/>
      </c>
    </row>
    <row r="257">
      <c r="A257">
        <f>HYPERLINK("https://drivetime.tpondemand.com/entity/133954", "133954")</f>
        <v/>
      </c>
      <c r="B257" t="inlineStr">
        <is>
          <t>Web Launch Email Aug 24th</t>
        </is>
      </c>
      <c r="C257" t="inlineStr">
        <is>
          <t>UserStory</t>
        </is>
      </c>
      <c r="D257" t="inlineStr">
        <is>
          <t>Servicing: BC Next</t>
        </is>
      </c>
      <c r="E257" t="inlineStr">
        <is>
          <t>BC Digital Comet</t>
        </is>
      </c>
      <c r="F257" t="inlineStr">
        <is>
          <t>34</t>
        </is>
      </c>
      <c r="G257" t="inlineStr">
        <is>
          <t>Sushma Gurram and Aditi Sharma</t>
        </is>
      </c>
      <c r="H257" t="inlineStr">
        <is>
          <t>App/Web Launch Communications</t>
        </is>
      </c>
      <c r="I257" t="n">
        <v>0</v>
      </c>
      <c r="J257" t="n">
        <v>5.834814814814814</v>
      </c>
      <c r="K257">
        <f>HYPERLINK("https://drivetime.tpondemand.com/entity/133902", "133902")</f>
        <v/>
      </c>
      <c r="L257" t="inlineStr"/>
      <c r="M257" t="n">
        <v>3</v>
      </c>
      <c r="N257" t="n">
        <v>127322</v>
      </c>
      <c r="O257" t="inlineStr">
        <is>
          <t>Done</t>
        </is>
      </c>
      <c r="P257" t="n">
        <v>0</v>
      </c>
      <c r="Q257" t="inlineStr">
        <is>
          <t>Comet 90</t>
        </is>
      </c>
      <c r="R257" t="inlineStr">
        <is>
          <t>2022-08-11</t>
        </is>
      </c>
      <c r="S257" t="inlineStr">
        <is>
          <t>2022-08-24</t>
        </is>
      </c>
      <c r="T257" t="inlineStr">
        <is>
          <t>Comet 90 : 2022-08-11 - 2022-08-24</t>
        </is>
      </c>
      <c r="U257" t="inlineStr">
        <is>
          <t>2022-08-24T00:00:00-05:00</t>
        </is>
      </c>
      <c r="V257" t="inlineStr">
        <is>
          <t>2022-08-24T00:00:00-05:00</t>
        </is>
      </c>
      <c r="W257" t="inlineStr">
        <is>
          <t>2022-08-24T11:17:16-05:00</t>
        </is>
      </c>
      <c r="X257">
        <f>IFERROR(1/COUNTIF($I:$I,@$I:$I), 0)</f>
        <v/>
      </c>
    </row>
    <row r="258">
      <c r="A258">
        <f>HYPERLINK("https://drivetime.tpondemand.com/entity/134421", "134421")</f>
        <v/>
      </c>
      <c r="B258" t="inlineStr">
        <is>
          <t>[BC NEXT] Implement TWT Widget on BC Next on Android &amp; iOS devices</t>
        </is>
      </c>
      <c r="C258" t="inlineStr">
        <is>
          <t>UserStory</t>
        </is>
      </c>
      <c r="D258" t="inlineStr">
        <is>
          <t>Servicing: BC Next</t>
        </is>
      </c>
      <c r="E258" t="inlineStr">
        <is>
          <t>BC Digital Comet</t>
        </is>
      </c>
      <c r="F258" t="inlineStr">
        <is>
          <t>29</t>
        </is>
      </c>
      <c r="G258" t="inlineStr">
        <is>
          <t>Manuel Tenorio and Michael Wang</t>
        </is>
      </c>
      <c r="H258" t="inlineStr">
        <is>
          <t>[BC NEXT] TWT Widget</t>
        </is>
      </c>
      <c r="I258" t="n">
        <v>15</v>
      </c>
      <c r="J258" t="n">
        <v>27.9974537037037</v>
      </c>
      <c r="K258">
        <f>HYPERLINK("https://drivetime.tpondemand.com/entity/135225", "135225")</f>
        <v/>
      </c>
      <c r="L258" t="inlineStr"/>
      <c r="M258" t="n">
        <v>3</v>
      </c>
      <c r="N258" t="n">
        <v>127319</v>
      </c>
      <c r="O258" t="inlineStr">
        <is>
          <t>Done</t>
        </is>
      </c>
      <c r="P258" t="n">
        <v>0</v>
      </c>
      <c r="Q258" t="inlineStr">
        <is>
          <t>Comet 87</t>
        </is>
      </c>
      <c r="R258" t="inlineStr">
        <is>
          <t>2022-06-30</t>
        </is>
      </c>
      <c r="S258" t="inlineStr">
        <is>
          <t>2022-07-13</t>
        </is>
      </c>
      <c r="T258" t="inlineStr">
        <is>
          <t>Comet 87 : 2022-06-30 - 2022-07-13</t>
        </is>
      </c>
      <c r="U258" t="inlineStr">
        <is>
          <t>2022-07-21T00:00:00-05:00</t>
        </is>
      </c>
      <c r="V258" t="inlineStr">
        <is>
          <t>2022-07-06T00:00:00-05:00</t>
        </is>
      </c>
      <c r="W258" t="inlineStr">
        <is>
          <t>2022-07-21T11:17:20-05:00</t>
        </is>
      </c>
      <c r="X258">
        <f>IFERROR(1/COUNTIF($I:$I,@$I:$I), 0)</f>
        <v/>
      </c>
    </row>
    <row r="259">
      <c r="A259">
        <f>HYPERLINK("https://drivetime.tpondemand.com/entity/136676", "136676")</f>
        <v/>
      </c>
      <c r="B259" t="inlineStr">
        <is>
          <t>Implement CTA for IOS Smart Banner Workflow</t>
        </is>
      </c>
      <c r="C259" t="inlineStr">
        <is>
          <t>UserStory</t>
        </is>
      </c>
      <c r="D259" t="inlineStr">
        <is>
          <t>Servicing: BC Next</t>
        </is>
      </c>
      <c r="E259" t="inlineStr">
        <is>
          <t>BC Digital Comet</t>
        </is>
      </c>
      <c r="F259" t="inlineStr">
        <is>
          <t>33</t>
        </is>
      </c>
      <c r="G259" t="inlineStr">
        <is>
          <t>Daniel Verhagen</t>
        </is>
      </c>
      <c r="H259" t="inlineStr">
        <is>
          <t>[BC NEXT] Introduce Smart App Banner to BC Next</t>
        </is>
      </c>
      <c r="I259" t="n">
        <v>8</v>
      </c>
      <c r="J259" t="n">
        <v>13.66135416666667</v>
      </c>
      <c r="K259">
        <f>HYPERLINK("https://drivetime.tpondemand.com/entity/137482", "137482")</f>
        <v/>
      </c>
      <c r="L259" t="inlineStr"/>
      <c r="M259" t="n">
        <v>3</v>
      </c>
      <c r="N259" t="n">
        <v>127321</v>
      </c>
      <c r="O259" t="inlineStr">
        <is>
          <t>Done</t>
        </is>
      </c>
      <c r="P259" t="n">
        <v>0</v>
      </c>
      <c r="Q259" t="inlineStr">
        <is>
          <t>Comet 89</t>
        </is>
      </c>
      <c r="R259" t="inlineStr">
        <is>
          <t>2022-07-28</t>
        </is>
      </c>
      <c r="S259" t="inlineStr">
        <is>
          <t>2022-08-10</t>
        </is>
      </c>
      <c r="T259" t="inlineStr">
        <is>
          <t>Comet 89 : 2022-07-28 - 2022-08-10</t>
        </is>
      </c>
      <c r="U259" t="inlineStr">
        <is>
          <t>2022-08-16T00:00:00-05:00</t>
        </is>
      </c>
      <c r="V259" t="inlineStr">
        <is>
          <t>2022-08-08T00:00:00-05:00</t>
        </is>
      </c>
      <c r="W259" t="inlineStr">
        <is>
          <t>2022-08-16T11:18:36-05:00</t>
        </is>
      </c>
      <c r="X259">
        <f>IFERROR(1/COUNTIF($I:$I,@$I:$I), 0)</f>
        <v/>
      </c>
    </row>
    <row r="260">
      <c r="A260">
        <f>HYPERLINK("https://drivetime.tpondemand.com/entity/125230", "125230")</f>
        <v/>
      </c>
      <c r="B260" t="inlineStr">
        <is>
          <t>[BC NEXT][OBSERVATIONS][1] No events within Register Account Success Modal</t>
        </is>
      </c>
      <c r="C260" t="inlineStr">
        <is>
          <t>UserStory</t>
        </is>
      </c>
      <c r="D260" t="inlineStr">
        <is>
          <t>Servicing: BC Next</t>
        </is>
      </c>
      <c r="E260" t="inlineStr">
        <is>
          <t>BC Digital Comet</t>
        </is>
      </c>
      <c r="F260" t="inlineStr">
        <is>
          <t>02</t>
        </is>
      </c>
      <c r="G260" t="inlineStr">
        <is>
          <t>Marcus Rogers</t>
        </is>
      </c>
      <c r="H260" t="inlineStr">
        <is>
          <t>[BC NEXT] Prior to Launch Tech Investment</t>
        </is>
      </c>
      <c r="I260" t="n">
        <v>3</v>
      </c>
      <c r="J260" t="n">
        <v>6.996967592592592</v>
      </c>
      <c r="K260">
        <f>HYPERLINK("https://drivetime.tpondemand.com/entity/125457", "125457")</f>
        <v/>
      </c>
      <c r="L260" t="inlineStr"/>
      <c r="M260" t="n">
        <v>2</v>
      </c>
      <c r="N260" t="n">
        <v>116973</v>
      </c>
      <c r="O260" t="inlineStr">
        <is>
          <t>Done</t>
        </is>
      </c>
      <c r="P260" t="n">
        <v>0</v>
      </c>
      <c r="Q260" t="inlineStr">
        <is>
          <t>Comet 74</t>
        </is>
      </c>
      <c r="R260" t="inlineStr">
        <is>
          <t>2021-12-16</t>
        </is>
      </c>
      <c r="S260" t="inlineStr">
        <is>
          <t>2022-01-12</t>
        </is>
      </c>
      <c r="T260" t="inlineStr">
        <is>
          <t>Comet 74 : 2021-12-16 - 2022-01-12</t>
        </is>
      </c>
      <c r="U260" t="inlineStr">
        <is>
          <t>2022-01-13T00:00:00-06:00</t>
        </is>
      </c>
      <c r="V260" t="inlineStr">
        <is>
          <t>2022-01-10T00:00:00-06:00</t>
        </is>
      </c>
      <c r="W260" t="inlineStr">
        <is>
          <t>2022-01-13T10:18:42-06:00</t>
        </is>
      </c>
      <c r="X260">
        <f>IFERROR(1/COUNTIF($I:$I,@$I:$I), 0)</f>
        <v/>
      </c>
    </row>
    <row r="261">
      <c r="A261">
        <f>HYPERLINK("https://drivetime.tpondemand.com/entity/125974", "125974")</f>
        <v/>
      </c>
      <c r="B261" t="inlineStr">
        <is>
          <t>[MAR RC][BC NEXT][OBSERVATIONS][1] Deleting Routing Number issue and error message issue</t>
        </is>
      </c>
      <c r="C261" t="inlineStr">
        <is>
          <t>UserStory</t>
        </is>
      </c>
      <c r="D261" t="inlineStr">
        <is>
          <t>Servicing: BC Next</t>
        </is>
      </c>
      <c r="E261" t="inlineStr">
        <is>
          <t>BC Digital Comet</t>
        </is>
      </c>
      <c r="F261" t="inlineStr">
        <is>
          <t>05</t>
        </is>
      </c>
      <c r="G261" t="inlineStr">
        <is>
          <t>Daniel Verhagen</t>
        </is>
      </c>
      <c r="H261" t="inlineStr">
        <is>
          <t>[BC NEXT] Regression Testing &amp; App Bug Fixes</t>
        </is>
      </c>
      <c r="I261" t="n">
        <v>1</v>
      </c>
      <c r="J261" t="n">
        <v>9.090474537037037</v>
      </c>
      <c r="K261">
        <f>HYPERLINK("https://drivetime.tpondemand.com/entity/126785", "126785")</f>
        <v/>
      </c>
      <c r="L261" t="inlineStr"/>
      <c r="M261" t="n">
        <v>2</v>
      </c>
      <c r="N261" t="n">
        <v>116975</v>
      </c>
      <c r="O261" t="inlineStr">
        <is>
          <t>Done</t>
        </is>
      </c>
      <c r="P261" t="n">
        <v>1</v>
      </c>
      <c r="Q261" t="inlineStr">
        <is>
          <t>Comet 76</t>
        </is>
      </c>
      <c r="R261" t="inlineStr">
        <is>
          <t>2022-01-27</t>
        </is>
      </c>
      <c r="S261" t="inlineStr">
        <is>
          <t>2022-02-09</t>
        </is>
      </c>
      <c r="T261" t="inlineStr">
        <is>
          <t>Comet 76 : 2022-01-27 - 2022-02-09</t>
        </is>
      </c>
      <c r="U261" t="inlineStr">
        <is>
          <t>2022-02-03T00:00:00-06:00</t>
        </is>
      </c>
      <c r="V261" t="inlineStr">
        <is>
          <t>2022-02-02T00:00:00-06:00</t>
        </is>
      </c>
      <c r="W261" t="inlineStr">
        <is>
          <t>2022-02-03T15:23:11-06:00</t>
        </is>
      </c>
      <c r="X261">
        <f>IFERROR(1/COUNTIF($I:$I,@$I:$I), 0)</f>
        <v/>
      </c>
    </row>
    <row r="262">
      <c r="A262">
        <f>HYPERLINK("https://drivetime.tpondemand.com/entity/126216", "126216")</f>
        <v/>
      </c>
      <c r="B262" t="inlineStr">
        <is>
          <t>[MAR RC][BC NEXT][OBSERVATIONS][1] Dashboard AutoPay Eligibility</t>
        </is>
      </c>
      <c r="C262" t="inlineStr">
        <is>
          <t>UserStory</t>
        </is>
      </c>
      <c r="D262" t="inlineStr">
        <is>
          <t>Servicing: BC Next</t>
        </is>
      </c>
      <c r="E262" t="inlineStr">
        <is>
          <t>BC Digital Comet</t>
        </is>
      </c>
      <c r="F262" t="inlineStr">
        <is>
          <t>06</t>
        </is>
      </c>
      <c r="G262" t="inlineStr">
        <is>
          <t>Aditi Sharma</t>
        </is>
      </c>
      <c r="H262" t="inlineStr">
        <is>
          <t>[BC NEXT] Regression Testing &amp; App Bug Fixes</t>
        </is>
      </c>
      <c r="I262" t="n">
        <v>2</v>
      </c>
      <c r="J262" t="n">
        <v>16.63559027777778</v>
      </c>
      <c r="K262">
        <f>HYPERLINK("https://drivetime.tpondemand.com/entity/127077", "127077")</f>
        <v/>
      </c>
      <c r="L262" t="inlineStr"/>
      <c r="M262" t="n">
        <v>2</v>
      </c>
      <c r="N262" t="n">
        <v>127309</v>
      </c>
      <c r="O262" t="inlineStr">
        <is>
          <t>Done</t>
        </is>
      </c>
      <c r="P262" t="n">
        <v>1</v>
      </c>
      <c r="Q262" t="inlineStr">
        <is>
          <t>Comet 77</t>
        </is>
      </c>
      <c r="R262" t="inlineStr">
        <is>
          <t>2022-02-10</t>
        </is>
      </c>
      <c r="S262" t="inlineStr">
        <is>
          <t>2022-02-23</t>
        </is>
      </c>
      <c r="T262" t="inlineStr">
        <is>
          <t>Comet 77 : 2022-02-10 - 2022-02-23</t>
        </is>
      </c>
      <c r="U262" t="inlineStr">
        <is>
          <t>2022-02-11T00:00:00-06:00</t>
        </is>
      </c>
      <c r="V262" t="inlineStr">
        <is>
          <t>2022-02-09T00:00:00-06:00</t>
        </is>
      </c>
      <c r="W262" t="inlineStr">
        <is>
          <t>2022-02-11T09:54:05-06:00</t>
        </is>
      </c>
      <c r="X262">
        <f>IFERROR(1/COUNTIF($I:$I,@$I:$I), 0)</f>
        <v/>
      </c>
    </row>
    <row r="263">
      <c r="A263">
        <f>HYPERLINK("https://drivetime.tpondemand.com/entity/126562", "126562")</f>
        <v/>
      </c>
      <c r="B263" t="inlineStr">
        <is>
          <t>[BC Next][OBSERVATIONS][2] Cosmetic Issues</t>
        </is>
      </c>
      <c r="C263" t="inlineStr">
        <is>
          <t>UserStory</t>
        </is>
      </c>
      <c r="D263" t="inlineStr">
        <is>
          <t>Servicing: BC Next</t>
        </is>
      </c>
      <c r="E263" t="inlineStr">
        <is>
          <t>BC Digital Comet</t>
        </is>
      </c>
      <c r="F263" t="inlineStr">
        <is>
          <t>08</t>
        </is>
      </c>
      <c r="G263" t="inlineStr">
        <is>
          <t>Daniel Verhagen and Michael Wang</t>
        </is>
      </c>
      <c r="H263" t="inlineStr">
        <is>
          <t>[BC NEXT] Regression Testing &amp; App Bug Fixes</t>
        </is>
      </c>
      <c r="I263" t="n">
        <v>5</v>
      </c>
      <c r="J263" t="n">
        <v>19.7846412037037</v>
      </c>
      <c r="K263">
        <f>HYPERLINK("https://drivetime.tpondemand.com/entity/127656", "127656")</f>
        <v/>
      </c>
      <c r="L263" t="inlineStr"/>
      <c r="M263" t="n">
        <v>2</v>
      </c>
      <c r="N263" t="n">
        <v>127309</v>
      </c>
      <c r="O263" t="inlineStr">
        <is>
          <t>Done</t>
        </is>
      </c>
      <c r="P263" t="n">
        <v>0</v>
      </c>
      <c r="Q263" t="inlineStr">
        <is>
          <t>Comet 77</t>
        </is>
      </c>
      <c r="R263" t="inlineStr">
        <is>
          <t>2022-02-10</t>
        </is>
      </c>
      <c r="S263" t="inlineStr">
        <is>
          <t>2022-02-23</t>
        </is>
      </c>
      <c r="T263" t="inlineStr">
        <is>
          <t>Comet 77 : 2022-02-10 - 2022-02-23</t>
        </is>
      </c>
      <c r="U263" t="inlineStr">
        <is>
          <t>2022-02-22T00:00:00-06:00</t>
        </is>
      </c>
      <c r="V263" t="inlineStr">
        <is>
          <t>2022-02-17T00:00:00-06:00</t>
        </is>
      </c>
      <c r="W263" t="inlineStr">
        <is>
          <t>2022-02-22T10:34:34-06:00</t>
        </is>
      </c>
      <c r="X263">
        <f>IFERROR(1/COUNTIF($I:$I,@$I:$I), 0)</f>
        <v/>
      </c>
    </row>
    <row r="264">
      <c r="A264">
        <f>HYPERLINK("https://drivetime.tpondemand.com/entity/126625", "126625")</f>
        <v/>
      </c>
      <c r="B264" t="inlineStr">
        <is>
          <t>[MAR RC][BC NEXT][OBSERVATIONS][1] See Additional Payment Options button on Payment ineligibility page is not working and Issue processing request page displays</t>
        </is>
      </c>
      <c r="C264" t="inlineStr">
        <is>
          <t>UserStory</t>
        </is>
      </c>
      <c r="D264" t="inlineStr">
        <is>
          <t>Servicing: BC Next</t>
        </is>
      </c>
      <c r="E264" t="inlineStr">
        <is>
          <t>BC Digital Comet</t>
        </is>
      </c>
      <c r="F264" t="inlineStr">
        <is>
          <t>07</t>
        </is>
      </c>
      <c r="G264" t="inlineStr">
        <is>
          <t>Aditi Sharma</t>
        </is>
      </c>
      <c r="H264" t="inlineStr">
        <is>
          <t>[BC NEXT] Regression Testing &amp; App Bug Fixes</t>
        </is>
      </c>
      <c r="I264" t="n">
        <v>1</v>
      </c>
      <c r="J264" t="n">
        <v>15.74782407407407</v>
      </c>
      <c r="K264">
        <f>HYPERLINK("https://drivetime.tpondemand.com/entity/127103", "127103")</f>
        <v/>
      </c>
      <c r="L264" t="inlineStr"/>
      <c r="M264" t="n">
        <v>2</v>
      </c>
      <c r="N264" t="n">
        <v>127309</v>
      </c>
      <c r="O264" t="inlineStr">
        <is>
          <t>Done</t>
        </is>
      </c>
      <c r="P264" t="n">
        <v>0</v>
      </c>
      <c r="Q264" t="inlineStr">
        <is>
          <t>Comet 77</t>
        </is>
      </c>
      <c r="R264" t="inlineStr">
        <is>
          <t>2022-02-10</t>
        </is>
      </c>
      <c r="S264" t="inlineStr">
        <is>
          <t>2022-02-23</t>
        </is>
      </c>
      <c r="T264" t="inlineStr">
        <is>
          <t>Comet 77 : 2022-02-10 - 2022-02-23</t>
        </is>
      </c>
      <c r="U264" t="inlineStr">
        <is>
          <t>2022-02-16T00:00:00-06:00</t>
        </is>
      </c>
      <c r="V264" t="inlineStr">
        <is>
          <t>2022-02-15T00:00:00-06:00</t>
        </is>
      </c>
      <c r="W264" t="inlineStr">
        <is>
          <t>2022-02-16T10:32:02-06:00</t>
        </is>
      </c>
      <c r="X264">
        <f>IFERROR(1/COUNTIF($I:$I,@$I:$I), 0)</f>
        <v/>
      </c>
    </row>
    <row r="265">
      <c r="A265">
        <f>HYPERLINK("https://drivetime.tpondemand.com/entity/127050", "127050")</f>
        <v/>
      </c>
      <c r="B265" t="inlineStr">
        <is>
          <t>[SSP][Tax Time][Emails][Multivariate][1] Update Email Templates with new field and comps</t>
        </is>
      </c>
      <c r="C265" t="inlineStr">
        <is>
          <t>UserStory</t>
        </is>
      </c>
      <c r="D265" t="inlineStr">
        <is>
          <t>Servicing: BC Next</t>
        </is>
      </c>
      <c r="E265" t="inlineStr">
        <is>
          <t>BC Digital Comet</t>
        </is>
      </c>
      <c r="F265" t="inlineStr">
        <is>
          <t>06</t>
        </is>
      </c>
      <c r="G265" t="inlineStr">
        <is>
          <t>Marcus Rogers and Aditi Sharma</t>
        </is>
      </c>
      <c r="H265" t="inlineStr">
        <is>
          <t>[BC] 2022 Tax Time Communication (Emails and SSP)</t>
        </is>
      </c>
      <c r="I265" t="n">
        <v>2</v>
      </c>
      <c r="J265" t="n">
        <v>3.801898148148148</v>
      </c>
      <c r="K265" t="inlineStr"/>
      <c r="L265" t="inlineStr"/>
      <c r="M265" t="n">
        <v>2</v>
      </c>
      <c r="N265" t="n">
        <v>127309</v>
      </c>
      <c r="O265" t="inlineStr">
        <is>
          <t>Done</t>
        </is>
      </c>
      <c r="P265" t="n">
        <v>0</v>
      </c>
      <c r="Q265" t="inlineStr">
        <is>
          <t>Comet 77</t>
        </is>
      </c>
      <c r="R265" t="inlineStr">
        <is>
          <t>2022-02-10</t>
        </is>
      </c>
      <c r="S265" t="inlineStr">
        <is>
          <t>2022-02-23</t>
        </is>
      </c>
      <c r="T265" t="inlineStr">
        <is>
          <t>Comet 77 : 2022-02-10 - 2022-02-23</t>
        </is>
      </c>
      <c r="U265" t="inlineStr">
        <is>
          <t>2022-02-11T00:00:00-06:00</t>
        </is>
      </c>
      <c r="V265" t="inlineStr">
        <is>
          <t>2022-02-09T00:00:00-06:00</t>
        </is>
      </c>
      <c r="W265" t="inlineStr">
        <is>
          <t>2022-02-11T10:19:56-06:00</t>
        </is>
      </c>
      <c r="X265">
        <f>IFERROR(1/COUNTIF($I:$I,@$I:$I), 0)</f>
        <v/>
      </c>
    </row>
    <row r="266">
      <c r="A266">
        <f>HYPERLINK("https://drivetime.tpondemand.com/entity/129701", "129701")</f>
        <v/>
      </c>
      <c r="B266" t="inlineStr">
        <is>
          <t>Vision Classic |SSP - App Launch Communications</t>
        </is>
      </c>
      <c r="C266" t="inlineStr">
        <is>
          <t>UserStory</t>
        </is>
      </c>
      <c r="D266" t="inlineStr">
        <is>
          <t>Servicing: BC Next</t>
        </is>
      </c>
      <c r="E266" t="inlineStr">
        <is>
          <t>BC Digital Comet</t>
        </is>
      </c>
      <c r="F266" t="inlineStr">
        <is>
          <t>17</t>
        </is>
      </c>
      <c r="G266" t="inlineStr">
        <is>
          <t>Akshay Golash and Aditi Sharma</t>
        </is>
      </c>
      <c r="H266" t="inlineStr">
        <is>
          <t>[BC NEXT] App Launch Communications</t>
        </is>
      </c>
      <c r="I266" t="n">
        <v>5</v>
      </c>
      <c r="J266" t="n">
        <v>11.89391203703704</v>
      </c>
      <c r="K266">
        <f>HYPERLINK("https://drivetime.tpondemand.com/entity/130368", "130368")</f>
        <v/>
      </c>
      <c r="L266" t="inlineStr"/>
      <c r="M266" t="n">
        <v>2</v>
      </c>
      <c r="N266" t="n">
        <v>127314</v>
      </c>
      <c r="O266" t="inlineStr">
        <is>
          <t>Done</t>
        </is>
      </c>
      <c r="P266" t="n">
        <v>0</v>
      </c>
      <c r="Q266" t="inlineStr">
        <is>
          <t>Comet 82</t>
        </is>
      </c>
      <c r="R266" t="inlineStr">
        <is>
          <t>2022-04-21</t>
        </is>
      </c>
      <c r="S266" t="inlineStr">
        <is>
          <t>2022-05-04</t>
        </is>
      </c>
      <c r="T266" t="inlineStr">
        <is>
          <t>Comet 82 : 2022-04-21 - 2022-05-04</t>
        </is>
      </c>
      <c r="U266" t="inlineStr">
        <is>
          <t>2022-04-26T00:00:00-05:00</t>
        </is>
      </c>
      <c r="V266" t="inlineStr">
        <is>
          <t>2022-04-21T00:00:00-05:00</t>
        </is>
      </c>
      <c r="W266" t="inlineStr">
        <is>
          <t>2022-04-26T11:18:19-05:00</t>
        </is>
      </c>
      <c r="X266">
        <f>IFERROR(1/COUNTIF($I:$I,@$I:$I), 0)</f>
        <v/>
      </c>
    </row>
    <row r="267">
      <c r="A267">
        <f>HYPERLINK("https://drivetime.tpondemand.com/entity/132679", "132679")</f>
        <v/>
      </c>
      <c r="B267" t="inlineStr">
        <is>
          <t>Update the DNC sproc</t>
        </is>
      </c>
      <c r="C267" t="inlineStr">
        <is>
          <t>UserStory</t>
        </is>
      </c>
      <c r="D267" t="inlineStr">
        <is>
          <t>Servicing: BC Next</t>
        </is>
      </c>
      <c r="E267" t="inlineStr">
        <is>
          <t>BC Digital Comet</t>
        </is>
      </c>
      <c r="F267" t="inlineStr">
        <is>
          <t>22</t>
        </is>
      </c>
      <c r="G267" t="inlineStr">
        <is>
          <t>Sushma Gurram</t>
        </is>
      </c>
      <c r="H267" t="inlineStr">
        <is>
          <t>[BC NEXT] App Launch Communications</t>
        </is>
      </c>
      <c r="I267" t="n">
        <v>6</v>
      </c>
      <c r="J267" t="n">
        <v>6.982986111111111</v>
      </c>
      <c r="K267">
        <f>HYPERLINK("https://drivetime.tpondemand.com/entity/132623", "132623")</f>
        <v/>
      </c>
      <c r="L267" t="inlineStr"/>
      <c r="M267" t="n">
        <v>2</v>
      </c>
      <c r="N267" t="n">
        <v>127316</v>
      </c>
      <c r="O267" t="inlineStr">
        <is>
          <t>Done</t>
        </is>
      </c>
      <c r="P267" t="n">
        <v>0</v>
      </c>
      <c r="Q267" t="inlineStr">
        <is>
          <t>Comet 84</t>
        </is>
      </c>
      <c r="R267" t="inlineStr">
        <is>
          <t>2022-05-19</t>
        </is>
      </c>
      <c r="S267" t="inlineStr">
        <is>
          <t>2022-06-01</t>
        </is>
      </c>
      <c r="T267" t="inlineStr">
        <is>
          <t>Comet 84 : 2022-05-19 - 2022-06-01</t>
        </is>
      </c>
      <c r="U267" t="inlineStr">
        <is>
          <t>2022-05-31T00:00:00-05:00</t>
        </is>
      </c>
      <c r="V267" t="inlineStr">
        <is>
          <t>2022-05-25T00:00:00-05:00</t>
        </is>
      </c>
      <c r="W267" t="inlineStr">
        <is>
          <t>2022-05-31T12:36:33-05:00</t>
        </is>
      </c>
      <c r="X267">
        <f>IFERROR(1/COUNTIF($I:$I,@$I:$I), 0)</f>
        <v/>
      </c>
    </row>
    <row r="268">
      <c r="A268">
        <f>HYPERLINK("https://drivetime.tpondemand.com/entity/133953", "133953")</f>
        <v/>
      </c>
      <c r="B268" t="inlineStr">
        <is>
          <t>App Launch Email/Texts - Aug 3rd, 10th, 17th</t>
        </is>
      </c>
      <c r="C268" t="inlineStr">
        <is>
          <t>UserStory</t>
        </is>
      </c>
      <c r="D268" t="inlineStr">
        <is>
          <t>Servicing: BC Next</t>
        </is>
      </c>
      <c r="E268" t="inlineStr">
        <is>
          <t>BC Digital Comet</t>
        </is>
      </c>
      <c r="F268" t="inlineStr">
        <is>
          <t>33</t>
        </is>
      </c>
      <c r="G268" t="inlineStr">
        <is>
          <t>Sushma Gurram</t>
        </is>
      </c>
      <c r="H268" t="inlineStr">
        <is>
          <t>App/Web Launch Communications</t>
        </is>
      </c>
      <c r="I268" t="n">
        <v>0</v>
      </c>
      <c r="J268" t="n">
        <v>16.35383101851852</v>
      </c>
      <c r="K268" t="inlineStr"/>
      <c r="L268" t="inlineStr"/>
      <c r="M268" t="n">
        <v>2</v>
      </c>
      <c r="N268" t="n">
        <v>127322</v>
      </c>
      <c r="O268" t="inlineStr">
        <is>
          <t>Done</t>
        </is>
      </c>
      <c r="P268" t="n">
        <v>0</v>
      </c>
      <c r="Q268" t="inlineStr">
        <is>
          <t>Comet 90</t>
        </is>
      </c>
      <c r="R268" t="inlineStr">
        <is>
          <t>2022-08-11</t>
        </is>
      </c>
      <c r="S268" t="inlineStr">
        <is>
          <t>2022-08-24</t>
        </is>
      </c>
      <c r="T268" t="inlineStr">
        <is>
          <t>Comet 90 : 2022-08-11 - 2022-08-24</t>
        </is>
      </c>
      <c r="U268" t="inlineStr">
        <is>
          <t>2022-08-18T00:00:00-05:00</t>
        </is>
      </c>
      <c r="V268" t="inlineStr">
        <is>
          <t>2022-08-18T00:00:00-05:00</t>
        </is>
      </c>
      <c r="W268" t="inlineStr">
        <is>
          <t>2022-08-18T20:02:24-05:00</t>
        </is>
      </c>
      <c r="X268">
        <f>IFERROR(1/COUNTIF($I:$I,@$I:$I), 0)</f>
        <v/>
      </c>
    </row>
    <row r="269">
      <c r="A269">
        <f>HYPERLINK("https://drivetime.tpondemand.com/entity/134229", "134229")</f>
        <v/>
      </c>
      <c r="B269" t="inlineStr">
        <is>
          <t>[BcNext] Add deep linking config for new BcNext subdomain (www2.bridgecrest.com)</t>
        </is>
      </c>
      <c r="C269" t="inlineStr">
        <is>
          <t>UserStory</t>
        </is>
      </c>
      <c r="D269" t="inlineStr">
        <is>
          <t>Servicing: BC Next</t>
        </is>
      </c>
      <c r="E269" t="inlineStr">
        <is>
          <t>BC Digital Comet</t>
        </is>
      </c>
      <c r="F269" t="inlineStr">
        <is>
          <t>25</t>
        </is>
      </c>
      <c r="G269" t="inlineStr">
        <is>
          <t>Daniel Verhagen</t>
        </is>
      </c>
      <c r="H269" t="inlineStr">
        <is>
          <t>Register Email Deep Linking</t>
        </is>
      </c>
      <c r="I269" t="n">
        <v>5</v>
      </c>
      <c r="J269" t="n">
        <v>5.208530092592593</v>
      </c>
      <c r="K269">
        <f>HYPERLINK("https://drivetime.tpondemand.com/entity/134248", "134248")</f>
        <v/>
      </c>
      <c r="L269" t="inlineStr"/>
      <c r="M269" t="n">
        <v>2</v>
      </c>
      <c r="N269" t="n">
        <v>127318</v>
      </c>
      <c r="O269" t="inlineStr">
        <is>
          <t>Done</t>
        </is>
      </c>
      <c r="P269" t="n">
        <v>0</v>
      </c>
      <c r="Q269" t="inlineStr">
        <is>
          <t>Comet 86</t>
        </is>
      </c>
      <c r="R269" t="inlineStr">
        <is>
          <t>2022-06-16</t>
        </is>
      </c>
      <c r="S269" t="inlineStr">
        <is>
          <t>2022-06-29</t>
        </is>
      </c>
      <c r="T269" t="inlineStr">
        <is>
          <t>Comet 86 : 2022-06-16 - 2022-06-29</t>
        </is>
      </c>
      <c r="U269" t="inlineStr">
        <is>
          <t>2022-06-22T00:00:00-05:00</t>
        </is>
      </c>
      <c r="V269" t="inlineStr">
        <is>
          <t>2022-06-17T00:00:00-05:00</t>
        </is>
      </c>
      <c r="W269" t="inlineStr">
        <is>
          <t>2022-06-22T16:55:52-05:00</t>
        </is>
      </c>
      <c r="X269">
        <f>IFERROR(1/COUNTIF($I:$I,@$I:$I), 0)</f>
        <v/>
      </c>
    </row>
    <row r="270">
      <c r="A270">
        <f>HYPERLINK("https://drivetime.tpondemand.com/entity/139479", "139479")</f>
        <v/>
      </c>
      <c r="B270" t="inlineStr">
        <is>
          <t>[Platform SMS] Update twilio validation to accept custom attributes</t>
        </is>
      </c>
      <c r="C270" t="inlineStr">
        <is>
          <t>UserStory</t>
        </is>
      </c>
      <c r="D270" t="inlineStr">
        <is>
          <t>Servicing: BC Next</t>
        </is>
      </c>
      <c r="E270" t="inlineStr">
        <is>
          <t>BC Digital Comet</t>
        </is>
      </c>
      <c r="F270" t="inlineStr">
        <is>
          <t>38</t>
        </is>
      </c>
      <c r="G270" t="inlineStr">
        <is>
          <t>Aditi Sharma</t>
        </is>
      </c>
      <c r="H270" t="inlineStr">
        <is>
          <t>null</t>
        </is>
      </c>
      <c r="I270" t="n">
        <v>6</v>
      </c>
      <c r="J270" t="n">
        <v>6.945011574074074</v>
      </c>
      <c r="K270">
        <f>HYPERLINK("https://drivetime.tpondemand.com/entity/139612", "139612")</f>
        <v/>
      </c>
      <c r="L270" t="inlineStr"/>
      <c r="M270" t="n">
        <v>2</v>
      </c>
      <c r="N270" t="n">
        <v>127324</v>
      </c>
      <c r="O270" t="inlineStr">
        <is>
          <t>Done</t>
        </is>
      </c>
      <c r="P270" t="n">
        <v>0</v>
      </c>
      <c r="Q270" t="inlineStr">
        <is>
          <t>Comet 92</t>
        </is>
      </c>
      <c r="R270" t="inlineStr">
        <is>
          <t>2022-09-08</t>
        </is>
      </c>
      <c r="S270" t="inlineStr">
        <is>
          <t>2022-09-21</t>
        </is>
      </c>
      <c r="T270" t="inlineStr">
        <is>
          <t>Comet 92 : 2022-09-08 - 2022-09-21</t>
        </is>
      </c>
      <c r="U270" t="inlineStr">
        <is>
          <t>2022-09-19T00:00:00-05:00</t>
        </is>
      </c>
      <c r="V270" t="inlineStr">
        <is>
          <t>2022-09-13T00:00:00-05:00</t>
        </is>
      </c>
      <c r="W270" t="inlineStr">
        <is>
          <t>2022-09-19T11:18:24-05:00</t>
        </is>
      </c>
      <c r="X270">
        <f>IFERROR(1/COUNTIF($I:$I,@$I:$I), 0)</f>
        <v/>
      </c>
    </row>
    <row r="271">
      <c r="A271">
        <f>HYPERLINK("https://drivetime.tpondemand.com/entity/125164", "125164")</f>
        <v/>
      </c>
      <c r="B271" t="inlineStr">
        <is>
          <t>[BC NEXT][OBSERVATIONS]Continue and Cancel buttons are sending analytics with 'OneTimePayment' category</t>
        </is>
      </c>
      <c r="C271" t="inlineStr">
        <is>
          <t>UserStory</t>
        </is>
      </c>
      <c r="D271" t="inlineStr">
        <is>
          <t>Servicing: BC Next</t>
        </is>
      </c>
      <c r="E271" t="inlineStr">
        <is>
          <t>BC Digital Comet</t>
        </is>
      </c>
      <c r="F271" t="inlineStr">
        <is>
          <t>01</t>
        </is>
      </c>
      <c r="G271" t="inlineStr">
        <is>
          <t>Michael Wang</t>
        </is>
      </c>
      <c r="H271" t="inlineStr">
        <is>
          <t>[BC NEXT] Prior to Launch Tech Investment</t>
        </is>
      </c>
      <c r="I271" t="n">
        <v>2</v>
      </c>
      <c r="J271" t="n">
        <v>2.047905092592592</v>
      </c>
      <c r="K271" t="inlineStr"/>
      <c r="L271" t="inlineStr"/>
      <c r="M271" t="n">
        <v>1</v>
      </c>
      <c r="N271" t="n">
        <v>116973</v>
      </c>
      <c r="O271" t="inlineStr">
        <is>
          <t>Done</t>
        </is>
      </c>
      <c r="P271" t="n">
        <v>0</v>
      </c>
      <c r="Q271" t="inlineStr">
        <is>
          <t>Comet 74</t>
        </is>
      </c>
      <c r="R271" t="inlineStr">
        <is>
          <t>2021-12-16</t>
        </is>
      </c>
      <c r="S271" t="inlineStr">
        <is>
          <t>2022-01-12</t>
        </is>
      </c>
      <c r="T271" t="inlineStr">
        <is>
          <t>Comet 74 : 2021-12-16 - 2022-01-12</t>
        </is>
      </c>
      <c r="U271" t="inlineStr">
        <is>
          <t>2022-01-07T00:00:00-06:00</t>
        </is>
      </c>
      <c r="V271" t="inlineStr">
        <is>
          <t>2022-01-05T00:00:00-06:00</t>
        </is>
      </c>
      <c r="W271" t="inlineStr">
        <is>
          <t>2022-01-07T13:56:54-06:00</t>
        </is>
      </c>
      <c r="X271">
        <f>IFERROR(1/COUNTIF($I:$I,@$I:$I), 0)</f>
        <v/>
      </c>
    </row>
    <row r="272">
      <c r="A272">
        <f>HYPERLINK("https://drivetime.tpondemand.com/entity/125439", "125439")</f>
        <v/>
      </c>
      <c r="B272" t="inlineStr">
        <is>
          <t>[BC NEXT][OBSERVATIONS][1]Hide Hello World from Production/Stage App Menu</t>
        </is>
      </c>
      <c r="C272" t="inlineStr">
        <is>
          <t>UserStory</t>
        </is>
      </c>
      <c r="D272" t="inlineStr">
        <is>
          <t>Servicing: BC Next</t>
        </is>
      </c>
      <c r="E272" t="inlineStr">
        <is>
          <t>BC Digital Comet</t>
        </is>
      </c>
      <c r="F272" t="inlineStr">
        <is>
          <t>02</t>
        </is>
      </c>
      <c r="G272" t="inlineStr">
        <is>
          <t>Daniel Verhagen and Michael Wang</t>
        </is>
      </c>
      <c r="H272" t="inlineStr">
        <is>
          <t>[BC NEXT] Prior to Launch Tech Investment</t>
        </is>
      </c>
      <c r="I272" t="n">
        <v>2</v>
      </c>
      <c r="J272" t="n">
        <v>3.028564814814815</v>
      </c>
      <c r="K272">
        <f>HYPERLINK("https://drivetime.tpondemand.com/entity/125457", "125457")</f>
        <v/>
      </c>
      <c r="L272" t="inlineStr"/>
      <c r="M272" t="n">
        <v>1</v>
      </c>
      <c r="N272" t="n">
        <v>116973</v>
      </c>
      <c r="O272" t="inlineStr">
        <is>
          <t>Done</t>
        </is>
      </c>
      <c r="P272" t="n">
        <v>0</v>
      </c>
      <c r="Q272" t="inlineStr">
        <is>
          <t>Comet 74</t>
        </is>
      </c>
      <c r="R272" t="inlineStr">
        <is>
          <t>2021-12-16</t>
        </is>
      </c>
      <c r="S272" t="inlineStr">
        <is>
          <t>2022-01-12</t>
        </is>
      </c>
      <c r="T272" t="inlineStr">
        <is>
          <t>Comet 74 : 2021-12-16 - 2022-01-12</t>
        </is>
      </c>
      <c r="U272" t="inlineStr">
        <is>
          <t>2022-01-13T00:00:00-06:00</t>
        </is>
      </c>
      <c r="V272" t="inlineStr">
        <is>
          <t>2022-01-11T00:00:00-06:00</t>
        </is>
      </c>
      <c r="W272" t="inlineStr">
        <is>
          <t>2022-01-13T10:18:48-06:00</t>
        </is>
      </c>
      <c r="X272">
        <f>IFERROR(1/COUNTIF($I:$I,@$I:$I), 0)</f>
        <v/>
      </c>
    </row>
    <row r="273">
      <c r="A273">
        <f>HYPERLINK("https://drivetime.tpondemand.com/entity/126632", "126632")</f>
        <v/>
      </c>
      <c r="B273" t="inlineStr">
        <is>
          <t>[BC NEXT][OBSERVATIONS][2] Amount Due = 0 is showing as a Payment option to select</t>
        </is>
      </c>
      <c r="C273" t="inlineStr">
        <is>
          <t>UserStory</t>
        </is>
      </c>
      <c r="D273" t="inlineStr">
        <is>
          <t>Servicing: BC Next</t>
        </is>
      </c>
      <c r="E273" t="inlineStr">
        <is>
          <t>BC Digital Comet</t>
        </is>
      </c>
      <c r="F273" t="inlineStr">
        <is>
          <t>06</t>
        </is>
      </c>
      <c r="G273" t="inlineStr">
        <is>
          <t>Daniel Verhagen</t>
        </is>
      </c>
      <c r="H273" t="inlineStr">
        <is>
          <t>[BC NEXT] Regression Testing &amp; App Bug Fixes</t>
        </is>
      </c>
      <c r="I273" t="n">
        <v>3</v>
      </c>
      <c r="J273" t="n">
        <v>8.916365740740741</v>
      </c>
      <c r="K273">
        <f>HYPERLINK("https://drivetime.tpondemand.com/entity/127077", "127077")</f>
        <v/>
      </c>
      <c r="L273" t="inlineStr"/>
      <c r="M273" t="n">
        <v>1</v>
      </c>
      <c r="N273" t="inlineStr"/>
      <c r="O273" t="inlineStr">
        <is>
          <t>Done</t>
        </is>
      </c>
      <c r="P273" t="n">
        <v>0</v>
      </c>
      <c r="Q273" t="inlineStr"/>
      <c r="R273" t="inlineStr"/>
      <c r="S273" t="inlineStr"/>
      <c r="T273" t="inlineStr"/>
      <c r="U273" t="inlineStr">
        <is>
          <t>2022-02-11T00:00:00-06:00</t>
        </is>
      </c>
      <c r="V273" t="inlineStr">
        <is>
          <t>2022-02-08T00:00:00-06:00</t>
        </is>
      </c>
      <c r="W273" t="inlineStr">
        <is>
          <t>2022-02-11T09:54:08-06:00</t>
        </is>
      </c>
      <c r="X273">
        <f>IFERROR(1/COUNTIF($I:$I,@$I:$I), 0)</f>
        <v/>
      </c>
    </row>
    <row r="274">
      <c r="A274">
        <f>HYPERLINK("https://drivetime.tpondemand.com/entity/126703", "126703")</f>
        <v/>
      </c>
      <c r="B274" t="inlineStr">
        <is>
          <t>[FEB RC][BC API] GQL 4 Upgrade + Same Day Sale fix</t>
        </is>
      </c>
      <c r="C274" t="inlineStr">
        <is>
          <t>UserStory</t>
        </is>
      </c>
      <c r="D274" t="inlineStr">
        <is>
          <t>Servicing: BC Next</t>
        </is>
      </c>
      <c r="E274" t="inlineStr">
        <is>
          <t>BC Digital Comet</t>
        </is>
      </c>
      <c r="F274" t="inlineStr">
        <is>
          <t>05</t>
        </is>
      </c>
      <c r="G274" t="inlineStr">
        <is>
          <t>Aditi Sharma</t>
        </is>
      </c>
      <c r="H274" t="inlineStr">
        <is>
          <t>null</t>
        </is>
      </c>
      <c r="I274" t="n">
        <v>2</v>
      </c>
      <c r="J274" t="n">
        <v>2.988368055555556</v>
      </c>
      <c r="K274">
        <f>HYPERLINK("https://drivetime.tpondemand.com/entity/126784", "126784")</f>
        <v/>
      </c>
      <c r="L274" t="inlineStr"/>
      <c r="M274" t="n">
        <v>1</v>
      </c>
      <c r="N274" t="n">
        <v>116975</v>
      </c>
      <c r="O274" t="inlineStr">
        <is>
          <t>Done</t>
        </is>
      </c>
      <c r="P274" t="n">
        <v>0</v>
      </c>
      <c r="Q274" t="inlineStr">
        <is>
          <t>Comet 76</t>
        </is>
      </c>
      <c r="R274" t="inlineStr">
        <is>
          <t>2022-01-27</t>
        </is>
      </c>
      <c r="S274" t="inlineStr">
        <is>
          <t>2022-02-09</t>
        </is>
      </c>
      <c r="T274" t="inlineStr">
        <is>
          <t>Comet 76 : 2022-01-27 - 2022-02-09</t>
        </is>
      </c>
      <c r="U274" t="inlineStr">
        <is>
          <t>2022-02-03T00:00:00-06:00</t>
        </is>
      </c>
      <c r="V274" t="inlineStr">
        <is>
          <t>2022-02-01T00:00:00-06:00</t>
        </is>
      </c>
      <c r="W274" t="inlineStr">
        <is>
          <t>2022-02-03T10:11:36-06:00</t>
        </is>
      </c>
      <c r="X274">
        <f>IFERROR(1/COUNTIF($I:$I,@$I:$I), 0)</f>
        <v/>
      </c>
    </row>
    <row r="275">
      <c r="A275">
        <f>HYPERLINK("https://drivetime.tpondemand.com/entity/132612", "132612")</f>
        <v/>
      </c>
      <c r="B275" t="inlineStr">
        <is>
          <t>Update BC App Rollout MMS Message Template in Prod</t>
        </is>
      </c>
      <c r="C275" t="inlineStr">
        <is>
          <t>UserStory</t>
        </is>
      </c>
      <c r="D275" t="inlineStr">
        <is>
          <t>Servicing: BC Next</t>
        </is>
      </c>
      <c r="E275" t="inlineStr">
        <is>
          <t>BC Digital Comet</t>
        </is>
      </c>
      <c r="F275" t="inlineStr">
        <is>
          <t>22</t>
        </is>
      </c>
      <c r="G275" t="inlineStr">
        <is>
          <t>Sushma Gurram</t>
        </is>
      </c>
      <c r="H275" t="inlineStr">
        <is>
          <t>[BC NEXT] App Launch Communications</t>
        </is>
      </c>
      <c r="I275" t="n">
        <v>8</v>
      </c>
      <c r="J275" t="n">
        <v>7.997256944444444</v>
      </c>
      <c r="K275">
        <f>HYPERLINK("https://drivetime.tpondemand.com/entity/132623", "132623")</f>
        <v/>
      </c>
      <c r="L275" t="inlineStr"/>
      <c r="M275" t="n">
        <v>1</v>
      </c>
      <c r="N275" t="n">
        <v>127316</v>
      </c>
      <c r="O275" t="inlineStr">
        <is>
          <t>Done</t>
        </is>
      </c>
      <c r="P275" t="n">
        <v>0</v>
      </c>
      <c r="Q275" t="inlineStr">
        <is>
          <t>Comet 84</t>
        </is>
      </c>
      <c r="R275" t="inlineStr">
        <is>
          <t>2022-05-19</t>
        </is>
      </c>
      <c r="S275" t="inlineStr">
        <is>
          <t>2022-06-01</t>
        </is>
      </c>
      <c r="T275" t="inlineStr">
        <is>
          <t>Comet 84 : 2022-05-19 - 2022-06-01</t>
        </is>
      </c>
      <c r="U275" t="inlineStr">
        <is>
          <t>2022-05-31T00:00:00-05:00</t>
        </is>
      </c>
      <c r="V275" t="inlineStr">
        <is>
          <t>2022-05-23T00:00:00-05:00</t>
        </is>
      </c>
      <c r="W275" t="inlineStr">
        <is>
          <t>2022-05-31T12:36:21-05:00</t>
        </is>
      </c>
      <c r="X275">
        <f>IFERROR(1/COUNTIF($I:$I,@$I:$I), 0)</f>
        <v/>
      </c>
    </row>
    <row r="276">
      <c r="A276">
        <f>HYPERLINK("https://drivetime.tpondemand.com/entity/132672", "132672")</f>
        <v/>
      </c>
      <c r="B276" t="inlineStr">
        <is>
          <t>Clean up MMS Azure Function logging</t>
        </is>
      </c>
      <c r="C276" t="inlineStr">
        <is>
          <t>UserStory</t>
        </is>
      </c>
      <c r="D276" t="inlineStr">
        <is>
          <t>Servicing: BC Next</t>
        </is>
      </c>
      <c r="E276" t="inlineStr">
        <is>
          <t>BC Digital Comet</t>
        </is>
      </c>
      <c r="F276" t="inlineStr">
        <is>
          <t>22</t>
        </is>
      </c>
      <c r="G276" t="inlineStr">
        <is>
          <t>Marcus Rogers</t>
        </is>
      </c>
      <c r="H276" t="inlineStr">
        <is>
          <t>[BC NEXT] App Launch Communications</t>
        </is>
      </c>
      <c r="I276" t="n">
        <v>7</v>
      </c>
      <c r="J276" t="n">
        <v>7.009583333333333</v>
      </c>
      <c r="K276">
        <f>HYPERLINK("https://drivetime.tpondemand.com/entity/132623", "132623")</f>
        <v/>
      </c>
      <c r="L276" t="inlineStr"/>
      <c r="M276" t="n">
        <v>1</v>
      </c>
      <c r="N276" t="n">
        <v>127316</v>
      </c>
      <c r="O276" t="inlineStr">
        <is>
          <t>Done</t>
        </is>
      </c>
      <c r="P276" t="n">
        <v>0</v>
      </c>
      <c r="Q276" t="inlineStr">
        <is>
          <t>Comet 84</t>
        </is>
      </c>
      <c r="R276" t="inlineStr">
        <is>
          <t>2022-05-19</t>
        </is>
      </c>
      <c r="S276" t="inlineStr">
        <is>
          <t>2022-06-01</t>
        </is>
      </c>
      <c r="T276" t="inlineStr">
        <is>
          <t>Comet 84 : 2022-05-19 - 2022-06-01</t>
        </is>
      </c>
      <c r="U276" t="inlineStr">
        <is>
          <t>2022-05-31T00:00:00-05:00</t>
        </is>
      </c>
      <c r="V276" t="inlineStr">
        <is>
          <t>2022-05-24T00:00:00-05:00</t>
        </is>
      </c>
      <c r="W276" t="inlineStr">
        <is>
          <t>2022-05-31T12:36:28-05:00</t>
        </is>
      </c>
      <c r="X276">
        <f>IFERROR(1/COUNTIF($I:$I,@$I:$I), 0)</f>
        <v/>
      </c>
    </row>
    <row r="277">
      <c r="A277">
        <f>HYPERLINK("https://drivetime.tpondemand.com/entity/135577", "135577")</f>
        <v/>
      </c>
      <c r="B277" t="inlineStr">
        <is>
          <t>[Auth0][CC] Email Verification Redirect</t>
        </is>
      </c>
      <c r="C277" t="inlineStr">
        <is>
          <t>UserStory</t>
        </is>
      </c>
      <c r="D277" t="inlineStr">
        <is>
          <t>Servicing: BC Next</t>
        </is>
      </c>
      <c r="E277" t="inlineStr">
        <is>
          <t>BC Digital Comet</t>
        </is>
      </c>
      <c r="F277" t="inlineStr">
        <is>
          <t>46</t>
        </is>
      </c>
      <c r="G277" t="inlineStr">
        <is>
          <t>Daniel Verhagen</t>
        </is>
      </c>
      <c r="H277" t="inlineStr">
        <is>
          <t>null</t>
        </is>
      </c>
      <c r="I277" t="n">
        <v>1</v>
      </c>
      <c r="J277" t="n">
        <v>0.9226157407407407</v>
      </c>
      <c r="K277" t="inlineStr"/>
      <c r="L277" t="inlineStr"/>
      <c r="M277" t="n">
        <v>1</v>
      </c>
      <c r="N277" t="n">
        <v>127329</v>
      </c>
      <c r="O277" t="inlineStr">
        <is>
          <t>Done</t>
        </is>
      </c>
      <c r="P277" t="n">
        <v>0</v>
      </c>
      <c r="Q277" t="inlineStr">
        <is>
          <t>Comet 97</t>
        </is>
      </c>
      <c r="R277" t="inlineStr">
        <is>
          <t>2022-11-17</t>
        </is>
      </c>
      <c r="S277" t="inlineStr">
        <is>
          <t>2022-11-30</t>
        </is>
      </c>
      <c r="T277" t="inlineStr">
        <is>
          <t>Comet 97 : 2022-11-17 - 2022-11-30</t>
        </is>
      </c>
      <c r="U277" t="inlineStr">
        <is>
          <t>2022-11-17T00:00:00-06:00</t>
        </is>
      </c>
      <c r="V277" t="inlineStr">
        <is>
          <t>2022-11-16T00:00:00-06:00</t>
        </is>
      </c>
      <c r="W277" t="inlineStr">
        <is>
          <t>2022-11-17T15:09:29-06:00</t>
        </is>
      </c>
      <c r="X277">
        <f>IFERROR(1/COUNTIF($I:$I,@$I:$I), 0)</f>
        <v/>
      </c>
    </row>
    <row r="278">
      <c r="A278">
        <f>HYPERLINK("https://drivetime.tpondemand.com/entity/125389", "125389")</f>
        <v/>
      </c>
      <c r="B278" t="inlineStr">
        <is>
          <t>[REGRESSION] Test Group 1 iPhone</t>
        </is>
      </c>
      <c r="C278" t="inlineStr">
        <is>
          <t>UserStory</t>
        </is>
      </c>
      <c r="D278" t="inlineStr">
        <is>
          <t>Servicing: BC Next</t>
        </is>
      </c>
      <c r="E278" t="inlineStr">
        <is>
          <t>BC Digital Comet</t>
        </is>
      </c>
      <c r="F278" t="inlineStr">
        <is>
          <t>03</t>
        </is>
      </c>
      <c r="G278" t="inlineStr">
        <is>
          <t>Shyam Senthil Nathan</t>
        </is>
      </c>
      <c r="H278" t="inlineStr">
        <is>
          <t>[BC NEXT] Regression Testing &amp; App Bug Fixes</t>
        </is>
      </c>
      <c r="I278" t="n">
        <v>0</v>
      </c>
      <c r="J278" t="n">
        <v>1.612453703703704</v>
      </c>
      <c r="K278" t="inlineStr"/>
      <c r="L278" t="inlineStr"/>
      <c r="M278" t="n">
        <v>0</v>
      </c>
      <c r="N278" t="inlineStr"/>
      <c r="O278" t="inlineStr">
        <is>
          <t>Done</t>
        </is>
      </c>
      <c r="P278" t="n">
        <v>0</v>
      </c>
      <c r="Q278" t="inlineStr"/>
      <c r="R278" t="inlineStr"/>
      <c r="S278" t="inlineStr"/>
      <c r="T278" t="inlineStr"/>
      <c r="U278" t="inlineStr">
        <is>
          <t>2022-01-18T00:00:00-06:00</t>
        </is>
      </c>
      <c r="V278" t="inlineStr">
        <is>
          <t>2022-01-18T00:00:00-06:00</t>
        </is>
      </c>
      <c r="W278" t="inlineStr">
        <is>
          <t>2022-01-18T23:54:34-06:00</t>
        </is>
      </c>
      <c r="X278">
        <f>IFERROR(1/COUNTIF($I:$I,@$I:$I), 0)</f>
        <v/>
      </c>
    </row>
    <row r="279">
      <c r="A279">
        <f>HYPERLINK("https://drivetime.tpondemand.com/entity/125390", "125390")</f>
        <v/>
      </c>
      <c r="B279" t="inlineStr">
        <is>
          <t>[REGRESSION] Test Group 1 Android</t>
        </is>
      </c>
      <c r="C279" t="inlineStr">
        <is>
          <t>UserStory</t>
        </is>
      </c>
      <c r="D279" t="inlineStr">
        <is>
          <t>Servicing: BC Next</t>
        </is>
      </c>
      <c r="E279" t="inlineStr">
        <is>
          <t>BC Digital Comet</t>
        </is>
      </c>
      <c r="F279" t="inlineStr">
        <is>
          <t>03</t>
        </is>
      </c>
      <c r="G279" t="inlineStr">
        <is>
          <t>Abbas Shamshi</t>
        </is>
      </c>
      <c r="H279" t="inlineStr">
        <is>
          <t>[BC NEXT] Regression Testing &amp; App Bug Fixes</t>
        </is>
      </c>
      <c r="I279" t="n">
        <v>0</v>
      </c>
      <c r="J279" t="n">
        <v>1.458333333333333</v>
      </c>
      <c r="K279" t="inlineStr"/>
      <c r="L279" t="inlineStr"/>
      <c r="M279" t="n">
        <v>0</v>
      </c>
      <c r="N279" t="inlineStr"/>
      <c r="O279" t="inlineStr">
        <is>
          <t>Done</t>
        </is>
      </c>
      <c r="P279" t="n">
        <v>0</v>
      </c>
      <c r="Q279" t="inlineStr"/>
      <c r="R279" t="inlineStr"/>
      <c r="S279" t="inlineStr"/>
      <c r="T279" t="inlineStr"/>
      <c r="U279" t="inlineStr">
        <is>
          <t>2022-01-18T00:00:00-06:00</t>
        </is>
      </c>
      <c r="V279" t="inlineStr">
        <is>
          <t>2022-01-18T00:00:00-06:00</t>
        </is>
      </c>
      <c r="W279" t="inlineStr">
        <is>
          <t>2022-01-18T23:54:34-06:00</t>
        </is>
      </c>
      <c r="X279">
        <f>IFERROR(1/COUNTIF($I:$I,@$I:$I), 0)</f>
        <v/>
      </c>
    </row>
    <row r="280">
      <c r="A280">
        <f>HYPERLINK("https://drivetime.tpondemand.com/entity/125430", "125430")</f>
        <v/>
      </c>
      <c r="B280" t="inlineStr">
        <is>
          <t>[BC NEXT][OBSERVATIONS][1] Build number on the devices do not match the build number in Azure Release</t>
        </is>
      </c>
      <c r="C280" t="inlineStr">
        <is>
          <t>UserStory</t>
        </is>
      </c>
      <c r="D280" t="inlineStr">
        <is>
          <t>Servicing: BC Next</t>
        </is>
      </c>
      <c r="E280" t="inlineStr">
        <is>
          <t>BC Digital Comet</t>
        </is>
      </c>
      <c r="F280" t="inlineStr">
        <is>
          <t>02</t>
        </is>
      </c>
      <c r="G280" t="inlineStr"/>
      <c r="H280" t="inlineStr">
        <is>
          <t>[BC NEXT] Prior to Launch Tech Investment</t>
        </is>
      </c>
      <c r="I280" t="n">
        <v>0</v>
      </c>
      <c r="J280" t="n">
        <v>3.472222222222222e-05</v>
      </c>
      <c r="K280" t="inlineStr"/>
      <c r="L280" t="inlineStr"/>
      <c r="M280" t="n">
        <v>0</v>
      </c>
      <c r="N280" t="inlineStr"/>
      <c r="O280" t="inlineStr">
        <is>
          <t>Done</t>
        </is>
      </c>
      <c r="P280" t="n">
        <v>0</v>
      </c>
      <c r="Q280" t="inlineStr"/>
      <c r="R280" t="inlineStr"/>
      <c r="S280" t="inlineStr"/>
      <c r="T280" t="inlineStr"/>
      <c r="U280" t="inlineStr">
        <is>
          <t>2022-01-12T00:00:00-06:00</t>
        </is>
      </c>
      <c r="V280" t="inlineStr">
        <is>
          <t>2022-01-12T00:00:00-06:00</t>
        </is>
      </c>
      <c r="W280" t="inlineStr">
        <is>
          <t>2022-01-12T12:27:38-06:00</t>
        </is>
      </c>
      <c r="X280">
        <f>IFERROR(1/COUNTIF($I:$I,@$I:$I), 0)</f>
        <v/>
      </c>
    </row>
    <row r="281">
      <c r="A281">
        <f>HYPERLINK("https://drivetime.tpondemand.com/entity/125770", "125770")</f>
        <v/>
      </c>
      <c r="B281" t="inlineStr">
        <is>
          <t>[REGRESSION] Test Group 2 iPhone</t>
        </is>
      </c>
      <c r="C281" t="inlineStr">
        <is>
          <t>UserStory</t>
        </is>
      </c>
      <c r="D281" t="inlineStr">
        <is>
          <t>Servicing: BC Next</t>
        </is>
      </c>
      <c r="E281" t="inlineStr">
        <is>
          <t>BC Digital Comet</t>
        </is>
      </c>
      <c r="F281" t="inlineStr">
        <is>
          <t>03</t>
        </is>
      </c>
      <c r="G281" t="inlineStr">
        <is>
          <t>Joseph Kranak and Yokeshwaran Lokanathan and Andrew Vu</t>
        </is>
      </c>
      <c r="H281" t="inlineStr">
        <is>
          <t>[BC NEXT] Regression Testing &amp; App Bug Fixes</t>
        </is>
      </c>
      <c r="I281" t="n">
        <v>0</v>
      </c>
      <c r="J281" t="n">
        <v>1.540231481481481</v>
      </c>
      <c r="K281" t="inlineStr"/>
      <c r="L281" t="inlineStr"/>
      <c r="M281" t="n">
        <v>0</v>
      </c>
      <c r="N281" t="inlineStr"/>
      <c r="O281" t="inlineStr">
        <is>
          <t>Done</t>
        </is>
      </c>
      <c r="P281" t="n">
        <v>0</v>
      </c>
      <c r="Q281" t="inlineStr"/>
      <c r="R281" t="inlineStr"/>
      <c r="S281" t="inlineStr"/>
      <c r="T281" t="inlineStr"/>
      <c r="U281" t="inlineStr">
        <is>
          <t>2022-01-18T00:00:00-06:00</t>
        </is>
      </c>
      <c r="V281" t="inlineStr">
        <is>
          <t>2022-01-18T00:00:00-06:00</t>
        </is>
      </c>
      <c r="W281" t="inlineStr">
        <is>
          <t>2022-01-18T23:54:34-06:00</t>
        </is>
      </c>
      <c r="X281">
        <f>IFERROR(1/COUNTIF($I:$I,@$I:$I), 0)</f>
        <v/>
      </c>
    </row>
    <row r="282">
      <c r="A282">
        <f>HYPERLINK("https://drivetime.tpondemand.com/entity/125771", "125771")</f>
        <v/>
      </c>
      <c r="B282" t="inlineStr">
        <is>
          <t>[REGRESSION] Test Group 2 Android</t>
        </is>
      </c>
      <c r="C282" t="inlineStr">
        <is>
          <t>UserStory</t>
        </is>
      </c>
      <c r="D282" t="inlineStr">
        <is>
          <t>Servicing: BC Next</t>
        </is>
      </c>
      <c r="E282" t="inlineStr">
        <is>
          <t>BC Digital Comet</t>
        </is>
      </c>
      <c r="F282" t="inlineStr">
        <is>
          <t>03</t>
        </is>
      </c>
      <c r="G282" t="inlineStr">
        <is>
          <t>Namratha Chilukuri and Jonathan Escamilla and Ite Pandit</t>
        </is>
      </c>
      <c r="H282" t="inlineStr">
        <is>
          <t>[BC NEXT] Regression Testing &amp; App Bug Fixes</t>
        </is>
      </c>
      <c r="I282" t="n">
        <v>0</v>
      </c>
      <c r="J282" t="n">
        <v>1.540208333333333</v>
      </c>
      <c r="K282" t="inlineStr"/>
      <c r="L282" t="inlineStr"/>
      <c r="M282" t="n">
        <v>0</v>
      </c>
      <c r="N282" t="inlineStr"/>
      <c r="O282" t="inlineStr">
        <is>
          <t>Done</t>
        </is>
      </c>
      <c r="P282" t="n">
        <v>0</v>
      </c>
      <c r="Q282" t="inlineStr"/>
      <c r="R282" t="inlineStr"/>
      <c r="S282" t="inlineStr"/>
      <c r="T282" t="inlineStr"/>
      <c r="U282" t="inlineStr">
        <is>
          <t>2022-01-18T00:00:00-06:00</t>
        </is>
      </c>
      <c r="V282" t="inlineStr">
        <is>
          <t>2022-01-18T00:00:00-06:00</t>
        </is>
      </c>
      <c r="W282" t="inlineStr">
        <is>
          <t>2022-01-18T23:54:34-06:00</t>
        </is>
      </c>
      <c r="X282">
        <f>IFERROR(1/COUNTIF($I:$I,@$I:$I), 0)</f>
        <v/>
      </c>
    </row>
    <row r="283">
      <c r="A283">
        <f>HYPERLINK("https://drivetime.tpondemand.com/entity/125772", "125772")</f>
        <v/>
      </c>
      <c r="B283" t="inlineStr">
        <is>
          <t>[REGRESSION] Test Group 3 iPhone</t>
        </is>
      </c>
      <c r="C283" t="inlineStr">
        <is>
          <t>UserStory</t>
        </is>
      </c>
      <c r="D283" t="inlineStr">
        <is>
          <t>Servicing: BC Next</t>
        </is>
      </c>
      <c r="E283" t="inlineStr">
        <is>
          <t>BC Digital Comet</t>
        </is>
      </c>
      <c r="F283" t="inlineStr">
        <is>
          <t>03</t>
        </is>
      </c>
      <c r="G283" t="inlineStr">
        <is>
          <t>Jesse McMahon</t>
        </is>
      </c>
      <c r="H283" t="inlineStr">
        <is>
          <t>[BC NEXT] Regression Testing &amp; App Bug Fixes</t>
        </is>
      </c>
      <c r="I283" t="n">
        <v>0</v>
      </c>
      <c r="J283" t="n">
        <v>1.559583333333333</v>
      </c>
      <c r="K283" t="inlineStr"/>
      <c r="L283" t="inlineStr"/>
      <c r="M283" t="n">
        <v>0</v>
      </c>
      <c r="N283" t="inlineStr"/>
      <c r="O283" t="inlineStr">
        <is>
          <t>Done</t>
        </is>
      </c>
      <c r="P283" t="n">
        <v>0</v>
      </c>
      <c r="Q283" t="inlineStr"/>
      <c r="R283" t="inlineStr"/>
      <c r="S283" t="inlineStr"/>
      <c r="T283" t="inlineStr"/>
      <c r="U283" t="inlineStr">
        <is>
          <t>2022-01-18T00:00:00-06:00</t>
        </is>
      </c>
      <c r="V283" t="inlineStr">
        <is>
          <t>2022-01-18T00:00:00-06:00</t>
        </is>
      </c>
      <c r="W283" t="inlineStr">
        <is>
          <t>2022-01-18T23:54:34-06:00</t>
        </is>
      </c>
      <c r="X283">
        <f>IFERROR(1/COUNTIF($I:$I,@$I:$I), 0)</f>
        <v/>
      </c>
    </row>
    <row r="284">
      <c r="A284">
        <f>HYPERLINK("https://drivetime.tpondemand.com/entity/125773", "125773")</f>
        <v/>
      </c>
      <c r="B284" t="inlineStr">
        <is>
          <t>[REGRESSION] Test Group 3 Android</t>
        </is>
      </c>
      <c r="C284" t="inlineStr">
        <is>
          <t>UserStory</t>
        </is>
      </c>
      <c r="D284" t="inlineStr">
        <is>
          <t>Servicing: BC Next</t>
        </is>
      </c>
      <c r="E284" t="inlineStr">
        <is>
          <t>BC Digital Comet</t>
        </is>
      </c>
      <c r="F284" t="inlineStr">
        <is>
          <t>03</t>
        </is>
      </c>
      <c r="G284" t="inlineStr">
        <is>
          <t>Pete Wesselius</t>
        </is>
      </c>
      <c r="H284" t="inlineStr">
        <is>
          <t>[BC NEXT] Regression Testing &amp; App Bug Fixes</t>
        </is>
      </c>
      <c r="I284" t="n">
        <v>0</v>
      </c>
      <c r="J284" t="n">
        <v>1.55900462962963</v>
      </c>
      <c r="K284" t="inlineStr"/>
      <c r="L284" t="inlineStr"/>
      <c r="M284" t="n">
        <v>0</v>
      </c>
      <c r="N284" t="inlineStr"/>
      <c r="O284" t="inlineStr">
        <is>
          <t>Done</t>
        </is>
      </c>
      <c r="P284" t="n">
        <v>0</v>
      </c>
      <c r="Q284" t="inlineStr"/>
      <c r="R284" t="inlineStr"/>
      <c r="S284" t="inlineStr"/>
      <c r="T284" t="inlineStr"/>
      <c r="U284" t="inlineStr">
        <is>
          <t>2022-01-18T00:00:00-06:00</t>
        </is>
      </c>
      <c r="V284" t="inlineStr">
        <is>
          <t>2022-01-18T00:00:00-06:00</t>
        </is>
      </c>
      <c r="W284" t="inlineStr">
        <is>
          <t>2022-01-18T23:54:34-06:00</t>
        </is>
      </c>
      <c r="X284">
        <f>IFERROR(1/COUNTIF($I:$I,@$I:$I), 0)</f>
        <v/>
      </c>
    </row>
    <row r="285">
      <c r="A285">
        <f>HYPERLINK("https://drivetime.tpondemand.com/entity/125774", "125774")</f>
        <v/>
      </c>
      <c r="B285" t="inlineStr">
        <is>
          <t>[REGRESSION] Test Group 4 iPhone</t>
        </is>
      </c>
      <c r="C285" t="inlineStr">
        <is>
          <t>UserStory</t>
        </is>
      </c>
      <c r="D285" t="inlineStr">
        <is>
          <t>Servicing: BC Next</t>
        </is>
      </c>
      <c r="E285" t="inlineStr">
        <is>
          <t>BC Digital Comet</t>
        </is>
      </c>
      <c r="F285" t="inlineStr">
        <is>
          <t>03</t>
        </is>
      </c>
      <c r="G285" t="inlineStr">
        <is>
          <t>Lavanya Raghavender</t>
        </is>
      </c>
      <c r="H285" t="inlineStr">
        <is>
          <t>[BC NEXT] Regression Testing &amp; App Bug Fixes</t>
        </is>
      </c>
      <c r="I285" t="n">
        <v>0</v>
      </c>
      <c r="J285" t="n">
        <v>1.533553240740741</v>
      </c>
      <c r="K285" t="inlineStr"/>
      <c r="L285" t="inlineStr"/>
      <c r="M285" t="n">
        <v>0</v>
      </c>
      <c r="N285" t="inlineStr"/>
      <c r="O285" t="inlineStr">
        <is>
          <t>Done</t>
        </is>
      </c>
      <c r="P285" t="n">
        <v>0</v>
      </c>
      <c r="Q285" t="inlineStr"/>
      <c r="R285" t="inlineStr"/>
      <c r="S285" t="inlineStr"/>
      <c r="T285" t="inlineStr"/>
      <c r="U285" t="inlineStr">
        <is>
          <t>2022-01-18T00:00:00-06:00</t>
        </is>
      </c>
      <c r="V285" t="inlineStr">
        <is>
          <t>2022-01-18T00:00:00-06:00</t>
        </is>
      </c>
      <c r="W285" t="inlineStr">
        <is>
          <t>2022-01-18T23:54:34-06:00</t>
        </is>
      </c>
      <c r="X285">
        <f>IFERROR(1/COUNTIF($I:$I,@$I:$I), 0)</f>
        <v/>
      </c>
    </row>
    <row r="286">
      <c r="A286">
        <f>HYPERLINK("https://drivetime.tpondemand.com/entity/125775", "125775")</f>
        <v/>
      </c>
      <c r="B286" t="inlineStr">
        <is>
          <t>[REGRESSION] Test Group 4 Android</t>
        </is>
      </c>
      <c r="C286" t="inlineStr">
        <is>
          <t>UserStory</t>
        </is>
      </c>
      <c r="D286" t="inlineStr">
        <is>
          <t>Servicing: BC Next</t>
        </is>
      </c>
      <c r="E286" t="inlineStr">
        <is>
          <t>BC Digital Comet</t>
        </is>
      </c>
      <c r="F286" t="inlineStr">
        <is>
          <t>03</t>
        </is>
      </c>
      <c r="G286" t="inlineStr">
        <is>
          <t>Marcus Rogers</t>
        </is>
      </c>
      <c r="H286" t="inlineStr">
        <is>
          <t>[BC NEXT] Regression Testing &amp; App Bug Fixes</t>
        </is>
      </c>
      <c r="I286" t="n">
        <v>0</v>
      </c>
      <c r="J286" t="n">
        <v>1.559629629629629</v>
      </c>
      <c r="K286" t="inlineStr"/>
      <c r="L286" t="inlineStr"/>
      <c r="M286" t="n">
        <v>0</v>
      </c>
      <c r="N286" t="inlineStr"/>
      <c r="O286" t="inlineStr">
        <is>
          <t>Done</t>
        </is>
      </c>
      <c r="P286" t="n">
        <v>0</v>
      </c>
      <c r="Q286" t="inlineStr"/>
      <c r="R286" t="inlineStr"/>
      <c r="S286" t="inlineStr"/>
      <c r="T286" t="inlineStr"/>
      <c r="U286" t="inlineStr">
        <is>
          <t>2022-01-18T00:00:00-06:00</t>
        </is>
      </c>
      <c r="V286" t="inlineStr">
        <is>
          <t>2022-01-18T00:00:00-06:00</t>
        </is>
      </c>
      <c r="W286" t="inlineStr">
        <is>
          <t>2022-01-18T23:54:34-06:00</t>
        </is>
      </c>
      <c r="X286">
        <f>IFERROR(1/COUNTIF($I:$I,@$I:$I), 0)</f>
        <v/>
      </c>
    </row>
    <row r="287">
      <c r="A287">
        <f>HYPERLINK("https://drivetime.tpondemand.com/entity/125776", "125776")</f>
        <v/>
      </c>
      <c r="B287" t="inlineStr">
        <is>
          <t>[REGRESSION] Test Group 5 iPhone</t>
        </is>
      </c>
      <c r="C287" t="inlineStr">
        <is>
          <t>UserStory</t>
        </is>
      </c>
      <c r="D287" t="inlineStr">
        <is>
          <t>Servicing: BC Next</t>
        </is>
      </c>
      <c r="E287" t="inlineStr">
        <is>
          <t>BC Digital Comet</t>
        </is>
      </c>
      <c r="F287" t="inlineStr">
        <is>
          <t>03</t>
        </is>
      </c>
      <c r="G287" t="inlineStr">
        <is>
          <t>Chirag Khandhar</t>
        </is>
      </c>
      <c r="H287" t="inlineStr">
        <is>
          <t>[BC NEXT] Regression Testing &amp; App Bug Fixes</t>
        </is>
      </c>
      <c r="I287" t="n">
        <v>0</v>
      </c>
      <c r="J287" t="n">
        <v>1.559050925925926</v>
      </c>
      <c r="K287" t="inlineStr"/>
      <c r="L287" t="inlineStr"/>
      <c r="M287" t="n">
        <v>0</v>
      </c>
      <c r="N287" t="inlineStr"/>
      <c r="O287" t="inlineStr">
        <is>
          <t>Done</t>
        </is>
      </c>
      <c r="P287" t="n">
        <v>0</v>
      </c>
      <c r="Q287" t="inlineStr"/>
      <c r="R287" t="inlineStr"/>
      <c r="S287" t="inlineStr"/>
      <c r="T287" t="inlineStr"/>
      <c r="U287" t="inlineStr">
        <is>
          <t>2022-01-18T00:00:00-06:00</t>
        </is>
      </c>
      <c r="V287" t="inlineStr">
        <is>
          <t>2022-01-18T00:00:00-06:00</t>
        </is>
      </c>
      <c r="W287" t="inlineStr">
        <is>
          <t>2022-01-18T23:54:34-06:00</t>
        </is>
      </c>
      <c r="X287">
        <f>IFERROR(1/COUNTIF($I:$I,@$I:$I), 0)</f>
        <v/>
      </c>
    </row>
    <row r="288">
      <c r="A288">
        <f>HYPERLINK("https://drivetime.tpondemand.com/entity/125777", "125777")</f>
        <v/>
      </c>
      <c r="B288" t="inlineStr">
        <is>
          <t>[REGRESSION] Test Group 5 Android</t>
        </is>
      </c>
      <c r="C288" t="inlineStr">
        <is>
          <t>UserStory</t>
        </is>
      </c>
      <c r="D288" t="inlineStr">
        <is>
          <t>Servicing: BC Next</t>
        </is>
      </c>
      <c r="E288" t="inlineStr">
        <is>
          <t>BC Digital Comet</t>
        </is>
      </c>
      <c r="F288" t="inlineStr">
        <is>
          <t>03</t>
        </is>
      </c>
      <c r="G288" t="inlineStr">
        <is>
          <t>Jonathan Escamilla</t>
        </is>
      </c>
      <c r="H288" t="inlineStr">
        <is>
          <t>[BC NEXT] Regression Testing &amp; App Bug Fixes</t>
        </is>
      </c>
      <c r="I288" t="n">
        <v>1</v>
      </c>
      <c r="J288" t="n">
        <v>1.485266203703704</v>
      </c>
      <c r="K288" t="inlineStr"/>
      <c r="L288" t="inlineStr"/>
      <c r="M288" t="n">
        <v>0</v>
      </c>
      <c r="N288" t="inlineStr"/>
      <c r="O288" t="inlineStr">
        <is>
          <t>Done</t>
        </is>
      </c>
      <c r="P288" t="n">
        <v>0</v>
      </c>
      <c r="Q288" t="inlineStr"/>
      <c r="R288" t="inlineStr"/>
      <c r="S288" t="inlineStr"/>
      <c r="T288" t="inlineStr"/>
      <c r="U288" t="inlineStr">
        <is>
          <t>2022-01-18T00:00:00-06:00</t>
        </is>
      </c>
      <c r="V288" t="inlineStr">
        <is>
          <t>2022-01-17T00:00:00-06:00</t>
        </is>
      </c>
      <c r="W288" t="inlineStr">
        <is>
          <t>2022-01-18T23:54:34-06:00</t>
        </is>
      </c>
      <c r="X288">
        <f>IFERROR(1/COUNTIF($I:$I,@$I:$I), 0)</f>
        <v/>
      </c>
    </row>
    <row r="289">
      <c r="A289">
        <f>HYPERLINK("https://drivetime.tpondemand.com/entity/125778", "125778")</f>
        <v/>
      </c>
      <c r="B289" t="inlineStr">
        <is>
          <t>[REGRESSION] Test Group 6 iPhone</t>
        </is>
      </c>
      <c r="C289" t="inlineStr">
        <is>
          <t>UserStory</t>
        </is>
      </c>
      <c r="D289" t="inlineStr">
        <is>
          <t>Servicing: BC Next</t>
        </is>
      </c>
      <c r="E289" t="inlineStr">
        <is>
          <t>BC Digital Comet</t>
        </is>
      </c>
      <c r="F289" t="inlineStr">
        <is>
          <t>03</t>
        </is>
      </c>
      <c r="G289" t="inlineStr">
        <is>
          <t>Andrew Vu</t>
        </is>
      </c>
      <c r="H289" t="inlineStr">
        <is>
          <t>[BC NEXT] Regression Testing &amp; App Bug Fixes</t>
        </is>
      </c>
      <c r="I289" t="n">
        <v>0</v>
      </c>
      <c r="J289" t="n">
        <v>1.533703703703704</v>
      </c>
      <c r="K289" t="inlineStr"/>
      <c r="L289" t="inlineStr"/>
      <c r="M289" t="n">
        <v>0</v>
      </c>
      <c r="N289" t="inlineStr"/>
      <c r="O289" t="inlineStr">
        <is>
          <t>Done</t>
        </is>
      </c>
      <c r="P289" t="n">
        <v>0</v>
      </c>
      <c r="Q289" t="inlineStr"/>
      <c r="R289" t="inlineStr"/>
      <c r="S289" t="inlineStr"/>
      <c r="T289" t="inlineStr"/>
      <c r="U289" t="inlineStr">
        <is>
          <t>2022-01-18T00:00:00-06:00</t>
        </is>
      </c>
      <c r="V289" t="inlineStr">
        <is>
          <t>2022-01-18T00:00:00-06:00</t>
        </is>
      </c>
      <c r="W289" t="inlineStr">
        <is>
          <t>2022-01-18T23:54:34-06:00</t>
        </is>
      </c>
      <c r="X289">
        <f>IFERROR(1/COUNTIF($I:$I,@$I:$I), 0)</f>
        <v/>
      </c>
    </row>
    <row r="290">
      <c r="A290">
        <f>HYPERLINK("https://drivetime.tpondemand.com/entity/125779", "125779")</f>
        <v/>
      </c>
      <c r="B290" t="inlineStr">
        <is>
          <t>[REGRESSION] Test Group 6 Android</t>
        </is>
      </c>
      <c r="C290" t="inlineStr">
        <is>
          <t>UserStory</t>
        </is>
      </c>
      <c r="D290" t="inlineStr">
        <is>
          <t>Servicing: BC Next</t>
        </is>
      </c>
      <c r="E290" t="inlineStr">
        <is>
          <t>BC Digital Comet</t>
        </is>
      </c>
      <c r="F290" t="inlineStr">
        <is>
          <t>03</t>
        </is>
      </c>
      <c r="G290" t="inlineStr">
        <is>
          <t>Aditi Sharma</t>
        </is>
      </c>
      <c r="H290" t="inlineStr">
        <is>
          <t>[BC NEXT] Regression Testing &amp; App Bug Fixes</t>
        </is>
      </c>
      <c r="I290" t="n">
        <v>0</v>
      </c>
      <c r="J290" t="n">
        <v>1.535625</v>
      </c>
      <c r="K290" t="inlineStr"/>
      <c r="L290" t="inlineStr"/>
      <c r="M290" t="n">
        <v>0</v>
      </c>
      <c r="N290" t="inlineStr"/>
      <c r="O290" t="inlineStr">
        <is>
          <t>Done</t>
        </is>
      </c>
      <c r="P290" t="n">
        <v>0</v>
      </c>
      <c r="Q290" t="inlineStr"/>
      <c r="R290" t="inlineStr"/>
      <c r="S290" t="inlineStr"/>
      <c r="T290" t="inlineStr"/>
      <c r="U290" t="inlineStr">
        <is>
          <t>2022-01-18T00:00:00-06:00</t>
        </is>
      </c>
      <c r="V290" t="inlineStr">
        <is>
          <t>2022-01-18T00:00:00-06:00</t>
        </is>
      </c>
      <c r="W290" t="inlineStr">
        <is>
          <t>2022-01-18T23:54:34-06:00</t>
        </is>
      </c>
      <c r="X290">
        <f>IFERROR(1/COUNTIF($I:$I,@$I:$I), 0)</f>
        <v/>
      </c>
    </row>
    <row r="291">
      <c r="A291">
        <f>HYPERLINK("https://drivetime.tpondemand.com/entity/125780", "125780")</f>
        <v/>
      </c>
      <c r="B291" t="inlineStr">
        <is>
          <t>[REGRESSION] Test Group 7 iPhone</t>
        </is>
      </c>
      <c r="C291" t="inlineStr">
        <is>
          <t>UserStory</t>
        </is>
      </c>
      <c r="D291" t="inlineStr">
        <is>
          <t>Servicing: BC Next</t>
        </is>
      </c>
      <c r="E291" t="inlineStr">
        <is>
          <t>BC Digital Comet</t>
        </is>
      </c>
      <c r="F291" t="inlineStr">
        <is>
          <t>03</t>
        </is>
      </c>
      <c r="G291" t="inlineStr">
        <is>
          <t>Joseph Kranak</t>
        </is>
      </c>
      <c r="H291" t="inlineStr">
        <is>
          <t>[BC NEXT] Regression Testing &amp; App Bug Fixes</t>
        </is>
      </c>
      <c r="I291" t="n">
        <v>1</v>
      </c>
      <c r="J291" t="n">
        <v>1.560763888888889</v>
      </c>
      <c r="K291" t="inlineStr"/>
      <c r="L291" t="inlineStr"/>
      <c r="M291" t="n">
        <v>0</v>
      </c>
      <c r="N291" t="inlineStr"/>
      <c r="O291" t="inlineStr">
        <is>
          <t>Done</t>
        </is>
      </c>
      <c r="P291" t="n">
        <v>0</v>
      </c>
      <c r="Q291" t="inlineStr"/>
      <c r="R291" t="inlineStr"/>
      <c r="S291" t="inlineStr"/>
      <c r="T291" t="inlineStr"/>
      <c r="U291" t="inlineStr">
        <is>
          <t>2022-01-18T00:00:00-06:00</t>
        </is>
      </c>
      <c r="V291" t="inlineStr">
        <is>
          <t>2022-01-17T00:00:00-06:00</t>
        </is>
      </c>
      <c r="W291" t="inlineStr">
        <is>
          <t>2022-01-18T23:54:34-06:00</t>
        </is>
      </c>
      <c r="X291">
        <f>IFERROR(1/COUNTIF($I:$I,@$I:$I), 0)</f>
        <v/>
      </c>
    </row>
    <row r="292">
      <c r="A292">
        <f>HYPERLINK("https://drivetime.tpondemand.com/entity/125781", "125781")</f>
        <v/>
      </c>
      <c r="B292" t="inlineStr">
        <is>
          <t>[REGRESSION] Test Group 7 Android</t>
        </is>
      </c>
      <c r="C292" t="inlineStr">
        <is>
          <t>UserStory</t>
        </is>
      </c>
      <c r="D292" t="inlineStr">
        <is>
          <t>Servicing: BC Next</t>
        </is>
      </c>
      <c r="E292" t="inlineStr">
        <is>
          <t>BC Digital Comet</t>
        </is>
      </c>
      <c r="F292" t="inlineStr">
        <is>
          <t>03</t>
        </is>
      </c>
      <c r="G292" t="inlineStr">
        <is>
          <t>Namratha Chilukuri</t>
        </is>
      </c>
      <c r="H292" t="inlineStr">
        <is>
          <t>[BC NEXT] Regression Testing &amp; App Bug Fixes</t>
        </is>
      </c>
      <c r="I292" t="n">
        <v>0</v>
      </c>
      <c r="J292" t="n">
        <v>1.48474537037037</v>
      </c>
      <c r="K292" t="inlineStr"/>
      <c r="L292" t="inlineStr"/>
      <c r="M292" t="n">
        <v>0</v>
      </c>
      <c r="N292" t="inlineStr"/>
      <c r="O292" t="inlineStr">
        <is>
          <t>Done</t>
        </is>
      </c>
      <c r="P292" t="n">
        <v>0</v>
      </c>
      <c r="Q292" t="inlineStr"/>
      <c r="R292" t="inlineStr"/>
      <c r="S292" t="inlineStr"/>
      <c r="T292" t="inlineStr"/>
      <c r="U292" t="inlineStr">
        <is>
          <t>2022-01-18T00:00:00-06:00</t>
        </is>
      </c>
      <c r="V292" t="inlineStr">
        <is>
          <t>2022-01-18T00:00:00-06:00</t>
        </is>
      </c>
      <c r="W292" t="inlineStr">
        <is>
          <t>2022-01-18T23:54:34-06:00</t>
        </is>
      </c>
      <c r="X292">
        <f>IFERROR(1/COUNTIF($I:$I,@$I:$I), 0)</f>
        <v/>
      </c>
    </row>
    <row r="293">
      <c r="A293">
        <f>HYPERLINK("https://drivetime.tpondemand.com/entity/125782", "125782")</f>
        <v/>
      </c>
      <c r="B293" t="inlineStr">
        <is>
          <t>[REGRESSION] Test Group 8 iPhone</t>
        </is>
      </c>
      <c r="C293" t="inlineStr">
        <is>
          <t>UserStory</t>
        </is>
      </c>
      <c r="D293" t="inlineStr">
        <is>
          <t>Servicing: BC Next</t>
        </is>
      </c>
      <c r="E293" t="inlineStr">
        <is>
          <t>BC Digital Comet</t>
        </is>
      </c>
      <c r="F293" t="inlineStr">
        <is>
          <t>03</t>
        </is>
      </c>
      <c r="G293" t="inlineStr">
        <is>
          <t>Michael Wang</t>
        </is>
      </c>
      <c r="H293" t="inlineStr">
        <is>
          <t>[BC NEXT] Regression Testing &amp; App Bug Fixes</t>
        </is>
      </c>
      <c r="I293" t="n">
        <v>0</v>
      </c>
      <c r="J293" t="n">
        <v>1.485636574074074</v>
      </c>
      <c r="K293" t="inlineStr"/>
      <c r="L293" t="inlineStr"/>
      <c r="M293" t="n">
        <v>0</v>
      </c>
      <c r="N293" t="inlineStr"/>
      <c r="O293" t="inlineStr">
        <is>
          <t>Done</t>
        </is>
      </c>
      <c r="P293" t="n">
        <v>0</v>
      </c>
      <c r="Q293" t="inlineStr"/>
      <c r="R293" t="inlineStr"/>
      <c r="S293" t="inlineStr"/>
      <c r="T293" t="inlineStr"/>
      <c r="U293" t="inlineStr">
        <is>
          <t>2022-01-18T00:00:00-06:00</t>
        </is>
      </c>
      <c r="V293" t="inlineStr">
        <is>
          <t>2022-01-18T00:00:00-06:00</t>
        </is>
      </c>
      <c r="W293" t="inlineStr">
        <is>
          <t>2022-01-18T23:54:34-06:00</t>
        </is>
      </c>
      <c r="X293">
        <f>IFERROR(1/COUNTIF($I:$I,@$I:$I), 0)</f>
        <v/>
      </c>
    </row>
    <row r="294">
      <c r="A294">
        <f>HYPERLINK("https://drivetime.tpondemand.com/entity/125783", "125783")</f>
        <v/>
      </c>
      <c r="B294" t="inlineStr">
        <is>
          <t>[REGRESSION] Test Group 8 Android</t>
        </is>
      </c>
      <c r="C294" t="inlineStr">
        <is>
          <t>UserStory</t>
        </is>
      </c>
      <c r="D294" t="inlineStr">
        <is>
          <t>Servicing: BC Next</t>
        </is>
      </c>
      <c r="E294" t="inlineStr">
        <is>
          <t>BC Digital Comet</t>
        </is>
      </c>
      <c r="F294" t="inlineStr">
        <is>
          <t>03</t>
        </is>
      </c>
      <c r="G294" t="inlineStr">
        <is>
          <t>Jonathan Escamilla</t>
        </is>
      </c>
      <c r="H294" t="inlineStr">
        <is>
          <t>[BC NEXT] Regression Testing &amp; App Bug Fixes</t>
        </is>
      </c>
      <c r="I294" t="n">
        <v>0</v>
      </c>
      <c r="J294" t="n">
        <v>0.4940046296296296</v>
      </c>
      <c r="K294" t="inlineStr"/>
      <c r="L294" t="inlineStr"/>
      <c r="M294" t="n">
        <v>0</v>
      </c>
      <c r="N294" t="inlineStr"/>
      <c r="O294" t="inlineStr">
        <is>
          <t>Done</t>
        </is>
      </c>
      <c r="P294" t="n">
        <v>0</v>
      </c>
      <c r="Q294" t="inlineStr"/>
      <c r="R294" t="inlineStr"/>
      <c r="S294" t="inlineStr"/>
      <c r="T294" t="inlineStr"/>
      <c r="U294" t="inlineStr">
        <is>
          <t>2022-01-18T00:00:00-06:00</t>
        </is>
      </c>
      <c r="V294" t="inlineStr">
        <is>
          <t>2022-01-18T00:00:00-06:00</t>
        </is>
      </c>
      <c r="W294" t="inlineStr">
        <is>
          <t>2022-01-18T23:54:34-06:00</t>
        </is>
      </c>
      <c r="X294">
        <f>IFERROR(1/COUNTIF($I:$I,@$I:$I), 0)</f>
        <v/>
      </c>
    </row>
    <row r="295">
      <c r="A295">
        <f>HYPERLINK("https://drivetime.tpondemand.com/entity/125785", "125785")</f>
        <v/>
      </c>
      <c r="B295" t="inlineStr">
        <is>
          <t>[REGRESSION] Test Group 9 iPhone</t>
        </is>
      </c>
      <c r="C295" t="inlineStr">
        <is>
          <t>UserStory</t>
        </is>
      </c>
      <c r="D295" t="inlineStr">
        <is>
          <t>Servicing: BC Next</t>
        </is>
      </c>
      <c r="E295" t="inlineStr">
        <is>
          <t>BC Digital Comet</t>
        </is>
      </c>
      <c r="F295" t="inlineStr">
        <is>
          <t>03</t>
        </is>
      </c>
      <c r="G295" t="inlineStr">
        <is>
          <t>Sri Charan Simha Velpur</t>
        </is>
      </c>
      <c r="H295" t="inlineStr">
        <is>
          <t>[BC NEXT] Regression Testing &amp; App Bug Fixes</t>
        </is>
      </c>
      <c r="I295" t="n">
        <v>0</v>
      </c>
      <c r="J295" t="n">
        <v>1.484328703703704</v>
      </c>
      <c r="K295" t="inlineStr"/>
      <c r="L295" t="inlineStr"/>
      <c r="M295" t="n">
        <v>0</v>
      </c>
      <c r="N295" t="inlineStr"/>
      <c r="O295" t="inlineStr">
        <is>
          <t>Done</t>
        </is>
      </c>
      <c r="P295" t="n">
        <v>0</v>
      </c>
      <c r="Q295" t="inlineStr"/>
      <c r="R295" t="inlineStr"/>
      <c r="S295" t="inlineStr"/>
      <c r="T295" t="inlineStr"/>
      <c r="U295" t="inlineStr">
        <is>
          <t>2022-01-18T00:00:00-06:00</t>
        </is>
      </c>
      <c r="V295" t="inlineStr">
        <is>
          <t>2022-01-18T00:00:00-06:00</t>
        </is>
      </c>
      <c r="W295" t="inlineStr">
        <is>
          <t>2022-01-18T23:54:34-06:00</t>
        </is>
      </c>
      <c r="X295">
        <f>IFERROR(1/COUNTIF($I:$I,@$I:$I), 0)</f>
        <v/>
      </c>
    </row>
    <row r="296">
      <c r="A296">
        <f>HYPERLINK("https://drivetime.tpondemand.com/entity/125786", "125786")</f>
        <v/>
      </c>
      <c r="B296" t="inlineStr">
        <is>
          <t>[REGRESSION] Test Group 9 Android</t>
        </is>
      </c>
      <c r="C296" t="inlineStr">
        <is>
          <t>UserStory</t>
        </is>
      </c>
      <c r="D296" t="inlineStr">
        <is>
          <t>Servicing: BC Next</t>
        </is>
      </c>
      <c r="E296" t="inlineStr">
        <is>
          <t>BC Digital Comet</t>
        </is>
      </c>
      <c r="F296" t="inlineStr">
        <is>
          <t>03</t>
        </is>
      </c>
      <c r="G296" t="inlineStr">
        <is>
          <t>Aditi Sharma and Pete Wesselius</t>
        </is>
      </c>
      <c r="H296" t="inlineStr">
        <is>
          <t>[BC NEXT] Regression Testing &amp; App Bug Fixes</t>
        </is>
      </c>
      <c r="I296" t="n">
        <v>0</v>
      </c>
      <c r="J296" t="n">
        <v>1.559224537037037</v>
      </c>
      <c r="K296" t="inlineStr"/>
      <c r="L296" t="inlineStr"/>
      <c r="M296" t="n">
        <v>0</v>
      </c>
      <c r="N296" t="inlineStr"/>
      <c r="O296" t="inlineStr">
        <is>
          <t>Done</t>
        </is>
      </c>
      <c r="P296" t="n">
        <v>0</v>
      </c>
      <c r="Q296" t="inlineStr"/>
      <c r="R296" t="inlineStr"/>
      <c r="S296" t="inlineStr"/>
      <c r="T296" t="inlineStr"/>
      <c r="U296" t="inlineStr">
        <is>
          <t>2022-01-18T00:00:00-06:00</t>
        </is>
      </c>
      <c r="V296" t="inlineStr">
        <is>
          <t>2022-01-18T00:00:00-06:00</t>
        </is>
      </c>
      <c r="W296" t="inlineStr">
        <is>
          <t>2022-01-18T23:54:34-06:00</t>
        </is>
      </c>
      <c r="X296">
        <f>IFERROR(1/COUNTIF($I:$I,@$I:$I), 0)</f>
        <v/>
      </c>
    </row>
    <row r="297">
      <c r="A297">
        <f>HYPERLINK("https://drivetime.tpondemand.com/entity/125960", "125960")</f>
        <v/>
      </c>
      <c r="B297" t="inlineStr">
        <is>
          <t>[BC NEXT][OBSERVATIONS] Android events are missing</t>
        </is>
      </c>
      <c r="C297" t="inlineStr">
        <is>
          <t>UserStory</t>
        </is>
      </c>
      <c r="D297" t="inlineStr">
        <is>
          <t>Servicing: BC Next</t>
        </is>
      </c>
      <c r="E297" t="inlineStr">
        <is>
          <t>BC Digital Comet</t>
        </is>
      </c>
      <c r="F297" t="inlineStr">
        <is>
          <t>03</t>
        </is>
      </c>
      <c r="G297" t="inlineStr">
        <is>
          <t>Akshay Golash and Marcus Rogers</t>
        </is>
      </c>
      <c r="H297" t="inlineStr">
        <is>
          <t>[BC NEXT] Regression Testing &amp; App Bug Fixes</t>
        </is>
      </c>
      <c r="I297" t="n">
        <v>0</v>
      </c>
      <c r="J297" t="n">
        <v>3.472222222222222e-05</v>
      </c>
      <c r="K297" t="inlineStr"/>
      <c r="L297" t="inlineStr"/>
      <c r="M297" t="n">
        <v>0</v>
      </c>
      <c r="N297" t="inlineStr"/>
      <c r="O297" t="inlineStr">
        <is>
          <t>Done</t>
        </is>
      </c>
      <c r="P297" t="n">
        <v>0</v>
      </c>
      <c r="Q297" t="inlineStr"/>
      <c r="R297" t="inlineStr"/>
      <c r="S297" t="inlineStr"/>
      <c r="T297" t="inlineStr"/>
      <c r="U297" t="inlineStr">
        <is>
          <t>2022-01-20T00:00:00-06:00</t>
        </is>
      </c>
      <c r="V297" t="inlineStr">
        <is>
          <t>2022-01-20T00:00:00-06:00</t>
        </is>
      </c>
      <c r="W297" t="inlineStr">
        <is>
          <t>2022-01-20T15:49:20-06:00</t>
        </is>
      </c>
      <c r="X297">
        <f>IFERROR(1/COUNTIF($I:$I,@$I:$I), 0)</f>
        <v/>
      </c>
    </row>
    <row r="298">
      <c r="A298">
        <f>HYPERLINK("https://drivetime.tpondemand.com/entity/125983", "125983")</f>
        <v/>
      </c>
      <c r="B298" t="inlineStr">
        <is>
          <t>[FEB RC][BC NEXT][OBSERVATIONS][1] Not reauthenticating</t>
        </is>
      </c>
      <c r="C298" t="inlineStr">
        <is>
          <t>UserStory</t>
        </is>
      </c>
      <c r="D298" t="inlineStr">
        <is>
          <t>Servicing: BC Next</t>
        </is>
      </c>
      <c r="E298" t="inlineStr">
        <is>
          <t>BC Digital Comet</t>
        </is>
      </c>
      <c r="F298" t="inlineStr">
        <is>
          <t>06</t>
        </is>
      </c>
      <c r="G298" t="inlineStr"/>
      <c r="H298" t="inlineStr">
        <is>
          <t>[BC NEXT] Regression Testing &amp; App Bug Fixes</t>
        </is>
      </c>
      <c r="I298" t="n">
        <v>0</v>
      </c>
      <c r="J298" t="n">
        <v>3.472222222222222e-05</v>
      </c>
      <c r="K298" t="inlineStr"/>
      <c r="L298" t="inlineStr"/>
      <c r="M298" t="n">
        <v>0</v>
      </c>
      <c r="N298" t="n">
        <v>127309</v>
      </c>
      <c r="O298" t="inlineStr">
        <is>
          <t>Done</t>
        </is>
      </c>
      <c r="P298" t="n">
        <v>0</v>
      </c>
      <c r="Q298" t="inlineStr">
        <is>
          <t>Comet 77</t>
        </is>
      </c>
      <c r="R298" t="inlineStr">
        <is>
          <t>2022-02-10</t>
        </is>
      </c>
      <c r="S298" t="inlineStr">
        <is>
          <t>2022-02-23</t>
        </is>
      </c>
      <c r="T298" t="inlineStr">
        <is>
          <t>Comet 77 : 2022-02-10 - 2022-02-23</t>
        </is>
      </c>
      <c r="U298" t="inlineStr">
        <is>
          <t>2022-02-11T00:00:00-06:00</t>
        </is>
      </c>
      <c r="V298" t="inlineStr">
        <is>
          <t>2022-02-11T00:00:00-06:00</t>
        </is>
      </c>
      <c r="W298" t="inlineStr">
        <is>
          <t>2022-02-11T10:38:14-06:00</t>
        </is>
      </c>
      <c r="X298">
        <f>IFERROR(1/COUNTIF($I:$I,@$I:$I), 0)</f>
        <v/>
      </c>
    </row>
    <row r="299">
      <c r="A299">
        <f>HYPERLINK("https://drivetime.tpondemand.com/entity/126187", "126187")</f>
        <v/>
      </c>
      <c r="B299" t="inlineStr">
        <is>
          <t>[BC NEXT][App] Create potential list of keywords for Corp Support</t>
        </is>
      </c>
      <c r="C299" t="inlineStr">
        <is>
          <t>UserStory</t>
        </is>
      </c>
      <c r="D299" t="inlineStr">
        <is>
          <t>Servicing: BC Next</t>
        </is>
      </c>
      <c r="E299" t="inlineStr">
        <is>
          <t>BC Digital Comet</t>
        </is>
      </c>
      <c r="F299" t="inlineStr">
        <is>
          <t>04</t>
        </is>
      </c>
      <c r="G299" t="inlineStr"/>
      <c r="H299" t="inlineStr">
        <is>
          <t>null</t>
        </is>
      </c>
      <c r="I299" t="n">
        <v>1</v>
      </c>
      <c r="J299" t="n">
        <v>3.9996875</v>
      </c>
      <c r="K299" t="inlineStr"/>
      <c r="L299" t="inlineStr"/>
      <c r="M299" t="n">
        <v>0</v>
      </c>
      <c r="N299" t="inlineStr"/>
      <c r="O299" t="inlineStr">
        <is>
          <t>Done</t>
        </is>
      </c>
      <c r="P299" t="n">
        <v>0</v>
      </c>
      <c r="Q299" t="inlineStr"/>
      <c r="R299" t="inlineStr"/>
      <c r="S299" t="inlineStr"/>
      <c r="T299" t="inlineStr"/>
      <c r="U299" t="inlineStr">
        <is>
          <t>2022-01-25T00:00:00-06:00</t>
        </is>
      </c>
      <c r="V299" t="inlineStr">
        <is>
          <t>2022-01-24T00:00:00-06:00</t>
        </is>
      </c>
      <c r="W299" t="inlineStr">
        <is>
          <t>2022-01-25T10:17:57-06:00</t>
        </is>
      </c>
      <c r="X299">
        <f>IFERROR(1/COUNTIF($I:$I,@$I:$I), 0)</f>
        <v/>
      </c>
    </row>
    <row r="300">
      <c r="A300">
        <f>HYPERLINK("https://drivetime.tpondemand.com/entity/126698", "126698")</f>
        <v/>
      </c>
      <c r="B300" t="inlineStr">
        <is>
          <t>[SSP][Tax Time][Emails][Multivariate][1] Tax Time Emails Multivariate Testing Setup</t>
        </is>
      </c>
      <c r="C300" t="inlineStr">
        <is>
          <t>UserStory</t>
        </is>
      </c>
      <c r="D300" t="inlineStr">
        <is>
          <t>Servicing: BC Next</t>
        </is>
      </c>
      <c r="E300" t="inlineStr">
        <is>
          <t>BC Digital Comet</t>
        </is>
      </c>
      <c r="F300" t="inlineStr">
        <is>
          <t>06</t>
        </is>
      </c>
      <c r="G300" t="inlineStr">
        <is>
          <t>Bindu Dudipala</t>
        </is>
      </c>
      <c r="H300" t="inlineStr">
        <is>
          <t>[BC] 2022 Tax Time Communication (Emails and SSP)</t>
        </is>
      </c>
      <c r="I300" t="n">
        <v>0</v>
      </c>
      <c r="J300" t="n">
        <v>8.101851851851852e-05</v>
      </c>
      <c r="K300" t="inlineStr"/>
      <c r="L300" t="inlineStr"/>
      <c r="M300" t="n">
        <v>0</v>
      </c>
      <c r="N300" t="inlineStr"/>
      <c r="O300" t="inlineStr">
        <is>
          <t>Done</t>
        </is>
      </c>
      <c r="P300" t="n">
        <v>0</v>
      </c>
      <c r="Q300" t="inlineStr"/>
      <c r="R300" t="inlineStr"/>
      <c r="S300" t="inlineStr"/>
      <c r="T300" t="inlineStr"/>
      <c r="U300" t="inlineStr">
        <is>
          <t>2022-02-11T00:00:00-06:00</t>
        </is>
      </c>
      <c r="V300" t="inlineStr">
        <is>
          <t>2022-02-11T00:00:00-06:00</t>
        </is>
      </c>
      <c r="W300" t="inlineStr">
        <is>
          <t>2022-02-11T09:53:09-06:00</t>
        </is>
      </c>
      <c r="X300">
        <f>IFERROR(1/COUNTIF($I:$I,@$I:$I), 0)</f>
        <v/>
      </c>
    </row>
    <row r="301">
      <c r="A301">
        <f>HYPERLINK("https://drivetime.tpondemand.com/entity/126868", "126868")</f>
        <v/>
      </c>
      <c r="B301" t="inlineStr">
        <is>
          <t>[FEB RC] Newly registered accounts not able to OTP, AutoPay, etc.</t>
        </is>
      </c>
      <c r="C301" t="inlineStr">
        <is>
          <t>UserStory</t>
        </is>
      </c>
      <c r="D301" t="inlineStr">
        <is>
          <t>Servicing: BC Next</t>
        </is>
      </c>
      <c r="E301" t="inlineStr">
        <is>
          <t>BC Digital Comet</t>
        </is>
      </c>
      <c r="F301" t="inlineStr">
        <is>
          <t>06</t>
        </is>
      </c>
      <c r="G301" t="inlineStr">
        <is>
          <t>Akshay Golash</t>
        </is>
      </c>
      <c r="H301" t="inlineStr">
        <is>
          <t>null</t>
        </is>
      </c>
      <c r="I301" t="n">
        <v>3</v>
      </c>
      <c r="J301" t="n">
        <v>4.675671296296296</v>
      </c>
      <c r="K301">
        <f>HYPERLINK("https://drivetime.tpondemand.com/entity/126944", "126944")</f>
        <v/>
      </c>
      <c r="L301" t="inlineStr"/>
      <c r="M301" t="n">
        <v>0</v>
      </c>
      <c r="N301" t="n">
        <v>116975</v>
      </c>
      <c r="O301" t="inlineStr">
        <is>
          <t>Done</t>
        </is>
      </c>
      <c r="P301" t="n">
        <v>0</v>
      </c>
      <c r="Q301" t="inlineStr">
        <is>
          <t>Comet 76</t>
        </is>
      </c>
      <c r="R301" t="inlineStr">
        <is>
          <t>2022-01-27</t>
        </is>
      </c>
      <c r="S301" t="inlineStr">
        <is>
          <t>2022-02-09</t>
        </is>
      </c>
      <c r="T301" t="inlineStr">
        <is>
          <t>Comet 76 : 2022-01-27 - 2022-02-09</t>
        </is>
      </c>
      <c r="U301" t="inlineStr">
        <is>
          <t>2022-02-07T00:00:00-06:00</t>
        </is>
      </c>
      <c r="V301" t="inlineStr">
        <is>
          <t>2022-02-04T00:00:00-06:00</t>
        </is>
      </c>
      <c r="W301" t="inlineStr">
        <is>
          <t>2022-02-07T10:14:57-06:00</t>
        </is>
      </c>
      <c r="X301">
        <f>IFERROR(1/COUNTIF($I:$I,@$I:$I), 0)</f>
        <v/>
      </c>
    </row>
    <row r="302">
      <c r="A302">
        <f>HYPERLINK("https://drivetime.tpondemand.com/entity/147164", "147164")</f>
        <v/>
      </c>
      <c r="B302" t="inlineStr">
        <is>
          <t>[PLACE HOLDER] Implement new Charged Off Campaign</t>
        </is>
      </c>
      <c r="C302" t="inlineStr">
        <is>
          <t>UserStory</t>
        </is>
      </c>
      <c r="D302" t="inlineStr">
        <is>
          <t>Servicing: BC Next</t>
        </is>
      </c>
      <c r="E302" t="inlineStr">
        <is>
          <t>BC Digital Comet</t>
        </is>
      </c>
      <c r="F302" t="inlineStr"/>
      <c r="G302" t="inlineStr"/>
      <c r="H302" t="inlineStr">
        <is>
          <t>[COMMUNICATIONS][Phase 2] Charged off Emails and Texts</t>
        </is>
      </c>
      <c r="I302" t="inlineStr"/>
      <c r="K302" t="inlineStr"/>
      <c r="L302" t="inlineStr"/>
      <c r="M302" t="n">
        <v>0</v>
      </c>
      <c r="N302" t="inlineStr"/>
      <c r="O302" t="inlineStr">
        <is>
          <t>Icebox</t>
        </is>
      </c>
      <c r="P302" t="n">
        <v>0</v>
      </c>
      <c r="Q302" t="inlineStr"/>
      <c r="R302" t="inlineStr"/>
      <c r="S302" t="inlineStr"/>
      <c r="T302" t="inlineStr"/>
      <c r="U302" t="inlineStr"/>
      <c r="V302" t="inlineStr"/>
      <c r="X302">
        <f>IFERROR(1/COUNTIF($I:$I,@$I:$I), 0)</f>
        <v/>
      </c>
    </row>
    <row r="303">
      <c r="A303">
        <f>HYPERLINK("https://drivetime.tpondemand.com/entity/147165", "147165")</f>
        <v/>
      </c>
      <c r="B303" t="inlineStr">
        <is>
          <t>[PLACE HOLDER] Implement new PCO Campaign</t>
        </is>
      </c>
      <c r="C303" t="inlineStr">
        <is>
          <t>UserStory</t>
        </is>
      </c>
      <c r="D303" t="inlineStr">
        <is>
          <t>Servicing: BC Next</t>
        </is>
      </c>
      <c r="E303" t="inlineStr">
        <is>
          <t>BC Digital Comet</t>
        </is>
      </c>
      <c r="F303" t="inlineStr"/>
      <c r="G303" t="inlineStr"/>
      <c r="H303" t="inlineStr">
        <is>
          <t>[COMMUNICATIONS][Phase 3] PCO Emails and Texts</t>
        </is>
      </c>
      <c r="I303" t="inlineStr"/>
      <c r="K303" t="inlineStr"/>
      <c r="L303" t="inlineStr"/>
      <c r="M303" t="n">
        <v>0</v>
      </c>
      <c r="N303" t="inlineStr"/>
      <c r="O303" t="inlineStr">
        <is>
          <t>Icebox</t>
        </is>
      </c>
      <c r="P303" t="n">
        <v>0</v>
      </c>
      <c r="Q303" t="inlineStr"/>
      <c r="R303" t="inlineStr"/>
      <c r="S303" t="inlineStr"/>
      <c r="T303" t="inlineStr"/>
      <c r="U303" t="inlineStr"/>
      <c r="V303" t="inlineStr"/>
      <c r="X303">
        <f>IFERROR(1/COUNTIF($I:$I,@$I:$I), 0)</f>
        <v/>
      </c>
    </row>
    <row r="304">
      <c r="A304">
        <f>HYPERLINK("https://drivetime.tpondemand.com/entity/126888", "126888")</f>
        <v/>
      </c>
      <c r="B304" t="inlineStr">
        <is>
          <t>[BC NEXT][AUTO TESTS] [2] AutoPay</t>
        </is>
      </c>
      <c r="C304" t="inlineStr">
        <is>
          <t>UserStory</t>
        </is>
      </c>
      <c r="D304" t="inlineStr">
        <is>
          <t>Servicing: BC Next</t>
        </is>
      </c>
      <c r="E304" t="inlineStr">
        <is>
          <t>BC Digital Wyvern</t>
        </is>
      </c>
      <c r="F304" t="inlineStr">
        <is>
          <t>13</t>
        </is>
      </c>
      <c r="G304" t="inlineStr">
        <is>
          <t>Jonathan Escamilla and Sri Charan Simha Velpur and Andrew Vu</t>
        </is>
      </c>
      <c r="H304" t="inlineStr">
        <is>
          <t>[BC NEXT] BC Next Automation Tests</t>
        </is>
      </c>
      <c r="I304" t="n">
        <v>6</v>
      </c>
      <c r="J304" t="n">
        <v>37.48035879629629</v>
      </c>
      <c r="K304">
        <f>HYPERLINK("https://drivetime.tpondemand.com/entity/129247", "129247")</f>
        <v/>
      </c>
      <c r="L304" t="inlineStr"/>
      <c r="M304" t="n">
        <v>5</v>
      </c>
      <c r="N304" t="n">
        <v>127336</v>
      </c>
      <c r="O304" t="inlineStr">
        <is>
          <t>Done</t>
        </is>
      </c>
      <c r="P304" t="n">
        <v>1</v>
      </c>
      <c r="Q304" t="inlineStr">
        <is>
          <t>Wyvern 18</t>
        </is>
      </c>
      <c r="R304" t="inlineStr">
        <is>
          <t>2022-03-24</t>
        </is>
      </c>
      <c r="S304" t="inlineStr">
        <is>
          <t>2022-04-06</t>
        </is>
      </c>
      <c r="T304" t="inlineStr">
        <is>
          <t>Wyvern 18 : 2022-03-24 - 2022-04-06</t>
        </is>
      </c>
      <c r="U304" t="inlineStr">
        <is>
          <t>2022-03-30T00:00:00-05:00</t>
        </is>
      </c>
      <c r="V304" t="inlineStr">
        <is>
          <t>2022-03-24T00:00:00-05:00</t>
        </is>
      </c>
      <c r="W304" t="inlineStr">
        <is>
          <t>2022-03-30T11:02:14-05:00</t>
        </is>
      </c>
      <c r="X304">
        <f>IFERROR(1/COUNTIF($I:$I,@$I:$I), 0)</f>
        <v/>
      </c>
    </row>
    <row r="305">
      <c r="A305">
        <f>HYPERLINK("https://drivetime.tpondemand.com/entity/126895", "126895")</f>
        <v/>
      </c>
      <c r="B305" t="inlineStr">
        <is>
          <t>[BC NEXT][AUTO TESTS] [2] Dashboard</t>
        </is>
      </c>
      <c r="C305" t="inlineStr">
        <is>
          <t>UserStory</t>
        </is>
      </c>
      <c r="D305" t="inlineStr">
        <is>
          <t>Servicing: BC Next</t>
        </is>
      </c>
      <c r="E305" t="inlineStr">
        <is>
          <t>BC Digital Wyvern</t>
        </is>
      </c>
      <c r="F305" t="inlineStr">
        <is>
          <t>11</t>
        </is>
      </c>
      <c r="G305" t="inlineStr">
        <is>
          <t>Jajati Routray</t>
        </is>
      </c>
      <c r="H305" t="inlineStr">
        <is>
          <t>[BC NEXT] BC Next Automation Tests</t>
        </is>
      </c>
      <c r="I305" t="n">
        <v>4</v>
      </c>
      <c r="J305" t="n">
        <v>25.16181712962963</v>
      </c>
      <c r="K305">
        <f>HYPERLINK("https://drivetime.tpondemand.com/entity/128579", "128579")</f>
        <v/>
      </c>
      <c r="L305" t="inlineStr"/>
      <c r="M305" t="n">
        <v>5</v>
      </c>
      <c r="N305" t="n">
        <v>127335</v>
      </c>
      <c r="O305" t="inlineStr">
        <is>
          <t>Done</t>
        </is>
      </c>
      <c r="P305" t="n">
        <v>1</v>
      </c>
      <c r="Q305" t="inlineStr">
        <is>
          <t>Wyvern 17</t>
        </is>
      </c>
      <c r="R305" t="inlineStr">
        <is>
          <t>2022-03-10</t>
        </is>
      </c>
      <c r="S305" t="inlineStr">
        <is>
          <t>2022-03-23</t>
        </is>
      </c>
      <c r="T305" t="inlineStr">
        <is>
          <t>Wyvern 17 : 2022-03-10 - 2022-03-23</t>
        </is>
      </c>
      <c r="U305" t="inlineStr">
        <is>
          <t>2022-03-15T00:00:00-05:00</t>
        </is>
      </c>
      <c r="V305" t="inlineStr">
        <is>
          <t>2022-03-10T00:00:00-06:00</t>
        </is>
      </c>
      <c r="W305" t="inlineStr">
        <is>
          <t>2022-03-15T15:47:40-05:00</t>
        </is>
      </c>
      <c r="X305">
        <f>IFERROR(1/COUNTIF($I:$I,@$I:$I), 0)</f>
        <v/>
      </c>
    </row>
    <row r="306">
      <c r="A306">
        <f>HYPERLINK("https://drivetime.tpondemand.com/entity/126899", "126899")</f>
        <v/>
      </c>
      <c r="B306" t="inlineStr">
        <is>
          <t>[BC NEXT][AUTO TESTS] [2] Manage Payments</t>
        </is>
      </c>
      <c r="C306" t="inlineStr">
        <is>
          <t>UserStory</t>
        </is>
      </c>
      <c r="D306" t="inlineStr">
        <is>
          <t>Servicing: BC Next</t>
        </is>
      </c>
      <c r="E306" t="inlineStr">
        <is>
          <t>BC Digital Wyvern</t>
        </is>
      </c>
      <c r="F306" t="inlineStr">
        <is>
          <t>15</t>
        </is>
      </c>
      <c r="G306" t="inlineStr">
        <is>
          <t>Andrew Vu</t>
        </is>
      </c>
      <c r="H306" t="inlineStr">
        <is>
          <t>[BC NEXT] BC Next Automation Tests</t>
        </is>
      </c>
      <c r="I306" t="n">
        <v>5</v>
      </c>
      <c r="J306" t="n">
        <v>21.18803240740741</v>
      </c>
      <c r="K306">
        <f>HYPERLINK("https://drivetime.tpondemand.com/entity/129805", "129805")</f>
        <v/>
      </c>
      <c r="L306" t="inlineStr"/>
      <c r="M306" t="n">
        <v>5</v>
      </c>
      <c r="N306" t="n">
        <v>127337</v>
      </c>
      <c r="O306" t="inlineStr">
        <is>
          <t>Done</t>
        </is>
      </c>
      <c r="P306" t="n">
        <v>1</v>
      </c>
      <c r="Q306" t="inlineStr">
        <is>
          <t>Wyvern 19</t>
        </is>
      </c>
      <c r="R306" t="inlineStr">
        <is>
          <t>2022-04-07</t>
        </is>
      </c>
      <c r="S306" t="inlineStr">
        <is>
          <t>2022-04-20</t>
        </is>
      </c>
      <c r="T306" t="inlineStr">
        <is>
          <t>Wyvern 19 : 2022-04-07 - 2022-04-20</t>
        </is>
      </c>
      <c r="U306" t="inlineStr">
        <is>
          <t>2022-04-11T00:00:00-05:00</t>
        </is>
      </c>
      <c r="V306" t="inlineStr">
        <is>
          <t>2022-04-06T00:00:00-05:00</t>
        </is>
      </c>
      <c r="W306" t="inlineStr">
        <is>
          <t>2022-04-11T15:42:28-05:00</t>
        </is>
      </c>
      <c r="X306">
        <f>IFERROR(1/COUNTIF($I:$I,@$I:$I), 0)</f>
        <v/>
      </c>
    </row>
    <row r="307">
      <c r="A307">
        <f>HYPERLINK("https://drivetime.tpondemand.com/entity/126903", "126903")</f>
        <v/>
      </c>
      <c r="B307" t="inlineStr">
        <is>
          <t>[BC NEXT][AUTO TESTS] [2] Privacy Policy and Terms of Use</t>
        </is>
      </c>
      <c r="C307" t="inlineStr">
        <is>
          <t>UserStory</t>
        </is>
      </c>
      <c r="D307" t="inlineStr">
        <is>
          <t>Servicing: BC Next</t>
        </is>
      </c>
      <c r="E307" t="inlineStr">
        <is>
          <t>BC Digital Wyvern</t>
        </is>
      </c>
      <c r="F307" t="inlineStr">
        <is>
          <t>13</t>
        </is>
      </c>
      <c r="G307" t="inlineStr">
        <is>
          <t>Sri Charan Simha Velpur</t>
        </is>
      </c>
      <c r="H307" t="inlineStr">
        <is>
          <t>[BC NEXT] BC Next Automation Tests</t>
        </is>
      </c>
      <c r="I307" t="n">
        <v>2</v>
      </c>
      <c r="J307" t="n">
        <v>10.97265046296296</v>
      </c>
      <c r="K307">
        <f>HYPERLINK("https://drivetime.tpondemand.com/entity/129373", "129373")</f>
        <v/>
      </c>
      <c r="L307" t="inlineStr"/>
      <c r="M307" t="n">
        <v>5</v>
      </c>
      <c r="N307" t="n">
        <v>127336</v>
      </c>
      <c r="O307" t="inlineStr">
        <is>
          <t>Done</t>
        </is>
      </c>
      <c r="P307" t="n">
        <v>0</v>
      </c>
      <c r="Q307" t="inlineStr">
        <is>
          <t>Wyvern 18</t>
        </is>
      </c>
      <c r="R307" t="inlineStr">
        <is>
          <t>2022-03-24</t>
        </is>
      </c>
      <c r="S307" t="inlineStr">
        <is>
          <t>2022-04-06</t>
        </is>
      </c>
      <c r="T307" t="inlineStr">
        <is>
          <t>Wyvern 18 : 2022-03-24 - 2022-04-06</t>
        </is>
      </c>
      <c r="U307" t="inlineStr">
        <is>
          <t>2022-04-01T00:00:00-05:00</t>
        </is>
      </c>
      <c r="V307" t="inlineStr">
        <is>
          <t>2022-03-30T00:00:00-05:00</t>
        </is>
      </c>
      <c r="W307" t="inlineStr">
        <is>
          <t>2022-04-01T15:45:36-05:00</t>
        </is>
      </c>
      <c r="X307">
        <f>IFERROR(1/COUNTIF($I:$I,@$I:$I), 0)</f>
        <v/>
      </c>
    </row>
    <row r="308">
      <c r="A308">
        <f>HYPERLINK("https://drivetime.tpondemand.com/entity/127576", "127576")</f>
        <v/>
      </c>
      <c r="B308" t="inlineStr">
        <is>
          <t>[BC NEXT][AUTO TESTS] [2] AutoPay Past Due</t>
        </is>
      </c>
      <c r="C308" t="inlineStr">
        <is>
          <t>UserStory</t>
        </is>
      </c>
      <c r="D308" t="inlineStr">
        <is>
          <t>Servicing: BC Next</t>
        </is>
      </c>
      <c r="E308" t="inlineStr">
        <is>
          <t>BC Digital Wyvern</t>
        </is>
      </c>
      <c r="F308" t="inlineStr">
        <is>
          <t>15</t>
        </is>
      </c>
      <c r="G308" t="inlineStr">
        <is>
          <t>Taalaibek Ergeshov and Andrew Vu</t>
        </is>
      </c>
      <c r="H308" t="inlineStr">
        <is>
          <t>[BC NEXT] BC Next Automation Tests</t>
        </is>
      </c>
      <c r="I308" t="n">
        <v>3</v>
      </c>
      <c r="J308" t="n">
        <v>44.02924768518518</v>
      </c>
      <c r="K308">
        <f>HYPERLINK("https://drivetime.tpondemand.com/entity/129974", "129974")</f>
        <v/>
      </c>
      <c r="L308" t="inlineStr"/>
      <c r="M308" t="n">
        <v>5</v>
      </c>
      <c r="N308" t="n">
        <v>127337</v>
      </c>
      <c r="O308" t="inlineStr">
        <is>
          <t>Done</t>
        </is>
      </c>
      <c r="P308" t="n">
        <v>0</v>
      </c>
      <c r="Q308" t="inlineStr">
        <is>
          <t>Wyvern 19</t>
        </is>
      </c>
      <c r="R308" t="inlineStr">
        <is>
          <t>2022-04-07</t>
        </is>
      </c>
      <c r="S308" t="inlineStr">
        <is>
          <t>2022-04-20</t>
        </is>
      </c>
      <c r="T308" t="inlineStr">
        <is>
          <t>Wyvern 19 : 2022-04-07 - 2022-04-20</t>
        </is>
      </c>
      <c r="U308" t="inlineStr">
        <is>
          <t>2022-04-14T00:00:00-05:00</t>
        </is>
      </c>
      <c r="V308" t="inlineStr">
        <is>
          <t>2022-04-11T00:00:00-05:00</t>
        </is>
      </c>
      <c r="W308" t="inlineStr">
        <is>
          <t>2022-04-14T11:03:31-05:00</t>
        </is>
      </c>
      <c r="X308">
        <f>IFERROR(1/COUNTIF($I:$I,@$I:$I), 0)</f>
        <v/>
      </c>
    </row>
    <row r="309">
      <c r="A309">
        <f>HYPERLINK("https://drivetime.tpondemand.com/entity/128117", "128117")</f>
        <v/>
      </c>
      <c r="B309" t="inlineStr">
        <is>
          <t>Login/logout of Bridgecrest Admin Portal</t>
        </is>
      </c>
      <c r="C309" t="inlineStr">
        <is>
          <t>UserStory</t>
        </is>
      </c>
      <c r="D309" t="inlineStr">
        <is>
          <t>Servicing: BC Next</t>
        </is>
      </c>
      <c r="E309" t="inlineStr">
        <is>
          <t>BC Digital Wyvern</t>
        </is>
      </c>
      <c r="F309" t="inlineStr">
        <is>
          <t>18</t>
        </is>
      </c>
      <c r="G309" t="inlineStr">
        <is>
          <t>Sri Charan Simha Velpur and Andrew Vu</t>
        </is>
      </c>
      <c r="H309" t="inlineStr">
        <is>
          <t>[BC NEXT] Impersonation</t>
        </is>
      </c>
      <c r="I309" t="n">
        <v>5</v>
      </c>
      <c r="J309" t="n">
        <v>25.03988425925926</v>
      </c>
      <c r="K309">
        <f>HYPERLINK("https://drivetime.tpondemand.com/entity/130896", "130896")</f>
        <v/>
      </c>
      <c r="L309" t="inlineStr"/>
      <c r="M309" t="n">
        <v>5</v>
      </c>
      <c r="N309" t="n">
        <v>127338</v>
      </c>
      <c r="O309" t="inlineStr">
        <is>
          <t>Done</t>
        </is>
      </c>
      <c r="P309" t="n">
        <v>0</v>
      </c>
      <c r="Q309" t="inlineStr">
        <is>
          <t>Wyvern 20</t>
        </is>
      </c>
      <c r="R309" t="inlineStr">
        <is>
          <t>2022-04-21</t>
        </is>
      </c>
      <c r="S309" t="inlineStr">
        <is>
          <t>2022-05-04</t>
        </is>
      </c>
      <c r="T309" t="inlineStr">
        <is>
          <t>Wyvern 20 : 2022-04-21 - 2022-05-04</t>
        </is>
      </c>
      <c r="U309" t="inlineStr">
        <is>
          <t>2022-05-02T00:00:00-05:00</t>
        </is>
      </c>
      <c r="V309" t="inlineStr">
        <is>
          <t>2022-04-27T00:00:00-05:00</t>
        </is>
      </c>
      <c r="W309" t="inlineStr">
        <is>
          <t>2022-05-02T12:14:26-05:00</t>
        </is>
      </c>
      <c r="X309">
        <f>IFERROR(1/COUNTIF($I:$I,@$I:$I), 0)</f>
        <v/>
      </c>
    </row>
    <row r="310">
      <c r="A310">
        <f>HYPERLINK("https://drivetime.tpondemand.com/entity/128118", "128118")</f>
        <v/>
      </c>
      <c r="B310" t="inlineStr">
        <is>
          <t>Manage Users and User Search</t>
        </is>
      </c>
      <c r="C310" t="inlineStr">
        <is>
          <t>UserStory</t>
        </is>
      </c>
      <c r="D310" t="inlineStr">
        <is>
          <t>Servicing: BC Next</t>
        </is>
      </c>
      <c r="E310" t="inlineStr">
        <is>
          <t>BC Digital Wyvern</t>
        </is>
      </c>
      <c r="F310" t="inlineStr">
        <is>
          <t>19</t>
        </is>
      </c>
      <c r="G310" t="inlineStr">
        <is>
          <t>Jonathan Escamilla and Andrew Vu</t>
        </is>
      </c>
      <c r="H310" t="inlineStr">
        <is>
          <t>[BC NEXT] Impersonation</t>
        </is>
      </c>
      <c r="I310" t="n">
        <v>6</v>
      </c>
      <c r="J310" t="n">
        <v>22.87001157407407</v>
      </c>
      <c r="K310">
        <f>HYPERLINK("https://drivetime.tpondemand.com/entity/131728", "131728")</f>
        <v/>
      </c>
      <c r="L310" t="inlineStr"/>
      <c r="M310" t="n">
        <v>5</v>
      </c>
      <c r="N310" t="n">
        <v>127339</v>
      </c>
      <c r="O310" t="inlineStr">
        <is>
          <t>Done</t>
        </is>
      </c>
      <c r="P310" t="n">
        <v>3</v>
      </c>
      <c r="Q310" t="inlineStr">
        <is>
          <t>Wyvern 21</t>
        </is>
      </c>
      <c r="R310" t="inlineStr">
        <is>
          <t>2022-05-05</t>
        </is>
      </c>
      <c r="S310" t="inlineStr">
        <is>
          <t>2022-05-18</t>
        </is>
      </c>
      <c r="T310" t="inlineStr">
        <is>
          <t>Wyvern 21 : 2022-05-05 - 2022-05-18</t>
        </is>
      </c>
      <c r="U310" t="inlineStr">
        <is>
          <t>2022-05-11T00:00:00-05:00</t>
        </is>
      </c>
      <c r="V310" t="inlineStr">
        <is>
          <t>2022-05-05T00:00:00-05:00</t>
        </is>
      </c>
      <c r="W310" t="inlineStr">
        <is>
          <t>2022-05-11T12:56:11-05:00</t>
        </is>
      </c>
      <c r="X310">
        <f>IFERROR(1/COUNTIF($I:$I,@$I:$I), 0)</f>
        <v/>
      </c>
    </row>
    <row r="311">
      <c r="A311">
        <f>HYPERLINK("https://drivetime.tpondemand.com/entity/128123", "128123")</f>
        <v/>
      </c>
      <c r="B311" t="inlineStr">
        <is>
          <t>Delete User</t>
        </is>
      </c>
      <c r="C311" t="inlineStr">
        <is>
          <t>UserStory</t>
        </is>
      </c>
      <c r="D311" t="inlineStr">
        <is>
          <t>Servicing: BC Next</t>
        </is>
      </c>
      <c r="E311" t="inlineStr">
        <is>
          <t>BC Digital Wyvern</t>
        </is>
      </c>
      <c r="F311" t="inlineStr">
        <is>
          <t>21</t>
        </is>
      </c>
      <c r="G311" t="inlineStr">
        <is>
          <t>Jajati Routray and Sri Charan Simha Velpur</t>
        </is>
      </c>
      <c r="H311" t="inlineStr">
        <is>
          <t>[BC NEXT] Impersonation</t>
        </is>
      </c>
      <c r="I311" t="n">
        <v>1</v>
      </c>
      <c r="J311" t="n">
        <v>22.17420138888889</v>
      </c>
      <c r="K311">
        <f>HYPERLINK("https://drivetime.tpondemand.com/entity/132477", "132477")</f>
        <v/>
      </c>
      <c r="L311" t="inlineStr"/>
      <c r="M311" t="n">
        <v>5</v>
      </c>
      <c r="N311" t="n">
        <v>127340</v>
      </c>
      <c r="O311" t="inlineStr">
        <is>
          <t>Done</t>
        </is>
      </c>
      <c r="P311" t="n">
        <v>0</v>
      </c>
      <c r="Q311" t="inlineStr">
        <is>
          <t>Wyvern 22</t>
        </is>
      </c>
      <c r="R311" t="inlineStr">
        <is>
          <t>2022-05-19</t>
        </is>
      </c>
      <c r="S311" t="inlineStr">
        <is>
          <t>2022-06-01</t>
        </is>
      </c>
      <c r="T311" t="inlineStr">
        <is>
          <t>Wyvern 22 : 2022-05-19 - 2022-06-01</t>
        </is>
      </c>
      <c r="U311" t="inlineStr">
        <is>
          <t>2022-05-27T00:00:00-05:00</t>
        </is>
      </c>
      <c r="V311" t="inlineStr">
        <is>
          <t>2022-05-26T00:00:00-05:00</t>
        </is>
      </c>
      <c r="W311" t="inlineStr">
        <is>
          <t>2022-05-27T15:42:37-05:00</t>
        </is>
      </c>
      <c r="X311">
        <f>IFERROR(1/COUNTIF($I:$I,@$I:$I), 0)</f>
        <v/>
      </c>
    </row>
    <row r="312">
      <c r="A312">
        <f>HYPERLINK("https://drivetime.tpondemand.com/entity/128124", "128124")</f>
        <v/>
      </c>
      <c r="B312" t="inlineStr">
        <is>
          <t>Impersonate</t>
        </is>
      </c>
      <c r="C312" t="inlineStr">
        <is>
          <t>UserStory</t>
        </is>
      </c>
      <c r="D312" t="inlineStr">
        <is>
          <t>Servicing: BC Next</t>
        </is>
      </c>
      <c r="E312" t="inlineStr">
        <is>
          <t>BC Digital Wyvern</t>
        </is>
      </c>
      <c r="F312" t="inlineStr">
        <is>
          <t>21</t>
        </is>
      </c>
      <c r="G312" t="inlineStr">
        <is>
          <t>Andrew Vu</t>
        </is>
      </c>
      <c r="H312" t="inlineStr">
        <is>
          <t>[BC NEXT] Impersonation</t>
        </is>
      </c>
      <c r="I312" t="n">
        <v>14</v>
      </c>
      <c r="J312" t="n">
        <v>30.83269675925926</v>
      </c>
      <c r="K312">
        <f>HYPERLINK("https://drivetime.tpondemand.com/entity/132267", "132267")</f>
        <v/>
      </c>
      <c r="L312" t="inlineStr"/>
      <c r="M312" t="n">
        <v>5</v>
      </c>
      <c r="N312" t="n">
        <v>127340</v>
      </c>
      <c r="O312" t="inlineStr">
        <is>
          <t>Done</t>
        </is>
      </c>
      <c r="P312" t="n">
        <v>5</v>
      </c>
      <c r="Q312" t="inlineStr">
        <is>
          <t>Wyvern 22</t>
        </is>
      </c>
      <c r="R312" t="inlineStr">
        <is>
          <t>2022-05-19</t>
        </is>
      </c>
      <c r="S312" t="inlineStr">
        <is>
          <t>2022-06-01</t>
        </is>
      </c>
      <c r="T312" t="inlineStr">
        <is>
          <t>Wyvern 22 : 2022-05-19 - 2022-06-01</t>
        </is>
      </c>
      <c r="U312" t="inlineStr">
        <is>
          <t>2022-05-26T00:00:00-05:00</t>
        </is>
      </c>
      <c r="V312" t="inlineStr">
        <is>
          <t>2022-05-12T00:00:00-05:00</t>
        </is>
      </c>
      <c r="W312" t="inlineStr">
        <is>
          <t>2022-05-26T13:14:30-05:00</t>
        </is>
      </c>
      <c r="X312">
        <f>IFERROR(1/COUNTIF($I:$I,@$I:$I), 0)</f>
        <v/>
      </c>
    </row>
    <row r="313">
      <c r="A313">
        <f>HYPERLINK("https://drivetime.tpondemand.com/entity/130830", "130830")</f>
        <v/>
      </c>
      <c r="B313" t="inlineStr">
        <is>
          <t>Research Seamless Login between BC Next and SSP</t>
        </is>
      </c>
      <c r="C313" t="inlineStr">
        <is>
          <t>UserStory</t>
        </is>
      </c>
      <c r="D313" t="inlineStr">
        <is>
          <t>Servicing: BC Next</t>
        </is>
      </c>
      <c r="E313" t="inlineStr">
        <is>
          <t>BC Digital Wyvern</t>
        </is>
      </c>
      <c r="F313" t="inlineStr">
        <is>
          <t>20</t>
        </is>
      </c>
      <c r="G313" t="inlineStr">
        <is>
          <t>Venkatmahesh Polur</t>
        </is>
      </c>
      <c r="H313" t="inlineStr">
        <is>
          <t>[BC NEXT] Research Seamless Login</t>
        </is>
      </c>
      <c r="I313" t="n">
        <v>3</v>
      </c>
      <c r="J313" t="n">
        <v>7.958587962962962</v>
      </c>
      <c r="K313" t="inlineStr"/>
      <c r="L313" t="inlineStr"/>
      <c r="M313" t="n">
        <v>5</v>
      </c>
      <c r="N313" t="n">
        <v>127339</v>
      </c>
      <c r="O313" t="inlineStr">
        <is>
          <t>Done</t>
        </is>
      </c>
      <c r="P313" t="n">
        <v>0</v>
      </c>
      <c r="Q313" t="inlineStr">
        <is>
          <t>Wyvern 21</t>
        </is>
      </c>
      <c r="R313" t="inlineStr">
        <is>
          <t>2022-05-05</t>
        </is>
      </c>
      <c r="S313" t="inlineStr">
        <is>
          <t>2022-05-18</t>
        </is>
      </c>
      <c r="T313" t="inlineStr">
        <is>
          <t>Wyvern 21 : 2022-05-05 - 2022-05-18</t>
        </is>
      </c>
      <c r="U313" t="inlineStr">
        <is>
          <t>2022-05-19T00:00:00-05:00</t>
        </is>
      </c>
      <c r="V313" t="inlineStr">
        <is>
          <t>2022-05-16T00:00:00-05:00</t>
        </is>
      </c>
      <c r="W313" t="inlineStr">
        <is>
          <t>2022-05-19T10:58:06-05:00</t>
        </is>
      </c>
      <c r="X313">
        <f>IFERROR(1/COUNTIF($I:$I,@$I:$I), 0)</f>
        <v/>
      </c>
    </row>
    <row r="314">
      <c r="A314">
        <f>HYPERLINK("https://drivetime.tpondemand.com/entity/134662", "134662")</f>
        <v/>
      </c>
      <c r="B314" t="inlineStr">
        <is>
          <t>Research how expose status of modification with supporting data</t>
        </is>
      </c>
      <c r="C314" t="inlineStr">
        <is>
          <t>UserStory</t>
        </is>
      </c>
      <c r="D314" t="inlineStr">
        <is>
          <t>Servicing: BC Next</t>
        </is>
      </c>
      <c r="E314" t="inlineStr">
        <is>
          <t>BC Digital Wyvern</t>
        </is>
      </c>
      <c r="F314" t="inlineStr">
        <is>
          <t>28</t>
        </is>
      </c>
      <c r="G314" t="inlineStr">
        <is>
          <t>Andrew Vu</t>
        </is>
      </c>
      <c r="H314" t="inlineStr">
        <is>
          <t>Expose Extension and Payment Frequency for BC Next to consume</t>
        </is>
      </c>
      <c r="I314" t="n">
        <v>2</v>
      </c>
      <c r="J314" t="n">
        <v>15.95130787037037</v>
      </c>
      <c r="K314" t="inlineStr"/>
      <c r="L314" t="inlineStr"/>
      <c r="M314" t="n">
        <v>5</v>
      </c>
      <c r="N314" t="n">
        <v>127343</v>
      </c>
      <c r="O314" t="inlineStr">
        <is>
          <t>Done</t>
        </is>
      </c>
      <c r="P314" t="n">
        <v>0</v>
      </c>
      <c r="Q314" t="inlineStr">
        <is>
          <t>Wyvern 25</t>
        </is>
      </c>
      <c r="R314" t="inlineStr">
        <is>
          <t>2022-06-30</t>
        </is>
      </c>
      <c r="S314" t="inlineStr">
        <is>
          <t>2022-07-13</t>
        </is>
      </c>
      <c r="T314" t="inlineStr">
        <is>
          <t>Wyvern 25 : 2022-06-30 - 2022-07-13</t>
        </is>
      </c>
      <c r="U314" t="inlineStr">
        <is>
          <t>2022-07-14T00:00:00-05:00</t>
        </is>
      </c>
      <c r="V314" t="inlineStr">
        <is>
          <t>2022-07-12T00:00:00-05:00</t>
        </is>
      </c>
      <c r="W314" t="inlineStr">
        <is>
          <t>2022-07-14T11:32:32-05:00</t>
        </is>
      </c>
      <c r="X314">
        <f>IFERROR(1/COUNTIF($I:$I,@$I:$I), 0)</f>
        <v/>
      </c>
    </row>
    <row r="315">
      <c r="A315">
        <f>HYPERLINK("https://drivetime.tpondemand.com/entity/135609", "135609")</f>
        <v/>
      </c>
      <c r="B315" t="inlineStr">
        <is>
          <t>[EXPOSE MOD STATUS] Calling DTSE API for loan mod in hardships subgraph</t>
        </is>
      </c>
      <c r="C315" t="inlineStr">
        <is>
          <t>UserStory</t>
        </is>
      </c>
      <c r="D315" t="inlineStr">
        <is>
          <t>Servicing: BC Next</t>
        </is>
      </c>
      <c r="E315" t="inlineStr">
        <is>
          <t>BC Digital Wyvern</t>
        </is>
      </c>
      <c r="F315" t="inlineStr">
        <is>
          <t>37</t>
        </is>
      </c>
      <c r="G315" t="inlineStr">
        <is>
          <t>Jonathan Escamilla and Andrew Vu</t>
        </is>
      </c>
      <c r="H315" t="inlineStr">
        <is>
          <t>Expose Extension and Payment Frequency for BC Next to consume</t>
        </is>
      </c>
      <c r="I315" t="n">
        <v>4</v>
      </c>
      <c r="J315" t="n">
        <v>36.04973379629629</v>
      </c>
      <c r="K315">
        <f>HYPERLINK("https://drivetime.tpondemand.com/entity/139625", "139625")</f>
        <v/>
      </c>
      <c r="L315" t="inlineStr"/>
      <c r="M315" t="n">
        <v>5</v>
      </c>
      <c r="N315" t="n">
        <v>127348</v>
      </c>
      <c r="O315" t="inlineStr">
        <is>
          <t>Done</t>
        </is>
      </c>
      <c r="P315" t="n">
        <v>0</v>
      </c>
      <c r="Q315" t="inlineStr">
        <is>
          <t>Wyvern 30</t>
        </is>
      </c>
      <c r="R315" t="inlineStr">
        <is>
          <t>2022-09-08</t>
        </is>
      </c>
      <c r="S315" t="inlineStr">
        <is>
          <t>2022-09-21</t>
        </is>
      </c>
      <c r="T315" t="inlineStr">
        <is>
          <t>Wyvern 30 : 2022-09-08 - 2022-09-21</t>
        </is>
      </c>
      <c r="U315" t="inlineStr">
        <is>
          <t>2022-09-16T00:00:00-05:00</t>
        </is>
      </c>
      <c r="V315" t="inlineStr">
        <is>
          <t>2022-09-12T00:00:00-05:00</t>
        </is>
      </c>
      <c r="W315" t="inlineStr">
        <is>
          <t>2022-09-16T12:43:58-05:00</t>
        </is>
      </c>
      <c r="X315">
        <f>IFERROR(1/COUNTIF($I:$I,@$I:$I), 0)</f>
        <v/>
      </c>
    </row>
    <row r="316">
      <c r="A316">
        <f>HYPERLINK("https://drivetime.tpondemand.com/entity/135613", "135613")</f>
        <v/>
      </c>
      <c r="B316" t="inlineStr">
        <is>
          <t>[POC] Create Node JS Apollo gateway</t>
        </is>
      </c>
      <c r="C316" t="inlineStr">
        <is>
          <t>UserStory</t>
        </is>
      </c>
      <c r="D316" t="inlineStr">
        <is>
          <t>Servicing: BC Next</t>
        </is>
      </c>
      <c r="E316" t="inlineStr">
        <is>
          <t>BC Digital Wyvern</t>
        </is>
      </c>
      <c r="F316" t="inlineStr">
        <is>
          <t>30</t>
        </is>
      </c>
      <c r="G316" t="inlineStr">
        <is>
          <t>Sri Charan Simha Velpur and Andrew Vu</t>
        </is>
      </c>
      <c r="H316" t="inlineStr">
        <is>
          <t>Expose Extension and Payment Frequency for BC Next to consume</t>
        </is>
      </c>
      <c r="I316" t="n">
        <v>0</v>
      </c>
      <c r="J316" t="n">
        <v>12.91655092592593</v>
      </c>
      <c r="K316" t="inlineStr"/>
      <c r="L316" t="inlineStr"/>
      <c r="M316" t="n">
        <v>5</v>
      </c>
      <c r="N316" t="n">
        <v>127344</v>
      </c>
      <c r="O316" t="inlineStr">
        <is>
          <t>Done</t>
        </is>
      </c>
      <c r="P316" t="n">
        <v>0</v>
      </c>
      <c r="Q316" t="inlineStr">
        <is>
          <t>Wyvern 26</t>
        </is>
      </c>
      <c r="R316" t="inlineStr">
        <is>
          <t>2022-07-14</t>
        </is>
      </c>
      <c r="S316" t="inlineStr">
        <is>
          <t>2022-07-27</t>
        </is>
      </c>
      <c r="T316" t="inlineStr">
        <is>
          <t>Wyvern 26 : 2022-07-14 - 2022-07-27</t>
        </is>
      </c>
      <c r="U316" t="inlineStr">
        <is>
          <t>2022-07-27T00:00:00-05:00</t>
        </is>
      </c>
      <c r="V316" t="inlineStr">
        <is>
          <t>2022-07-27T00:00:00-05:00</t>
        </is>
      </c>
      <c r="W316" t="inlineStr">
        <is>
          <t>2022-07-27T11:36:14-05:00</t>
        </is>
      </c>
      <c r="X316">
        <f>IFERROR(1/COUNTIF($I:$I,@$I:$I), 0)</f>
        <v/>
      </c>
    </row>
    <row r="317">
      <c r="A317">
        <f>HYPERLINK("https://drivetime.tpondemand.com/entity/135614", "135614")</f>
        <v/>
      </c>
      <c r="B317" t="inlineStr">
        <is>
          <t>[POC] Create .NET 6 GraphQL API</t>
        </is>
      </c>
      <c r="C317" t="inlineStr">
        <is>
          <t>UserStory</t>
        </is>
      </c>
      <c r="D317" t="inlineStr">
        <is>
          <t>Servicing: BC Next</t>
        </is>
      </c>
      <c r="E317" t="inlineStr">
        <is>
          <t>BC Digital Wyvern</t>
        </is>
      </c>
      <c r="F317" t="inlineStr">
        <is>
          <t>30</t>
        </is>
      </c>
      <c r="G317" t="inlineStr">
        <is>
          <t>Jonathan Escamilla and Isaac Ng</t>
        </is>
      </c>
      <c r="H317" t="inlineStr">
        <is>
          <t>Expose Extension and Payment Frequency for BC Next to consume</t>
        </is>
      </c>
      <c r="I317" t="n">
        <v>0</v>
      </c>
      <c r="J317" t="n">
        <v>12.99989583333333</v>
      </c>
      <c r="K317" t="inlineStr"/>
      <c r="L317" t="inlineStr"/>
      <c r="M317" t="n">
        <v>5</v>
      </c>
      <c r="N317" t="n">
        <v>127344</v>
      </c>
      <c r="O317" t="inlineStr">
        <is>
          <t>Done</t>
        </is>
      </c>
      <c r="P317" t="n">
        <v>0</v>
      </c>
      <c r="Q317" t="inlineStr">
        <is>
          <t>Wyvern 26</t>
        </is>
      </c>
      <c r="R317" t="inlineStr">
        <is>
          <t>2022-07-14</t>
        </is>
      </c>
      <c r="S317" t="inlineStr">
        <is>
          <t>2022-07-27</t>
        </is>
      </c>
      <c r="T317" t="inlineStr">
        <is>
          <t>Wyvern 26 : 2022-07-14 - 2022-07-27</t>
        </is>
      </c>
      <c r="U317" t="inlineStr">
        <is>
          <t>2022-07-27T00:00:00-05:00</t>
        </is>
      </c>
      <c r="V317" t="inlineStr">
        <is>
          <t>2022-07-27T00:00:00-05:00</t>
        </is>
      </c>
      <c r="W317" t="inlineStr">
        <is>
          <t>2022-07-27T11:36:24-05:00</t>
        </is>
      </c>
      <c r="X317">
        <f>IFERROR(1/COUNTIF($I:$I,@$I:$I), 0)</f>
        <v/>
      </c>
    </row>
    <row r="318">
      <c r="A318">
        <f>HYPERLINK("https://drivetime.tpondemand.com/entity/140925", "140925")</f>
        <v/>
      </c>
      <c r="B318" t="inlineStr">
        <is>
          <t>Research How to Expose Charge Off Accounts to BC Next</t>
        </is>
      </c>
      <c r="C318" t="inlineStr">
        <is>
          <t>UserStory</t>
        </is>
      </c>
      <c r="D318" t="inlineStr">
        <is>
          <t>Servicing: BC Next</t>
        </is>
      </c>
      <c r="E318" t="inlineStr">
        <is>
          <t>BC Digital Wyvern</t>
        </is>
      </c>
      <c r="F318" t="inlineStr">
        <is>
          <t>44</t>
        </is>
      </c>
      <c r="G318" t="inlineStr">
        <is>
          <t>Sri Charan Simha Velpur</t>
        </is>
      </c>
      <c r="H318" t="inlineStr">
        <is>
          <t>[PLATFORM][Phase 1] Expose CO accounts to BC Next</t>
        </is>
      </c>
      <c r="I318" t="n">
        <v>1</v>
      </c>
      <c r="J318" t="n">
        <v>11.02457175925926</v>
      </c>
      <c r="K318" t="inlineStr"/>
      <c r="L318" t="inlineStr"/>
      <c r="M318" t="n">
        <v>5</v>
      </c>
      <c r="N318" t="n">
        <v>127351</v>
      </c>
      <c r="O318" t="inlineStr">
        <is>
          <t>Done</t>
        </is>
      </c>
      <c r="P318" t="n">
        <v>0</v>
      </c>
      <c r="Q318" t="inlineStr">
        <is>
          <t>Wyvern 33</t>
        </is>
      </c>
      <c r="R318" t="inlineStr">
        <is>
          <t>2022-10-20</t>
        </is>
      </c>
      <c r="S318" t="inlineStr">
        <is>
          <t>2022-11-02</t>
        </is>
      </c>
      <c r="T318" t="inlineStr">
        <is>
          <t>Wyvern 33 : 2022-10-20 - 2022-11-02</t>
        </is>
      </c>
      <c r="U318" t="inlineStr">
        <is>
          <t>2022-11-01T00:00:00-05:00</t>
        </is>
      </c>
      <c r="V318" t="inlineStr">
        <is>
          <t>2022-10-31T00:00:00-05:00</t>
        </is>
      </c>
      <c r="W318" t="inlineStr">
        <is>
          <t>2022-11-01T11:27:17-05:00</t>
        </is>
      </c>
      <c r="X318">
        <f>IFERROR(1/COUNTIF($I:$I,@$I:$I), 0)</f>
        <v/>
      </c>
    </row>
    <row r="319">
      <c r="A319">
        <f>HYPERLINK("https://drivetime.tpondemand.com/entity/142537", "142537")</f>
        <v/>
      </c>
      <c r="B319" t="inlineStr">
        <is>
          <t>[PCO] Modify Safety Net Logic and Azure API Permissions on BCNext Token</t>
        </is>
      </c>
      <c r="C319" t="inlineStr">
        <is>
          <t>UserStory</t>
        </is>
      </c>
      <c r="D319" t="inlineStr">
        <is>
          <t>Servicing: BC Next</t>
        </is>
      </c>
      <c r="E319" t="inlineStr">
        <is>
          <t>BC Digital Wyvern</t>
        </is>
      </c>
      <c r="F319" t="inlineStr"/>
      <c r="G319" t="inlineStr">
        <is>
          <t>Jonathan Escamilla</t>
        </is>
      </c>
      <c r="H319" t="inlineStr">
        <is>
          <t>[PLATFORM][Phase 1] Expose CO accounts to BC Next</t>
        </is>
      </c>
      <c r="I319" t="inlineStr"/>
      <c r="J319" t="n">
        <v>14.92073441937847</v>
      </c>
      <c r="K319" t="inlineStr"/>
      <c r="L319" t="inlineStr"/>
      <c r="M319" t="n">
        <v>5</v>
      </c>
      <c r="N319" t="inlineStr"/>
      <c r="O319" t="inlineStr">
        <is>
          <t>In Progress</t>
        </is>
      </c>
      <c r="P319" t="n">
        <v>0</v>
      </c>
      <c r="Q319" t="inlineStr"/>
      <c r="R319" t="inlineStr"/>
      <c r="S319" t="inlineStr"/>
      <c r="T319" t="inlineStr"/>
      <c r="U319" t="inlineStr"/>
      <c r="V319" t="inlineStr"/>
      <c r="X319">
        <f>IFERROR(1/COUNTIF($I:$I,@$I:$I), 0)</f>
        <v/>
      </c>
    </row>
    <row r="320">
      <c r="A320">
        <f>HYPERLINK("https://drivetime.tpondemand.com/entity/142538", "142538")</f>
        <v/>
      </c>
      <c r="B320" t="inlineStr">
        <is>
          <t>[PCO] Integrate Accounts API into BC Accounts Subgraph</t>
        </is>
      </c>
      <c r="C320" t="inlineStr">
        <is>
          <t>UserStory</t>
        </is>
      </c>
      <c r="D320" t="inlineStr">
        <is>
          <t>Servicing: BC Next</t>
        </is>
      </c>
      <c r="E320" t="inlineStr">
        <is>
          <t>BC Digital Wyvern</t>
        </is>
      </c>
      <c r="F320" t="inlineStr"/>
      <c r="G320" t="inlineStr">
        <is>
          <t>Jonathan Escamilla</t>
        </is>
      </c>
      <c r="H320" t="inlineStr">
        <is>
          <t>[PLATFORM][Phase 1] Expose CO accounts to BC Next</t>
        </is>
      </c>
      <c r="I320" t="inlineStr"/>
      <c r="J320" t="n">
        <v>41.87829228974884</v>
      </c>
      <c r="K320" t="inlineStr"/>
      <c r="L320" t="inlineStr"/>
      <c r="M320" t="n">
        <v>5</v>
      </c>
      <c r="N320" t="n">
        <v>127354</v>
      </c>
      <c r="O320" t="inlineStr">
        <is>
          <t>UAT</t>
        </is>
      </c>
      <c r="P320" t="n">
        <v>0</v>
      </c>
      <c r="Q320" t="inlineStr">
        <is>
          <t>Wyvern 36</t>
        </is>
      </c>
      <c r="R320" t="inlineStr">
        <is>
          <t>2022-12-01</t>
        </is>
      </c>
      <c r="S320" t="inlineStr">
        <is>
          <t>2022-12-14</t>
        </is>
      </c>
      <c r="T320" t="inlineStr">
        <is>
          <t>Wyvern 36 : 2022-12-01 - 2022-12-14</t>
        </is>
      </c>
      <c r="U320" t="inlineStr"/>
      <c r="V320" t="inlineStr">
        <is>
          <t>2022-12-16T00:00:00-06:00</t>
        </is>
      </c>
      <c r="X320">
        <f>IFERROR(1/COUNTIF($I:$I,@$I:$I), 0)</f>
        <v/>
      </c>
    </row>
    <row r="321">
      <c r="A321">
        <f>HYPERLINK("https://drivetime.tpondemand.com/entity/142539", "142539")</f>
        <v/>
      </c>
      <c r="B321" t="inlineStr">
        <is>
          <t>[PCO] [DB] Expose Charge-off accounts data to BCNext Application</t>
        </is>
      </c>
      <c r="C321" t="inlineStr">
        <is>
          <t>UserStory</t>
        </is>
      </c>
      <c r="D321" t="inlineStr">
        <is>
          <t>Servicing: BC Next</t>
        </is>
      </c>
      <c r="E321" t="inlineStr">
        <is>
          <t>BC Digital Wyvern</t>
        </is>
      </c>
      <c r="F321" t="inlineStr">
        <is>
          <t>47</t>
        </is>
      </c>
      <c r="G321" t="inlineStr">
        <is>
          <t>Sri Charan Simha Velpur</t>
        </is>
      </c>
      <c r="H321" t="inlineStr">
        <is>
          <t>[PLATFORM][Phase 1] Expose CO accounts to BC Next</t>
        </is>
      </c>
      <c r="I321" t="n">
        <v>6</v>
      </c>
      <c r="J321" t="n">
        <v>18.0517824074074</v>
      </c>
      <c r="K321" t="inlineStr"/>
      <c r="L321" t="inlineStr"/>
      <c r="M321" t="n">
        <v>5</v>
      </c>
      <c r="N321" t="n">
        <v>127352</v>
      </c>
      <c r="O321" t="inlineStr">
        <is>
          <t>Done</t>
        </is>
      </c>
      <c r="P321" t="n">
        <v>0</v>
      </c>
      <c r="Q321" t="inlineStr">
        <is>
          <t>Wyvern 34</t>
        </is>
      </c>
      <c r="R321" t="inlineStr">
        <is>
          <t>2022-11-03</t>
        </is>
      </c>
      <c r="S321" t="inlineStr">
        <is>
          <t>2022-11-16</t>
        </is>
      </c>
      <c r="T321" t="inlineStr">
        <is>
          <t>Wyvern 34 : 2022-11-03 - 2022-11-16</t>
        </is>
      </c>
      <c r="U321" t="inlineStr">
        <is>
          <t>2022-11-21T00:00:00-06:00</t>
        </is>
      </c>
      <c r="V321" t="inlineStr">
        <is>
          <t>2022-11-15T00:00:00-06:00</t>
        </is>
      </c>
      <c r="W321" t="inlineStr">
        <is>
          <t>2022-11-21T12:47:33-06:00</t>
        </is>
      </c>
      <c r="X321">
        <f>IFERROR(1/COUNTIF($I:$I,@$I:$I), 0)</f>
        <v/>
      </c>
    </row>
    <row r="322">
      <c r="A322">
        <f>HYPERLINK("https://drivetime.tpondemand.com/entity/144277", "144277")</f>
        <v/>
      </c>
      <c r="B322" t="inlineStr">
        <is>
          <t>[PCO] Expose person details in selfServiceCustomer from Person Subgrpah</t>
        </is>
      </c>
      <c r="C322" t="inlineStr">
        <is>
          <t>UserStory</t>
        </is>
      </c>
      <c r="D322" t="inlineStr">
        <is>
          <t>Servicing: BC Next</t>
        </is>
      </c>
      <c r="E322" t="inlineStr">
        <is>
          <t>BC Digital Wyvern</t>
        </is>
      </c>
      <c r="F322" t="inlineStr"/>
      <c r="G322" t="inlineStr">
        <is>
          <t>Sri Charan Simha Velpur</t>
        </is>
      </c>
      <c r="H322" t="inlineStr">
        <is>
          <t>[PLATFORM][Phase 1] Expose CO accounts to BC Next</t>
        </is>
      </c>
      <c r="I322" t="inlineStr"/>
      <c r="J322" t="n">
        <v>14.01991266011921</v>
      </c>
      <c r="K322" t="inlineStr"/>
      <c r="L322" t="inlineStr"/>
      <c r="M322" t="n">
        <v>5</v>
      </c>
      <c r="N322" t="inlineStr"/>
      <c r="O322" t="inlineStr">
        <is>
          <t>In Progress</t>
        </is>
      </c>
      <c r="P322" t="n">
        <v>0</v>
      </c>
      <c r="Q322" t="inlineStr"/>
      <c r="R322" t="inlineStr"/>
      <c r="S322" t="inlineStr"/>
      <c r="T322" t="inlineStr"/>
      <c r="U322" t="inlineStr"/>
      <c r="V322" t="inlineStr"/>
      <c r="X322">
        <f>IFERROR(1/COUNTIF($I:$I,@$I:$I), 0)</f>
        <v/>
      </c>
    </row>
    <row r="323">
      <c r="A323">
        <f>HYPERLINK("https://drivetime.tpondemand.com/entity/125595", "125595")</f>
        <v/>
      </c>
      <c r="B323" t="inlineStr">
        <is>
          <t>[BC NEXT] Research Guardian MFA in Auth0</t>
        </is>
      </c>
      <c r="C323" t="inlineStr">
        <is>
          <t>UserStory</t>
        </is>
      </c>
      <c r="D323" t="inlineStr">
        <is>
          <t>Servicing: BC Next</t>
        </is>
      </c>
      <c r="E323" t="inlineStr">
        <is>
          <t>BC Digital Wyvern</t>
        </is>
      </c>
      <c r="F323" t="inlineStr">
        <is>
          <t>27</t>
        </is>
      </c>
      <c r="G323" t="inlineStr">
        <is>
          <t>Isaac Ng and Andrew Vu</t>
        </is>
      </c>
      <c r="H323" t="inlineStr">
        <is>
          <t>[BC NEXT][WEB] Adaptive MFA in Auth0</t>
        </is>
      </c>
      <c r="I323" t="n">
        <v>5</v>
      </c>
      <c r="J323" t="n">
        <v>15.00575231481481</v>
      </c>
      <c r="K323">
        <f>HYPERLINK("https://drivetime.tpondemand.com/entity/135018", "135018")</f>
        <v/>
      </c>
      <c r="L323" t="inlineStr"/>
      <c r="M323" t="n">
        <v>3</v>
      </c>
      <c r="N323" t="n">
        <v>127342</v>
      </c>
      <c r="O323" t="inlineStr">
        <is>
          <t>Done</t>
        </is>
      </c>
      <c r="P323" t="n">
        <v>0</v>
      </c>
      <c r="Q323" t="inlineStr">
        <is>
          <t>Wyvern 24</t>
        </is>
      </c>
      <c r="R323" t="inlineStr">
        <is>
          <t>2022-06-16</t>
        </is>
      </c>
      <c r="S323" t="inlineStr">
        <is>
          <t>2022-06-29</t>
        </is>
      </c>
      <c r="T323" t="inlineStr">
        <is>
          <t>Wyvern 24 : 2022-06-16 - 2022-06-29</t>
        </is>
      </c>
      <c r="U323" t="inlineStr">
        <is>
          <t>2022-07-05T00:00:00-05:00</t>
        </is>
      </c>
      <c r="V323" t="inlineStr">
        <is>
          <t>2022-06-30T00:00:00-05:00</t>
        </is>
      </c>
      <c r="W323" t="inlineStr">
        <is>
          <t>2022-07-05T12:45:58-05:00</t>
        </is>
      </c>
      <c r="X323">
        <f>IFERROR(1/COUNTIF($I:$I,@$I:$I), 0)</f>
        <v/>
      </c>
    </row>
    <row r="324">
      <c r="A324">
        <f>HYPERLINK("https://drivetime.tpondemand.com/entity/125959", "125959")</f>
        <v/>
      </c>
      <c r="B324" t="inlineStr">
        <is>
          <t>[FEB RC][BC NEXT][OBSERVATIONS][1] Previous customer persisted after logging in with new customer</t>
        </is>
      </c>
      <c r="C324" t="inlineStr">
        <is>
          <t>UserStory</t>
        </is>
      </c>
      <c r="D324" t="inlineStr">
        <is>
          <t>Servicing: BC Next</t>
        </is>
      </c>
      <c r="E324" t="inlineStr">
        <is>
          <t>BC Digital Wyvern</t>
        </is>
      </c>
      <c r="F324" t="inlineStr">
        <is>
          <t>05</t>
        </is>
      </c>
      <c r="G324" t="inlineStr">
        <is>
          <t>Sri Charan Simha Velpur and Andrew Vu</t>
        </is>
      </c>
      <c r="H324" t="inlineStr">
        <is>
          <t>[BC NEXT] Regression Testing &amp; App Bug Fixes</t>
        </is>
      </c>
      <c r="I324" t="n">
        <v>1</v>
      </c>
      <c r="J324" t="n">
        <v>8.079317129629629</v>
      </c>
      <c r="K324">
        <f>HYPERLINK("https://drivetime.tpondemand.com/entity/126609", "126609")</f>
        <v/>
      </c>
      <c r="L324" t="inlineStr"/>
      <c r="M324" t="n">
        <v>3</v>
      </c>
      <c r="N324" t="n">
        <v>126668</v>
      </c>
      <c r="O324" t="inlineStr">
        <is>
          <t>Done</t>
        </is>
      </c>
      <c r="P324" t="n">
        <v>2</v>
      </c>
      <c r="Q324" t="inlineStr">
        <is>
          <t>Wyvern 14</t>
        </is>
      </c>
      <c r="R324" t="inlineStr">
        <is>
          <t>2022-01-20</t>
        </is>
      </c>
      <c r="S324" t="inlineStr">
        <is>
          <t>2022-02-02</t>
        </is>
      </c>
      <c r="T324" t="inlineStr">
        <is>
          <t>Wyvern 14 : 2022-01-20 - 2022-02-02</t>
        </is>
      </c>
      <c r="U324" t="inlineStr">
        <is>
          <t>2022-02-01T00:00:00-06:00</t>
        </is>
      </c>
      <c r="V324" t="inlineStr">
        <is>
          <t>2022-01-31T00:00:00-06:00</t>
        </is>
      </c>
      <c r="W324" t="inlineStr">
        <is>
          <t>2022-02-01T10:01:04-06:00</t>
        </is>
      </c>
      <c r="X324">
        <f>IFERROR(1/COUNTIF($I:$I,@$I:$I), 0)</f>
        <v/>
      </c>
    </row>
    <row r="325">
      <c r="A325">
        <f>HYPERLINK("https://drivetime.tpondemand.com/entity/126565", "126565")</f>
        <v/>
      </c>
      <c r="B325" t="inlineStr">
        <is>
          <t>[BC NEXT][AUTO TESTS] [2] OTP - Terms Page Automation</t>
        </is>
      </c>
      <c r="C325" t="inlineStr">
        <is>
          <t>UserStory</t>
        </is>
      </c>
      <c r="D325" t="inlineStr">
        <is>
          <t>Servicing: BC Next</t>
        </is>
      </c>
      <c r="E325" t="inlineStr">
        <is>
          <t>BC Digital Wyvern</t>
        </is>
      </c>
      <c r="F325" t="inlineStr">
        <is>
          <t>09</t>
        </is>
      </c>
      <c r="G325" t="inlineStr">
        <is>
          <t>Andrew Vu</t>
        </is>
      </c>
      <c r="H325" t="inlineStr">
        <is>
          <t>[BC NEXT] BC Next Automation Tests</t>
        </is>
      </c>
      <c r="I325" t="n">
        <v>8</v>
      </c>
      <c r="J325" t="n">
        <v>21.93538194444444</v>
      </c>
      <c r="K325">
        <f>HYPERLINK("https://drivetime.tpondemand.com/entity/127984", "127984")</f>
        <v/>
      </c>
      <c r="L325" t="inlineStr"/>
      <c r="M325" t="n">
        <v>3</v>
      </c>
      <c r="N325" t="n">
        <v>127334</v>
      </c>
      <c r="O325" t="inlineStr">
        <is>
          <t>Done</t>
        </is>
      </c>
      <c r="P325" t="n">
        <v>2</v>
      </c>
      <c r="Q325" t="inlineStr">
        <is>
          <t>Wyvern 16</t>
        </is>
      </c>
      <c r="R325" t="inlineStr">
        <is>
          <t>2022-02-24</t>
        </is>
      </c>
      <c r="S325" t="inlineStr">
        <is>
          <t>2022-03-09</t>
        </is>
      </c>
      <c r="T325" t="inlineStr">
        <is>
          <t>Wyvern 16 : 2022-02-24 - 2022-03-09</t>
        </is>
      </c>
      <c r="U325" t="inlineStr">
        <is>
          <t>2022-03-02T00:00:00-06:00</t>
        </is>
      </c>
      <c r="V325" t="inlineStr">
        <is>
          <t>2022-02-22T00:00:00-06:00</t>
        </is>
      </c>
      <c r="W325" t="inlineStr">
        <is>
          <t>2022-03-02T10:25:42-06:00</t>
        </is>
      </c>
      <c r="X325">
        <f>IFERROR(1/COUNTIF($I:$I,@$I:$I), 0)</f>
        <v/>
      </c>
    </row>
    <row r="326">
      <c r="A326">
        <f>HYPERLINK("https://drivetime.tpondemand.com/entity/126566", "126566")</f>
        <v/>
      </c>
      <c r="B326" t="inlineStr">
        <is>
          <t>[BC NEXT][AUTO TESTS] [2] OTP - Review Terms Page Automation</t>
        </is>
      </c>
      <c r="C326" t="inlineStr">
        <is>
          <t>UserStory</t>
        </is>
      </c>
      <c r="D326" t="inlineStr">
        <is>
          <t>Servicing: BC Next</t>
        </is>
      </c>
      <c r="E326" t="inlineStr">
        <is>
          <t>BC Digital Wyvern</t>
        </is>
      </c>
      <c r="F326" t="inlineStr">
        <is>
          <t>11</t>
        </is>
      </c>
      <c r="G326" t="inlineStr">
        <is>
          <t>Taalaibek Ergeshov</t>
        </is>
      </c>
      <c r="H326" t="inlineStr">
        <is>
          <t>[BC NEXT] BC Next Automation Tests</t>
        </is>
      </c>
      <c r="I326" t="n">
        <v>6</v>
      </c>
      <c r="J326" t="n">
        <v>34.74961805555555</v>
      </c>
      <c r="K326">
        <f>HYPERLINK("https://drivetime.tpondemand.com/entity/128386", "128386")</f>
        <v/>
      </c>
      <c r="L326" t="inlineStr"/>
      <c r="M326" t="n">
        <v>3</v>
      </c>
      <c r="N326" t="n">
        <v>127334</v>
      </c>
      <c r="O326" t="inlineStr">
        <is>
          <t>Done</t>
        </is>
      </c>
      <c r="P326" t="n">
        <v>1</v>
      </c>
      <c r="Q326" t="inlineStr">
        <is>
          <t>Wyvern 16</t>
        </is>
      </c>
      <c r="R326" t="inlineStr">
        <is>
          <t>2022-02-24</t>
        </is>
      </c>
      <c r="S326" t="inlineStr">
        <is>
          <t>2022-03-09</t>
        </is>
      </c>
      <c r="T326" t="inlineStr">
        <is>
          <t>Wyvern 16 : 2022-02-24 - 2022-03-09</t>
        </is>
      </c>
      <c r="U326" t="inlineStr">
        <is>
          <t>2022-03-14T00:00:00-05:00</t>
        </is>
      </c>
      <c r="V326" t="inlineStr">
        <is>
          <t>2022-03-07T00:00:00-06:00</t>
        </is>
      </c>
      <c r="W326" t="inlineStr">
        <is>
          <t>2022-03-14T11:04:05-05:00</t>
        </is>
      </c>
      <c r="X326">
        <f>IFERROR(1/COUNTIF($I:$I,@$I:$I), 0)</f>
        <v/>
      </c>
    </row>
    <row r="327">
      <c r="A327">
        <f>HYPERLINK("https://drivetime.tpondemand.com/entity/126568", "126568")</f>
        <v/>
      </c>
      <c r="B327" t="inlineStr">
        <is>
          <t>[BC NEXT][AUTO TESTS] [2] OTP - Success/Error/Ineligible pages Automation</t>
        </is>
      </c>
      <c r="C327" t="inlineStr">
        <is>
          <t>UserStory</t>
        </is>
      </c>
      <c r="D327" t="inlineStr">
        <is>
          <t>Servicing: BC Next</t>
        </is>
      </c>
      <c r="E327" t="inlineStr">
        <is>
          <t>BC Digital Wyvern</t>
        </is>
      </c>
      <c r="F327" t="inlineStr">
        <is>
          <t>09</t>
        </is>
      </c>
      <c r="G327" t="inlineStr">
        <is>
          <t>Sri Charan Simha Velpur</t>
        </is>
      </c>
      <c r="H327" t="inlineStr">
        <is>
          <t>[BC NEXT] BC Next Automation Tests</t>
        </is>
      </c>
      <c r="I327" t="n">
        <v>3</v>
      </c>
      <c r="J327" t="n">
        <v>21.01303240740741</v>
      </c>
      <c r="K327">
        <f>HYPERLINK("https://drivetime.tpondemand.com/entity/128035", "128035")</f>
        <v/>
      </c>
      <c r="L327" t="inlineStr"/>
      <c r="M327" t="n">
        <v>3</v>
      </c>
      <c r="N327" t="n">
        <v>127334</v>
      </c>
      <c r="O327" t="inlineStr">
        <is>
          <t>Done</t>
        </is>
      </c>
      <c r="P327" t="n">
        <v>1</v>
      </c>
      <c r="Q327" t="inlineStr">
        <is>
          <t>Wyvern 16</t>
        </is>
      </c>
      <c r="R327" t="inlineStr">
        <is>
          <t>2022-02-24</t>
        </is>
      </c>
      <c r="S327" t="inlineStr">
        <is>
          <t>2022-03-09</t>
        </is>
      </c>
      <c r="T327" t="inlineStr">
        <is>
          <t>Wyvern 16 : 2022-02-24 - 2022-03-09</t>
        </is>
      </c>
      <c r="U327" t="inlineStr">
        <is>
          <t>2022-03-03T00:00:00-06:00</t>
        </is>
      </c>
      <c r="V327" t="inlineStr">
        <is>
          <t>2022-02-28T00:00:00-06:00</t>
        </is>
      </c>
      <c r="W327" t="inlineStr">
        <is>
          <t>2022-03-03T10:06:36-06:00</t>
        </is>
      </c>
      <c r="X327">
        <f>IFERROR(1/COUNTIF($I:$I,@$I:$I), 0)</f>
        <v/>
      </c>
    </row>
    <row r="328">
      <c r="A328">
        <f>HYPERLINK("https://drivetime.tpondemand.com/entity/126896", "126896")</f>
        <v/>
      </c>
      <c r="B328" t="inlineStr">
        <is>
          <t>[BC NEXT][AUTO TESTS] [2] Payment Options</t>
        </is>
      </c>
      <c r="C328" t="inlineStr">
        <is>
          <t>UserStory</t>
        </is>
      </c>
      <c r="D328" t="inlineStr">
        <is>
          <t>Servicing: BC Next</t>
        </is>
      </c>
      <c r="E328" t="inlineStr">
        <is>
          <t>BC Digital Wyvern</t>
        </is>
      </c>
      <c r="F328" t="inlineStr">
        <is>
          <t>10</t>
        </is>
      </c>
      <c r="G328" t="inlineStr">
        <is>
          <t>Andrew Vu</t>
        </is>
      </c>
      <c r="H328" t="inlineStr">
        <is>
          <t>[BC NEXT] BC Next Automation Tests</t>
        </is>
      </c>
      <c r="I328" t="n">
        <v>3</v>
      </c>
      <c r="J328" t="n">
        <v>17.93635416666666</v>
      </c>
      <c r="K328">
        <f>HYPERLINK("https://drivetime.tpondemand.com/entity/128286", "128286")</f>
        <v/>
      </c>
      <c r="L328" t="inlineStr"/>
      <c r="M328" t="n">
        <v>3</v>
      </c>
      <c r="N328" t="n">
        <v>127334</v>
      </c>
      <c r="O328" t="inlineStr">
        <is>
          <t>Done</t>
        </is>
      </c>
      <c r="P328" t="n">
        <v>1</v>
      </c>
      <c r="Q328" t="inlineStr">
        <is>
          <t>Wyvern 16</t>
        </is>
      </c>
      <c r="R328" t="inlineStr">
        <is>
          <t>2022-02-24</t>
        </is>
      </c>
      <c r="S328" t="inlineStr">
        <is>
          <t>2022-03-09</t>
        </is>
      </c>
      <c r="T328" t="inlineStr">
        <is>
          <t>Wyvern 16 : 2022-02-24 - 2022-03-09</t>
        </is>
      </c>
      <c r="U328" t="inlineStr">
        <is>
          <t>2022-03-11T00:00:00-06:00</t>
        </is>
      </c>
      <c r="V328" t="inlineStr">
        <is>
          <t>2022-03-08T00:00:00-06:00</t>
        </is>
      </c>
      <c r="W328" t="inlineStr">
        <is>
          <t>2022-03-11T13:05:05-06:00</t>
        </is>
      </c>
      <c r="X328">
        <f>IFERROR(1/COUNTIF($I:$I,@$I:$I), 0)</f>
        <v/>
      </c>
    </row>
    <row r="329">
      <c r="A329">
        <f>HYPERLINK("https://drivetime.tpondemand.com/entity/126897", "126897")</f>
        <v/>
      </c>
      <c r="B329" t="inlineStr">
        <is>
          <t>[BC NEXT][AUTO TESTS] [2] Manage Debit Cards</t>
        </is>
      </c>
      <c r="C329" t="inlineStr">
        <is>
          <t>UserStory</t>
        </is>
      </c>
      <c r="D329" t="inlineStr">
        <is>
          <t>Servicing: BC Next</t>
        </is>
      </c>
      <c r="E329" t="inlineStr">
        <is>
          <t>BC Digital Wyvern</t>
        </is>
      </c>
      <c r="F329" t="inlineStr">
        <is>
          <t>10</t>
        </is>
      </c>
      <c r="G329" t="inlineStr">
        <is>
          <t>Sri Charan Simha Velpur</t>
        </is>
      </c>
      <c r="H329" t="inlineStr">
        <is>
          <t>[BC NEXT] BC Next Automation Tests</t>
        </is>
      </c>
      <c r="I329" t="n">
        <v>3</v>
      </c>
      <c r="J329" t="n">
        <v>17.13194444444444</v>
      </c>
      <c r="K329">
        <f>HYPERLINK("https://drivetime.tpondemand.com/entity/128286", "128286")</f>
        <v/>
      </c>
      <c r="L329" t="inlineStr"/>
      <c r="M329" t="n">
        <v>3</v>
      </c>
      <c r="N329" t="n">
        <v>127334</v>
      </c>
      <c r="O329" t="inlineStr">
        <is>
          <t>Done</t>
        </is>
      </c>
      <c r="P329" t="n">
        <v>2</v>
      </c>
      <c r="Q329" t="inlineStr">
        <is>
          <t>Wyvern 16</t>
        </is>
      </c>
      <c r="R329" t="inlineStr">
        <is>
          <t>2022-02-24</t>
        </is>
      </c>
      <c r="S329" t="inlineStr">
        <is>
          <t>2022-03-09</t>
        </is>
      </c>
      <c r="T329" t="inlineStr">
        <is>
          <t>Wyvern 16 : 2022-02-24 - 2022-03-09</t>
        </is>
      </c>
      <c r="U329" t="inlineStr">
        <is>
          <t>2022-03-11T00:00:00-06:00</t>
        </is>
      </c>
      <c r="V329" t="inlineStr">
        <is>
          <t>2022-03-08T00:00:00-06:00</t>
        </is>
      </c>
      <c r="W329" t="inlineStr">
        <is>
          <t>2022-03-11T13:05:11-06:00</t>
        </is>
      </c>
      <c r="X329">
        <f>IFERROR(1/COUNTIF($I:$I,@$I:$I), 0)</f>
        <v/>
      </c>
    </row>
    <row r="330">
      <c r="A330">
        <f>HYPERLINK("https://drivetime.tpondemand.com/entity/126898", "126898")</f>
        <v/>
      </c>
      <c r="B330" t="inlineStr">
        <is>
          <t>[BC NEXT][AUTO TESTS] [2] Manage Bank Accounts</t>
        </is>
      </c>
      <c r="C330" t="inlineStr">
        <is>
          <t>UserStory</t>
        </is>
      </c>
      <c r="D330" t="inlineStr">
        <is>
          <t>Servicing: BC Next</t>
        </is>
      </c>
      <c r="E330" t="inlineStr">
        <is>
          <t>BC Digital Wyvern</t>
        </is>
      </c>
      <c r="F330" t="inlineStr">
        <is>
          <t>12</t>
        </is>
      </c>
      <c r="G330" t="inlineStr">
        <is>
          <t>Sri Charan Simha Velpur</t>
        </is>
      </c>
      <c r="H330" t="inlineStr">
        <is>
          <t>[BC NEXT] BC Next Automation Tests</t>
        </is>
      </c>
      <c r="I330" t="n">
        <v>3</v>
      </c>
      <c r="J330" t="n">
        <v>18.01484953703704</v>
      </c>
      <c r="K330">
        <f>HYPERLINK("https://drivetime.tpondemand.com/entity/128896", "128896")</f>
        <v/>
      </c>
      <c r="L330" t="inlineStr"/>
      <c r="M330" t="n">
        <v>3</v>
      </c>
      <c r="N330" t="n">
        <v>127335</v>
      </c>
      <c r="O330" t="inlineStr">
        <is>
          <t>Done</t>
        </is>
      </c>
      <c r="P330" t="n">
        <v>0</v>
      </c>
      <c r="Q330" t="inlineStr">
        <is>
          <t>Wyvern 17</t>
        </is>
      </c>
      <c r="R330" t="inlineStr">
        <is>
          <t>2022-03-10</t>
        </is>
      </c>
      <c r="S330" t="inlineStr">
        <is>
          <t>2022-03-23</t>
        </is>
      </c>
      <c r="T330" t="inlineStr">
        <is>
          <t>Wyvern 17 : 2022-03-10 - 2022-03-23</t>
        </is>
      </c>
      <c r="U330" t="inlineStr">
        <is>
          <t>2022-03-21T00:00:00-05:00</t>
        </is>
      </c>
      <c r="V330" t="inlineStr">
        <is>
          <t>2022-03-18T00:00:00-05:00</t>
        </is>
      </c>
      <c r="W330" t="inlineStr">
        <is>
          <t>2022-03-21T16:14:28-05:00</t>
        </is>
      </c>
      <c r="X330">
        <f>IFERROR(1/COUNTIF($I:$I,@$I:$I), 0)</f>
        <v/>
      </c>
    </row>
    <row r="331">
      <c r="A331">
        <f>HYPERLINK("https://drivetime.tpondemand.com/entity/126900", "126900")</f>
        <v/>
      </c>
      <c r="B331" t="inlineStr">
        <is>
          <t>[BC NEXT][AUTO TESTS] [2] Account Settings and App Menu</t>
        </is>
      </c>
      <c r="C331" t="inlineStr">
        <is>
          <t>UserStory</t>
        </is>
      </c>
      <c r="D331" t="inlineStr">
        <is>
          <t>Servicing: BC Next</t>
        </is>
      </c>
      <c r="E331" t="inlineStr">
        <is>
          <t>BC Digital Wyvern</t>
        </is>
      </c>
      <c r="F331" t="inlineStr">
        <is>
          <t>12</t>
        </is>
      </c>
      <c r="G331" t="inlineStr">
        <is>
          <t>Namratha Chilukuri</t>
        </is>
      </c>
      <c r="H331" t="inlineStr">
        <is>
          <t>[BC NEXT] BC Next Automation Tests</t>
        </is>
      </c>
      <c r="I331" t="n">
        <v>0</v>
      </c>
      <c r="J331" t="n">
        <v>20.12831018518519</v>
      </c>
      <c r="K331">
        <f>HYPERLINK("https://drivetime.tpondemand.com/entity/128896", "128896")</f>
        <v/>
      </c>
      <c r="L331" t="inlineStr"/>
      <c r="M331" t="n">
        <v>3</v>
      </c>
      <c r="N331" t="n">
        <v>127335</v>
      </c>
      <c r="O331" t="inlineStr">
        <is>
          <t>Done</t>
        </is>
      </c>
      <c r="P331" t="n">
        <v>0</v>
      </c>
      <c r="Q331" t="inlineStr">
        <is>
          <t>Wyvern 17</t>
        </is>
      </c>
      <c r="R331" t="inlineStr">
        <is>
          <t>2022-03-10</t>
        </is>
      </c>
      <c r="S331" t="inlineStr">
        <is>
          <t>2022-03-23</t>
        </is>
      </c>
      <c r="T331" t="inlineStr">
        <is>
          <t>Wyvern 17 : 2022-03-10 - 2022-03-23</t>
        </is>
      </c>
      <c r="U331" t="inlineStr">
        <is>
          <t>2022-03-21T00:00:00-05:00</t>
        </is>
      </c>
      <c r="V331" t="inlineStr">
        <is>
          <t>2022-03-21T00:00:00-05:00</t>
        </is>
      </c>
      <c r="W331" t="inlineStr">
        <is>
          <t>2022-03-21T16:14:36-05:00</t>
        </is>
      </c>
      <c r="X331">
        <f>IFERROR(1/COUNTIF($I:$I,@$I:$I), 0)</f>
        <v/>
      </c>
    </row>
    <row r="332">
      <c r="A332">
        <f>HYPERLINK("https://drivetime.tpondemand.com/entity/126907", "126907")</f>
        <v/>
      </c>
      <c r="B332" t="inlineStr">
        <is>
          <t>[BC NEXT][AUTO TESTS] [2] Session Timeout/Logout</t>
        </is>
      </c>
      <c r="C332" t="inlineStr">
        <is>
          <t>UserStory</t>
        </is>
      </c>
      <c r="D332" t="inlineStr">
        <is>
          <t>Servicing: BC Next</t>
        </is>
      </c>
      <c r="E332" t="inlineStr">
        <is>
          <t>BC Digital Wyvern</t>
        </is>
      </c>
      <c r="F332" t="inlineStr">
        <is>
          <t>13</t>
        </is>
      </c>
      <c r="G332" t="inlineStr">
        <is>
          <t>Namratha Chilukuri</t>
        </is>
      </c>
      <c r="H332" t="inlineStr">
        <is>
          <t>[BC NEXT] BC Next Automation Tests</t>
        </is>
      </c>
      <c r="I332" t="n">
        <v>2</v>
      </c>
      <c r="J332" t="n">
        <v>10.19502314814815</v>
      </c>
      <c r="K332">
        <f>HYPERLINK("https://drivetime.tpondemand.com/entity/129373", "129373")</f>
        <v/>
      </c>
      <c r="L332" t="inlineStr"/>
      <c r="M332" t="n">
        <v>3</v>
      </c>
      <c r="N332" t="n">
        <v>127336</v>
      </c>
      <c r="O332" t="inlineStr">
        <is>
          <t>Done</t>
        </is>
      </c>
      <c r="P332" t="n">
        <v>0</v>
      </c>
      <c r="Q332" t="inlineStr">
        <is>
          <t>Wyvern 18</t>
        </is>
      </c>
      <c r="R332" t="inlineStr">
        <is>
          <t>2022-03-24</t>
        </is>
      </c>
      <c r="S332" t="inlineStr">
        <is>
          <t>2022-04-06</t>
        </is>
      </c>
      <c r="T332" t="inlineStr">
        <is>
          <t>Wyvern 18 : 2022-03-24 - 2022-04-06</t>
        </is>
      </c>
      <c r="U332" t="inlineStr">
        <is>
          <t>2022-04-01T00:00:00-05:00</t>
        </is>
      </c>
      <c r="V332" t="inlineStr">
        <is>
          <t>2022-03-30T00:00:00-05:00</t>
        </is>
      </c>
      <c r="W332" t="inlineStr">
        <is>
          <t>2022-04-01T15:45:37-05:00</t>
        </is>
      </c>
      <c r="X332">
        <f>IFERROR(1/COUNTIF($I:$I,@$I:$I), 0)</f>
        <v/>
      </c>
    </row>
    <row r="333">
      <c r="A333">
        <f>HYPERLINK("https://drivetime.tpondemand.com/entity/128037", "128037")</f>
        <v/>
      </c>
      <c r="B333" t="inlineStr">
        <is>
          <t>[BC NEXT][RESEARCH][IMPERSONATION] Add DDR for Impersonation design</t>
        </is>
      </c>
      <c r="C333" t="inlineStr">
        <is>
          <t>UserStory</t>
        </is>
      </c>
      <c r="D333" t="inlineStr">
        <is>
          <t>Servicing: BC Next</t>
        </is>
      </c>
      <c r="E333" t="inlineStr">
        <is>
          <t>BC Digital Wyvern</t>
        </is>
      </c>
      <c r="F333" t="inlineStr">
        <is>
          <t>11</t>
        </is>
      </c>
      <c r="G333" t="inlineStr">
        <is>
          <t>Jajati Routray</t>
        </is>
      </c>
      <c r="H333" t="inlineStr">
        <is>
          <t>[BC NEXT] Impersonation</t>
        </is>
      </c>
      <c r="I333" t="n">
        <v>1</v>
      </c>
      <c r="J333" t="n">
        <v>8.799351851851851</v>
      </c>
      <c r="K333" t="inlineStr"/>
      <c r="L333" t="inlineStr"/>
      <c r="M333" t="n">
        <v>3</v>
      </c>
      <c r="N333" t="n">
        <v>127335</v>
      </c>
      <c r="O333" t="inlineStr">
        <is>
          <t>Done</t>
        </is>
      </c>
      <c r="P333" t="n">
        <v>0</v>
      </c>
      <c r="Q333" t="inlineStr">
        <is>
          <t>Wyvern 17</t>
        </is>
      </c>
      <c r="R333" t="inlineStr">
        <is>
          <t>2022-03-10</t>
        </is>
      </c>
      <c r="S333" t="inlineStr">
        <is>
          <t>2022-03-23</t>
        </is>
      </c>
      <c r="T333" t="inlineStr">
        <is>
          <t>Wyvern 17 : 2022-03-10 - 2022-03-23</t>
        </is>
      </c>
      <c r="U333" t="inlineStr">
        <is>
          <t>2022-03-16T00:00:00-05:00</t>
        </is>
      </c>
      <c r="V333" t="inlineStr">
        <is>
          <t>2022-03-15T00:00:00-05:00</t>
        </is>
      </c>
      <c r="W333" t="inlineStr">
        <is>
          <t>2022-03-16T10:34:03-05:00</t>
        </is>
      </c>
      <c r="X333">
        <f>IFERROR(1/COUNTIF($I:$I,@$I:$I), 0)</f>
        <v/>
      </c>
    </row>
    <row r="334">
      <c r="A334">
        <f>HYPERLINK("https://drivetime.tpondemand.com/entity/128119", "128119")</f>
        <v/>
      </c>
      <c r="B334" t="inlineStr">
        <is>
          <t>Verification Email</t>
        </is>
      </c>
      <c r="C334" t="inlineStr">
        <is>
          <t>UserStory</t>
        </is>
      </c>
      <c r="D334" t="inlineStr">
        <is>
          <t>Servicing: BC Next</t>
        </is>
      </c>
      <c r="E334" t="inlineStr">
        <is>
          <t>BC Digital Wyvern</t>
        </is>
      </c>
      <c r="F334" t="inlineStr">
        <is>
          <t>19</t>
        </is>
      </c>
      <c r="G334" t="inlineStr">
        <is>
          <t>Namratha Chilukuri and Jajati Routray</t>
        </is>
      </c>
      <c r="H334" t="inlineStr">
        <is>
          <t>[BC NEXT] Impersonation</t>
        </is>
      </c>
      <c r="I334" t="n">
        <v>6</v>
      </c>
      <c r="J334" t="n">
        <v>23.12298611111111</v>
      </c>
      <c r="K334">
        <f>HYPERLINK("https://drivetime.tpondemand.com/entity/131728", "131728")</f>
        <v/>
      </c>
      <c r="L334" t="inlineStr"/>
      <c r="M334" t="n">
        <v>3</v>
      </c>
      <c r="N334" t="n">
        <v>127339</v>
      </c>
      <c r="O334" t="inlineStr">
        <is>
          <t>Done</t>
        </is>
      </c>
      <c r="P334" t="n">
        <v>1</v>
      </c>
      <c r="Q334" t="inlineStr">
        <is>
          <t>Wyvern 21</t>
        </is>
      </c>
      <c r="R334" t="inlineStr">
        <is>
          <t>2022-05-05</t>
        </is>
      </c>
      <c r="S334" t="inlineStr">
        <is>
          <t>2022-05-18</t>
        </is>
      </c>
      <c r="T334" t="inlineStr">
        <is>
          <t>Wyvern 21 : 2022-05-05 - 2022-05-18</t>
        </is>
      </c>
      <c r="U334" t="inlineStr">
        <is>
          <t>2022-05-11T00:00:00-05:00</t>
        </is>
      </c>
      <c r="V334" t="inlineStr">
        <is>
          <t>2022-05-05T00:00:00-05:00</t>
        </is>
      </c>
      <c r="W334" t="inlineStr">
        <is>
          <t>2022-05-11T12:56:19-05:00</t>
        </is>
      </c>
      <c r="X334">
        <f>IFERROR(1/COUNTIF($I:$I,@$I:$I), 0)</f>
        <v/>
      </c>
    </row>
    <row r="335">
      <c r="A335">
        <f>HYPERLINK("https://drivetime.tpondemand.com/entity/128125", "128125")</f>
        <v/>
      </c>
      <c r="B335" t="inlineStr">
        <is>
          <t>Analytic Events</t>
        </is>
      </c>
      <c r="C335" t="inlineStr">
        <is>
          <t>UserStory</t>
        </is>
      </c>
      <c r="D335" t="inlineStr">
        <is>
          <t>Servicing: BC Next</t>
        </is>
      </c>
      <c r="E335" t="inlineStr">
        <is>
          <t>BC Digital Wyvern</t>
        </is>
      </c>
      <c r="F335" t="inlineStr">
        <is>
          <t>22</t>
        </is>
      </c>
      <c r="G335" t="inlineStr">
        <is>
          <t>Jonathan Escamilla</t>
        </is>
      </c>
      <c r="H335" t="inlineStr">
        <is>
          <t>[BC NEXT] Impersonation</t>
        </is>
      </c>
      <c r="I335" t="n">
        <v>8</v>
      </c>
      <c r="J335" t="n">
        <v>25.34078703703704</v>
      </c>
      <c r="K335">
        <f>HYPERLINK("https://drivetime.tpondemand.com/entity/133298", "133298")</f>
        <v/>
      </c>
      <c r="L335" t="inlineStr"/>
      <c r="M335" t="n">
        <v>3</v>
      </c>
      <c r="N335" t="n">
        <v>127341</v>
      </c>
      <c r="O335" t="inlineStr">
        <is>
          <t>Done</t>
        </is>
      </c>
      <c r="P335" t="n">
        <v>3</v>
      </c>
      <c r="Q335" t="inlineStr">
        <is>
          <t>Wyvern 23</t>
        </is>
      </c>
      <c r="R335" t="inlineStr">
        <is>
          <t>2022-06-02</t>
        </is>
      </c>
      <c r="S335" t="inlineStr">
        <is>
          <t>2022-06-15</t>
        </is>
      </c>
      <c r="T335" t="inlineStr">
        <is>
          <t>Wyvern 23 : 2022-06-02 - 2022-06-15</t>
        </is>
      </c>
      <c r="U335" t="inlineStr">
        <is>
          <t>2022-06-03T00:00:00-05:00</t>
        </is>
      </c>
      <c r="V335" t="inlineStr">
        <is>
          <t>2022-05-26T00:00:00-05:00</t>
        </is>
      </c>
      <c r="W335" t="inlineStr">
        <is>
          <t>2022-06-03T17:19:00-05:00</t>
        </is>
      </c>
      <c r="X335">
        <f>IFERROR(1/COUNTIF($I:$I,@$I:$I), 0)</f>
        <v/>
      </c>
    </row>
    <row r="336">
      <c r="A336">
        <f>HYPERLINK("https://drivetime.tpondemand.com/entity/129761", "129761")</f>
        <v/>
      </c>
      <c r="B336" t="inlineStr">
        <is>
          <t>Research Impersonation display options</t>
        </is>
      </c>
      <c r="C336" t="inlineStr">
        <is>
          <t>UserStory</t>
        </is>
      </c>
      <c r="D336" t="inlineStr">
        <is>
          <t>Servicing: BC Next</t>
        </is>
      </c>
      <c r="E336" t="inlineStr">
        <is>
          <t>BC Digital Wyvern</t>
        </is>
      </c>
      <c r="F336" t="inlineStr">
        <is>
          <t>16</t>
        </is>
      </c>
      <c r="G336" t="inlineStr">
        <is>
          <t>Jonathan Escamilla</t>
        </is>
      </c>
      <c r="H336" t="inlineStr">
        <is>
          <t>[BC NEXT] Impersonation</t>
        </is>
      </c>
      <c r="I336" t="n">
        <v>0</v>
      </c>
      <c r="J336" t="n">
        <v>7.06105324074074</v>
      </c>
      <c r="K336" t="inlineStr"/>
      <c r="L336" t="inlineStr"/>
      <c r="M336" t="n">
        <v>3</v>
      </c>
      <c r="N336" t="n">
        <v>127337</v>
      </c>
      <c r="O336" t="inlineStr">
        <is>
          <t>Done</t>
        </is>
      </c>
      <c r="P336" t="n">
        <v>0</v>
      </c>
      <c r="Q336" t="inlineStr">
        <is>
          <t>Wyvern 19</t>
        </is>
      </c>
      <c r="R336" t="inlineStr">
        <is>
          <t>2022-04-07</t>
        </is>
      </c>
      <c r="S336" t="inlineStr">
        <is>
          <t>2022-04-20</t>
        </is>
      </c>
      <c r="T336" t="inlineStr">
        <is>
          <t>Wyvern 19 : 2022-04-07 - 2022-04-20</t>
        </is>
      </c>
      <c r="U336" t="inlineStr">
        <is>
          <t>2022-04-20T00:00:00-05:00</t>
        </is>
      </c>
      <c r="V336" t="inlineStr">
        <is>
          <t>2022-04-20T00:00:00-05:00</t>
        </is>
      </c>
      <c r="W336" t="inlineStr">
        <is>
          <t>2022-04-20T11:03:21-05:00</t>
        </is>
      </c>
      <c r="X336">
        <f>IFERROR(1/COUNTIF($I:$I,@$I:$I), 0)</f>
        <v/>
      </c>
    </row>
    <row r="337">
      <c r="A337">
        <f>HYPERLINK("https://drivetime.tpondemand.com/entity/130440", "130440")</f>
        <v/>
      </c>
      <c r="B337" t="inlineStr">
        <is>
          <t>[BC NEXT] Update order of registration pages in login flow</t>
        </is>
      </c>
      <c r="C337" t="inlineStr">
        <is>
          <t>UserStory</t>
        </is>
      </c>
      <c r="D337" t="inlineStr">
        <is>
          <t>Servicing: BC Next</t>
        </is>
      </c>
      <c r="E337" t="inlineStr">
        <is>
          <t>BC Digital Wyvern</t>
        </is>
      </c>
      <c r="F337" t="inlineStr">
        <is>
          <t>26</t>
        </is>
      </c>
      <c r="G337" t="inlineStr">
        <is>
          <t>Connor Golobich</t>
        </is>
      </c>
      <c r="H337" t="inlineStr">
        <is>
          <t>[BC NEXT][WEB] Phase 3: Login Pages</t>
        </is>
      </c>
      <c r="I337" t="n">
        <v>21</v>
      </c>
      <c r="J337" t="n">
        <v>40.06238425925926</v>
      </c>
      <c r="K337">
        <f>HYPERLINK("https://drivetime.tpondemand.com/entity/134254", "134254")</f>
        <v/>
      </c>
      <c r="L337" t="inlineStr"/>
      <c r="M337" t="n">
        <v>3</v>
      </c>
      <c r="N337" t="inlineStr"/>
      <c r="O337" t="inlineStr">
        <is>
          <t>Done</t>
        </is>
      </c>
      <c r="P337" t="n">
        <v>0</v>
      </c>
      <c r="Q337" t="inlineStr"/>
      <c r="R337" t="inlineStr"/>
      <c r="S337" t="inlineStr"/>
      <c r="T337" t="inlineStr"/>
      <c r="U337" t="inlineStr">
        <is>
          <t>2022-06-28T00:00:00-05:00</t>
        </is>
      </c>
      <c r="V337" t="inlineStr">
        <is>
          <t>2022-06-07T00:00:00-05:00</t>
        </is>
      </c>
      <c r="W337" t="inlineStr">
        <is>
          <t>2022-06-28T12:35:37-05:00</t>
        </is>
      </c>
      <c r="X337">
        <f>IFERROR(1/COUNTIF($I:$I,@$I:$I), 0)</f>
        <v/>
      </c>
    </row>
    <row r="338">
      <c r="A338">
        <f>HYPERLINK("https://drivetime.tpondemand.com/entity/132100", "132100")</f>
        <v/>
      </c>
      <c r="B338" t="inlineStr">
        <is>
          <t>[BC NEXT] Research alternate BIO Auth path options</t>
        </is>
      </c>
      <c r="C338" t="inlineStr">
        <is>
          <t>UserStory</t>
        </is>
      </c>
      <c r="D338" t="inlineStr">
        <is>
          <t>Servicing: BC Next</t>
        </is>
      </c>
      <c r="E338" t="inlineStr">
        <is>
          <t>BC Digital Wyvern</t>
        </is>
      </c>
      <c r="F338" t="inlineStr">
        <is>
          <t>24</t>
        </is>
      </c>
      <c r="G338" t="inlineStr">
        <is>
          <t>Jonathan Escamilla</t>
        </is>
      </c>
      <c r="H338" t="inlineStr">
        <is>
          <t>[BC NEXT] Persist 'No Thanks' Selection</t>
        </is>
      </c>
      <c r="I338" t="n">
        <v>0</v>
      </c>
      <c r="J338" t="n">
        <v>11.80766203703704</v>
      </c>
      <c r="K338" t="inlineStr"/>
      <c r="L338" t="inlineStr"/>
      <c r="M338" t="n">
        <v>3</v>
      </c>
      <c r="N338" t="n">
        <v>127341</v>
      </c>
      <c r="O338" t="inlineStr">
        <is>
          <t>Done</t>
        </is>
      </c>
      <c r="P338" t="n">
        <v>0</v>
      </c>
      <c r="Q338" t="inlineStr">
        <is>
          <t>Wyvern 23</t>
        </is>
      </c>
      <c r="R338" t="inlineStr">
        <is>
          <t>2022-06-02</t>
        </is>
      </c>
      <c r="S338" t="inlineStr">
        <is>
          <t>2022-06-15</t>
        </is>
      </c>
      <c r="T338" t="inlineStr">
        <is>
          <t>Wyvern 23 : 2022-06-02 - 2022-06-15</t>
        </is>
      </c>
      <c r="U338" t="inlineStr">
        <is>
          <t>2022-06-13T00:00:00-05:00</t>
        </is>
      </c>
      <c r="V338" t="inlineStr">
        <is>
          <t>2022-06-13T00:00:00-05:00</t>
        </is>
      </c>
      <c r="W338" t="inlineStr">
        <is>
          <t>2022-06-13T11:38:46-05:00</t>
        </is>
      </c>
      <c r="X338">
        <f>IFERROR(1/COUNTIF($I:$I,@$I:$I), 0)</f>
        <v/>
      </c>
    </row>
    <row r="339">
      <c r="A339">
        <f>HYPERLINK("https://drivetime.tpondemand.com/entity/132102", "132102")</f>
        <v/>
      </c>
      <c r="B339" t="inlineStr">
        <is>
          <t>Research Google Analytics 4 on BC Next</t>
        </is>
      </c>
      <c r="C339" t="inlineStr">
        <is>
          <t>UserStory</t>
        </is>
      </c>
      <c r="D339" t="inlineStr">
        <is>
          <t>Servicing: BC Next</t>
        </is>
      </c>
      <c r="E339" t="inlineStr">
        <is>
          <t>BC Digital Wyvern</t>
        </is>
      </c>
      <c r="F339" t="inlineStr">
        <is>
          <t>24</t>
        </is>
      </c>
      <c r="G339" t="inlineStr">
        <is>
          <t>Sri Charan Simha Velpur</t>
        </is>
      </c>
      <c r="H339" t="inlineStr">
        <is>
          <t>Google Analytics 4</t>
        </is>
      </c>
      <c r="I339" t="n">
        <v>0</v>
      </c>
      <c r="J339" t="n">
        <v>14.02765046296296</v>
      </c>
      <c r="K339" t="inlineStr"/>
      <c r="L339" t="inlineStr"/>
      <c r="M339" t="n">
        <v>3</v>
      </c>
      <c r="N339" t="n">
        <v>127341</v>
      </c>
      <c r="O339" t="inlineStr">
        <is>
          <t>Done</t>
        </is>
      </c>
      <c r="P339" t="n">
        <v>0</v>
      </c>
      <c r="Q339" t="inlineStr">
        <is>
          <t>Wyvern 23</t>
        </is>
      </c>
      <c r="R339" t="inlineStr">
        <is>
          <t>2022-06-02</t>
        </is>
      </c>
      <c r="S339" t="inlineStr">
        <is>
          <t>2022-06-15</t>
        </is>
      </c>
      <c r="T339" t="inlineStr">
        <is>
          <t>Wyvern 23 : 2022-06-02 - 2022-06-15</t>
        </is>
      </c>
      <c r="U339" t="inlineStr">
        <is>
          <t>2022-06-16T00:00:00-05:00</t>
        </is>
      </c>
      <c r="V339" t="inlineStr">
        <is>
          <t>2022-06-16T00:00:00-05:00</t>
        </is>
      </c>
      <c r="W339" t="inlineStr">
        <is>
          <t>2022-06-16T11:33:02-05:00</t>
        </is>
      </c>
      <c r="X339">
        <f>IFERROR(1/COUNTIF($I:$I,@$I:$I), 0)</f>
        <v/>
      </c>
    </row>
    <row r="340">
      <c r="A340">
        <f>HYPERLINK("https://drivetime.tpondemand.com/entity/132594", "132594")</f>
        <v/>
      </c>
      <c r="B340" t="inlineStr">
        <is>
          <t>[BC NEXT] Research Auth0 Emails</t>
        </is>
      </c>
      <c r="C340" t="inlineStr">
        <is>
          <t>UserStory</t>
        </is>
      </c>
      <c r="D340" t="inlineStr">
        <is>
          <t>Servicing: BC Next</t>
        </is>
      </c>
      <c r="E340" t="inlineStr">
        <is>
          <t>BC Digital Wyvern</t>
        </is>
      </c>
      <c r="F340" t="inlineStr">
        <is>
          <t>24</t>
        </is>
      </c>
      <c r="G340" t="inlineStr">
        <is>
          <t>Isaac Ng</t>
        </is>
      </c>
      <c r="H340" t="inlineStr">
        <is>
          <t>Redirect registration emails triggered from our Dev/Test environment</t>
        </is>
      </c>
      <c r="I340" t="n">
        <v>0</v>
      </c>
      <c r="J340" t="n">
        <v>7.05744212962963</v>
      </c>
      <c r="K340" t="inlineStr"/>
      <c r="L340" t="inlineStr"/>
      <c r="M340" t="n">
        <v>3</v>
      </c>
      <c r="N340" t="n">
        <v>127341</v>
      </c>
      <c r="O340" t="inlineStr">
        <is>
          <t>Done</t>
        </is>
      </c>
      <c r="P340" t="n">
        <v>0</v>
      </c>
      <c r="Q340" t="inlineStr">
        <is>
          <t>Wyvern 23</t>
        </is>
      </c>
      <c r="R340" t="inlineStr">
        <is>
          <t>2022-06-02</t>
        </is>
      </c>
      <c r="S340" t="inlineStr">
        <is>
          <t>2022-06-15</t>
        </is>
      </c>
      <c r="T340" t="inlineStr">
        <is>
          <t>Wyvern 23 : 2022-06-02 - 2022-06-15</t>
        </is>
      </c>
      <c r="U340" t="inlineStr">
        <is>
          <t>2022-06-13T00:00:00-05:00</t>
        </is>
      </c>
      <c r="V340" t="inlineStr">
        <is>
          <t>2022-06-13T00:00:00-05:00</t>
        </is>
      </c>
      <c r="W340" t="inlineStr">
        <is>
          <t>2022-06-13T11:47:38-05:00</t>
        </is>
      </c>
      <c r="X340">
        <f>IFERROR(1/COUNTIF($I:$I,@$I:$I), 0)</f>
        <v/>
      </c>
    </row>
    <row r="341">
      <c r="A341">
        <f>HYPERLINK("https://drivetime.tpondemand.com/entity/132904", "132904")</f>
        <v/>
      </c>
      <c r="B341" t="inlineStr">
        <is>
          <t>Implement Google Analytics 4 on BC Next</t>
        </is>
      </c>
      <c r="C341" t="inlineStr">
        <is>
          <t>UserStory</t>
        </is>
      </c>
      <c r="D341" t="inlineStr">
        <is>
          <t>Servicing: BC Next</t>
        </is>
      </c>
      <c r="E341" t="inlineStr">
        <is>
          <t>BC Digital Wyvern</t>
        </is>
      </c>
      <c r="F341" t="inlineStr">
        <is>
          <t>28</t>
        </is>
      </c>
      <c r="G341" t="inlineStr">
        <is>
          <t>Sri Charan Simha Velpur</t>
        </is>
      </c>
      <c r="H341" t="inlineStr">
        <is>
          <t>Google Analytics 4</t>
        </is>
      </c>
      <c r="I341" t="n">
        <v>7</v>
      </c>
      <c r="J341" t="n">
        <v>27.12940972222222</v>
      </c>
      <c r="K341">
        <f>HYPERLINK("https://drivetime.tpondemand.com/entity/135512", "135512")</f>
        <v/>
      </c>
      <c r="L341" t="inlineStr"/>
      <c r="M341" t="n">
        <v>3</v>
      </c>
      <c r="N341" t="n">
        <v>127343</v>
      </c>
      <c r="O341" t="inlineStr">
        <is>
          <t>Done</t>
        </is>
      </c>
      <c r="P341" t="n">
        <v>0</v>
      </c>
      <c r="Q341" t="inlineStr">
        <is>
          <t>Wyvern 25</t>
        </is>
      </c>
      <c r="R341" t="inlineStr">
        <is>
          <t>2022-06-30</t>
        </is>
      </c>
      <c r="S341" t="inlineStr">
        <is>
          <t>2022-07-13</t>
        </is>
      </c>
      <c r="T341" t="inlineStr">
        <is>
          <t>Wyvern 25 : 2022-06-30 - 2022-07-13</t>
        </is>
      </c>
      <c r="U341" t="inlineStr">
        <is>
          <t>2022-07-13T00:00:00-05:00</t>
        </is>
      </c>
      <c r="V341" t="inlineStr">
        <is>
          <t>2022-07-06T00:00:00-05:00</t>
        </is>
      </c>
      <c r="W341" t="inlineStr">
        <is>
          <t>2022-07-13T14:54:53-05:00</t>
        </is>
      </c>
      <c r="X341">
        <f>IFERROR(1/COUNTIF($I:$I,@$I:$I), 0)</f>
        <v/>
      </c>
    </row>
    <row r="342">
      <c r="A342">
        <f>HYPERLINK("https://drivetime.tpondemand.com/entity/133592", "133592")</f>
        <v/>
      </c>
      <c r="B342" t="inlineStr">
        <is>
          <t>Adjust Customer Admin Portal to correspond with the New Registration Workflow on BC Next</t>
        </is>
      </c>
      <c r="C342" t="inlineStr">
        <is>
          <t>UserStory</t>
        </is>
      </c>
      <c r="D342" t="inlineStr">
        <is>
          <t>Servicing: BC Next</t>
        </is>
      </c>
      <c r="E342" t="inlineStr">
        <is>
          <t>BC Digital Wyvern</t>
        </is>
      </c>
      <c r="F342" t="inlineStr">
        <is>
          <t>26</t>
        </is>
      </c>
      <c r="G342" t="inlineStr">
        <is>
          <t>Andrew Vu</t>
        </is>
      </c>
      <c r="H342" t="inlineStr">
        <is>
          <t>[BC NEXT][WEB] Phase 3: Login Pages</t>
        </is>
      </c>
      <c r="I342" t="n">
        <v>8</v>
      </c>
      <c r="J342" t="n">
        <v>14.92423611111111</v>
      </c>
      <c r="K342">
        <f>HYPERLINK("https://drivetime.tpondemand.com/entity/134254", "134254")</f>
        <v/>
      </c>
      <c r="L342" t="inlineStr"/>
      <c r="M342" t="n">
        <v>3</v>
      </c>
      <c r="N342" t="n">
        <v>127342</v>
      </c>
      <c r="O342" t="inlineStr">
        <is>
          <t>Done</t>
        </is>
      </c>
      <c r="P342" t="n">
        <v>0</v>
      </c>
      <c r="Q342" t="inlineStr">
        <is>
          <t>Wyvern 24</t>
        </is>
      </c>
      <c r="R342" t="inlineStr">
        <is>
          <t>2022-06-16</t>
        </is>
      </c>
      <c r="S342" t="inlineStr">
        <is>
          <t>2022-06-29</t>
        </is>
      </c>
      <c r="T342" t="inlineStr">
        <is>
          <t>Wyvern 24 : 2022-06-16 - 2022-06-29</t>
        </is>
      </c>
      <c r="U342" t="inlineStr">
        <is>
          <t>2022-06-28T00:00:00-05:00</t>
        </is>
      </c>
      <c r="V342" t="inlineStr">
        <is>
          <t>2022-06-20T00:00:00-05:00</t>
        </is>
      </c>
      <c r="W342" t="inlineStr">
        <is>
          <t>2022-06-28T12:35:29-05:00</t>
        </is>
      </c>
      <c r="X342">
        <f>IFERROR(1/COUNTIF($I:$I,@$I:$I), 0)</f>
        <v/>
      </c>
    </row>
    <row r="343">
      <c r="A343">
        <f>HYPERLINK("https://drivetime.tpondemand.com/entity/134663", "134663")</f>
        <v/>
      </c>
      <c r="B343" t="inlineStr">
        <is>
          <t>Research how to expose a method to inform the modification process the documents have been signed</t>
        </is>
      </c>
      <c r="C343" t="inlineStr">
        <is>
          <t>UserStory</t>
        </is>
      </c>
      <c r="D343" t="inlineStr">
        <is>
          <t>Servicing: BC Next</t>
        </is>
      </c>
      <c r="E343" t="inlineStr">
        <is>
          <t>BC Digital Wyvern</t>
        </is>
      </c>
      <c r="F343" t="inlineStr">
        <is>
          <t>28</t>
        </is>
      </c>
      <c r="G343" t="inlineStr">
        <is>
          <t>Sri Charan Simha Velpur</t>
        </is>
      </c>
      <c r="H343" t="inlineStr">
        <is>
          <t>Expose Extension and Payment Frequency for BC Next to consume</t>
        </is>
      </c>
      <c r="I343" t="n">
        <v>1</v>
      </c>
      <c r="J343" t="n">
        <v>8.916574074074074</v>
      </c>
      <c r="K343" t="inlineStr"/>
      <c r="L343" t="inlineStr"/>
      <c r="M343" t="n">
        <v>3</v>
      </c>
      <c r="N343" t="n">
        <v>127344</v>
      </c>
      <c r="O343" t="inlineStr">
        <is>
          <t>Done</t>
        </is>
      </c>
      <c r="P343" t="n">
        <v>0</v>
      </c>
      <c r="Q343" t="inlineStr">
        <is>
          <t>Wyvern 26</t>
        </is>
      </c>
      <c r="R343" t="inlineStr">
        <is>
          <t>2022-07-14</t>
        </is>
      </c>
      <c r="S343" t="inlineStr">
        <is>
          <t>2022-07-27</t>
        </is>
      </c>
      <c r="T343" t="inlineStr">
        <is>
          <t>Wyvern 26 : 2022-07-14 - 2022-07-27</t>
        </is>
      </c>
      <c r="U343" t="inlineStr">
        <is>
          <t>2022-07-15T00:00:00-05:00</t>
        </is>
      </c>
      <c r="V343" t="inlineStr">
        <is>
          <t>2022-07-14T00:00:00-05:00</t>
        </is>
      </c>
      <c r="W343" t="inlineStr">
        <is>
          <t>2022-07-15T09:43:08-05:00</t>
        </is>
      </c>
      <c r="X343">
        <f>IFERROR(1/COUNTIF($I:$I,@$I:$I), 0)</f>
        <v/>
      </c>
    </row>
    <row r="344">
      <c r="A344">
        <f>HYPERLINK("https://drivetime.tpondemand.com/entity/134665", "134665")</f>
        <v/>
      </c>
      <c r="B344" t="inlineStr">
        <is>
          <t>Research how to save the document identity so it can be retrieved for the future</t>
        </is>
      </c>
      <c r="C344" t="inlineStr">
        <is>
          <t>UserStory</t>
        </is>
      </c>
      <c r="D344" t="inlineStr">
        <is>
          <t>Servicing: BC Next</t>
        </is>
      </c>
      <c r="E344" t="inlineStr">
        <is>
          <t>BC Digital Wyvern</t>
        </is>
      </c>
      <c r="F344" t="inlineStr">
        <is>
          <t>28</t>
        </is>
      </c>
      <c r="G344" t="inlineStr">
        <is>
          <t>Isaac Ng</t>
        </is>
      </c>
      <c r="H344" t="inlineStr">
        <is>
          <t>Expose Extension and Payment Frequency for BC Next to consume</t>
        </is>
      </c>
      <c r="I344" t="n">
        <v>0</v>
      </c>
      <c r="J344" t="n">
        <v>7.051747685185185</v>
      </c>
      <c r="K344" t="inlineStr"/>
      <c r="L344" t="inlineStr"/>
      <c r="M344" t="n">
        <v>3</v>
      </c>
      <c r="N344" t="n">
        <v>127343</v>
      </c>
      <c r="O344" t="inlineStr">
        <is>
          <t>Done</t>
        </is>
      </c>
      <c r="P344" t="n">
        <v>0</v>
      </c>
      <c r="Q344" t="inlineStr">
        <is>
          <t>Wyvern 25</t>
        </is>
      </c>
      <c r="R344" t="inlineStr">
        <is>
          <t>2022-06-30</t>
        </is>
      </c>
      <c r="S344" t="inlineStr">
        <is>
          <t>2022-07-13</t>
        </is>
      </c>
      <c r="T344" t="inlineStr">
        <is>
          <t>Wyvern 25 : 2022-06-30 - 2022-07-13</t>
        </is>
      </c>
      <c r="U344" t="inlineStr">
        <is>
          <t>2022-07-13T00:00:00-05:00</t>
        </is>
      </c>
      <c r="V344" t="inlineStr">
        <is>
          <t>2022-07-13T00:00:00-05:00</t>
        </is>
      </c>
      <c r="W344" t="inlineStr">
        <is>
          <t>2022-07-13T11:40:19-05:00</t>
        </is>
      </c>
      <c r="X344">
        <f>IFERROR(1/COUNTIF($I:$I,@$I:$I), 0)</f>
        <v/>
      </c>
    </row>
    <row r="345">
      <c r="A345">
        <f>HYPERLINK("https://drivetime.tpondemand.com/entity/135610", "135610")</f>
        <v/>
      </c>
      <c r="B345" t="inlineStr">
        <is>
          <t>[EXPOSE MOD STATUS] Spin up Apollo Server (S)</t>
        </is>
      </c>
      <c r="C345" t="inlineStr">
        <is>
          <t>UserStory</t>
        </is>
      </c>
      <c r="D345" t="inlineStr">
        <is>
          <t>Servicing: BC Next</t>
        </is>
      </c>
      <c r="E345" t="inlineStr">
        <is>
          <t>BC Digital Wyvern</t>
        </is>
      </c>
      <c r="F345" t="inlineStr">
        <is>
          <t>33</t>
        </is>
      </c>
      <c r="G345" t="inlineStr">
        <is>
          <t>Isaac Ng</t>
        </is>
      </c>
      <c r="H345" t="inlineStr">
        <is>
          <t>Expose Extension and Payment Frequency for BC Next to consume</t>
        </is>
      </c>
      <c r="I345" t="n">
        <v>3</v>
      </c>
      <c r="J345" t="n">
        <v>21.06291666666667</v>
      </c>
      <c r="K345">
        <f>HYPERLINK("https://drivetime.tpondemand.com/entity/138042", "138042")</f>
        <v/>
      </c>
      <c r="L345" t="inlineStr"/>
      <c r="M345" t="n">
        <v>3</v>
      </c>
      <c r="N345" t="n">
        <v>127346</v>
      </c>
      <c r="O345" t="inlineStr">
        <is>
          <t>Done</t>
        </is>
      </c>
      <c r="P345" t="n">
        <v>0</v>
      </c>
      <c r="Q345" t="inlineStr">
        <is>
          <t>Wyvern 28</t>
        </is>
      </c>
      <c r="R345" t="inlineStr">
        <is>
          <t>2022-08-11</t>
        </is>
      </c>
      <c r="S345" t="inlineStr">
        <is>
          <t>2022-08-24</t>
        </is>
      </c>
      <c r="T345" t="inlineStr">
        <is>
          <t>Wyvern 28 : 2022-08-11 - 2022-08-24</t>
        </is>
      </c>
      <c r="U345" t="inlineStr">
        <is>
          <t>2022-08-19T00:00:00-05:00</t>
        </is>
      </c>
      <c r="V345" t="inlineStr">
        <is>
          <t>2022-08-16T00:00:00-05:00</t>
        </is>
      </c>
      <c r="W345" t="inlineStr">
        <is>
          <t>2022-08-19T12:59:34-05:00</t>
        </is>
      </c>
      <c r="X345">
        <f>IFERROR(1/COUNTIF($I:$I,@$I:$I), 0)</f>
        <v/>
      </c>
    </row>
    <row r="346">
      <c r="A346">
        <f>HYPERLINK("https://drivetime.tpondemand.com/entity/135612", "135612")</f>
        <v/>
      </c>
      <c r="B346" t="inlineStr">
        <is>
          <t>[EXPOSE MOD STATUS] Integrate Apollo Server into BFF server (S)</t>
        </is>
      </c>
      <c r="C346" t="inlineStr">
        <is>
          <t>UserStory</t>
        </is>
      </c>
      <c r="D346" t="inlineStr">
        <is>
          <t>Servicing: BC Next</t>
        </is>
      </c>
      <c r="E346" t="inlineStr">
        <is>
          <t>BC Digital Wyvern</t>
        </is>
      </c>
      <c r="F346" t="inlineStr">
        <is>
          <t>40</t>
        </is>
      </c>
      <c r="G346" t="inlineStr">
        <is>
          <t>Isaac Ng</t>
        </is>
      </c>
      <c r="H346" t="inlineStr">
        <is>
          <t>Expose Extension and Payment Frequency for BC Next to consume</t>
        </is>
      </c>
      <c r="I346" t="n">
        <v>18</v>
      </c>
      <c r="J346" t="n">
        <v>38.22168981481482</v>
      </c>
      <c r="K346">
        <f>HYPERLINK("https://drivetime.tpondemand.com/entity/140049", "140049")</f>
        <v/>
      </c>
      <c r="L346" t="inlineStr"/>
      <c r="M346" t="n">
        <v>3</v>
      </c>
      <c r="N346" t="n">
        <v>127348</v>
      </c>
      <c r="O346" t="inlineStr">
        <is>
          <t>Done</t>
        </is>
      </c>
      <c r="P346" t="n">
        <v>0</v>
      </c>
      <c r="Q346" t="inlineStr">
        <is>
          <t>Wyvern 30</t>
        </is>
      </c>
      <c r="R346" t="inlineStr">
        <is>
          <t>2022-09-08</t>
        </is>
      </c>
      <c r="S346" t="inlineStr">
        <is>
          <t>2022-09-21</t>
        </is>
      </c>
      <c r="T346" t="inlineStr">
        <is>
          <t>Wyvern 30 : 2022-09-08 - 2022-09-21</t>
        </is>
      </c>
      <c r="U346" t="inlineStr">
        <is>
          <t>2022-10-03T00:00:00-05:00</t>
        </is>
      </c>
      <c r="V346" t="inlineStr">
        <is>
          <t>2022-09-15T00:00:00-05:00</t>
        </is>
      </c>
      <c r="W346" t="inlineStr">
        <is>
          <t>2022-10-03T17:58:27-05:00</t>
        </is>
      </c>
      <c r="X346">
        <f>IFERROR(1/COUNTIF($I:$I,@$I:$I), 0)</f>
        <v/>
      </c>
    </row>
    <row r="347">
      <c r="A347">
        <f>HYPERLINK("https://drivetime.tpondemand.com/entity/135615", "135615")</f>
        <v/>
      </c>
      <c r="B347" t="inlineStr">
        <is>
          <t>[POC] Implement stitching of New API and BCAPI into BFF Server</t>
        </is>
      </c>
      <c r="C347" t="inlineStr">
        <is>
          <t>UserStory</t>
        </is>
      </c>
      <c r="D347" t="inlineStr">
        <is>
          <t>Servicing: BC Next</t>
        </is>
      </c>
      <c r="E347" t="inlineStr">
        <is>
          <t>BC Digital Wyvern</t>
        </is>
      </c>
      <c r="F347" t="inlineStr">
        <is>
          <t>30</t>
        </is>
      </c>
      <c r="G347" t="inlineStr"/>
      <c r="H347" t="inlineStr">
        <is>
          <t>Expose Extension and Payment Frequency for BC Next to consume</t>
        </is>
      </c>
      <c r="I347" t="n">
        <v>0</v>
      </c>
      <c r="J347" t="n">
        <v>3.472222222222222e-05</v>
      </c>
      <c r="K347" t="inlineStr"/>
      <c r="L347" t="inlineStr"/>
      <c r="M347" t="n">
        <v>3</v>
      </c>
      <c r="N347" t="n">
        <v>127344</v>
      </c>
      <c r="O347" t="inlineStr">
        <is>
          <t>Done</t>
        </is>
      </c>
      <c r="P347" t="n">
        <v>0</v>
      </c>
      <c r="Q347" t="inlineStr">
        <is>
          <t>Wyvern 26</t>
        </is>
      </c>
      <c r="R347" t="inlineStr">
        <is>
          <t>2022-07-14</t>
        </is>
      </c>
      <c r="S347" t="inlineStr">
        <is>
          <t>2022-07-27</t>
        </is>
      </c>
      <c r="T347" t="inlineStr">
        <is>
          <t>Wyvern 26 : 2022-07-14 - 2022-07-27</t>
        </is>
      </c>
      <c r="U347" t="inlineStr">
        <is>
          <t>2022-07-27T00:00:00-05:00</t>
        </is>
      </c>
      <c r="V347" t="inlineStr">
        <is>
          <t>2022-07-27T00:00:00-05:00</t>
        </is>
      </c>
      <c r="W347" t="inlineStr">
        <is>
          <t>2022-07-27T11:37:29-05:00</t>
        </is>
      </c>
      <c r="X347">
        <f>IFERROR(1/COUNTIF($I:$I,@$I:$I), 0)</f>
        <v/>
      </c>
    </row>
    <row r="348">
      <c r="A348">
        <f>HYPERLINK("https://drivetime.tpondemand.com/entity/135847", "135847")</f>
        <v/>
      </c>
      <c r="B348" t="inlineStr">
        <is>
          <t>DO NOT invoke the MFA process for the customer admin portal</t>
        </is>
      </c>
      <c r="C348" t="inlineStr">
        <is>
          <t>UserStory</t>
        </is>
      </c>
      <c r="D348" t="inlineStr">
        <is>
          <t>Servicing: BC Next</t>
        </is>
      </c>
      <c r="E348" t="inlineStr">
        <is>
          <t>BC Digital Wyvern</t>
        </is>
      </c>
      <c r="F348" t="inlineStr">
        <is>
          <t>29</t>
        </is>
      </c>
      <c r="G348" t="inlineStr">
        <is>
          <t>Jonathan Escamilla</t>
        </is>
      </c>
      <c r="H348" t="inlineStr">
        <is>
          <t>MFA Enhancements</t>
        </is>
      </c>
      <c r="I348" t="n">
        <v>0</v>
      </c>
      <c r="J348" t="n">
        <v>1.114884259259259</v>
      </c>
      <c r="K348">
        <f>HYPERLINK("https://drivetime.tpondemand.com/entity/136028", "136028")</f>
        <v/>
      </c>
      <c r="L348" t="inlineStr"/>
      <c r="M348" t="n">
        <v>3</v>
      </c>
      <c r="N348" t="inlineStr"/>
      <c r="O348" t="inlineStr">
        <is>
          <t>Done</t>
        </is>
      </c>
      <c r="P348" t="n">
        <v>0</v>
      </c>
      <c r="Q348" t="inlineStr"/>
      <c r="R348" t="inlineStr"/>
      <c r="S348" t="inlineStr"/>
      <c r="T348" t="inlineStr"/>
      <c r="U348" t="inlineStr">
        <is>
          <t>2022-07-20T00:00:00-05:00</t>
        </is>
      </c>
      <c r="V348" t="inlineStr">
        <is>
          <t>2022-07-20T00:00:00-05:00</t>
        </is>
      </c>
      <c r="W348" t="inlineStr">
        <is>
          <t>2022-07-20T17:06:46-05:00</t>
        </is>
      </c>
      <c r="X348">
        <f>IFERROR(1/COUNTIF($I:$I,@$I:$I), 0)</f>
        <v/>
      </c>
    </row>
    <row r="349">
      <c r="A349">
        <f>HYPERLINK("https://drivetime.tpondemand.com/entity/136200", "136200")</f>
        <v/>
      </c>
      <c r="B349" t="inlineStr">
        <is>
          <t>[EXPOSE MOD STATUS] Add docusign webhook &amp; forwarding logic to BFF Server, Hardship, DTSE</t>
        </is>
      </c>
      <c r="C349" t="inlineStr">
        <is>
          <t>UserStory</t>
        </is>
      </c>
      <c r="D349" t="inlineStr">
        <is>
          <t>Servicing: BC Next</t>
        </is>
      </c>
      <c r="E349" t="inlineStr">
        <is>
          <t>BC Digital Wyvern</t>
        </is>
      </c>
      <c r="F349" t="inlineStr">
        <is>
          <t>40</t>
        </is>
      </c>
      <c r="G349" t="inlineStr">
        <is>
          <t>Andrew Vu</t>
        </is>
      </c>
      <c r="H349" t="inlineStr">
        <is>
          <t>Expose Extension and Payment Frequency for BC Next to consume</t>
        </is>
      </c>
      <c r="I349" t="n">
        <v>13</v>
      </c>
      <c r="J349" t="n">
        <v>26.21931712962963</v>
      </c>
      <c r="K349">
        <f>HYPERLINK("https://drivetime.tpondemand.com/entity/140012", "140012")</f>
        <v/>
      </c>
      <c r="L349" t="inlineStr"/>
      <c r="M349" t="n">
        <v>3</v>
      </c>
      <c r="N349" t="n">
        <v>127348</v>
      </c>
      <c r="O349" t="inlineStr">
        <is>
          <t>Done</t>
        </is>
      </c>
      <c r="P349" t="n">
        <v>0</v>
      </c>
      <c r="Q349" t="inlineStr">
        <is>
          <t>Wyvern 30</t>
        </is>
      </c>
      <c r="R349" t="inlineStr">
        <is>
          <t>2022-09-08</t>
        </is>
      </c>
      <c r="S349" t="inlineStr">
        <is>
          <t>2022-09-21</t>
        </is>
      </c>
      <c r="T349" t="inlineStr">
        <is>
          <t>Wyvern 30 : 2022-09-08 - 2022-09-21</t>
        </is>
      </c>
      <c r="U349" t="inlineStr">
        <is>
          <t>2022-10-05T00:00:00-05:00</t>
        </is>
      </c>
      <c r="V349" t="inlineStr">
        <is>
          <t>2022-09-22T00:00:00-05:00</t>
        </is>
      </c>
      <c r="W349" t="inlineStr">
        <is>
          <t>2022-10-05T17:58:05-05:00</t>
        </is>
      </c>
      <c r="X349">
        <f>IFERROR(1/COUNTIF($I:$I,@$I:$I), 0)</f>
        <v/>
      </c>
    </row>
    <row r="350">
      <c r="A350">
        <f>HYPERLINK("https://drivetime.tpondemand.com/entity/136512", "136512")</f>
        <v/>
      </c>
      <c r="B350" t="inlineStr">
        <is>
          <t>[EXPOSE MOD STATUS] Build status logic</t>
        </is>
      </c>
      <c r="C350" t="inlineStr">
        <is>
          <t>UserStory</t>
        </is>
      </c>
      <c r="D350" t="inlineStr">
        <is>
          <t>Servicing: BC Next</t>
        </is>
      </c>
      <c r="E350" t="inlineStr">
        <is>
          <t>BC Digital Wyvern</t>
        </is>
      </c>
      <c r="F350" t="inlineStr">
        <is>
          <t>37</t>
        </is>
      </c>
      <c r="G350" t="inlineStr">
        <is>
          <t>Isaac Ng</t>
        </is>
      </c>
      <c r="H350" t="inlineStr">
        <is>
          <t>Expose Extension and Payment Frequency for BC Next to consume</t>
        </is>
      </c>
      <c r="I350" t="n">
        <v>4</v>
      </c>
      <c r="J350" t="n">
        <v>28.14376157407407</v>
      </c>
      <c r="K350">
        <f>HYPERLINK("https://drivetime.tpondemand.com/entity/139625", "139625")</f>
        <v/>
      </c>
      <c r="L350" t="inlineStr"/>
      <c r="M350" t="n">
        <v>3</v>
      </c>
      <c r="N350" t="n">
        <v>127348</v>
      </c>
      <c r="O350" t="inlineStr">
        <is>
          <t>Done</t>
        </is>
      </c>
      <c r="P350" t="n">
        <v>2</v>
      </c>
      <c r="Q350" t="inlineStr">
        <is>
          <t>Wyvern 30</t>
        </is>
      </c>
      <c r="R350" t="inlineStr">
        <is>
          <t>2022-09-08</t>
        </is>
      </c>
      <c r="S350" t="inlineStr">
        <is>
          <t>2022-09-21</t>
        </is>
      </c>
      <c r="T350" t="inlineStr">
        <is>
          <t>Wyvern 30 : 2022-09-08 - 2022-09-21</t>
        </is>
      </c>
      <c r="U350" t="inlineStr">
        <is>
          <t>2022-09-16T00:00:00-05:00</t>
        </is>
      </c>
      <c r="V350" t="inlineStr">
        <is>
          <t>2022-09-12T00:00:00-05:00</t>
        </is>
      </c>
      <c r="W350" t="inlineStr">
        <is>
          <t>2022-09-16T12:44:09-05:00</t>
        </is>
      </c>
      <c r="X350">
        <f>IFERROR(1/COUNTIF($I:$I,@$I:$I), 0)</f>
        <v/>
      </c>
    </row>
    <row r="351">
      <c r="A351">
        <f>HYPERLINK("https://drivetime.tpondemand.com/entity/136517", "136517")</f>
        <v/>
      </c>
      <c r="B351" t="inlineStr">
        <is>
          <t>[CAPTURE SIGNED DOCUMENT] Get Signed Status save documents in Smart Search</t>
        </is>
      </c>
      <c r="C351" t="inlineStr">
        <is>
          <t>UserStory</t>
        </is>
      </c>
      <c r="D351" t="inlineStr">
        <is>
          <t>Servicing: BC Next</t>
        </is>
      </c>
      <c r="E351" t="inlineStr">
        <is>
          <t>BC Digital Wyvern</t>
        </is>
      </c>
      <c r="F351" t="inlineStr">
        <is>
          <t>40</t>
        </is>
      </c>
      <c r="G351" t="inlineStr">
        <is>
          <t>Sri Charan Simha Velpur</t>
        </is>
      </c>
      <c r="H351" t="inlineStr">
        <is>
          <t>Expose Extension and Payment Frequency for BC Next to consume</t>
        </is>
      </c>
      <c r="I351" t="n">
        <v>19</v>
      </c>
      <c r="J351" t="n">
        <v>41.16668981481482</v>
      </c>
      <c r="K351">
        <f>HYPERLINK("https://drivetime.tpondemand.com/entity/139999", "139999")</f>
        <v/>
      </c>
      <c r="L351" t="inlineStr"/>
      <c r="M351" t="n">
        <v>3</v>
      </c>
      <c r="N351" t="n">
        <v>127348</v>
      </c>
      <c r="O351" t="inlineStr">
        <is>
          <t>Done</t>
        </is>
      </c>
      <c r="P351" t="n">
        <v>0</v>
      </c>
      <c r="Q351" t="inlineStr">
        <is>
          <t>Wyvern 30</t>
        </is>
      </c>
      <c r="R351" t="inlineStr">
        <is>
          <t>2022-09-08</t>
        </is>
      </c>
      <c r="S351" t="inlineStr">
        <is>
          <t>2022-09-21</t>
        </is>
      </c>
      <c r="T351" t="inlineStr">
        <is>
          <t>Wyvern 30 : 2022-09-08 - 2022-09-21</t>
        </is>
      </c>
      <c r="U351" t="inlineStr">
        <is>
          <t>2022-10-05T00:00:00-05:00</t>
        </is>
      </c>
      <c r="V351" t="inlineStr">
        <is>
          <t>2022-09-16T00:00:00-05:00</t>
        </is>
      </c>
      <c r="W351" t="inlineStr">
        <is>
          <t>2022-10-05T17:58:14-05:00</t>
        </is>
      </c>
      <c r="X351">
        <f>IFERROR(1/COUNTIF($I:$I,@$I:$I), 0)</f>
        <v/>
      </c>
    </row>
    <row r="352">
      <c r="A352">
        <f>HYPERLINK("https://drivetime.tpondemand.com/entity/136600", "136600")</f>
        <v/>
      </c>
      <c r="B352" t="inlineStr">
        <is>
          <t>[EXPOSE MOD STATUS] Federate BCAPI Subgraph into gateway</t>
        </is>
      </c>
      <c r="C352" t="inlineStr">
        <is>
          <t>UserStory</t>
        </is>
      </c>
      <c r="D352" t="inlineStr">
        <is>
          <t>Servicing: BC Next</t>
        </is>
      </c>
      <c r="E352" t="inlineStr">
        <is>
          <t>BC Digital Wyvern</t>
        </is>
      </c>
      <c r="F352" t="inlineStr">
        <is>
          <t>35</t>
        </is>
      </c>
      <c r="G352" t="inlineStr">
        <is>
          <t>Andrew Vu</t>
        </is>
      </c>
      <c r="H352" t="inlineStr">
        <is>
          <t>Expose Extension and Payment Frequency for BC Next to consume</t>
        </is>
      </c>
      <c r="I352" t="n">
        <v>5</v>
      </c>
      <c r="J352" t="n">
        <v>20.99571759259259</v>
      </c>
      <c r="K352">
        <f>HYPERLINK("https://drivetime.tpondemand.com/entity/138677", "138677")</f>
        <v/>
      </c>
      <c r="L352" t="inlineStr"/>
      <c r="M352" t="n">
        <v>3</v>
      </c>
      <c r="N352" t="n">
        <v>127347</v>
      </c>
      <c r="O352" t="inlineStr">
        <is>
          <t>Done</t>
        </is>
      </c>
      <c r="P352" t="n">
        <v>0</v>
      </c>
      <c r="Q352" t="inlineStr">
        <is>
          <t>Wyvern 29</t>
        </is>
      </c>
      <c r="R352" t="inlineStr">
        <is>
          <t>2022-08-25</t>
        </is>
      </c>
      <c r="S352" t="inlineStr">
        <is>
          <t>2022-09-07</t>
        </is>
      </c>
      <c r="T352" t="inlineStr">
        <is>
          <t>Wyvern 29 : 2022-08-25 - 2022-09-07</t>
        </is>
      </c>
      <c r="U352" t="inlineStr">
        <is>
          <t>2022-08-30T00:00:00-05:00</t>
        </is>
      </c>
      <c r="V352" t="inlineStr">
        <is>
          <t>2022-08-25T00:00:00-05:00</t>
        </is>
      </c>
      <c r="W352" t="inlineStr">
        <is>
          <t>2022-08-30T11:32:40-05:00</t>
        </is>
      </c>
      <c r="X352">
        <f>IFERROR(1/COUNTIF($I:$I,@$I:$I), 0)</f>
        <v/>
      </c>
    </row>
    <row r="353">
      <c r="A353">
        <f>HYPERLINK("https://drivetime.tpondemand.com/entity/136899", "136899")</f>
        <v/>
      </c>
      <c r="B353" t="inlineStr">
        <is>
          <t>[EXPOSE MOD STATUS] Implement Process Type Logic</t>
        </is>
      </c>
      <c r="C353" t="inlineStr">
        <is>
          <t>UserStory</t>
        </is>
      </c>
      <c r="D353" t="inlineStr">
        <is>
          <t>Servicing: BC Next</t>
        </is>
      </c>
      <c r="E353" t="inlineStr">
        <is>
          <t>BC Digital Wyvern</t>
        </is>
      </c>
      <c r="F353" t="inlineStr">
        <is>
          <t>37</t>
        </is>
      </c>
      <c r="G353" t="inlineStr">
        <is>
          <t>Sri Charan Simha Velpur</t>
        </is>
      </c>
      <c r="H353" t="inlineStr">
        <is>
          <t>Expose Extension and Payment Frequency for BC Next to consume</t>
        </is>
      </c>
      <c r="I353" t="n">
        <v>15</v>
      </c>
      <c r="J353" t="n">
        <v>28.29537037037037</v>
      </c>
      <c r="K353">
        <f>HYPERLINK("https://drivetime.tpondemand.com/entity/138940", "138940")</f>
        <v/>
      </c>
      <c r="L353" t="inlineStr"/>
      <c r="M353" t="n">
        <v>3</v>
      </c>
      <c r="N353" t="n">
        <v>127347</v>
      </c>
      <c r="O353" t="inlineStr">
        <is>
          <t>Done</t>
        </is>
      </c>
      <c r="P353" t="n">
        <v>0</v>
      </c>
      <c r="Q353" t="inlineStr">
        <is>
          <t>Wyvern 29</t>
        </is>
      </c>
      <c r="R353" t="inlineStr">
        <is>
          <t>2022-08-25</t>
        </is>
      </c>
      <c r="S353" t="inlineStr">
        <is>
          <t>2022-09-07</t>
        </is>
      </c>
      <c r="T353" t="inlineStr">
        <is>
          <t>Wyvern 29 : 2022-08-25 - 2022-09-07</t>
        </is>
      </c>
      <c r="U353" t="inlineStr">
        <is>
          <t>2022-09-14T00:00:00-05:00</t>
        </is>
      </c>
      <c r="V353" t="inlineStr">
        <is>
          <t>2022-08-30T00:00:00-05:00</t>
        </is>
      </c>
      <c r="W353" t="inlineStr">
        <is>
          <t>2022-09-14T18:23:29-05:00</t>
        </is>
      </c>
      <c r="X353">
        <f>IFERROR(1/COUNTIF($I:$I,@$I:$I), 0)</f>
        <v/>
      </c>
    </row>
    <row r="354">
      <c r="A354">
        <f>HYPERLINK("https://drivetime.tpondemand.com/entity/138262", "138262")</f>
        <v/>
      </c>
      <c r="B354" t="inlineStr">
        <is>
          <t>Enable additional MFA options &amp; send communications</t>
        </is>
      </c>
      <c r="C354" t="inlineStr">
        <is>
          <t>UserStory</t>
        </is>
      </c>
      <c r="D354" t="inlineStr">
        <is>
          <t>Servicing: BC Next</t>
        </is>
      </c>
      <c r="E354" t="inlineStr">
        <is>
          <t>BC Digital Wyvern</t>
        </is>
      </c>
      <c r="F354" t="inlineStr">
        <is>
          <t>42</t>
        </is>
      </c>
      <c r="G354" t="inlineStr">
        <is>
          <t>Andrew Vu</t>
        </is>
      </c>
      <c r="H354" t="inlineStr">
        <is>
          <t>MFA Enhancements</t>
        </is>
      </c>
      <c r="I354" t="n">
        <v>17</v>
      </c>
      <c r="J354" t="n">
        <v>28.88820601851852</v>
      </c>
      <c r="K354">
        <f>HYPERLINK("https://drivetime.tpondemand.com/entity/141157", "141157")</f>
        <v/>
      </c>
      <c r="L354" t="inlineStr"/>
      <c r="M354" t="n">
        <v>3</v>
      </c>
      <c r="N354" t="n">
        <v>127349</v>
      </c>
      <c r="O354" t="inlineStr">
        <is>
          <t>Done</t>
        </is>
      </c>
      <c r="P354" t="n">
        <v>0</v>
      </c>
      <c r="Q354" t="inlineStr">
        <is>
          <t>Wyvern 31</t>
        </is>
      </c>
      <c r="R354" t="inlineStr">
        <is>
          <t>2022-09-22</t>
        </is>
      </c>
      <c r="S354" t="inlineStr">
        <is>
          <t>2022-10-05</t>
        </is>
      </c>
      <c r="T354" t="inlineStr">
        <is>
          <t>Wyvern 31 : 2022-09-22 - 2022-10-05</t>
        </is>
      </c>
      <c r="U354" t="inlineStr">
        <is>
          <t>2022-10-21T00:00:00-05:00</t>
        </is>
      </c>
      <c r="V354" t="inlineStr">
        <is>
          <t>2022-10-04T00:00:00-05:00</t>
        </is>
      </c>
      <c r="W354" t="inlineStr">
        <is>
          <t>2022-10-21T08:18:52-05:00</t>
        </is>
      </c>
      <c r="X354">
        <f>IFERROR(1/COUNTIF($I:$I,@$I:$I), 0)</f>
        <v/>
      </c>
    </row>
    <row r="355">
      <c r="A355">
        <f>HYPERLINK("https://drivetime.tpondemand.com/entity/138936", "138936")</f>
        <v/>
      </c>
      <c r="B355" t="inlineStr">
        <is>
          <t>[EXPOSE MOD STATUS] Move SSP-DTSE update loan mod logic to Hardship API</t>
        </is>
      </c>
      <c r="C355" t="inlineStr">
        <is>
          <t>UserStory</t>
        </is>
      </c>
      <c r="D355" t="inlineStr">
        <is>
          <t>Servicing: BC Next</t>
        </is>
      </c>
      <c r="E355" t="inlineStr">
        <is>
          <t>BC Digital Wyvern</t>
        </is>
      </c>
      <c r="F355" t="inlineStr">
        <is>
          <t>40</t>
        </is>
      </c>
      <c r="G355" t="inlineStr">
        <is>
          <t>Jonathan Escamilla</t>
        </is>
      </c>
      <c r="H355" t="inlineStr">
        <is>
          <t>Expose Extension and Payment Frequency for BC Next to consume</t>
        </is>
      </c>
      <c r="I355" t="n">
        <v>5</v>
      </c>
      <c r="J355" t="n">
        <v>19.01121527777778</v>
      </c>
      <c r="K355">
        <f>HYPERLINK("https://drivetime.tpondemand.com/entity/140001", "140001")</f>
        <v/>
      </c>
      <c r="L355" t="inlineStr"/>
      <c r="M355" t="n">
        <v>3</v>
      </c>
      <c r="N355" t="n">
        <v>127349</v>
      </c>
      <c r="O355" t="inlineStr">
        <is>
          <t>Done</t>
        </is>
      </c>
      <c r="P355" t="n">
        <v>1</v>
      </c>
      <c r="Q355" t="inlineStr">
        <is>
          <t>Wyvern 31</t>
        </is>
      </c>
      <c r="R355" t="inlineStr">
        <is>
          <t>2022-09-22</t>
        </is>
      </c>
      <c r="S355" t="inlineStr">
        <is>
          <t>2022-10-05</t>
        </is>
      </c>
      <c r="T355" t="inlineStr">
        <is>
          <t>Wyvern 31 : 2022-09-22 - 2022-10-05</t>
        </is>
      </c>
      <c r="U355" t="inlineStr">
        <is>
          <t>2022-10-03T00:00:00-05:00</t>
        </is>
      </c>
      <c r="V355" t="inlineStr">
        <is>
          <t>2022-09-28T00:00:00-05:00</t>
        </is>
      </c>
      <c r="W355" t="inlineStr">
        <is>
          <t>2022-10-03T11:34:21-05:00</t>
        </is>
      </c>
      <c r="X355">
        <f>IFERROR(1/COUNTIF($I:$I,@$I:$I), 0)</f>
        <v/>
      </c>
    </row>
    <row r="356">
      <c r="A356">
        <f>HYPERLINK("https://drivetime.tpondemand.com/entity/139223", "139223")</f>
        <v/>
      </c>
      <c r="B356" t="inlineStr">
        <is>
          <t>Expose PTC - Research current plan</t>
        </is>
      </c>
      <c r="C356" t="inlineStr">
        <is>
          <t>UserStory</t>
        </is>
      </c>
      <c r="D356" t="inlineStr">
        <is>
          <t>Servicing: BC Next</t>
        </is>
      </c>
      <c r="E356" t="inlineStr">
        <is>
          <t>BC Digital Wyvern</t>
        </is>
      </c>
      <c r="F356" t="inlineStr">
        <is>
          <t>39</t>
        </is>
      </c>
      <c r="G356" t="inlineStr">
        <is>
          <t>Sri Charan Simha Velpur</t>
        </is>
      </c>
      <c r="H356" t="inlineStr">
        <is>
          <t>Expose PTC for BC Next to consume</t>
        </is>
      </c>
      <c r="I356" t="n">
        <v>0</v>
      </c>
      <c r="J356" t="n">
        <v>7.202986111111111</v>
      </c>
      <c r="K356" t="inlineStr"/>
      <c r="L356" t="inlineStr"/>
      <c r="M356" t="n">
        <v>3</v>
      </c>
      <c r="N356" t="n">
        <v>127349</v>
      </c>
      <c r="O356" t="inlineStr">
        <is>
          <t>Done</t>
        </is>
      </c>
      <c r="P356" t="n">
        <v>0</v>
      </c>
      <c r="Q356" t="inlineStr">
        <is>
          <t>Wyvern 31</t>
        </is>
      </c>
      <c r="R356" t="inlineStr">
        <is>
          <t>2022-09-22</t>
        </is>
      </c>
      <c r="S356" t="inlineStr">
        <is>
          <t>2022-10-05</t>
        </is>
      </c>
      <c r="T356" t="inlineStr">
        <is>
          <t>Wyvern 31 : 2022-09-22 - 2022-10-05</t>
        </is>
      </c>
      <c r="U356" t="inlineStr">
        <is>
          <t>2022-09-29T00:00:00-05:00</t>
        </is>
      </c>
      <c r="V356" t="inlineStr">
        <is>
          <t>2022-09-29T00:00:00-05:00</t>
        </is>
      </c>
      <c r="W356" t="inlineStr">
        <is>
          <t>2022-09-29T16:07:04-05:00</t>
        </is>
      </c>
      <c r="X356">
        <f>IFERROR(1/COUNTIF($I:$I,@$I:$I), 0)</f>
        <v/>
      </c>
    </row>
    <row r="357">
      <c r="A357">
        <f>HYPERLINK("https://drivetime.tpondemand.com/entity/139592", "139592")</f>
        <v/>
      </c>
      <c r="B357" t="inlineStr">
        <is>
          <t>Expose PTC - Research PTC History</t>
        </is>
      </c>
      <c r="C357" t="inlineStr">
        <is>
          <t>UserStory</t>
        </is>
      </c>
      <c r="D357" t="inlineStr">
        <is>
          <t>Servicing: BC Next</t>
        </is>
      </c>
      <c r="E357" t="inlineStr">
        <is>
          <t>BC Digital Wyvern</t>
        </is>
      </c>
      <c r="F357" t="inlineStr">
        <is>
          <t>39</t>
        </is>
      </c>
      <c r="G357" t="inlineStr">
        <is>
          <t>Isaac Ng</t>
        </is>
      </c>
      <c r="H357" t="inlineStr">
        <is>
          <t>Expose PTC for BC Next to consume</t>
        </is>
      </c>
      <c r="I357" t="n">
        <v>0</v>
      </c>
      <c r="J357" t="n">
        <v>7.191539351851851</v>
      </c>
      <c r="K357" t="inlineStr"/>
      <c r="L357" t="inlineStr"/>
      <c r="M357" t="n">
        <v>3</v>
      </c>
      <c r="N357" t="n">
        <v>127349</v>
      </c>
      <c r="O357" t="inlineStr">
        <is>
          <t>Done</t>
        </is>
      </c>
      <c r="P357" t="n">
        <v>0</v>
      </c>
      <c r="Q357" t="inlineStr">
        <is>
          <t>Wyvern 31</t>
        </is>
      </c>
      <c r="R357" t="inlineStr">
        <is>
          <t>2022-09-22</t>
        </is>
      </c>
      <c r="S357" t="inlineStr">
        <is>
          <t>2022-10-05</t>
        </is>
      </c>
      <c r="T357" t="inlineStr">
        <is>
          <t>Wyvern 31 : 2022-09-22 - 2022-10-05</t>
        </is>
      </c>
      <c r="U357" t="inlineStr">
        <is>
          <t>2022-09-29T00:00:00-05:00</t>
        </is>
      </c>
      <c r="V357" t="inlineStr">
        <is>
          <t>2022-09-29T00:00:00-05:00</t>
        </is>
      </c>
      <c r="W357" t="inlineStr">
        <is>
          <t>2022-09-29T16:07:11-05:00</t>
        </is>
      </c>
      <c r="X357">
        <f>IFERROR(1/COUNTIF($I:$I,@$I:$I), 0)</f>
        <v/>
      </c>
    </row>
    <row r="358">
      <c r="A358">
        <f>HYPERLINK("https://drivetime.tpondemand.com/entity/139593", "139593")</f>
        <v/>
      </c>
      <c r="B358" t="inlineStr">
        <is>
          <t>Expose PTC - Research PTC upcoming/scheduled payments</t>
        </is>
      </c>
      <c r="C358" t="inlineStr">
        <is>
          <t>UserStory</t>
        </is>
      </c>
      <c r="D358" t="inlineStr">
        <is>
          <t>Servicing: BC Next</t>
        </is>
      </c>
      <c r="E358" t="inlineStr">
        <is>
          <t>BC Digital Wyvern</t>
        </is>
      </c>
      <c r="F358" t="inlineStr">
        <is>
          <t>39</t>
        </is>
      </c>
      <c r="G358" t="inlineStr">
        <is>
          <t>Andrew Vu</t>
        </is>
      </c>
      <c r="H358" t="inlineStr">
        <is>
          <t>Expose PTC for BC Next to consume</t>
        </is>
      </c>
      <c r="I358" t="n">
        <v>0</v>
      </c>
      <c r="J358" t="n">
        <v>2.248831018518518</v>
      </c>
      <c r="K358" t="inlineStr"/>
      <c r="L358" t="inlineStr"/>
      <c r="M358" t="n">
        <v>3</v>
      </c>
      <c r="N358" t="n">
        <v>127349</v>
      </c>
      <c r="O358" t="inlineStr">
        <is>
          <t>Done</t>
        </is>
      </c>
      <c r="P358" t="n">
        <v>0</v>
      </c>
      <c r="Q358" t="inlineStr">
        <is>
          <t>Wyvern 31</t>
        </is>
      </c>
      <c r="R358" t="inlineStr">
        <is>
          <t>2022-09-22</t>
        </is>
      </c>
      <c r="S358" t="inlineStr">
        <is>
          <t>2022-10-05</t>
        </is>
      </c>
      <c r="T358" t="inlineStr">
        <is>
          <t>Wyvern 31 : 2022-09-22 - 2022-10-05</t>
        </is>
      </c>
      <c r="U358" t="inlineStr">
        <is>
          <t>2022-09-29T00:00:00-05:00</t>
        </is>
      </c>
      <c r="V358" t="inlineStr">
        <is>
          <t>2022-09-29T00:00:00-05:00</t>
        </is>
      </c>
      <c r="W358" t="inlineStr">
        <is>
          <t>2022-09-29T16:07:20-05:00</t>
        </is>
      </c>
      <c r="X358">
        <f>IFERROR(1/COUNTIF($I:$I,@$I:$I), 0)</f>
        <v/>
      </c>
    </row>
    <row r="359">
      <c r="A359">
        <f>HYPERLINK("https://drivetime.tpondemand.com/entity/139594", "139594")</f>
        <v/>
      </c>
      <c r="B359" t="inlineStr">
        <is>
          <t>Expose PTC - Research PTC cancel flow</t>
        </is>
      </c>
      <c r="C359" t="inlineStr">
        <is>
          <t>UserStory</t>
        </is>
      </c>
      <c r="D359" t="inlineStr">
        <is>
          <t>Servicing: BC Next</t>
        </is>
      </c>
      <c r="E359" t="inlineStr">
        <is>
          <t>BC Digital Wyvern</t>
        </is>
      </c>
      <c r="F359" t="inlineStr">
        <is>
          <t>39</t>
        </is>
      </c>
      <c r="G359" t="inlineStr">
        <is>
          <t>Jonathan Escamilla</t>
        </is>
      </c>
      <c r="H359" t="inlineStr">
        <is>
          <t>Expose PTC for BC Next to consume</t>
        </is>
      </c>
      <c r="I359" t="n">
        <v>0</v>
      </c>
      <c r="J359" t="n">
        <v>6.989490740740741</v>
      </c>
      <c r="K359" t="inlineStr"/>
      <c r="L359" t="inlineStr"/>
      <c r="M359" t="n">
        <v>3</v>
      </c>
      <c r="N359" t="n">
        <v>127349</v>
      </c>
      <c r="O359" t="inlineStr">
        <is>
          <t>Done</t>
        </is>
      </c>
      <c r="P359" t="n">
        <v>0</v>
      </c>
      <c r="Q359" t="inlineStr">
        <is>
          <t>Wyvern 31</t>
        </is>
      </c>
      <c r="R359" t="inlineStr">
        <is>
          <t>2022-09-22</t>
        </is>
      </c>
      <c r="S359" t="inlineStr">
        <is>
          <t>2022-10-05</t>
        </is>
      </c>
      <c r="T359" t="inlineStr">
        <is>
          <t>Wyvern 31 : 2022-09-22 - 2022-10-05</t>
        </is>
      </c>
      <c r="U359" t="inlineStr">
        <is>
          <t>2022-09-29T00:00:00-05:00</t>
        </is>
      </c>
      <c r="V359" t="inlineStr">
        <is>
          <t>2022-09-29T00:00:00-05:00</t>
        </is>
      </c>
      <c r="W359" t="inlineStr">
        <is>
          <t>2022-09-29T16:07:15-05:00</t>
        </is>
      </c>
      <c r="X359">
        <f>IFERROR(1/COUNTIF($I:$I,@$I:$I), 0)</f>
        <v/>
      </c>
    </row>
    <row r="360">
      <c r="A360">
        <f>HYPERLINK("https://drivetime.tpondemand.com/entity/140694", "140694")</f>
        <v/>
      </c>
      <c r="B360" t="inlineStr">
        <is>
          <t>[PTC] Create graphql schema for PTC</t>
        </is>
      </c>
      <c r="C360" t="inlineStr">
        <is>
          <t>UserStory</t>
        </is>
      </c>
      <c r="D360" t="inlineStr">
        <is>
          <t>Servicing: BC Next</t>
        </is>
      </c>
      <c r="E360" t="inlineStr">
        <is>
          <t>BC Digital Wyvern</t>
        </is>
      </c>
      <c r="F360" t="inlineStr">
        <is>
          <t>43</t>
        </is>
      </c>
      <c r="G360" t="inlineStr">
        <is>
          <t>Sri Charan Simha Velpur</t>
        </is>
      </c>
      <c r="H360" t="inlineStr">
        <is>
          <t>Expose PTC for BC Next to consume</t>
        </is>
      </c>
      <c r="I360" t="n">
        <v>6</v>
      </c>
      <c r="J360" t="n">
        <v>20.09626157407407</v>
      </c>
      <c r="K360">
        <f>HYPERLINK("https://drivetime.tpondemand.com/entity/142193", "142193")</f>
        <v/>
      </c>
      <c r="L360" t="inlineStr"/>
      <c r="M360" t="n">
        <v>3</v>
      </c>
      <c r="N360" t="n">
        <v>127350</v>
      </c>
      <c r="O360" t="inlineStr">
        <is>
          <t>Done</t>
        </is>
      </c>
      <c r="P360" t="n">
        <v>0</v>
      </c>
      <c r="Q360" t="inlineStr">
        <is>
          <t>Wyvern 32</t>
        </is>
      </c>
      <c r="R360" t="inlineStr">
        <is>
          <t>2022-10-06</t>
        </is>
      </c>
      <c r="S360" t="inlineStr">
        <is>
          <t>2022-10-19</t>
        </is>
      </c>
      <c r="T360" t="inlineStr">
        <is>
          <t>Wyvern 32 : 2022-10-06 - 2022-10-19</t>
        </is>
      </c>
      <c r="U360" t="inlineStr">
        <is>
          <t>2022-10-25T00:00:00-05:00</t>
        </is>
      </c>
      <c r="V360" t="inlineStr">
        <is>
          <t>2022-10-19T00:00:00-05:00</t>
        </is>
      </c>
      <c r="W360" t="inlineStr">
        <is>
          <t>2022-10-25T13:13:34-05:00</t>
        </is>
      </c>
      <c r="X360">
        <f>IFERROR(1/COUNTIF($I:$I,@$I:$I), 0)</f>
        <v/>
      </c>
    </row>
    <row r="361">
      <c r="A361">
        <f>HYPERLINK("https://drivetime.tpondemand.com/entity/140696", "140696")</f>
        <v/>
      </c>
      <c r="B361" t="inlineStr">
        <is>
          <t>[PTC] Create graphql query in Hardship to fetch Payment Plan Data from DTSE</t>
        </is>
      </c>
      <c r="C361" t="inlineStr">
        <is>
          <t>UserStory</t>
        </is>
      </c>
      <c r="D361" t="inlineStr">
        <is>
          <t>Servicing: BC Next</t>
        </is>
      </c>
      <c r="E361" t="inlineStr">
        <is>
          <t>BC Digital Wyvern</t>
        </is>
      </c>
      <c r="F361" t="inlineStr">
        <is>
          <t>43</t>
        </is>
      </c>
      <c r="G361" t="inlineStr">
        <is>
          <t>Isaac Ng</t>
        </is>
      </c>
      <c r="H361" t="inlineStr">
        <is>
          <t>Expose PTC for BC Next to consume</t>
        </is>
      </c>
      <c r="I361" t="n">
        <v>6</v>
      </c>
      <c r="J361" t="n">
        <v>20.07234953703704</v>
      </c>
      <c r="K361">
        <f>HYPERLINK("https://drivetime.tpondemand.com/entity/142193", "142193")</f>
        <v/>
      </c>
      <c r="L361" t="inlineStr"/>
      <c r="M361" t="n">
        <v>3</v>
      </c>
      <c r="N361" t="n">
        <v>127350</v>
      </c>
      <c r="O361" t="inlineStr">
        <is>
          <t>Done</t>
        </is>
      </c>
      <c r="P361" t="n">
        <v>1</v>
      </c>
      <c r="Q361" t="inlineStr">
        <is>
          <t>Wyvern 32</t>
        </is>
      </c>
      <c r="R361" t="inlineStr">
        <is>
          <t>2022-10-06</t>
        </is>
      </c>
      <c r="S361" t="inlineStr">
        <is>
          <t>2022-10-19</t>
        </is>
      </c>
      <c r="T361" t="inlineStr">
        <is>
          <t>Wyvern 32 : 2022-10-06 - 2022-10-19</t>
        </is>
      </c>
      <c r="U361" t="inlineStr">
        <is>
          <t>2022-10-25T00:00:00-05:00</t>
        </is>
      </c>
      <c r="V361" t="inlineStr">
        <is>
          <t>2022-10-19T00:00:00-05:00</t>
        </is>
      </c>
      <c r="W361" t="inlineStr">
        <is>
          <t>2022-10-25T13:13:36-05:00</t>
        </is>
      </c>
      <c r="X361">
        <f>IFERROR(1/COUNTIF($I:$I,@$I:$I), 0)</f>
        <v/>
      </c>
    </row>
    <row r="362">
      <c r="A362">
        <f>HYPERLINK("https://drivetime.tpondemand.com/entity/140698", "140698")</f>
        <v/>
      </c>
      <c r="B362" t="inlineStr">
        <is>
          <t>[PTC] Create graphql mutation in Hardship to Cancel a Payment Plan</t>
        </is>
      </c>
      <c r="C362" t="inlineStr">
        <is>
          <t>UserStory</t>
        </is>
      </c>
      <c r="D362" t="inlineStr">
        <is>
          <t>Servicing: BC Next</t>
        </is>
      </c>
      <c r="E362" t="inlineStr">
        <is>
          <t>BC Digital Wyvern</t>
        </is>
      </c>
      <c r="F362" t="inlineStr">
        <is>
          <t>43</t>
        </is>
      </c>
      <c r="G362" t="inlineStr">
        <is>
          <t>Jonathan Escamilla</t>
        </is>
      </c>
      <c r="H362" t="inlineStr">
        <is>
          <t>Expose PTC for BC Next to consume</t>
        </is>
      </c>
      <c r="I362" t="n">
        <v>6</v>
      </c>
      <c r="J362" t="n">
        <v>19.07004629629629</v>
      </c>
      <c r="K362">
        <f>HYPERLINK("https://drivetime.tpondemand.com/entity/142193", "142193")</f>
        <v/>
      </c>
      <c r="L362" t="inlineStr"/>
      <c r="M362" t="n">
        <v>3</v>
      </c>
      <c r="N362" t="n">
        <v>127350</v>
      </c>
      <c r="O362" t="inlineStr">
        <is>
          <t>Done</t>
        </is>
      </c>
      <c r="P362" t="n">
        <v>0</v>
      </c>
      <c r="Q362" t="inlineStr">
        <is>
          <t>Wyvern 32</t>
        </is>
      </c>
      <c r="R362" t="inlineStr">
        <is>
          <t>2022-10-06</t>
        </is>
      </c>
      <c r="S362" t="inlineStr">
        <is>
          <t>2022-10-19</t>
        </is>
      </c>
      <c r="T362" t="inlineStr">
        <is>
          <t>Wyvern 32 : 2022-10-06 - 2022-10-19</t>
        </is>
      </c>
      <c r="U362" t="inlineStr">
        <is>
          <t>2022-10-25T00:00:00-05:00</t>
        </is>
      </c>
      <c r="V362" t="inlineStr">
        <is>
          <t>2022-10-19T00:00:00-05:00</t>
        </is>
      </c>
      <c r="W362" t="inlineStr">
        <is>
          <t>2022-10-25T13:13:38-05:00</t>
        </is>
      </c>
      <c r="X362">
        <f>IFERROR(1/COUNTIF($I:$I,@$I:$I), 0)</f>
        <v/>
      </c>
    </row>
    <row r="363">
      <c r="A363">
        <f>HYPERLINK("https://drivetime.tpondemand.com/entity/142536", "142536")</f>
        <v/>
      </c>
      <c r="B363" t="inlineStr">
        <is>
          <t>[PCO] Onboard Charge-off customers into BCNext Application - Auth0</t>
        </is>
      </c>
      <c r="C363" t="inlineStr">
        <is>
          <t>UserStory</t>
        </is>
      </c>
      <c r="D363" t="inlineStr">
        <is>
          <t>Servicing: BC Next</t>
        </is>
      </c>
      <c r="E363" t="inlineStr">
        <is>
          <t>BC Digital Wyvern</t>
        </is>
      </c>
      <c r="F363" t="inlineStr">
        <is>
          <t>50</t>
        </is>
      </c>
      <c r="G363" t="inlineStr">
        <is>
          <t>Jonathan Escamilla</t>
        </is>
      </c>
      <c r="H363" t="inlineStr">
        <is>
          <t>[PLATFORM][Phase 1] Expose CO accounts to BC Next</t>
        </is>
      </c>
      <c r="I363" t="n">
        <v>0</v>
      </c>
      <c r="J363" t="n">
        <v>43.2516087962963</v>
      </c>
      <c r="K363">
        <f>HYPERLINK("https://drivetime.tpondemand.com/entity/145704", "145704")</f>
        <v/>
      </c>
      <c r="L363" t="inlineStr"/>
      <c r="M363" t="n">
        <v>3</v>
      </c>
      <c r="N363" t="n">
        <v>127353</v>
      </c>
      <c r="O363" t="inlineStr">
        <is>
          <t>Done</t>
        </is>
      </c>
      <c r="P363" t="n">
        <v>0</v>
      </c>
      <c r="Q363" t="inlineStr">
        <is>
          <t>Wyvern 35</t>
        </is>
      </c>
      <c r="R363" t="inlineStr">
        <is>
          <t>2022-11-17</t>
        </is>
      </c>
      <c r="S363" t="inlineStr">
        <is>
          <t>2022-11-30</t>
        </is>
      </c>
      <c r="T363" t="inlineStr">
        <is>
          <t>Wyvern 35 : 2022-11-17 - 2022-11-30</t>
        </is>
      </c>
      <c r="U363" t="inlineStr">
        <is>
          <t>2022-12-16T00:00:00-06:00</t>
        </is>
      </c>
      <c r="V363" t="inlineStr">
        <is>
          <t>2022-12-16T00:00:00-06:00</t>
        </is>
      </c>
      <c r="W363" t="inlineStr">
        <is>
          <t>2022-12-16T17:37:34-06:00</t>
        </is>
      </c>
      <c r="X363">
        <f>IFERROR(1/COUNTIF($I:$I,@$I:$I), 0)</f>
        <v/>
      </c>
    </row>
    <row r="364">
      <c r="A364">
        <f>HYPERLINK("https://drivetime.tpondemand.com/entity/143151", "143151")</f>
        <v/>
      </c>
      <c r="B364" t="inlineStr">
        <is>
          <t>[BC NEXT] My Profile - Set up Person subgraph</t>
        </is>
      </c>
      <c r="C364" t="inlineStr">
        <is>
          <t>UserStory</t>
        </is>
      </c>
      <c r="D364" t="inlineStr">
        <is>
          <t>Servicing: BC Next</t>
        </is>
      </c>
      <c r="E364" t="inlineStr">
        <is>
          <t>BC Digital Wyvern</t>
        </is>
      </c>
      <c r="F364" t="inlineStr">
        <is>
          <t>49</t>
        </is>
      </c>
      <c r="G364" t="inlineStr">
        <is>
          <t>Sri Charan Simha Velpur</t>
        </is>
      </c>
      <c r="H364" t="inlineStr">
        <is>
          <t>[BC NEXT] Phase 3: Account Settings/My Profile</t>
        </is>
      </c>
      <c r="I364" t="n">
        <v>4</v>
      </c>
      <c r="J364" t="n">
        <v>19.19505787037037</v>
      </c>
      <c r="K364">
        <f>HYPERLINK("https://drivetime.tpondemand.com/entity/145775", "145775")</f>
        <v/>
      </c>
      <c r="L364" t="inlineStr"/>
      <c r="M364" t="n">
        <v>3</v>
      </c>
      <c r="N364" t="n">
        <v>127354</v>
      </c>
      <c r="O364" t="inlineStr">
        <is>
          <t>Done</t>
        </is>
      </c>
      <c r="P364" t="n">
        <v>0</v>
      </c>
      <c r="Q364" t="inlineStr">
        <is>
          <t>Wyvern 36</t>
        </is>
      </c>
      <c r="R364" t="inlineStr">
        <is>
          <t>2022-12-01</t>
        </is>
      </c>
      <c r="S364" t="inlineStr">
        <is>
          <t>2022-12-14</t>
        </is>
      </c>
      <c r="T364" t="inlineStr">
        <is>
          <t>Wyvern 36 : 2022-12-01 - 2022-12-14</t>
        </is>
      </c>
      <c r="U364" t="inlineStr">
        <is>
          <t>2022-12-06T00:00:00-06:00</t>
        </is>
      </c>
      <c r="V364" t="inlineStr">
        <is>
          <t>2022-12-02T00:00:00-06:00</t>
        </is>
      </c>
      <c r="W364" t="inlineStr">
        <is>
          <t>2022-12-06T14:24:10-06:00</t>
        </is>
      </c>
      <c r="X364">
        <f>IFERROR(1/COUNTIF($I:$I,@$I:$I), 0)</f>
        <v/>
      </c>
    </row>
    <row r="365">
      <c r="A365">
        <f>HYPERLINK("https://drivetime.tpondemand.com/entity/143768", "143768")</f>
        <v/>
      </c>
      <c r="B365" t="inlineStr">
        <is>
          <t>[PCO] Move &amp; stich selfServiceCustomer schema into BC Accounts Subgraph</t>
        </is>
      </c>
      <c r="C365" t="inlineStr">
        <is>
          <t>UserStory</t>
        </is>
      </c>
      <c r="D365" t="inlineStr">
        <is>
          <t>Servicing: BC Next</t>
        </is>
      </c>
      <c r="E365" t="inlineStr">
        <is>
          <t>BC Digital Wyvern</t>
        </is>
      </c>
      <c r="F365" t="inlineStr"/>
      <c r="G365" t="inlineStr">
        <is>
          <t>Sri Charan Simha Velpur</t>
        </is>
      </c>
      <c r="H365" t="inlineStr">
        <is>
          <t>[PLATFORM][Phase 1] Expose CO accounts to BC Next</t>
        </is>
      </c>
      <c r="I365" t="inlineStr"/>
      <c r="J365" t="n">
        <v>34.89607011378357</v>
      </c>
      <c r="K365" t="inlineStr"/>
      <c r="L365" t="inlineStr"/>
      <c r="M365" t="n">
        <v>3</v>
      </c>
      <c r="N365" t="n">
        <v>127354</v>
      </c>
      <c r="O365" t="inlineStr">
        <is>
          <t>UAT</t>
        </is>
      </c>
      <c r="P365" t="n">
        <v>0</v>
      </c>
      <c r="Q365" t="inlineStr">
        <is>
          <t>Wyvern 36</t>
        </is>
      </c>
      <c r="R365" t="inlineStr">
        <is>
          <t>2022-12-01</t>
        </is>
      </c>
      <c r="S365" t="inlineStr">
        <is>
          <t>2022-12-14</t>
        </is>
      </c>
      <c r="T365" t="inlineStr">
        <is>
          <t>Wyvern 36 : 2022-12-01 - 2022-12-14</t>
        </is>
      </c>
      <c r="U365" t="inlineStr"/>
      <c r="V365" t="inlineStr">
        <is>
          <t>2022-12-14T00:00:00-06:00</t>
        </is>
      </c>
      <c r="X365">
        <f>IFERROR(1/COUNTIF($I:$I,@$I:$I), 0)</f>
        <v/>
      </c>
    </row>
    <row r="366">
      <c r="A366">
        <f>HYPERLINK("https://drivetime.tpondemand.com/entity/144846", "144846")</f>
        <v/>
      </c>
      <c r="B366" t="inlineStr">
        <is>
          <t>[PCO] [DB] Expose Charge-off accounts data to BCNext Application</t>
        </is>
      </c>
      <c r="C366" t="inlineStr">
        <is>
          <t>UserStory</t>
        </is>
      </c>
      <c r="D366" t="inlineStr">
        <is>
          <t>Servicing: BC Next</t>
        </is>
      </c>
      <c r="E366" t="inlineStr">
        <is>
          <t>BC Digital Wyvern</t>
        </is>
      </c>
      <c r="F366" t="inlineStr"/>
      <c r="G366" t="inlineStr">
        <is>
          <t>Isaac Ng</t>
        </is>
      </c>
      <c r="H366" t="inlineStr">
        <is>
          <t>[PLATFORM][Phase 1] Expose CO accounts to BC Next</t>
        </is>
      </c>
      <c r="I366" t="inlineStr"/>
      <c r="J366" t="n">
        <v>14.92105853970949</v>
      </c>
      <c r="K366" t="inlineStr"/>
      <c r="L366" t="inlineStr"/>
      <c r="M366" t="n">
        <v>3</v>
      </c>
      <c r="N366" t="inlineStr"/>
      <c r="O366" t="inlineStr">
        <is>
          <t>In Progress</t>
        </is>
      </c>
      <c r="P366" t="n">
        <v>0</v>
      </c>
      <c r="Q366" t="inlineStr"/>
      <c r="R366" t="inlineStr"/>
      <c r="S366" t="inlineStr"/>
      <c r="T366" t="inlineStr"/>
      <c r="U366" t="inlineStr"/>
      <c r="V366" t="inlineStr"/>
      <c r="X366">
        <f>IFERROR(1/COUNTIF($I:$I,@$I:$I), 0)</f>
        <v/>
      </c>
    </row>
    <row r="367">
      <c r="A367">
        <f>HYPERLINK("https://drivetime.tpondemand.com/entity/145175", "145175")</f>
        <v/>
      </c>
      <c r="B367" t="inlineStr">
        <is>
          <t>Create Feature Flag on BC Accounts Subgraph</t>
        </is>
      </c>
      <c r="C367" t="inlineStr">
        <is>
          <t>UserStory</t>
        </is>
      </c>
      <c r="D367" t="inlineStr">
        <is>
          <t>Servicing: BC Next</t>
        </is>
      </c>
      <c r="E367" t="inlineStr">
        <is>
          <t>BC Digital Wyvern</t>
        </is>
      </c>
      <c r="F367" t="inlineStr"/>
      <c r="G367" t="inlineStr">
        <is>
          <t>Sri Charan Simha Velpur</t>
        </is>
      </c>
      <c r="H367" t="inlineStr">
        <is>
          <t>[PLATFORM][Phase 1] Expose CO accounts to BC Next</t>
        </is>
      </c>
      <c r="I367" t="inlineStr"/>
      <c r="J367" t="n">
        <v>24.88299141007986</v>
      </c>
      <c r="K367" t="inlineStr"/>
      <c r="L367" t="inlineStr"/>
      <c r="M367" t="n">
        <v>3</v>
      </c>
      <c r="N367" t="n">
        <v>127354</v>
      </c>
      <c r="O367" t="inlineStr">
        <is>
          <t>UAT</t>
        </is>
      </c>
      <c r="P367" t="n">
        <v>0</v>
      </c>
      <c r="Q367" t="inlineStr">
        <is>
          <t>Wyvern 36</t>
        </is>
      </c>
      <c r="R367" t="inlineStr">
        <is>
          <t>2022-12-01</t>
        </is>
      </c>
      <c r="S367" t="inlineStr">
        <is>
          <t>2022-12-14</t>
        </is>
      </c>
      <c r="T367" t="inlineStr">
        <is>
          <t>Wyvern 36 : 2022-12-01 - 2022-12-14</t>
        </is>
      </c>
      <c r="U367" t="inlineStr"/>
      <c r="V367" t="inlineStr">
        <is>
          <t>2022-12-21T00:00:00-06:00</t>
        </is>
      </c>
      <c r="X367">
        <f>IFERROR(1/COUNTIF($I:$I,@$I:$I), 0)</f>
        <v/>
      </c>
    </row>
    <row r="368">
      <c r="A368">
        <f>HYPERLINK("https://drivetime.tpondemand.com/entity/126012", "126012")</f>
        <v/>
      </c>
      <c r="B368" t="inlineStr">
        <is>
          <t>[FEB RC][BC NEXT][OBSERVATIONS][1] Android/iOS app compatibility communication</t>
        </is>
      </c>
      <c r="C368" t="inlineStr">
        <is>
          <t>UserStory</t>
        </is>
      </c>
      <c r="D368" t="inlineStr">
        <is>
          <t>Servicing: BC Next</t>
        </is>
      </c>
      <c r="E368" t="inlineStr">
        <is>
          <t>BC Digital Wyvern</t>
        </is>
      </c>
      <c r="F368" t="inlineStr">
        <is>
          <t>06</t>
        </is>
      </c>
      <c r="G368" t="inlineStr">
        <is>
          <t>Jajati Routray</t>
        </is>
      </c>
      <c r="H368" t="inlineStr">
        <is>
          <t>[BC NEXT] Regression Testing &amp; App Bug Fixes</t>
        </is>
      </c>
      <c r="I368" t="n">
        <v>2</v>
      </c>
      <c r="J368" t="n">
        <v>14.9816087962963</v>
      </c>
      <c r="K368">
        <f>HYPERLINK("https://drivetime.tpondemand.com/entity/127099", "127099")</f>
        <v/>
      </c>
      <c r="L368" t="inlineStr"/>
      <c r="M368" t="n">
        <v>2</v>
      </c>
      <c r="N368" t="n">
        <v>126668</v>
      </c>
      <c r="O368" t="inlineStr">
        <is>
          <t>Done</t>
        </is>
      </c>
      <c r="P368" t="n">
        <v>0</v>
      </c>
      <c r="Q368" t="inlineStr">
        <is>
          <t>Wyvern 14</t>
        </is>
      </c>
      <c r="R368" t="inlineStr">
        <is>
          <t>2022-01-20</t>
        </is>
      </c>
      <c r="S368" t="inlineStr">
        <is>
          <t>2022-02-02</t>
        </is>
      </c>
      <c r="T368" t="inlineStr">
        <is>
          <t>Wyvern 14 : 2022-01-20 - 2022-02-02</t>
        </is>
      </c>
      <c r="U368" t="inlineStr">
        <is>
          <t>2022-02-11T00:00:00-06:00</t>
        </is>
      </c>
      <c r="V368" t="inlineStr">
        <is>
          <t>2022-02-09T00:00:00-06:00</t>
        </is>
      </c>
      <c r="W368" t="inlineStr">
        <is>
          <t>2022-02-11T10:01:59-06:00</t>
        </is>
      </c>
      <c r="X368">
        <f>IFERROR(1/COUNTIF($I:$I,@$I:$I), 0)</f>
        <v/>
      </c>
    </row>
    <row r="369">
      <c r="A369">
        <f>HYPERLINK("https://drivetime.tpondemand.com/entity/127375", "127375")</f>
        <v/>
      </c>
      <c r="B369" t="inlineStr">
        <is>
          <t>[RC MARCH][BC NEXT] Ensure AnalyticsSessionID and AnalyticsUserid remains static throughout a users session for all events</t>
        </is>
      </c>
      <c r="C369" t="inlineStr">
        <is>
          <t>UserStory</t>
        </is>
      </c>
      <c r="D369" t="inlineStr">
        <is>
          <t>Servicing: BC Next</t>
        </is>
      </c>
      <c r="E369" t="inlineStr">
        <is>
          <t>BC Digital Wyvern</t>
        </is>
      </c>
      <c r="F369" t="inlineStr">
        <is>
          <t>07</t>
        </is>
      </c>
      <c r="G369" t="inlineStr">
        <is>
          <t>Jajati Routray and Sri Charan Simha Velpur</t>
        </is>
      </c>
      <c r="H369" t="inlineStr">
        <is>
          <t>[BC NEXT] Regression Testing &amp; App Bug Fixes</t>
        </is>
      </c>
      <c r="I369" t="n">
        <v>3</v>
      </c>
      <c r="J369" t="n">
        <v>6.998263888888888</v>
      </c>
      <c r="K369">
        <f>HYPERLINK("https://drivetime.tpondemand.com/entity/127378", "127378")</f>
        <v/>
      </c>
      <c r="L369" t="inlineStr"/>
      <c r="M369" t="n">
        <v>2</v>
      </c>
      <c r="N369" t="n">
        <v>127333</v>
      </c>
      <c r="O369" t="inlineStr">
        <is>
          <t>Done</t>
        </is>
      </c>
      <c r="P369" t="n">
        <v>1</v>
      </c>
      <c r="Q369" t="inlineStr">
        <is>
          <t>Wyvern 15</t>
        </is>
      </c>
      <c r="R369" t="inlineStr">
        <is>
          <t>2022-02-10</t>
        </is>
      </c>
      <c r="S369" t="inlineStr">
        <is>
          <t>2022-02-23</t>
        </is>
      </c>
      <c r="T369" t="inlineStr">
        <is>
          <t>Wyvern 15 : 2022-02-10 - 2022-02-23</t>
        </is>
      </c>
      <c r="U369" t="inlineStr">
        <is>
          <t>2022-02-18T00:00:00-06:00</t>
        </is>
      </c>
      <c r="V369" t="inlineStr">
        <is>
          <t>2022-02-15T00:00:00-06:00</t>
        </is>
      </c>
      <c r="W369" t="inlineStr">
        <is>
          <t>2022-02-18T10:02:06-06:00</t>
        </is>
      </c>
      <c r="X369">
        <f>IFERROR(1/COUNTIF($I:$I,@$I:$I), 0)</f>
        <v/>
      </c>
    </row>
    <row r="370">
      <c r="A370">
        <f>HYPERLINK("https://drivetime.tpondemand.com/entity/128121", "128121")</f>
        <v/>
      </c>
      <c r="B370" t="inlineStr">
        <is>
          <t>Unlock Profile</t>
        </is>
      </c>
      <c r="C370" t="inlineStr">
        <is>
          <t>UserStory</t>
        </is>
      </c>
      <c r="D370" t="inlineStr">
        <is>
          <t>Servicing: BC Next</t>
        </is>
      </c>
      <c r="E370" t="inlineStr">
        <is>
          <t>BC Digital Wyvern</t>
        </is>
      </c>
      <c r="F370" t="inlineStr">
        <is>
          <t>19</t>
        </is>
      </c>
      <c r="G370" t="inlineStr">
        <is>
          <t>Sri Charan Simha Velpur</t>
        </is>
      </c>
      <c r="H370" t="inlineStr">
        <is>
          <t>[BC NEXT] Impersonation</t>
        </is>
      </c>
      <c r="I370" t="n">
        <v>3</v>
      </c>
      <c r="J370" t="n">
        <v>15.27792824074074</v>
      </c>
      <c r="K370">
        <f>HYPERLINK("https://drivetime.tpondemand.com/entity/131894", "131894")</f>
        <v/>
      </c>
      <c r="L370" t="inlineStr"/>
      <c r="M370" t="n">
        <v>2</v>
      </c>
      <c r="N370" t="n">
        <v>127339</v>
      </c>
      <c r="O370" t="inlineStr">
        <is>
          <t>Done</t>
        </is>
      </c>
      <c r="P370" t="n">
        <v>1</v>
      </c>
      <c r="Q370" t="inlineStr">
        <is>
          <t>Wyvern 21</t>
        </is>
      </c>
      <c r="R370" t="inlineStr">
        <is>
          <t>2022-05-05</t>
        </is>
      </c>
      <c r="S370" t="inlineStr">
        <is>
          <t>2022-05-18</t>
        </is>
      </c>
      <c r="T370" t="inlineStr">
        <is>
          <t>Wyvern 21 : 2022-05-05 - 2022-05-18</t>
        </is>
      </c>
      <c r="U370" t="inlineStr">
        <is>
          <t>2022-05-12T00:00:00-05:00</t>
        </is>
      </c>
      <c r="V370" t="inlineStr">
        <is>
          <t>2022-05-09T00:00:00-05:00</t>
        </is>
      </c>
      <c r="W370" t="inlineStr">
        <is>
          <t>2022-05-12T17:22:14-05:00</t>
        </is>
      </c>
      <c r="X370">
        <f>IFERROR(1/COUNTIF($I:$I,@$I:$I), 0)</f>
        <v/>
      </c>
    </row>
    <row r="371">
      <c r="A371">
        <f>HYPERLINK("https://drivetime.tpondemand.com/entity/128122", "128122")</f>
        <v/>
      </c>
      <c r="B371" t="inlineStr">
        <is>
          <t>Bio Auth Status</t>
        </is>
      </c>
      <c r="C371" t="inlineStr">
        <is>
          <t>UserStory</t>
        </is>
      </c>
      <c r="D371" t="inlineStr">
        <is>
          <t>Servicing: BC Next</t>
        </is>
      </c>
      <c r="E371" t="inlineStr">
        <is>
          <t>BC Digital Wyvern</t>
        </is>
      </c>
      <c r="F371" t="inlineStr">
        <is>
          <t>21</t>
        </is>
      </c>
      <c r="G371" t="inlineStr">
        <is>
          <t>Jonathan Escamilla</t>
        </is>
      </c>
      <c r="H371" t="inlineStr">
        <is>
          <t>[BC NEXT] Impersonation</t>
        </is>
      </c>
      <c r="I371" t="inlineStr"/>
      <c r="J371" t="n">
        <v>24.15686342592592</v>
      </c>
      <c r="K371">
        <f>HYPERLINK("https://drivetime.tpondemand.com/entity/132267", "132267")</f>
        <v/>
      </c>
      <c r="L371" t="inlineStr"/>
      <c r="M371" t="n">
        <v>2</v>
      </c>
      <c r="N371" t="n">
        <v>127340</v>
      </c>
      <c r="O371" t="inlineStr">
        <is>
          <t>Done</t>
        </is>
      </c>
      <c r="P371" t="n">
        <v>3</v>
      </c>
      <c r="Q371" t="inlineStr">
        <is>
          <t>Wyvern 22</t>
        </is>
      </c>
      <c r="R371" t="inlineStr">
        <is>
          <t>2022-05-19</t>
        </is>
      </c>
      <c r="S371" t="inlineStr">
        <is>
          <t>2022-06-01</t>
        </is>
      </c>
      <c r="T371" t="inlineStr">
        <is>
          <t>Wyvern 22 : 2022-05-19 - 2022-06-01</t>
        </is>
      </c>
      <c r="U371" t="inlineStr"/>
      <c r="V371" t="inlineStr">
        <is>
          <t>2022-05-13T00:00:00-05:00</t>
        </is>
      </c>
      <c r="W371" t="inlineStr">
        <is>
          <t>2022-05-26T13:14:36-05:00</t>
        </is>
      </c>
      <c r="X371">
        <f>IFERROR(1/COUNTIF($I:$I,@$I:$I), 0)</f>
        <v/>
      </c>
    </row>
    <row r="372">
      <c r="A372">
        <f>HYPERLINK("https://drivetime.tpondemand.com/entity/130381", "130381")</f>
        <v/>
      </c>
      <c r="B372" t="inlineStr">
        <is>
          <t>Add/Fix correlation ID in BFF server logs</t>
        </is>
      </c>
      <c r="C372" t="inlineStr">
        <is>
          <t>UserStory</t>
        </is>
      </c>
      <c r="D372" t="inlineStr">
        <is>
          <t>Servicing: BC Next</t>
        </is>
      </c>
      <c r="E372" t="inlineStr">
        <is>
          <t>BC Digital Wyvern</t>
        </is>
      </c>
      <c r="F372" t="inlineStr">
        <is>
          <t>22</t>
        </is>
      </c>
      <c r="G372" t="inlineStr">
        <is>
          <t>Venkatmahesh Polur</t>
        </is>
      </c>
      <c r="H372" t="inlineStr">
        <is>
          <t>[BC NEXT] Impersonation</t>
        </is>
      </c>
      <c r="I372" t="n">
        <v>2</v>
      </c>
      <c r="J372" t="n">
        <v>15.04042824074074</v>
      </c>
      <c r="K372">
        <f>HYPERLINK("https://drivetime.tpondemand.com/entity/133152", "133152")</f>
        <v/>
      </c>
      <c r="L372" t="inlineStr"/>
      <c r="M372" t="n">
        <v>2</v>
      </c>
      <c r="N372" t="n">
        <v>127340</v>
      </c>
      <c r="O372" t="inlineStr">
        <is>
          <t>Done</t>
        </is>
      </c>
      <c r="P372" t="n">
        <v>0</v>
      </c>
      <c r="Q372" t="inlineStr">
        <is>
          <t>Wyvern 22</t>
        </is>
      </c>
      <c r="R372" t="inlineStr">
        <is>
          <t>2022-05-19</t>
        </is>
      </c>
      <c r="S372" t="inlineStr">
        <is>
          <t>2022-06-01</t>
        </is>
      </c>
      <c r="T372" t="inlineStr">
        <is>
          <t>Wyvern 22 : 2022-05-19 - 2022-06-01</t>
        </is>
      </c>
      <c r="U372" t="inlineStr">
        <is>
          <t>2022-06-02T00:00:00-05:00</t>
        </is>
      </c>
      <c r="V372" t="inlineStr">
        <is>
          <t>2022-05-31T00:00:00-05:00</t>
        </is>
      </c>
      <c r="W372" t="inlineStr">
        <is>
          <t>2022-06-02T12:16:34-05:00</t>
        </is>
      </c>
      <c r="X372">
        <f>IFERROR(1/COUNTIF($I:$I,@$I:$I), 0)</f>
        <v/>
      </c>
    </row>
    <row r="373">
      <c r="A373">
        <f>HYPERLINK("https://drivetime.tpondemand.com/entity/130902", "130902")</f>
        <v/>
      </c>
      <c r="B373" t="inlineStr">
        <is>
          <t>Remove Verification Email for Admin Users</t>
        </is>
      </c>
      <c r="C373" t="inlineStr">
        <is>
          <t>UserStory</t>
        </is>
      </c>
      <c r="D373" t="inlineStr">
        <is>
          <t>Servicing: BC Next</t>
        </is>
      </c>
      <c r="E373" t="inlineStr">
        <is>
          <t>BC Digital Wyvern</t>
        </is>
      </c>
      <c r="F373" t="inlineStr">
        <is>
          <t>21</t>
        </is>
      </c>
      <c r="G373" t="inlineStr">
        <is>
          <t>Andrew Vu</t>
        </is>
      </c>
      <c r="H373" t="inlineStr">
        <is>
          <t>[BC NEXT] Research Seamless Login</t>
        </is>
      </c>
      <c r="I373" t="n">
        <v>2</v>
      </c>
      <c r="J373" t="n">
        <v>18.23364583333333</v>
      </c>
      <c r="K373">
        <f>HYPERLINK("https://drivetime.tpondemand.com/entity/132477", "132477")</f>
        <v/>
      </c>
      <c r="L373" t="inlineStr"/>
      <c r="M373" t="n">
        <v>2</v>
      </c>
      <c r="N373" t="n">
        <v>127340</v>
      </c>
      <c r="O373" t="inlineStr">
        <is>
          <t>Done</t>
        </is>
      </c>
      <c r="P373" t="n">
        <v>0</v>
      </c>
      <c r="Q373" t="inlineStr">
        <is>
          <t>Wyvern 22</t>
        </is>
      </c>
      <c r="R373" t="inlineStr">
        <is>
          <t>2022-05-19</t>
        </is>
      </c>
      <c r="S373" t="inlineStr">
        <is>
          <t>2022-06-01</t>
        </is>
      </c>
      <c r="T373" t="inlineStr">
        <is>
          <t>Wyvern 22 : 2022-05-19 - 2022-06-01</t>
        </is>
      </c>
      <c r="U373" t="inlineStr">
        <is>
          <t>2022-05-27T00:00:00-05:00</t>
        </is>
      </c>
      <c r="V373" t="inlineStr">
        <is>
          <t>2022-05-25T00:00:00-05:00</t>
        </is>
      </c>
      <c r="W373" t="inlineStr">
        <is>
          <t>2022-05-27T15:43:01-05:00</t>
        </is>
      </c>
      <c r="X373">
        <f>IFERROR(1/COUNTIF($I:$I,@$I:$I), 0)</f>
        <v/>
      </c>
    </row>
    <row r="374">
      <c r="A374">
        <f>HYPERLINK("https://drivetime.tpondemand.com/entity/130958", "130958")</f>
        <v/>
      </c>
      <c r="B374" t="inlineStr">
        <is>
          <t>Tech Debt - Add unit tests to pre-commit git hook &amp; Use .editorconfig to format .NET code</t>
        </is>
      </c>
      <c r="C374" t="inlineStr">
        <is>
          <t>UserStory</t>
        </is>
      </c>
      <c r="D374" t="inlineStr">
        <is>
          <t>Servicing: BC Next</t>
        </is>
      </c>
      <c r="E374" t="inlineStr">
        <is>
          <t>BC Digital Wyvern</t>
        </is>
      </c>
      <c r="F374" t="inlineStr">
        <is>
          <t>19</t>
        </is>
      </c>
      <c r="G374" t="inlineStr">
        <is>
          <t>Jajati Routray</t>
        </is>
      </c>
      <c r="H374" t="inlineStr">
        <is>
          <t>[BC NEXT] Impersonation</t>
        </is>
      </c>
      <c r="I374" t="n">
        <v>1</v>
      </c>
      <c r="J374" t="n">
        <v>9.143148148148148</v>
      </c>
      <c r="K374">
        <f>HYPERLINK("https://drivetime.tpondemand.com/entity/131728", "131728")</f>
        <v/>
      </c>
      <c r="L374" t="inlineStr"/>
      <c r="M374" t="n">
        <v>2</v>
      </c>
      <c r="N374" t="n">
        <v>127339</v>
      </c>
      <c r="O374" t="inlineStr">
        <is>
          <t>Done</t>
        </is>
      </c>
      <c r="P374" t="n">
        <v>0</v>
      </c>
      <c r="Q374" t="inlineStr">
        <is>
          <t>Wyvern 21</t>
        </is>
      </c>
      <c r="R374" t="inlineStr">
        <is>
          <t>2022-05-05</t>
        </is>
      </c>
      <c r="S374" t="inlineStr">
        <is>
          <t>2022-05-18</t>
        </is>
      </c>
      <c r="T374" t="inlineStr">
        <is>
          <t>Wyvern 21 : 2022-05-05 - 2022-05-18</t>
        </is>
      </c>
      <c r="U374" t="inlineStr">
        <is>
          <t>2022-05-11T00:00:00-05:00</t>
        </is>
      </c>
      <c r="V374" t="inlineStr">
        <is>
          <t>2022-05-10T00:00:00-05:00</t>
        </is>
      </c>
      <c r="W374" t="inlineStr">
        <is>
          <t>2022-05-11T12:56:26-05:00</t>
        </is>
      </c>
      <c r="X374">
        <f>IFERROR(1/COUNTIF($I:$I,@$I:$I), 0)</f>
        <v/>
      </c>
    </row>
    <row r="375">
      <c r="A375">
        <f>HYPERLINK("https://drivetime.tpondemand.com/entity/131794", "131794")</f>
        <v/>
      </c>
      <c r="B375" t="inlineStr">
        <is>
          <t>Log Out</t>
        </is>
      </c>
      <c r="C375" t="inlineStr">
        <is>
          <t>UserStory</t>
        </is>
      </c>
      <c r="D375" t="inlineStr">
        <is>
          <t>Servicing: BC Next</t>
        </is>
      </c>
      <c r="E375" t="inlineStr">
        <is>
          <t>BC Digital Wyvern</t>
        </is>
      </c>
      <c r="F375" t="inlineStr">
        <is>
          <t>21</t>
        </is>
      </c>
      <c r="G375" t="inlineStr">
        <is>
          <t>Isaac Ng</t>
        </is>
      </c>
      <c r="H375" t="inlineStr">
        <is>
          <t>[BC NEXT] Impersonation</t>
        </is>
      </c>
      <c r="I375" t="n">
        <v>1</v>
      </c>
      <c r="J375" t="n">
        <v>11.00586805555555</v>
      </c>
      <c r="K375">
        <f>HYPERLINK("https://drivetime.tpondemand.com/entity/132477", "132477")</f>
        <v/>
      </c>
      <c r="L375" t="inlineStr"/>
      <c r="M375" t="n">
        <v>2</v>
      </c>
      <c r="N375" t="n">
        <v>127340</v>
      </c>
      <c r="O375" t="inlineStr">
        <is>
          <t>Done</t>
        </is>
      </c>
      <c r="P375" t="n">
        <v>0</v>
      </c>
      <c r="Q375" t="inlineStr">
        <is>
          <t>Wyvern 22</t>
        </is>
      </c>
      <c r="R375" t="inlineStr">
        <is>
          <t>2022-05-19</t>
        </is>
      </c>
      <c r="S375" t="inlineStr">
        <is>
          <t>2022-06-01</t>
        </is>
      </c>
      <c r="T375" t="inlineStr">
        <is>
          <t>Wyvern 22 : 2022-05-19 - 2022-06-01</t>
        </is>
      </c>
      <c r="U375" t="inlineStr">
        <is>
          <t>2022-05-27T00:00:00-05:00</t>
        </is>
      </c>
      <c r="V375" t="inlineStr">
        <is>
          <t>2022-05-26T00:00:00-05:00</t>
        </is>
      </c>
      <c r="W375" t="inlineStr">
        <is>
          <t>2022-05-27T15:42:56-05:00</t>
        </is>
      </c>
      <c r="X375">
        <f>IFERROR(1/COUNTIF($I:$I,@$I:$I), 0)</f>
        <v/>
      </c>
    </row>
    <row r="376">
      <c r="A376">
        <f>HYPERLINK("https://drivetime.tpondemand.com/entity/132842", "132842")</f>
        <v/>
      </c>
      <c r="B376" t="inlineStr">
        <is>
          <t>Assign Admin or Customer Service roles</t>
        </is>
      </c>
      <c r="C376" t="inlineStr">
        <is>
          <t>UserStory</t>
        </is>
      </c>
      <c r="D376" t="inlineStr">
        <is>
          <t>Servicing: BC Next</t>
        </is>
      </c>
      <c r="E376" t="inlineStr">
        <is>
          <t>BC Digital Wyvern</t>
        </is>
      </c>
      <c r="F376" t="inlineStr">
        <is>
          <t>23</t>
        </is>
      </c>
      <c r="G376" t="inlineStr">
        <is>
          <t>Andrew Vu</t>
        </is>
      </c>
      <c r="H376" t="inlineStr">
        <is>
          <t>[BC NEXT] Impersonation</t>
        </is>
      </c>
      <c r="I376" t="n">
        <v>1</v>
      </c>
      <c r="J376" t="n">
        <v>6.053611111111111</v>
      </c>
      <c r="K376">
        <f>HYPERLINK("https://drivetime.tpondemand.com/entity/133366", "133366")</f>
        <v/>
      </c>
      <c r="L376" t="inlineStr"/>
      <c r="M376" t="n">
        <v>2</v>
      </c>
      <c r="N376" t="n">
        <v>127341</v>
      </c>
      <c r="O376" t="inlineStr">
        <is>
          <t>Done</t>
        </is>
      </c>
      <c r="P376" t="n">
        <v>1</v>
      </c>
      <c r="Q376" t="inlineStr">
        <is>
          <t>Wyvern 23</t>
        </is>
      </c>
      <c r="R376" t="inlineStr">
        <is>
          <t>2022-06-02</t>
        </is>
      </c>
      <c r="S376" t="inlineStr">
        <is>
          <t>2022-06-15</t>
        </is>
      </c>
      <c r="T376" t="inlineStr">
        <is>
          <t>Wyvern 23 : 2022-06-02 - 2022-06-15</t>
        </is>
      </c>
      <c r="U376" t="inlineStr">
        <is>
          <t>2022-06-07T00:00:00-05:00</t>
        </is>
      </c>
      <c r="V376" t="inlineStr">
        <is>
          <t>2022-06-06T00:00:00-05:00</t>
        </is>
      </c>
      <c r="W376" t="inlineStr">
        <is>
          <t>2022-06-07T12:53:06-05:00</t>
        </is>
      </c>
      <c r="X376">
        <f>IFERROR(1/COUNTIF($I:$I,@$I:$I), 0)</f>
        <v/>
      </c>
    </row>
    <row r="377">
      <c r="A377">
        <f>HYPERLINK("https://drivetime.tpondemand.com/entity/132975", "132975")</f>
        <v/>
      </c>
      <c r="B377" t="inlineStr">
        <is>
          <t>Fix Admins impersonate users after signing up</t>
        </is>
      </c>
      <c r="C377" t="inlineStr">
        <is>
          <t>UserStory</t>
        </is>
      </c>
      <c r="D377" t="inlineStr">
        <is>
          <t>Servicing: BC Next</t>
        </is>
      </c>
      <c r="E377" t="inlineStr">
        <is>
          <t>BC Digital Wyvern</t>
        </is>
      </c>
      <c r="F377" t="inlineStr">
        <is>
          <t>23</t>
        </is>
      </c>
      <c r="G377" t="inlineStr">
        <is>
          <t>Isaac Ng</t>
        </is>
      </c>
      <c r="H377" t="inlineStr">
        <is>
          <t>[BC NEXT] Impersonation</t>
        </is>
      </c>
      <c r="I377" t="n">
        <v>1</v>
      </c>
      <c r="J377" t="n">
        <v>6.849155092592592</v>
      </c>
      <c r="K377">
        <f>HYPERLINK("https://drivetime.tpondemand.com/entity/133366", "133366")</f>
        <v/>
      </c>
      <c r="L377" t="inlineStr"/>
      <c r="M377" t="n">
        <v>2</v>
      </c>
      <c r="N377" t="n">
        <v>127341</v>
      </c>
      <c r="O377" t="inlineStr">
        <is>
          <t>Done</t>
        </is>
      </c>
      <c r="P377" t="n">
        <v>0</v>
      </c>
      <c r="Q377" t="inlineStr">
        <is>
          <t>Wyvern 23</t>
        </is>
      </c>
      <c r="R377" t="inlineStr">
        <is>
          <t>2022-06-02</t>
        </is>
      </c>
      <c r="S377" t="inlineStr">
        <is>
          <t>2022-06-15</t>
        </is>
      </c>
      <c r="T377" t="inlineStr">
        <is>
          <t>Wyvern 23 : 2022-06-02 - 2022-06-15</t>
        </is>
      </c>
      <c r="U377" t="inlineStr">
        <is>
          <t>2022-06-07T00:00:00-05:00</t>
        </is>
      </c>
      <c r="V377" t="inlineStr">
        <is>
          <t>2022-06-06T00:00:00-05:00</t>
        </is>
      </c>
      <c r="W377" t="inlineStr">
        <is>
          <t>2022-06-07T12:53:01-05:00</t>
        </is>
      </c>
      <c r="X377">
        <f>IFERROR(1/COUNTIF($I:$I,@$I:$I), 0)</f>
        <v/>
      </c>
    </row>
    <row r="378">
      <c r="A378">
        <f>HYPERLINK("https://drivetime.tpondemand.com/entity/133307", "133307")</f>
        <v/>
      </c>
      <c r="B378" t="inlineStr">
        <is>
          <t>Address UI and Analytic Bug Fixes</t>
        </is>
      </c>
      <c r="C378" t="inlineStr">
        <is>
          <t>UserStory</t>
        </is>
      </c>
      <c r="D378" t="inlineStr">
        <is>
          <t>Servicing: BC Next</t>
        </is>
      </c>
      <c r="E378" t="inlineStr">
        <is>
          <t>BC Digital Wyvern</t>
        </is>
      </c>
      <c r="F378" t="inlineStr">
        <is>
          <t>23</t>
        </is>
      </c>
      <c r="G378" t="inlineStr">
        <is>
          <t>Jonathan Escamilla and Andrew Vu</t>
        </is>
      </c>
      <c r="H378" t="inlineStr">
        <is>
          <t>[BC NEXT] Impersonation</t>
        </is>
      </c>
      <c r="I378" t="n">
        <v>1</v>
      </c>
      <c r="J378" t="n">
        <v>3.945011574074074</v>
      </c>
      <c r="K378">
        <f>HYPERLINK("https://drivetime.tpondemand.com/entity/133366", "133366")</f>
        <v/>
      </c>
      <c r="L378" t="inlineStr"/>
      <c r="M378" t="n">
        <v>2</v>
      </c>
      <c r="N378" t="n">
        <v>127341</v>
      </c>
      <c r="O378" t="inlineStr">
        <is>
          <t>Done</t>
        </is>
      </c>
      <c r="P378" t="n">
        <v>4</v>
      </c>
      <c r="Q378" t="inlineStr">
        <is>
          <t>Wyvern 23</t>
        </is>
      </c>
      <c r="R378" t="inlineStr">
        <is>
          <t>2022-06-02</t>
        </is>
      </c>
      <c r="S378" t="inlineStr">
        <is>
          <t>2022-06-15</t>
        </is>
      </c>
      <c r="T378" t="inlineStr">
        <is>
          <t>Wyvern 23 : 2022-06-02 - 2022-06-15</t>
        </is>
      </c>
      <c r="U378" t="inlineStr">
        <is>
          <t>2022-06-07T00:00:00-05:00</t>
        </is>
      </c>
      <c r="V378" t="inlineStr">
        <is>
          <t>2022-06-06T00:00:00-05:00</t>
        </is>
      </c>
      <c r="W378" t="inlineStr">
        <is>
          <t>2022-06-07T12:52:53-05:00</t>
        </is>
      </c>
      <c r="X378">
        <f>IFERROR(1/COUNTIF($I:$I,@$I:$I), 0)</f>
        <v/>
      </c>
    </row>
    <row r="379">
      <c r="A379">
        <f>HYPERLINK("https://drivetime.tpondemand.com/entity/133817", "133817")</f>
        <v/>
      </c>
      <c r="B379" t="inlineStr">
        <is>
          <t>Redirect registration emails</t>
        </is>
      </c>
      <c r="C379" t="inlineStr">
        <is>
          <t>UserStory</t>
        </is>
      </c>
      <c r="D379" t="inlineStr">
        <is>
          <t>Servicing: BC Next</t>
        </is>
      </c>
      <c r="E379" t="inlineStr">
        <is>
          <t>BC Digital Wyvern</t>
        </is>
      </c>
      <c r="F379" t="inlineStr">
        <is>
          <t>33</t>
        </is>
      </c>
      <c r="G379" t="inlineStr">
        <is>
          <t>Jajati Routray</t>
        </is>
      </c>
      <c r="H379" t="inlineStr">
        <is>
          <t>Redirect registration emails triggered from our Dev/Test environment</t>
        </is>
      </c>
      <c r="I379" t="n">
        <v>0</v>
      </c>
      <c r="J379" t="n">
        <v>0.1618287037037037</v>
      </c>
      <c r="K379" t="inlineStr"/>
      <c r="L379" t="inlineStr"/>
      <c r="M379" t="n">
        <v>2</v>
      </c>
      <c r="N379" t="n">
        <v>127346</v>
      </c>
      <c r="O379" t="inlineStr">
        <is>
          <t>Done</t>
        </is>
      </c>
      <c r="P379" t="n">
        <v>0</v>
      </c>
      <c r="Q379" t="inlineStr">
        <is>
          <t>Wyvern 28</t>
        </is>
      </c>
      <c r="R379" t="inlineStr">
        <is>
          <t>2022-08-11</t>
        </is>
      </c>
      <c r="S379" t="inlineStr">
        <is>
          <t>2022-08-24</t>
        </is>
      </c>
      <c r="T379" t="inlineStr">
        <is>
          <t>Wyvern 28 : 2022-08-11 - 2022-08-24</t>
        </is>
      </c>
      <c r="U379" t="inlineStr">
        <is>
          <t>2022-08-16T00:00:00-05:00</t>
        </is>
      </c>
      <c r="V379" t="inlineStr">
        <is>
          <t>2022-08-16T00:00:00-05:00</t>
        </is>
      </c>
      <c r="W379" t="inlineStr">
        <is>
          <t>2022-08-16T15:37:35-05:00</t>
        </is>
      </c>
      <c r="X379">
        <f>IFERROR(1/COUNTIF($I:$I,@$I:$I), 0)</f>
        <v/>
      </c>
    </row>
    <row r="380">
      <c r="A380">
        <f>HYPERLINK("https://drivetime.tpondemand.com/entity/135607", "135607")</f>
        <v/>
      </c>
      <c r="B380" t="inlineStr">
        <is>
          <t>[EXPOSE MOD STATUS] Add missing fields into Collection API to get Mod Data (XS)</t>
        </is>
      </c>
      <c r="C380" t="inlineStr">
        <is>
          <t>UserStory</t>
        </is>
      </c>
      <c r="D380" t="inlineStr">
        <is>
          <t>Servicing: BC Next</t>
        </is>
      </c>
      <c r="E380" t="inlineStr">
        <is>
          <t>BC Digital Wyvern</t>
        </is>
      </c>
      <c r="F380" t="inlineStr">
        <is>
          <t>32</t>
        </is>
      </c>
      <c r="G380" t="inlineStr">
        <is>
          <t>Andrew Vu</t>
        </is>
      </c>
      <c r="H380" t="inlineStr">
        <is>
          <t>Expose Extension and Payment Frequency for BC Next to consume</t>
        </is>
      </c>
      <c r="I380" t="n">
        <v>3</v>
      </c>
      <c r="J380" t="n">
        <v>14.17571759259259</v>
      </c>
      <c r="K380">
        <f>HYPERLINK("https://drivetime.tpondemand.com/entity/137479", "137479")</f>
        <v/>
      </c>
      <c r="L380" t="inlineStr"/>
      <c r="M380" t="n">
        <v>2</v>
      </c>
      <c r="N380" t="n">
        <v>127345</v>
      </c>
      <c r="O380" t="inlineStr">
        <is>
          <t>Done</t>
        </is>
      </c>
      <c r="P380" t="n">
        <v>0</v>
      </c>
      <c r="Q380" t="inlineStr">
        <is>
          <t>Wyvern 27</t>
        </is>
      </c>
      <c r="R380" t="inlineStr">
        <is>
          <t>2022-07-28</t>
        </is>
      </c>
      <c r="S380" t="inlineStr">
        <is>
          <t>2022-08-10</t>
        </is>
      </c>
      <c r="T380" t="inlineStr">
        <is>
          <t>Wyvern 27 : 2022-07-28 - 2022-08-10</t>
        </is>
      </c>
      <c r="U380" t="inlineStr">
        <is>
          <t>2022-08-11T00:00:00-05:00</t>
        </is>
      </c>
      <c r="V380" t="inlineStr">
        <is>
          <t>2022-08-08T00:00:00-05:00</t>
        </is>
      </c>
      <c r="W380" t="inlineStr">
        <is>
          <t>2022-08-11T17:09:36-05:00</t>
        </is>
      </c>
      <c r="X380">
        <f>IFERROR(1/COUNTIF($I:$I,@$I:$I), 0)</f>
        <v/>
      </c>
    </row>
    <row r="381">
      <c r="A381">
        <f>HYPERLINK("https://drivetime.tpondemand.com/entity/135608", "135608")</f>
        <v/>
      </c>
      <c r="B381" t="inlineStr">
        <is>
          <t>[EXPOSE MOD STATUS] Spin up Hardships Subgraph and make it federation ready (XS)</t>
        </is>
      </c>
      <c r="C381" t="inlineStr">
        <is>
          <t>UserStory</t>
        </is>
      </c>
      <c r="D381" t="inlineStr">
        <is>
          <t>Servicing: BC Next</t>
        </is>
      </c>
      <c r="E381" t="inlineStr">
        <is>
          <t>BC Digital Wyvern</t>
        </is>
      </c>
      <c r="F381" t="inlineStr">
        <is>
          <t>33</t>
        </is>
      </c>
      <c r="G381" t="inlineStr">
        <is>
          <t>Sri Charan Simha Velpur</t>
        </is>
      </c>
      <c r="H381" t="inlineStr">
        <is>
          <t>Expose Extension and Payment Frequency for BC Next to consume</t>
        </is>
      </c>
      <c r="I381" t="n">
        <v>1</v>
      </c>
      <c r="J381" t="n">
        <v>21.14957175925926</v>
      </c>
      <c r="K381">
        <f>HYPERLINK("https://drivetime.tpondemand.com/entity/138042", "138042")</f>
        <v/>
      </c>
      <c r="L381" t="inlineStr"/>
      <c r="M381" t="n">
        <v>2</v>
      </c>
      <c r="N381" t="n">
        <v>127346</v>
      </c>
      <c r="O381" t="inlineStr">
        <is>
          <t>Done</t>
        </is>
      </c>
      <c r="P381" t="n">
        <v>0</v>
      </c>
      <c r="Q381" t="inlineStr">
        <is>
          <t>Wyvern 28</t>
        </is>
      </c>
      <c r="R381" t="inlineStr">
        <is>
          <t>2022-08-11</t>
        </is>
      </c>
      <c r="S381" t="inlineStr">
        <is>
          <t>2022-08-24</t>
        </is>
      </c>
      <c r="T381" t="inlineStr">
        <is>
          <t>Wyvern 28 : 2022-08-11 - 2022-08-24</t>
        </is>
      </c>
      <c r="U381" t="inlineStr">
        <is>
          <t>2022-08-19T00:00:00-05:00</t>
        </is>
      </c>
      <c r="V381" t="inlineStr">
        <is>
          <t>2022-08-18T00:00:00-05:00</t>
        </is>
      </c>
      <c r="W381" t="inlineStr">
        <is>
          <t>2022-08-19T12:59:22-05:00</t>
        </is>
      </c>
      <c r="X381">
        <f>IFERROR(1/COUNTIF($I:$I,@$I:$I), 0)</f>
        <v/>
      </c>
    </row>
    <row r="382">
      <c r="A382">
        <f>HYPERLINK("https://drivetime.tpondemand.com/entity/135846", "135846")</f>
        <v/>
      </c>
      <c r="B382" t="inlineStr">
        <is>
          <t>FORCE invoke the MFA process only for sessions that are deemed high risk</t>
        </is>
      </c>
      <c r="C382" t="inlineStr">
        <is>
          <t>UserStory</t>
        </is>
      </c>
      <c r="D382" t="inlineStr">
        <is>
          <t>Servicing: BC Next</t>
        </is>
      </c>
      <c r="E382" t="inlineStr">
        <is>
          <t>BC Digital Wyvern</t>
        </is>
      </c>
      <c r="F382" t="inlineStr">
        <is>
          <t>32</t>
        </is>
      </c>
      <c r="G382" t="inlineStr">
        <is>
          <t>Jajati Routray</t>
        </is>
      </c>
      <c r="H382" t="inlineStr">
        <is>
          <t>MFA Enhancements</t>
        </is>
      </c>
      <c r="I382" t="n">
        <v>3</v>
      </c>
      <c r="J382" t="n">
        <v>13.04119212962963</v>
      </c>
      <c r="K382">
        <f>HYPERLINK("https://drivetime.tpondemand.com/entity/137480", "137480")</f>
        <v/>
      </c>
      <c r="L382" t="inlineStr"/>
      <c r="M382" t="n">
        <v>2</v>
      </c>
      <c r="N382" t="n">
        <v>127345</v>
      </c>
      <c r="O382" t="inlineStr">
        <is>
          <t>Done</t>
        </is>
      </c>
      <c r="P382" t="n">
        <v>0</v>
      </c>
      <c r="Q382" t="inlineStr">
        <is>
          <t>Wyvern 27</t>
        </is>
      </c>
      <c r="R382" t="inlineStr">
        <is>
          <t>2022-07-28</t>
        </is>
      </c>
      <c r="S382" t="inlineStr">
        <is>
          <t>2022-08-10</t>
        </is>
      </c>
      <c r="T382" t="inlineStr">
        <is>
          <t>Wyvern 27 : 2022-07-28 - 2022-08-10</t>
        </is>
      </c>
      <c r="U382" t="inlineStr">
        <is>
          <t>2022-08-11T00:00:00-05:00</t>
        </is>
      </c>
      <c r="V382" t="inlineStr">
        <is>
          <t>2022-08-08T00:00:00-05:00</t>
        </is>
      </c>
      <c r="W382" t="inlineStr">
        <is>
          <t>2022-08-11T12:19:51-05:00</t>
        </is>
      </c>
      <c r="X382">
        <f>IFERROR(1/COUNTIF($I:$I,@$I:$I), 0)</f>
        <v/>
      </c>
    </row>
    <row r="383">
      <c r="A383">
        <f>HYPERLINK("https://drivetime.tpondemand.com/entity/139825", "139825")</f>
        <v/>
      </c>
      <c r="B383" t="inlineStr">
        <is>
          <t>Update prod-canary in release pipelines for GraphQL gateway &amp; subgraphs</t>
        </is>
      </c>
      <c r="C383" t="inlineStr">
        <is>
          <t>UserStory</t>
        </is>
      </c>
      <c r="D383" t="inlineStr">
        <is>
          <t>Servicing: BC Next</t>
        </is>
      </c>
      <c r="E383" t="inlineStr">
        <is>
          <t>BC Digital Wyvern</t>
        </is>
      </c>
      <c r="F383" t="inlineStr">
        <is>
          <t>40</t>
        </is>
      </c>
      <c r="G383" t="inlineStr">
        <is>
          <t>Jajati Routray</t>
        </is>
      </c>
      <c r="H383" t="inlineStr">
        <is>
          <t>Expose Extension and Payment Frequency for BC Next to consume</t>
        </is>
      </c>
      <c r="I383" t="n">
        <v>15</v>
      </c>
      <c r="J383" t="n">
        <v>19.12061342592592</v>
      </c>
      <c r="K383">
        <f>HYPERLINK("https://drivetime.tpondemand.com/entity/139999", "139999")</f>
        <v/>
      </c>
      <c r="L383" t="inlineStr"/>
      <c r="M383" t="n">
        <v>2</v>
      </c>
      <c r="N383" t="n">
        <v>127348</v>
      </c>
      <c r="O383" t="inlineStr">
        <is>
          <t>Done</t>
        </is>
      </c>
      <c r="P383" t="n">
        <v>0</v>
      </c>
      <c r="Q383" t="inlineStr">
        <is>
          <t>Wyvern 30</t>
        </is>
      </c>
      <c r="R383" t="inlineStr">
        <is>
          <t>2022-09-08</t>
        </is>
      </c>
      <c r="S383" t="inlineStr">
        <is>
          <t>2022-09-21</t>
        </is>
      </c>
      <c r="T383" t="inlineStr">
        <is>
          <t>Wyvern 30 : 2022-09-08 - 2022-09-21</t>
        </is>
      </c>
      <c r="U383" t="inlineStr">
        <is>
          <t>2022-10-05T00:00:00-05:00</t>
        </is>
      </c>
      <c r="V383" t="inlineStr">
        <is>
          <t>2022-09-20T00:00:00-05:00</t>
        </is>
      </c>
      <c r="W383" t="inlineStr">
        <is>
          <t>2022-10-05T17:58:18-05:00</t>
        </is>
      </c>
      <c r="X383">
        <f>IFERROR(1/COUNTIF($I:$I,@$I:$I), 0)</f>
        <v/>
      </c>
    </row>
    <row r="384">
      <c r="A384">
        <f>HYPERLINK("https://drivetime.tpondemand.com/entity/142113", "142113")</f>
        <v/>
      </c>
      <c r="B384" t="inlineStr">
        <is>
          <t>[Loan Mod] Provide ability for BC Next to filter out loan mod types not equal to Payment Frequency or Extension</t>
        </is>
      </c>
      <c r="C384" t="inlineStr">
        <is>
          <t>UserStory</t>
        </is>
      </c>
      <c r="D384" t="inlineStr">
        <is>
          <t>Servicing: BC Next</t>
        </is>
      </c>
      <c r="E384" t="inlineStr">
        <is>
          <t>BC Digital Wyvern</t>
        </is>
      </c>
      <c r="F384" t="inlineStr">
        <is>
          <t>45</t>
        </is>
      </c>
      <c r="G384" t="inlineStr">
        <is>
          <t>Jajati Routray</t>
        </is>
      </c>
      <c r="H384" t="inlineStr">
        <is>
          <t>Expose PTC for BC Next to consume</t>
        </is>
      </c>
      <c r="I384" t="n">
        <v>6</v>
      </c>
      <c r="J384" t="n">
        <v>12.11256944444444</v>
      </c>
      <c r="K384">
        <f>HYPERLINK("https://drivetime.tpondemand.com/entity/142977", "142977")</f>
        <v/>
      </c>
      <c r="L384" t="inlineStr"/>
      <c r="M384" t="n">
        <v>2</v>
      </c>
      <c r="N384" t="n">
        <v>127352</v>
      </c>
      <c r="O384" t="inlineStr">
        <is>
          <t>Done</t>
        </is>
      </c>
      <c r="P384" t="n">
        <v>0</v>
      </c>
      <c r="Q384" t="inlineStr">
        <is>
          <t>Wyvern 34</t>
        </is>
      </c>
      <c r="R384" t="inlineStr">
        <is>
          <t>2022-11-03</t>
        </is>
      </c>
      <c r="S384" t="inlineStr">
        <is>
          <t>2022-11-16</t>
        </is>
      </c>
      <c r="T384" t="inlineStr">
        <is>
          <t>Wyvern 34 : 2022-11-03 - 2022-11-16</t>
        </is>
      </c>
      <c r="U384" t="inlineStr">
        <is>
          <t>2022-11-07T00:00:00-06:00</t>
        </is>
      </c>
      <c r="V384" t="inlineStr">
        <is>
          <t>2022-11-01T00:00:00-05:00</t>
        </is>
      </c>
      <c r="W384" t="inlineStr">
        <is>
          <t>2022-11-07T12:32:02-06:00</t>
        </is>
      </c>
      <c r="X384">
        <f>IFERROR(1/COUNTIF($I:$I,@$I:$I), 0)</f>
        <v/>
      </c>
    </row>
    <row r="385">
      <c r="A385">
        <f>HYPERLINK("https://drivetime.tpondemand.com/entity/142510", "142510")</f>
        <v/>
      </c>
      <c r="B385" t="inlineStr">
        <is>
          <t>[PTC] Integrate PTC changes into BFF</t>
        </is>
      </c>
      <c r="C385" t="inlineStr">
        <is>
          <t>UserStory</t>
        </is>
      </c>
      <c r="D385" t="inlineStr">
        <is>
          <t>Servicing: BC Next</t>
        </is>
      </c>
      <c r="E385" t="inlineStr">
        <is>
          <t>BC Digital Wyvern</t>
        </is>
      </c>
      <c r="F385" t="inlineStr">
        <is>
          <t>45</t>
        </is>
      </c>
      <c r="G385" t="inlineStr">
        <is>
          <t>Jonathan Escamilla</t>
        </is>
      </c>
      <c r="H385" t="inlineStr">
        <is>
          <t>Expose PTC for BC Next to consume</t>
        </is>
      </c>
      <c r="I385" t="n">
        <v>5</v>
      </c>
      <c r="J385" t="n">
        <v>10.1743287037037</v>
      </c>
      <c r="K385">
        <f>HYPERLINK("https://drivetime.tpondemand.com/entity/143271", "143271")</f>
        <v/>
      </c>
      <c r="L385" t="inlineStr"/>
      <c r="M385" t="n">
        <v>2</v>
      </c>
      <c r="N385" t="n">
        <v>127352</v>
      </c>
      <c r="O385" t="inlineStr">
        <is>
          <t>Done</t>
        </is>
      </c>
      <c r="P385" t="n">
        <v>0</v>
      </c>
      <c r="Q385" t="inlineStr">
        <is>
          <t>Wyvern 34</t>
        </is>
      </c>
      <c r="R385" t="inlineStr">
        <is>
          <t>2022-11-03</t>
        </is>
      </c>
      <c r="S385" t="inlineStr">
        <is>
          <t>2022-11-16</t>
        </is>
      </c>
      <c r="T385" t="inlineStr">
        <is>
          <t>Wyvern 34 : 2022-11-03 - 2022-11-16</t>
        </is>
      </c>
      <c r="U385" t="inlineStr">
        <is>
          <t>2022-11-07T00:00:00-06:00</t>
        </is>
      </c>
      <c r="V385" t="inlineStr">
        <is>
          <t>2022-11-02T00:00:00-05:00</t>
        </is>
      </c>
      <c r="W385" t="inlineStr">
        <is>
          <t>2022-11-07T15:46:14-06:00</t>
        </is>
      </c>
      <c r="X385">
        <f>IFERROR(1/COUNTIF($I:$I,@$I:$I), 0)</f>
        <v/>
      </c>
    </row>
    <row r="386">
      <c r="A386">
        <f>HYPERLINK("https://drivetime.tpondemand.com/entity/128755", "128755")</f>
        <v/>
      </c>
      <c r="B386" t="inlineStr">
        <is>
          <t>[BC NEXT] Create Swagger page for REST endpoints in BFF server</t>
        </is>
      </c>
      <c r="C386" t="inlineStr">
        <is>
          <t>UserStory</t>
        </is>
      </c>
      <c r="D386" t="inlineStr">
        <is>
          <t>Servicing: BC Next</t>
        </is>
      </c>
      <c r="E386" t="inlineStr">
        <is>
          <t>BC Digital Wyvern</t>
        </is>
      </c>
      <c r="F386" t="inlineStr">
        <is>
          <t>16</t>
        </is>
      </c>
      <c r="G386" t="inlineStr">
        <is>
          <t>Jonathan Escamilla and Venkatmahesh Polur</t>
        </is>
      </c>
      <c r="H386" t="inlineStr">
        <is>
          <t>[BC NEXT] Impersonation</t>
        </is>
      </c>
      <c r="I386" t="n">
        <v>1</v>
      </c>
      <c r="J386" t="n">
        <v>21.2253125</v>
      </c>
      <c r="K386">
        <f>HYPERLINK("https://drivetime.tpondemand.com/entity/129670", "129670")</f>
        <v/>
      </c>
      <c r="L386" t="inlineStr"/>
      <c r="M386" t="n">
        <v>1</v>
      </c>
      <c r="N386" t="n">
        <v>127337</v>
      </c>
      <c r="O386" t="inlineStr">
        <is>
          <t>Done</t>
        </is>
      </c>
      <c r="P386" t="n">
        <v>0</v>
      </c>
      <c r="Q386" t="inlineStr">
        <is>
          <t>Wyvern 19</t>
        </is>
      </c>
      <c r="R386" t="inlineStr">
        <is>
          <t>2022-04-07</t>
        </is>
      </c>
      <c r="S386" t="inlineStr">
        <is>
          <t>2022-04-20</t>
        </is>
      </c>
      <c r="T386" t="inlineStr">
        <is>
          <t>Wyvern 19 : 2022-04-07 - 2022-04-20</t>
        </is>
      </c>
      <c r="U386" t="inlineStr">
        <is>
          <t>2022-04-19T00:00:00-05:00</t>
        </is>
      </c>
      <c r="V386" t="inlineStr">
        <is>
          <t>2022-04-18T00:00:00-05:00</t>
        </is>
      </c>
      <c r="W386" t="inlineStr">
        <is>
          <t>2022-04-19T16:30:30-05:00</t>
        </is>
      </c>
      <c r="X386">
        <f>IFERROR(1/COUNTIF($I:$I,@$I:$I), 0)</f>
        <v/>
      </c>
    </row>
    <row r="387">
      <c r="A387">
        <f>HYPERLINK("https://drivetime.tpondemand.com/entity/130069", "130069")</f>
        <v/>
      </c>
      <c r="B387" t="inlineStr">
        <is>
          <t>[BC NEXT] Fix Verification Email endpoint to override the Authorization process added in Swagger story</t>
        </is>
      </c>
      <c r="C387" t="inlineStr">
        <is>
          <t>UserStory</t>
        </is>
      </c>
      <c r="D387" t="inlineStr">
        <is>
          <t>Servicing: BC Next</t>
        </is>
      </c>
      <c r="E387" t="inlineStr">
        <is>
          <t>BC Digital Wyvern</t>
        </is>
      </c>
      <c r="F387" t="inlineStr">
        <is>
          <t>18</t>
        </is>
      </c>
      <c r="G387" t="inlineStr">
        <is>
          <t>Sri Charan Simha Velpur and Andrew Vu</t>
        </is>
      </c>
      <c r="H387" t="inlineStr">
        <is>
          <t>[BC NEXT] Impersonation</t>
        </is>
      </c>
      <c r="I387" t="n">
        <v>5</v>
      </c>
      <c r="J387" t="n">
        <v>17.93427083333333</v>
      </c>
      <c r="K387">
        <f>HYPERLINK("https://drivetime.tpondemand.com/entity/130896", "130896")</f>
        <v/>
      </c>
      <c r="L387" t="inlineStr"/>
      <c r="M387" t="n">
        <v>1</v>
      </c>
      <c r="N387" t="n">
        <v>127338</v>
      </c>
      <c r="O387" t="inlineStr">
        <is>
          <t>Done</t>
        </is>
      </c>
      <c r="P387" t="n">
        <v>0</v>
      </c>
      <c r="Q387" t="inlineStr">
        <is>
          <t>Wyvern 20</t>
        </is>
      </c>
      <c r="R387" t="inlineStr">
        <is>
          <t>2022-04-21</t>
        </is>
      </c>
      <c r="S387" t="inlineStr">
        <is>
          <t>2022-05-04</t>
        </is>
      </c>
      <c r="T387" t="inlineStr">
        <is>
          <t>Wyvern 20 : 2022-04-21 - 2022-05-04</t>
        </is>
      </c>
      <c r="U387" t="inlineStr">
        <is>
          <t>2022-05-02T00:00:00-05:00</t>
        </is>
      </c>
      <c r="V387" t="inlineStr">
        <is>
          <t>2022-04-27T00:00:00-05:00</t>
        </is>
      </c>
      <c r="W387" t="inlineStr">
        <is>
          <t>2022-05-02T12:14:31-05:00</t>
        </is>
      </c>
      <c r="X387">
        <f>IFERROR(1/COUNTIF($I:$I,@$I:$I), 0)</f>
        <v/>
      </c>
    </row>
    <row r="388">
      <c r="A388">
        <f>HYPERLINK("https://drivetime.tpondemand.com/entity/132898", "132898")</f>
        <v/>
      </c>
      <c r="B388" t="inlineStr">
        <is>
          <t>Fix Alignment in Review Step for AutoPay and AutoPay Past Due</t>
        </is>
      </c>
      <c r="C388" t="inlineStr">
        <is>
          <t>UserStory</t>
        </is>
      </c>
      <c r="D388" t="inlineStr">
        <is>
          <t>Servicing: BC Next</t>
        </is>
      </c>
      <c r="E388" t="inlineStr">
        <is>
          <t>BC Digital Wyvern</t>
        </is>
      </c>
      <c r="F388" t="inlineStr">
        <is>
          <t>22</t>
        </is>
      </c>
      <c r="G388" t="inlineStr">
        <is>
          <t>Andrew Vu</t>
        </is>
      </c>
      <c r="H388" t="inlineStr">
        <is>
          <t>[BC NEXT] Impersonation</t>
        </is>
      </c>
      <c r="I388" t="n">
        <v>2</v>
      </c>
      <c r="J388" t="n">
        <v>5.989143518518518</v>
      </c>
      <c r="K388">
        <f>HYPERLINK("https://drivetime.tpondemand.com/entity/133152", "133152")</f>
        <v/>
      </c>
      <c r="L388" t="inlineStr"/>
      <c r="M388" t="n">
        <v>1</v>
      </c>
      <c r="N388" t="n">
        <v>127340</v>
      </c>
      <c r="O388" t="inlineStr">
        <is>
          <t>Done</t>
        </is>
      </c>
      <c r="P388" t="n">
        <v>1</v>
      </c>
      <c r="Q388" t="inlineStr">
        <is>
          <t>Wyvern 22</t>
        </is>
      </c>
      <c r="R388" t="inlineStr">
        <is>
          <t>2022-05-19</t>
        </is>
      </c>
      <c r="S388" t="inlineStr">
        <is>
          <t>2022-06-01</t>
        </is>
      </c>
      <c r="T388" t="inlineStr">
        <is>
          <t>Wyvern 22 : 2022-05-19 - 2022-06-01</t>
        </is>
      </c>
      <c r="U388" t="inlineStr">
        <is>
          <t>2022-06-02T00:00:00-05:00</t>
        </is>
      </c>
      <c r="V388" t="inlineStr">
        <is>
          <t>2022-05-31T00:00:00-05:00</t>
        </is>
      </c>
      <c r="W388" t="inlineStr">
        <is>
          <t>2022-06-02T12:16:38-05:00</t>
        </is>
      </c>
      <c r="X388">
        <f>IFERROR(1/COUNTIF($I:$I,@$I:$I), 0)</f>
        <v/>
      </c>
    </row>
    <row r="389">
      <c r="A389">
        <f>HYPERLINK("https://drivetime.tpondemand.com/entity/126754", "126754")</f>
        <v/>
      </c>
      <c r="B389" t="inlineStr">
        <is>
          <t>[FEB RC][OBSERVATIONS][1] User stuck on login loop &amp; User not always redirected to auth0 login</t>
        </is>
      </c>
      <c r="C389" t="inlineStr">
        <is>
          <t>UserStory</t>
        </is>
      </c>
      <c r="D389" t="inlineStr">
        <is>
          <t>Servicing: BC Next</t>
        </is>
      </c>
      <c r="E389" t="inlineStr">
        <is>
          <t>BC Digital Wyvern</t>
        </is>
      </c>
      <c r="F389" t="inlineStr">
        <is>
          <t>06</t>
        </is>
      </c>
      <c r="G389" t="inlineStr">
        <is>
          <t>Sri Charan Simha Velpur</t>
        </is>
      </c>
      <c r="H389" t="inlineStr">
        <is>
          <t>[BC NEXT] Regression Testing &amp; App Bug Fixes</t>
        </is>
      </c>
      <c r="I389" t="n">
        <v>4</v>
      </c>
      <c r="J389" t="n">
        <v>9.997754629629629</v>
      </c>
      <c r="K389">
        <f>HYPERLINK("https://drivetime.tpondemand.com/entity/127042", "127042")</f>
        <v/>
      </c>
      <c r="L389" t="inlineStr"/>
      <c r="M389" t="n">
        <v>0</v>
      </c>
      <c r="N389" t="n">
        <v>126668</v>
      </c>
      <c r="O389" t="inlineStr">
        <is>
          <t>Done</t>
        </is>
      </c>
      <c r="P389" t="n">
        <v>0</v>
      </c>
      <c r="Q389" t="inlineStr">
        <is>
          <t>Wyvern 14</t>
        </is>
      </c>
      <c r="R389" t="inlineStr">
        <is>
          <t>2022-01-20</t>
        </is>
      </c>
      <c r="S389" t="inlineStr">
        <is>
          <t>2022-02-02</t>
        </is>
      </c>
      <c r="T389" t="inlineStr">
        <is>
          <t>Wyvern 14 : 2022-01-20 - 2022-02-02</t>
        </is>
      </c>
      <c r="U389" t="inlineStr">
        <is>
          <t>2022-02-11T00:00:00-06:00</t>
        </is>
      </c>
      <c r="V389" t="inlineStr">
        <is>
          <t>2022-02-07T00:00:00-06:00</t>
        </is>
      </c>
      <c r="W389" t="inlineStr">
        <is>
          <t>2022-02-11T10:02:16-06:00</t>
        </is>
      </c>
      <c r="X389">
        <f>IFERROR(1/COUNTIF($I:$I,@$I:$I), 0)</f>
        <v/>
      </c>
    </row>
    <row r="390">
      <c r="A390">
        <f>HYPERLINK("https://drivetime.tpondemand.com/entity/127285", "127285")</f>
        <v/>
      </c>
      <c r="B390" t="inlineStr">
        <is>
          <t>[BUG] Test env console error: "TypeError: this._analyticService.logAnalytic is not a function"</t>
        </is>
      </c>
      <c r="C390" t="inlineStr">
        <is>
          <t>UserStory</t>
        </is>
      </c>
      <c r="D390" t="inlineStr">
        <is>
          <t>Servicing: BC Next</t>
        </is>
      </c>
      <c r="E390" t="inlineStr">
        <is>
          <t>BC Digital Wyvern</t>
        </is>
      </c>
      <c r="F390" t="inlineStr">
        <is>
          <t>06</t>
        </is>
      </c>
      <c r="G390" t="inlineStr"/>
      <c r="H390" t="inlineStr">
        <is>
          <t>[BC NEXT] Regression Testing &amp; App Bug Fixes</t>
        </is>
      </c>
      <c r="I390" t="n">
        <v>0</v>
      </c>
      <c r="J390" t="n">
        <v>0</v>
      </c>
      <c r="K390">
        <f>HYPERLINK("https://drivetime.tpondemand.com/entity/126506", "126506")</f>
        <v/>
      </c>
      <c r="L390" t="inlineStr"/>
      <c r="M390" t="n">
        <v>0</v>
      </c>
      <c r="N390" t="inlineStr"/>
      <c r="O390" t="inlineStr">
        <is>
          <t>Done</t>
        </is>
      </c>
      <c r="P390" t="n">
        <v>0</v>
      </c>
      <c r="Q390" t="inlineStr"/>
      <c r="R390" t="inlineStr"/>
      <c r="S390" t="inlineStr"/>
      <c r="T390" t="inlineStr"/>
      <c r="U390" t="inlineStr">
        <is>
          <t>2022-02-11T00:00:00-06:00</t>
        </is>
      </c>
      <c r="V390" t="inlineStr">
        <is>
          <t>2022-02-14T00:00:00-06:00</t>
        </is>
      </c>
      <c r="W390" t="inlineStr">
        <is>
          <t>2022-02-11T10:15:23-06:00</t>
        </is>
      </c>
      <c r="X390">
        <f>IFERROR(1/COUNTIF($I:$I,@$I:$I), 0)</f>
        <v/>
      </c>
    </row>
    <row r="391">
      <c r="A391">
        <f>HYPERLINK("https://drivetime.tpondemand.com/entity/130201", "130201")</f>
        <v/>
      </c>
      <c r="B391" t="inlineStr">
        <is>
          <t>Prohibited Admin Events Report</t>
        </is>
      </c>
      <c r="C391" t="inlineStr">
        <is>
          <t>UserStory</t>
        </is>
      </c>
      <c r="D391" t="inlineStr">
        <is>
          <t>Servicing: BC Next</t>
        </is>
      </c>
      <c r="E391" t="inlineStr">
        <is>
          <t>BC Digital Wyvern</t>
        </is>
      </c>
      <c r="F391" t="inlineStr">
        <is>
          <t>29</t>
        </is>
      </c>
      <c r="G391" t="inlineStr"/>
      <c r="H391" t="inlineStr">
        <is>
          <t>[BC NEXT] Impersonation</t>
        </is>
      </c>
      <c r="I391" t="n">
        <v>0</v>
      </c>
      <c r="J391" t="n">
        <v>3.472222222222222e-05</v>
      </c>
      <c r="K391" t="inlineStr"/>
      <c r="L391" t="inlineStr"/>
      <c r="M391" t="n">
        <v>0</v>
      </c>
      <c r="N391" t="inlineStr"/>
      <c r="O391" t="inlineStr">
        <is>
          <t>Done</t>
        </is>
      </c>
      <c r="P391" t="n">
        <v>0</v>
      </c>
      <c r="Q391" t="inlineStr"/>
      <c r="R391" t="inlineStr"/>
      <c r="S391" t="inlineStr"/>
      <c r="T391" t="inlineStr"/>
      <c r="U391" t="inlineStr">
        <is>
          <t>2022-07-20T00:00:00-05:00</t>
        </is>
      </c>
      <c r="V391" t="inlineStr">
        <is>
          <t>2022-07-20T00:00:00-05:00</t>
        </is>
      </c>
      <c r="W391" t="inlineStr">
        <is>
          <t>2022-07-20T18:14:45-05:00</t>
        </is>
      </c>
      <c r="X391">
        <f>IFERROR(1/COUNTIF($I:$I,@$I:$I), 0)</f>
        <v/>
      </c>
    </row>
    <row r="392">
      <c r="A392">
        <f>HYPERLINK("https://drivetime.tpondemand.com/entity/142114", "142114")</f>
        <v/>
      </c>
      <c r="B392" t="inlineStr">
        <is>
          <t>[PTC] Modify the mapping for Agent Canceled PTC</t>
        </is>
      </c>
      <c r="C392" t="inlineStr">
        <is>
          <t>UserStory</t>
        </is>
      </c>
      <c r="D392" t="inlineStr">
        <is>
          <t>Servicing: BC Next</t>
        </is>
      </c>
      <c r="E392" t="inlineStr">
        <is>
          <t>BC Digital Wyvern</t>
        </is>
      </c>
      <c r="F392" t="inlineStr">
        <is>
          <t>43</t>
        </is>
      </c>
      <c r="G392" t="inlineStr">
        <is>
          <t>Jonathan Escamilla</t>
        </is>
      </c>
      <c r="H392" t="inlineStr">
        <is>
          <t>Expose PTC for BC Next to consume</t>
        </is>
      </c>
      <c r="I392" t="n">
        <v>4</v>
      </c>
      <c r="J392" t="n">
        <v>4.066134259259259</v>
      </c>
      <c r="K392">
        <f>HYPERLINK("https://drivetime.tpondemand.com/entity/142193", "142193")</f>
        <v/>
      </c>
      <c r="L392" t="inlineStr"/>
      <c r="M392" t="n">
        <v>0</v>
      </c>
      <c r="N392" t="inlineStr"/>
      <c r="O392" t="inlineStr">
        <is>
          <t>Done</t>
        </is>
      </c>
      <c r="P392" t="n">
        <v>0</v>
      </c>
      <c r="Q392" t="inlineStr"/>
      <c r="R392" t="inlineStr"/>
      <c r="S392" t="inlineStr"/>
      <c r="T392" t="inlineStr"/>
      <c r="U392" t="inlineStr">
        <is>
          <t>2022-10-25T00:00:00-05:00</t>
        </is>
      </c>
      <c r="V392" t="inlineStr">
        <is>
          <t>2022-10-21T00:00:00-05:00</t>
        </is>
      </c>
      <c r="W392" t="inlineStr">
        <is>
          <t>2022-10-25T13:13:40-05:00</t>
        </is>
      </c>
      <c r="X392">
        <f>IFERROR(1/COUNTIF($I:$I,@$I:$I), 0)</f>
        <v/>
      </c>
    </row>
    <row r="393">
      <c r="A393">
        <f>HYPERLINK("https://drivetime.tpondemand.com/entity/145295", "145295")</f>
        <v/>
      </c>
      <c r="B393" t="inlineStr">
        <is>
          <t>[New CO][1] Create Dashboard Summary</t>
        </is>
      </c>
      <c r="C393" t="inlineStr">
        <is>
          <t>UserStory</t>
        </is>
      </c>
      <c r="D393" t="inlineStr">
        <is>
          <t>Servicing: BC Next</t>
        </is>
      </c>
      <c r="E393" t="inlineStr">
        <is>
          <t>BC Digital Wyvern</t>
        </is>
      </c>
      <c r="F393" t="inlineStr"/>
      <c r="G393" t="inlineStr"/>
      <c r="H393" t="inlineStr">
        <is>
          <t>[PLATFORM][Phase 2] Charged Off Self Service Experience</t>
        </is>
      </c>
      <c r="I393" t="inlineStr"/>
      <c r="K393" t="inlineStr"/>
      <c r="L393" t="inlineStr"/>
      <c r="M393" t="n">
        <v>0</v>
      </c>
      <c r="N393" t="inlineStr"/>
      <c r="O393" t="inlineStr">
        <is>
          <t>Icebox</t>
        </is>
      </c>
      <c r="P393" t="n">
        <v>0</v>
      </c>
      <c r="Q393" t="inlineStr"/>
      <c r="R393" t="inlineStr"/>
      <c r="S393" t="inlineStr"/>
      <c r="T393" t="inlineStr"/>
      <c r="U393" t="inlineStr"/>
      <c r="V393" t="inlineStr"/>
      <c r="X393">
        <f>IFERROR(1/COUNTIF($I:$I,@$I:$I), 0)</f>
        <v/>
      </c>
    </row>
    <row r="394">
      <c r="A394">
        <f>HYPERLINK("https://drivetime.tpondemand.com/entity/145300", "145300")</f>
        <v/>
      </c>
      <c r="B394" t="inlineStr">
        <is>
          <t>[New CO][1] Create Dashboard CO Options</t>
        </is>
      </c>
      <c r="C394" t="inlineStr">
        <is>
          <t>UserStory</t>
        </is>
      </c>
      <c r="D394" t="inlineStr">
        <is>
          <t>Servicing: BC Next</t>
        </is>
      </c>
      <c r="E394" t="inlineStr">
        <is>
          <t>BC Digital Wyvern</t>
        </is>
      </c>
      <c r="F394" t="inlineStr"/>
      <c r="G394" t="inlineStr"/>
      <c r="H394" t="inlineStr">
        <is>
          <t>[PLATFORM][Phase 2] Charged Off Self Service Experience</t>
        </is>
      </c>
      <c r="I394" t="inlineStr"/>
      <c r="K394" t="inlineStr"/>
      <c r="L394" t="inlineStr"/>
      <c r="M394" t="n">
        <v>0</v>
      </c>
      <c r="N394" t="inlineStr"/>
      <c r="O394" t="inlineStr">
        <is>
          <t>Icebox</t>
        </is>
      </c>
      <c r="P394" t="n">
        <v>0</v>
      </c>
      <c r="Q394" t="inlineStr"/>
      <c r="R394" t="inlineStr"/>
      <c r="S394" t="inlineStr"/>
      <c r="T394" t="inlineStr"/>
      <c r="U394" t="inlineStr"/>
      <c r="V394" t="inlineStr"/>
      <c r="X394">
        <f>IFERROR(1/COUNTIF($I:$I,@$I:$I), 0)</f>
        <v/>
      </c>
    </row>
    <row r="395">
      <c r="A395">
        <f>HYPERLINK("https://drivetime.tpondemand.com/entity/145301", "145301")</f>
        <v/>
      </c>
      <c r="B395" t="inlineStr">
        <is>
          <t>[New CO][1] Create Charge Off Banner</t>
        </is>
      </c>
      <c r="C395" t="inlineStr">
        <is>
          <t>UserStory</t>
        </is>
      </c>
      <c r="D395" t="inlineStr">
        <is>
          <t>Servicing: BC Next</t>
        </is>
      </c>
      <c r="E395" t="inlineStr">
        <is>
          <t>BC Digital Wyvern</t>
        </is>
      </c>
      <c r="F395" t="inlineStr"/>
      <c r="G395" t="inlineStr"/>
      <c r="H395" t="inlineStr">
        <is>
          <t>[PLATFORM][Phase 2] Charged Off Self Service Experience</t>
        </is>
      </c>
      <c r="I395" t="inlineStr"/>
      <c r="K395" t="inlineStr"/>
      <c r="L395" t="inlineStr"/>
      <c r="M395" t="n">
        <v>0</v>
      </c>
      <c r="N395" t="inlineStr"/>
      <c r="O395" t="inlineStr">
        <is>
          <t>Icebox</t>
        </is>
      </c>
      <c r="P395" t="n">
        <v>0</v>
      </c>
      <c r="Q395" t="inlineStr"/>
      <c r="R395" t="inlineStr"/>
      <c r="S395" t="inlineStr"/>
      <c r="T395" t="inlineStr"/>
      <c r="U395" t="inlineStr"/>
      <c r="V395" t="inlineStr"/>
      <c r="X395">
        <f>IFERROR(1/COUNTIF($I:$I,@$I:$I), 0)</f>
        <v/>
      </c>
    </row>
    <row r="396">
      <c r="A396">
        <f>HYPERLINK("https://drivetime.tpondemand.com/entity/145302", "145302")</f>
        <v/>
      </c>
      <c r="B396" t="inlineStr">
        <is>
          <t>[PCO Member][2] Create PCO Dashboard Summary</t>
        </is>
      </c>
      <c r="C396" t="inlineStr">
        <is>
          <t>UserStory</t>
        </is>
      </c>
      <c r="D396" t="inlineStr">
        <is>
          <t>Servicing: BC Next</t>
        </is>
      </c>
      <c r="E396" t="inlineStr">
        <is>
          <t>BC Digital Wyvern</t>
        </is>
      </c>
      <c r="F396" t="inlineStr"/>
      <c r="G396" t="inlineStr"/>
      <c r="H396" t="inlineStr">
        <is>
          <t>[PLATFORM][Phase 2] Charged Off Self Service Experience</t>
        </is>
      </c>
      <c r="I396" t="inlineStr"/>
      <c r="K396" t="inlineStr"/>
      <c r="L396" t="inlineStr"/>
      <c r="M396" t="n">
        <v>0</v>
      </c>
      <c r="N396" t="inlineStr"/>
      <c r="O396" t="inlineStr">
        <is>
          <t>Icebox</t>
        </is>
      </c>
      <c r="P396" t="n">
        <v>0</v>
      </c>
      <c r="Q396" t="inlineStr"/>
      <c r="R396" t="inlineStr"/>
      <c r="S396" t="inlineStr"/>
      <c r="T396" t="inlineStr"/>
      <c r="U396" t="inlineStr"/>
      <c r="V396" t="inlineStr"/>
      <c r="X396">
        <f>IFERROR(1/COUNTIF($I:$I,@$I:$I), 0)</f>
        <v/>
      </c>
    </row>
    <row r="397">
      <c r="A397">
        <f>HYPERLINK("https://drivetime.tpondemand.com/entity/145303", "145303")</f>
        <v/>
      </c>
      <c r="B397" t="inlineStr">
        <is>
          <t>[PCO Member][2] Create Manage PCO Payment Plan</t>
        </is>
      </c>
      <c r="C397" t="inlineStr">
        <is>
          <t>UserStory</t>
        </is>
      </c>
      <c r="D397" t="inlineStr">
        <is>
          <t>Servicing: BC Next</t>
        </is>
      </c>
      <c r="E397" t="inlineStr">
        <is>
          <t>BC Digital Wyvern</t>
        </is>
      </c>
      <c r="F397" t="inlineStr"/>
      <c r="G397" t="inlineStr"/>
      <c r="H397" t="inlineStr">
        <is>
          <t>[PLATFORM][Phase 2] Charged Off Self Service Experience</t>
        </is>
      </c>
      <c r="I397" t="inlineStr"/>
      <c r="K397" t="inlineStr"/>
      <c r="L397" t="inlineStr"/>
      <c r="M397" t="n">
        <v>0</v>
      </c>
      <c r="N397" t="inlineStr"/>
      <c r="O397" t="inlineStr">
        <is>
          <t>Icebox</t>
        </is>
      </c>
      <c r="P397" t="n">
        <v>0</v>
      </c>
      <c r="Q397" t="inlineStr"/>
      <c r="R397" t="inlineStr"/>
      <c r="S397" t="inlineStr"/>
      <c r="T397" t="inlineStr"/>
      <c r="U397" t="inlineStr"/>
      <c r="V397" t="inlineStr"/>
      <c r="X397">
        <f>IFERROR(1/COUNTIF($I:$I,@$I:$I), 0)</f>
        <v/>
      </c>
    </row>
    <row r="398">
      <c r="A398">
        <f>HYPERLINK("https://drivetime.tpondemand.com/entity/145304", "145304")</f>
        <v/>
      </c>
      <c r="B398" t="inlineStr">
        <is>
          <t>[PCO Member][2] Create make a payment workflow</t>
        </is>
      </c>
      <c r="C398" t="inlineStr">
        <is>
          <t>UserStory</t>
        </is>
      </c>
      <c r="D398" t="inlineStr">
        <is>
          <t>Servicing: BC Next</t>
        </is>
      </c>
      <c r="E398" t="inlineStr">
        <is>
          <t>BC Digital Wyvern</t>
        </is>
      </c>
      <c r="F398" t="inlineStr"/>
      <c r="G398" t="inlineStr"/>
      <c r="H398" t="inlineStr">
        <is>
          <t>[PLATFORM][Phase 2] Charged Off Self Service Experience</t>
        </is>
      </c>
      <c r="I398" t="inlineStr"/>
      <c r="K398" t="inlineStr"/>
      <c r="L398" t="inlineStr"/>
      <c r="M398" t="n">
        <v>0</v>
      </c>
      <c r="N398" t="inlineStr"/>
      <c r="O398" t="inlineStr">
        <is>
          <t>Icebox</t>
        </is>
      </c>
      <c r="P398" t="n">
        <v>0</v>
      </c>
      <c r="Q398" t="inlineStr"/>
      <c r="R398" t="inlineStr"/>
      <c r="S398" t="inlineStr"/>
      <c r="T398" t="inlineStr"/>
      <c r="U398" t="inlineStr"/>
      <c r="V398" t="inlineStr"/>
      <c r="X398">
        <f>IFERROR(1/COUNTIF($I:$I,@$I:$I), 0)</f>
        <v/>
      </c>
    </row>
    <row r="399">
      <c r="A399">
        <f>HYPERLINK("https://drivetime.tpondemand.com/entity/145340", "145340")</f>
        <v/>
      </c>
      <c r="B399" t="inlineStr">
        <is>
          <t>DELETE [PCO Member] Capture PCO Terms customer agreed to</t>
        </is>
      </c>
      <c r="C399" t="inlineStr">
        <is>
          <t>UserStory</t>
        </is>
      </c>
      <c r="D399" t="inlineStr">
        <is>
          <t>Servicing: BC Next</t>
        </is>
      </c>
      <c r="E399" t="inlineStr">
        <is>
          <t>BC Digital Wyvern</t>
        </is>
      </c>
      <c r="F399" t="inlineStr"/>
      <c r="G399" t="inlineStr"/>
      <c r="H399" t="inlineStr">
        <is>
          <t>[PLATFORM][Phase 2] Charged Off Self Service Experience</t>
        </is>
      </c>
      <c r="I399" t="inlineStr"/>
      <c r="K399" t="inlineStr"/>
      <c r="L399" t="inlineStr"/>
      <c r="M399" t="n">
        <v>0</v>
      </c>
      <c r="N399" t="inlineStr"/>
      <c r="O399" t="inlineStr">
        <is>
          <t>Icebox</t>
        </is>
      </c>
      <c r="P399" t="n">
        <v>0</v>
      </c>
      <c r="Q399" t="inlineStr"/>
      <c r="R399" t="inlineStr"/>
      <c r="S399" t="inlineStr"/>
      <c r="T399" t="inlineStr"/>
      <c r="U399" t="inlineStr"/>
      <c r="V399" t="inlineStr"/>
      <c r="X399">
        <f>IFERROR(1/COUNTIF($I:$I,@$I:$I), 0)</f>
        <v/>
      </c>
    </row>
    <row r="400">
      <c r="A400">
        <f>HYPERLINK("https://drivetime.tpondemand.com/entity/145341", "145341")</f>
        <v/>
      </c>
      <c r="B400" t="inlineStr">
        <is>
          <t>[PCO Member][2] Build process to manage incoming for PCO Plan</t>
        </is>
      </c>
      <c r="C400" t="inlineStr">
        <is>
          <t>UserStory</t>
        </is>
      </c>
      <c r="D400" t="inlineStr">
        <is>
          <t>Servicing: BC Next</t>
        </is>
      </c>
      <c r="E400" t="inlineStr">
        <is>
          <t>BC Digital Wyvern</t>
        </is>
      </c>
      <c r="F400" t="inlineStr"/>
      <c r="G400" t="inlineStr"/>
      <c r="H400" t="inlineStr">
        <is>
          <t>[PLATFORM][Phase 2] Charged Off Self Service Experience</t>
        </is>
      </c>
      <c r="I400" t="inlineStr"/>
      <c r="K400" t="inlineStr"/>
      <c r="L400" t="inlineStr"/>
      <c r="M400" t="n">
        <v>0</v>
      </c>
      <c r="N400" t="inlineStr"/>
      <c r="O400" t="inlineStr">
        <is>
          <t>Icebox</t>
        </is>
      </c>
      <c r="P400" t="n">
        <v>0</v>
      </c>
      <c r="Q400" t="inlineStr"/>
      <c r="R400" t="inlineStr"/>
      <c r="S400" t="inlineStr"/>
      <c r="T400" t="inlineStr"/>
      <c r="U400" t="inlineStr"/>
      <c r="V400" t="inlineStr"/>
      <c r="X400">
        <f>IFERROR(1/COUNTIF($I:$I,@$I:$I), 0)</f>
        <v/>
      </c>
    </row>
    <row r="401">
      <c r="A401">
        <f>HYPERLINK("https://drivetime.tpondemand.com/entity/145923", "145923")</f>
        <v/>
      </c>
      <c r="B401" t="inlineStr">
        <is>
          <t>[NEW CO][1] Identify customer in order to send them to the correct dashboard experience</t>
        </is>
      </c>
      <c r="C401" t="inlineStr">
        <is>
          <t>UserStory</t>
        </is>
      </c>
      <c r="D401" t="inlineStr">
        <is>
          <t>Servicing: BC Next</t>
        </is>
      </c>
      <c r="E401" t="inlineStr">
        <is>
          <t>BC Digital Wyvern</t>
        </is>
      </c>
      <c r="F401" t="inlineStr"/>
      <c r="G401" t="inlineStr"/>
      <c r="H401" t="inlineStr">
        <is>
          <t>[PLATFORM][Phase 2] Charged Off Self Service Experience</t>
        </is>
      </c>
      <c r="I401" t="inlineStr"/>
      <c r="K401" t="inlineStr"/>
      <c r="L401" t="inlineStr"/>
      <c r="M401" t="n">
        <v>0</v>
      </c>
      <c r="N401" t="inlineStr"/>
      <c r="O401" t="inlineStr">
        <is>
          <t>Backlog</t>
        </is>
      </c>
      <c r="P401" t="n">
        <v>0</v>
      </c>
      <c r="Q401" t="inlineStr"/>
      <c r="R401" t="inlineStr"/>
      <c r="S401" t="inlineStr"/>
      <c r="T401" t="inlineStr"/>
      <c r="U401" t="inlineStr"/>
      <c r="V401" t="inlineStr"/>
      <c r="X401">
        <f>IFERROR(1/COUNTIF($I:$I,@$I:$I), 0)</f>
        <v/>
      </c>
    </row>
    <row r="402">
      <c r="A402">
        <f>HYPERLINK("https://drivetime.tpondemand.com/entity/145924", "145924")</f>
        <v/>
      </c>
      <c r="B402" t="inlineStr">
        <is>
          <t>[New CO][1.0] Create PCO calculator</t>
        </is>
      </c>
      <c r="C402" t="inlineStr">
        <is>
          <t>UserStory</t>
        </is>
      </c>
      <c r="D402" t="inlineStr">
        <is>
          <t>Servicing: BC Next</t>
        </is>
      </c>
      <c r="E402" t="inlineStr">
        <is>
          <t>BC Digital Wyvern</t>
        </is>
      </c>
      <c r="F402" t="inlineStr"/>
      <c r="G402" t="inlineStr"/>
      <c r="H402" t="inlineStr">
        <is>
          <t>[PLATFORM][Phase 2] Charged Off Self Service Experience</t>
        </is>
      </c>
      <c r="I402" t="inlineStr"/>
      <c r="K402" t="inlineStr"/>
      <c r="L402" t="inlineStr"/>
      <c r="M402" t="n">
        <v>0</v>
      </c>
      <c r="N402" t="inlineStr"/>
      <c r="O402" t="inlineStr">
        <is>
          <t>Icebox</t>
        </is>
      </c>
      <c r="P402" t="n">
        <v>0</v>
      </c>
      <c r="Q402" t="inlineStr"/>
      <c r="R402" t="inlineStr"/>
      <c r="S402" t="inlineStr"/>
      <c r="T402" t="inlineStr"/>
      <c r="U402" t="inlineStr"/>
      <c r="V402" t="inlineStr"/>
      <c r="X402">
        <f>IFERROR(1/COUNTIF($I:$I,@$I:$I), 0)</f>
        <v/>
      </c>
    </row>
    <row r="403">
      <c r="A403">
        <f>HYPERLINK("https://drivetime.tpondemand.com/entity/145951", "145951")</f>
        <v/>
      </c>
      <c r="B403" t="inlineStr">
        <is>
          <t>DELETE [NEW PCO] Add first payment date to comment</t>
        </is>
      </c>
      <c r="C403" t="inlineStr">
        <is>
          <t>UserStory</t>
        </is>
      </c>
      <c r="D403" t="inlineStr">
        <is>
          <t>Servicing: BC Next</t>
        </is>
      </c>
      <c r="E403" t="inlineStr">
        <is>
          <t>BC Digital Wyvern</t>
        </is>
      </c>
      <c r="F403" t="inlineStr"/>
      <c r="G403" t="inlineStr"/>
      <c r="H403" t="inlineStr">
        <is>
          <t>[PLATFORM][Phase 2] Charged Off Self Service Experience</t>
        </is>
      </c>
      <c r="I403" t="inlineStr"/>
      <c r="K403" t="inlineStr"/>
      <c r="L403" t="inlineStr"/>
      <c r="M403" t="n">
        <v>0</v>
      </c>
      <c r="N403" t="inlineStr"/>
      <c r="O403" t="inlineStr">
        <is>
          <t>Icebox</t>
        </is>
      </c>
      <c r="P403" t="n">
        <v>0</v>
      </c>
      <c r="Q403" t="inlineStr"/>
      <c r="R403" t="inlineStr"/>
      <c r="S403" t="inlineStr"/>
      <c r="T403" t="inlineStr"/>
      <c r="U403" t="inlineStr"/>
      <c r="V403" t="inlineStr"/>
      <c r="X403">
        <f>IFERROR(1/COUNTIF($I:$I,@$I:$I), 0)</f>
        <v/>
      </c>
    </row>
    <row r="404">
      <c r="A404">
        <f>HYPERLINK("https://drivetime.tpondemand.com/entity/145952", "145952")</f>
        <v/>
      </c>
      <c r="B404" t="inlineStr">
        <is>
          <t>DELETE [NEW PCO] Persist from excel the new First Payment Date field to the database</t>
        </is>
      </c>
      <c r="C404" t="inlineStr">
        <is>
          <t>UserStory</t>
        </is>
      </c>
      <c r="D404" t="inlineStr">
        <is>
          <t>Servicing: BC Next</t>
        </is>
      </c>
      <c r="E404" t="inlineStr">
        <is>
          <t>BC Digital Wyvern</t>
        </is>
      </c>
      <c r="F404" t="inlineStr"/>
      <c r="G404" t="inlineStr"/>
      <c r="H404" t="inlineStr">
        <is>
          <t>[PLATFORM][Phase 2] Charged Off Self Service Experience</t>
        </is>
      </c>
      <c r="I404" t="inlineStr"/>
      <c r="K404" t="inlineStr"/>
      <c r="L404" t="inlineStr"/>
      <c r="M404" t="n">
        <v>0</v>
      </c>
      <c r="N404" t="inlineStr"/>
      <c r="O404" t="inlineStr">
        <is>
          <t>Icebox</t>
        </is>
      </c>
      <c r="P404" t="n">
        <v>0</v>
      </c>
      <c r="Q404" t="inlineStr"/>
      <c r="R404" t="inlineStr"/>
      <c r="S404" t="inlineStr"/>
      <c r="T404" t="inlineStr"/>
      <c r="U404" t="inlineStr"/>
      <c r="V404" t="inlineStr"/>
      <c r="X404">
        <f>IFERROR(1/COUNTIF($I:$I,@$I:$I), 0)</f>
        <v/>
      </c>
    </row>
    <row r="405">
      <c r="A405">
        <f>HYPERLINK("https://drivetime.tpondemand.com/entity/145953", "145953")</f>
        <v/>
      </c>
      <c r="B405" t="inlineStr">
        <is>
          <t>DELETE [NEW PCO] Create a process to persist terms in a production environment that can be consumed</t>
        </is>
      </c>
      <c r="C405" t="inlineStr">
        <is>
          <t>UserStory</t>
        </is>
      </c>
      <c r="D405" t="inlineStr">
        <is>
          <t>Servicing: BC Next</t>
        </is>
      </c>
      <c r="E405" t="inlineStr">
        <is>
          <t>BC Digital Wyvern</t>
        </is>
      </c>
      <c r="F405" t="inlineStr"/>
      <c r="G405" t="inlineStr"/>
      <c r="H405" t="inlineStr">
        <is>
          <t>[PLATFORM][Phase 2] Charged Off Self Service Experience</t>
        </is>
      </c>
      <c r="I405" t="inlineStr"/>
      <c r="K405" t="inlineStr"/>
      <c r="L405" t="inlineStr"/>
      <c r="M405" t="n">
        <v>0</v>
      </c>
      <c r="N405" t="inlineStr"/>
      <c r="O405" t="inlineStr">
        <is>
          <t>Icebox</t>
        </is>
      </c>
      <c r="P405" t="n">
        <v>0</v>
      </c>
      <c r="Q405" t="inlineStr"/>
      <c r="R405" t="inlineStr"/>
      <c r="S405" t="inlineStr"/>
      <c r="T405" t="inlineStr"/>
      <c r="U405" t="inlineStr"/>
      <c r="V405" t="inlineStr"/>
      <c r="X405">
        <f>IFERROR(1/COUNTIF($I:$I,@$I:$I), 0)</f>
        <v/>
      </c>
    </row>
    <row r="406">
      <c r="A406">
        <f>HYPERLINK("https://drivetime.tpondemand.com/entity/145955", "145955")</f>
        <v/>
      </c>
      <c r="B406" t="inlineStr">
        <is>
          <t>[New CO][1.0] Move customer vehicle into PCO route 'C91' systematically</t>
        </is>
      </c>
      <c r="C406" t="inlineStr">
        <is>
          <t>UserStory</t>
        </is>
      </c>
      <c r="D406" t="inlineStr">
        <is>
          <t>Servicing: BC Next</t>
        </is>
      </c>
      <c r="E406" t="inlineStr">
        <is>
          <t>BC Digital Wyvern</t>
        </is>
      </c>
      <c r="F406" t="inlineStr"/>
      <c r="G406" t="inlineStr"/>
      <c r="H406" t="inlineStr">
        <is>
          <t>[PLATFORM][Phase 2] Charged Off Self Service Experience</t>
        </is>
      </c>
      <c r="I406" t="inlineStr"/>
      <c r="K406" t="inlineStr"/>
      <c r="L406" t="inlineStr"/>
      <c r="M406" t="n">
        <v>0</v>
      </c>
      <c r="N406" t="inlineStr"/>
      <c r="O406" t="inlineStr">
        <is>
          <t>Icebox</t>
        </is>
      </c>
      <c r="P406" t="n">
        <v>0</v>
      </c>
      <c r="Q406" t="inlineStr"/>
      <c r="R406" t="inlineStr"/>
      <c r="S406" t="inlineStr"/>
      <c r="T406" t="inlineStr"/>
      <c r="U406" t="inlineStr"/>
      <c r="V406" t="inlineStr"/>
      <c r="X406">
        <f>IFERROR(1/COUNTIF($I:$I,@$I:$I), 0)</f>
        <v/>
      </c>
    </row>
    <row r="407">
      <c r="A407">
        <f>HYPERLINK("https://drivetime.tpondemand.com/entity/145956", "145956")</f>
        <v/>
      </c>
      <c r="B407" t="inlineStr">
        <is>
          <t>[PCO Member][2] Cancel plan when customer vehicle has been removed from 'C91' route</t>
        </is>
      </c>
      <c r="C407" t="inlineStr">
        <is>
          <t>UserStory</t>
        </is>
      </c>
      <c r="D407" t="inlineStr">
        <is>
          <t>Servicing: BC Next</t>
        </is>
      </c>
      <c r="E407" t="inlineStr">
        <is>
          <t>BC Digital Wyvern</t>
        </is>
      </c>
      <c r="F407" t="inlineStr"/>
      <c r="G407" t="inlineStr"/>
      <c r="H407" t="inlineStr">
        <is>
          <t>[PLATFORM][Phase 2] Charged Off Self Service Experience</t>
        </is>
      </c>
      <c r="I407" t="inlineStr"/>
      <c r="K407" t="inlineStr"/>
      <c r="L407" t="inlineStr"/>
      <c r="M407" t="n">
        <v>0</v>
      </c>
      <c r="N407" t="inlineStr"/>
      <c r="O407" t="inlineStr">
        <is>
          <t>Icebox</t>
        </is>
      </c>
      <c r="P407" t="n">
        <v>0</v>
      </c>
      <c r="Q407" t="inlineStr"/>
      <c r="R407" t="inlineStr"/>
      <c r="S407" t="inlineStr"/>
      <c r="T407" t="inlineStr"/>
      <c r="U407" t="inlineStr"/>
      <c r="V407" t="inlineStr"/>
      <c r="X407">
        <f>IFERROR(1/COUNTIF($I:$I,@$I:$I), 0)</f>
        <v/>
      </c>
    </row>
    <row r="408">
      <c r="A408">
        <f>HYPERLINK("https://drivetime.tpondemand.com/entity/146727", "146727")</f>
        <v/>
      </c>
      <c r="B408" t="inlineStr">
        <is>
          <t>[PCO Member][UX][2] Payment Plan Designs</t>
        </is>
      </c>
      <c r="C408" t="inlineStr">
        <is>
          <t>UserStory</t>
        </is>
      </c>
      <c r="D408" t="inlineStr">
        <is>
          <t>Servicing: BC Next</t>
        </is>
      </c>
      <c r="E408" t="inlineStr">
        <is>
          <t>BC Digital Wyvern</t>
        </is>
      </c>
      <c r="F408" t="inlineStr"/>
      <c r="G408" t="inlineStr"/>
      <c r="H408" t="inlineStr">
        <is>
          <t>[PLATFORM][Phase 2] Charged Off Self Service Experience</t>
        </is>
      </c>
      <c r="I408" t="inlineStr"/>
      <c r="K408" t="inlineStr"/>
      <c r="L408" t="inlineStr"/>
      <c r="M408" t="n">
        <v>0</v>
      </c>
      <c r="N408" t="inlineStr"/>
      <c r="O408" t="inlineStr">
        <is>
          <t>Icebox</t>
        </is>
      </c>
      <c r="P408" t="n">
        <v>0</v>
      </c>
      <c r="Q408" t="inlineStr"/>
      <c r="R408" t="inlineStr"/>
      <c r="S408" t="inlineStr"/>
      <c r="T408" t="inlineStr"/>
      <c r="U408" t="inlineStr"/>
      <c r="V408" t="inlineStr"/>
      <c r="X408">
        <f>IFERROR(1/COUNTIF($I:$I,@$I:$I), 0)</f>
        <v/>
      </c>
    </row>
    <row r="409">
      <c r="A409">
        <f>HYPERLINK("https://drivetime.tpondemand.com/entity/146728", "146728")</f>
        <v/>
      </c>
      <c r="B409" t="inlineStr">
        <is>
          <t>[New CO][UX][2] PCO Charge Off Dashboard Design</t>
        </is>
      </c>
      <c r="C409" t="inlineStr">
        <is>
          <t>UserStory</t>
        </is>
      </c>
      <c r="D409" t="inlineStr">
        <is>
          <t>Servicing: BC Next</t>
        </is>
      </c>
      <c r="E409" t="inlineStr">
        <is>
          <t>BC Digital Wyvern</t>
        </is>
      </c>
      <c r="F409" t="inlineStr"/>
      <c r="G409" t="inlineStr"/>
      <c r="H409" t="inlineStr">
        <is>
          <t>[PLATFORM][Phase 2] Charged Off Self Service Experience</t>
        </is>
      </c>
      <c r="I409" t="inlineStr"/>
      <c r="K409" t="inlineStr"/>
      <c r="L409" t="inlineStr"/>
      <c r="M409" t="n">
        <v>0</v>
      </c>
      <c r="N409" t="inlineStr"/>
      <c r="O409" t="inlineStr">
        <is>
          <t>Icebox</t>
        </is>
      </c>
      <c r="P409" t="n">
        <v>0</v>
      </c>
      <c r="Q409" t="inlineStr"/>
      <c r="R409" t="inlineStr"/>
      <c r="S409" t="inlineStr"/>
      <c r="T409" t="inlineStr"/>
      <c r="U409" t="inlineStr"/>
      <c r="V409" t="inlineStr"/>
      <c r="X409">
        <f>IFERROR(1/COUNTIF($I:$I,@$I:$I), 0)</f>
        <v/>
      </c>
    </row>
    <row r="410">
      <c r="A410">
        <f>HYPERLINK("https://drivetime.tpondemand.com/entity/146729", "146729")</f>
        <v/>
      </c>
      <c r="B410" t="inlineStr">
        <is>
          <t>[New CO][UX][2] Make a PCO Payment Design</t>
        </is>
      </c>
      <c r="C410" t="inlineStr">
        <is>
          <t>UserStory</t>
        </is>
      </c>
      <c r="D410" t="inlineStr">
        <is>
          <t>Servicing: BC Next</t>
        </is>
      </c>
      <c r="E410" t="inlineStr">
        <is>
          <t>BC Digital Wyvern</t>
        </is>
      </c>
      <c r="F410" t="inlineStr"/>
      <c r="G410" t="inlineStr"/>
      <c r="H410" t="inlineStr">
        <is>
          <t>[PLATFORM][Phase 2] Charged Off Self Service Experience</t>
        </is>
      </c>
      <c r="I410" t="inlineStr"/>
      <c r="K410" t="inlineStr"/>
      <c r="L410" t="inlineStr"/>
      <c r="M410" t="n">
        <v>0</v>
      </c>
      <c r="N410" t="inlineStr"/>
      <c r="O410" t="inlineStr">
        <is>
          <t>Icebox</t>
        </is>
      </c>
      <c r="P410" t="n">
        <v>0</v>
      </c>
      <c r="Q410" t="inlineStr"/>
      <c r="R410" t="inlineStr"/>
      <c r="S410" t="inlineStr"/>
      <c r="T410" t="inlineStr"/>
      <c r="U410" t="inlineStr"/>
      <c r="V410" t="inlineStr"/>
      <c r="X410">
        <f>IFERROR(1/COUNTIF($I:$I,@$I:$I), 0)</f>
        <v/>
      </c>
    </row>
    <row r="411">
      <c r="A411">
        <f>HYPERLINK("https://drivetime.tpondemand.com/entity/127641", "127641")</f>
        <v/>
      </c>
      <c r="B411" t="inlineStr">
        <is>
          <t>[RESEARCH SPIKE] Document existing Email campaign workflow</t>
        </is>
      </c>
      <c r="C411" t="inlineStr">
        <is>
          <t>UserStory</t>
        </is>
      </c>
      <c r="D411" t="inlineStr">
        <is>
          <t>BC Digital - 1:1:1</t>
        </is>
      </c>
      <c r="E411" t="inlineStr">
        <is>
          <t>BC Digital Comet</t>
        </is>
      </c>
      <c r="F411" t="inlineStr">
        <is>
          <t>11</t>
        </is>
      </c>
      <c r="G411" t="inlineStr">
        <is>
          <t>Akshay Golash and Marcus Rogers and Aditi Sharma</t>
        </is>
      </c>
      <c r="H411" t="inlineStr">
        <is>
          <t>1:1:1 Phase 1 - Technical Research</t>
        </is>
      </c>
      <c r="I411" t="n">
        <v>0</v>
      </c>
      <c r="J411" t="n">
        <v>6.205717592592593</v>
      </c>
      <c r="K411" t="inlineStr"/>
      <c r="L411" t="inlineStr"/>
      <c r="M411" t="n">
        <v>5</v>
      </c>
      <c r="N411" t="n">
        <v>127311</v>
      </c>
      <c r="O411" t="inlineStr">
        <is>
          <t>Done</t>
        </is>
      </c>
      <c r="P411" t="n">
        <v>0</v>
      </c>
      <c r="Q411" t="inlineStr">
        <is>
          <t>Comet 79</t>
        </is>
      </c>
      <c r="R411" t="inlineStr">
        <is>
          <t>2022-03-10</t>
        </is>
      </c>
      <c r="S411" t="inlineStr">
        <is>
          <t>2022-03-23</t>
        </is>
      </c>
      <c r="T411" t="inlineStr">
        <is>
          <t>Comet 79 : 2022-03-10 - 2022-03-23</t>
        </is>
      </c>
      <c r="U411" t="inlineStr">
        <is>
          <t>2022-03-14T00:00:00-05:00</t>
        </is>
      </c>
      <c r="V411" t="inlineStr">
        <is>
          <t>2022-03-14T00:00:00-05:00</t>
        </is>
      </c>
      <c r="W411" t="inlineStr">
        <is>
          <t>2022-03-14T20:19:41-05:00</t>
        </is>
      </c>
      <c r="X411">
        <f>IFERROR(1/COUNTIF($I:$I,@$I:$I), 0)</f>
        <v/>
      </c>
    </row>
    <row r="412">
      <c r="A412">
        <f>HYPERLINK("https://drivetime.tpondemand.com/entity/132801", "132801")</f>
        <v/>
      </c>
      <c r="B412" t="inlineStr">
        <is>
          <t>Research Business rules and Data Elements necessary to support our Mod email campaigns</t>
        </is>
      </c>
      <c r="C412" t="inlineStr">
        <is>
          <t>UserStory</t>
        </is>
      </c>
      <c r="D412" t="inlineStr">
        <is>
          <t>BC Digital - 1:1:1</t>
        </is>
      </c>
      <c r="E412" t="inlineStr">
        <is>
          <t>BC Digital Comet</t>
        </is>
      </c>
      <c r="F412" t="inlineStr">
        <is>
          <t>26</t>
        </is>
      </c>
      <c r="G412" t="inlineStr">
        <is>
          <t>Sushma Gurram and Aditi Sharma</t>
        </is>
      </c>
      <c r="H412" t="inlineStr">
        <is>
          <t>1:1:1 Phase 1 - Technical Research</t>
        </is>
      </c>
      <c r="I412" t="n">
        <v>1</v>
      </c>
      <c r="J412" t="n">
        <v>19.9977662037037</v>
      </c>
      <c r="K412" t="inlineStr"/>
      <c r="L412" t="inlineStr"/>
      <c r="M412" t="n">
        <v>5</v>
      </c>
      <c r="N412" t="n">
        <v>127318</v>
      </c>
      <c r="O412" t="inlineStr">
        <is>
          <t>Done</t>
        </is>
      </c>
      <c r="P412" t="n">
        <v>0</v>
      </c>
      <c r="Q412" t="inlineStr">
        <is>
          <t>Comet 86</t>
        </is>
      </c>
      <c r="R412" t="inlineStr">
        <is>
          <t>2022-06-16</t>
        </is>
      </c>
      <c r="S412" t="inlineStr">
        <is>
          <t>2022-06-29</t>
        </is>
      </c>
      <c r="T412" t="inlineStr">
        <is>
          <t>Comet 86 : 2022-06-16 - 2022-06-29</t>
        </is>
      </c>
      <c r="U412" t="inlineStr">
        <is>
          <t>2022-06-30T00:00:00-05:00</t>
        </is>
      </c>
      <c r="V412" t="inlineStr">
        <is>
          <t>2022-06-29T00:00:00-05:00</t>
        </is>
      </c>
      <c r="W412" t="inlineStr">
        <is>
          <t>2022-06-30T11:18:26-05:00</t>
        </is>
      </c>
      <c r="X412">
        <f>IFERROR(1/COUNTIF($I:$I,@$I:$I), 0)</f>
        <v/>
      </c>
    </row>
    <row r="413">
      <c r="A413">
        <f>HYPERLINK("https://drivetime.tpondemand.com/entity/133612", "133612")</f>
        <v/>
      </c>
      <c r="B413" t="inlineStr">
        <is>
          <t>Research Business rules and Data Elements necessary to support our Collections email campaigns</t>
        </is>
      </c>
      <c r="C413" t="inlineStr">
        <is>
          <t>UserStory</t>
        </is>
      </c>
      <c r="D413" t="inlineStr">
        <is>
          <t>BC Digital - 1:1:1</t>
        </is>
      </c>
      <c r="E413" t="inlineStr">
        <is>
          <t>BC Digital Comet</t>
        </is>
      </c>
      <c r="F413" t="inlineStr">
        <is>
          <t>30</t>
        </is>
      </c>
      <c r="G413" t="inlineStr">
        <is>
          <t>Sushma Gurram</t>
        </is>
      </c>
      <c r="H413" t="inlineStr">
        <is>
          <t>1:1:1 Phase 1 - Technical Research</t>
        </is>
      </c>
      <c r="I413" t="n">
        <v>1</v>
      </c>
      <c r="J413" t="n">
        <v>12.84609953703704</v>
      </c>
      <c r="K413" t="inlineStr"/>
      <c r="L413" t="inlineStr"/>
      <c r="M413" t="n">
        <v>5</v>
      </c>
      <c r="N413" t="n">
        <v>127320</v>
      </c>
      <c r="O413" t="inlineStr">
        <is>
          <t>Done</t>
        </is>
      </c>
      <c r="P413" t="n">
        <v>0</v>
      </c>
      <c r="Q413" t="inlineStr">
        <is>
          <t>Comet 88</t>
        </is>
      </c>
      <c r="R413" t="inlineStr">
        <is>
          <t>2022-07-14</t>
        </is>
      </c>
      <c r="S413" t="inlineStr">
        <is>
          <t>2022-07-27</t>
        </is>
      </c>
      <c r="T413" t="inlineStr">
        <is>
          <t>Comet 88 : 2022-07-14 - 2022-07-27</t>
        </is>
      </c>
      <c r="U413" t="inlineStr">
        <is>
          <t>2022-07-28T00:00:00-05:00</t>
        </is>
      </c>
      <c r="V413" t="inlineStr">
        <is>
          <t>2022-07-27T00:00:00-05:00</t>
        </is>
      </c>
      <c r="W413" t="inlineStr">
        <is>
          <t>2022-07-28T10:35:10-05:00</t>
        </is>
      </c>
      <c r="X413">
        <f>IFERROR(1/COUNTIF($I:$I,@$I:$I), 0)</f>
        <v/>
      </c>
    </row>
    <row r="414">
      <c r="A414">
        <f>HYPERLINK("https://drivetime.tpondemand.com/entity/133804", "133804")</f>
        <v/>
      </c>
      <c r="B414" t="inlineStr">
        <is>
          <t>Research Business rules and Data Elements necessary to support our Clear Credit email campaigns</t>
        </is>
      </c>
      <c r="C414" t="inlineStr">
        <is>
          <t>UserStory</t>
        </is>
      </c>
      <c r="D414" t="inlineStr">
        <is>
          <t>BC Digital - 1:1:1</t>
        </is>
      </c>
      <c r="E414" t="inlineStr">
        <is>
          <t>BC Digital Comet</t>
        </is>
      </c>
      <c r="F414" t="inlineStr">
        <is>
          <t>28</t>
        </is>
      </c>
      <c r="G414" t="inlineStr">
        <is>
          <t>Sushma Gurram</t>
        </is>
      </c>
      <c r="H414" t="inlineStr">
        <is>
          <t>1:1:1 Phase 1 - Technical Research</t>
        </is>
      </c>
      <c r="I414" t="n">
        <v>0</v>
      </c>
      <c r="J414" t="n">
        <v>9.164930555555555</v>
      </c>
      <c r="K414" t="inlineStr"/>
      <c r="L414" t="inlineStr"/>
      <c r="M414" t="n">
        <v>5</v>
      </c>
      <c r="N414" t="n">
        <v>127319</v>
      </c>
      <c r="O414" t="inlineStr">
        <is>
          <t>Done</t>
        </is>
      </c>
      <c r="P414" t="n">
        <v>0</v>
      </c>
      <c r="Q414" t="inlineStr">
        <is>
          <t>Comet 87</t>
        </is>
      </c>
      <c r="R414" t="inlineStr">
        <is>
          <t>2022-06-30</t>
        </is>
      </c>
      <c r="S414" t="inlineStr">
        <is>
          <t>2022-07-13</t>
        </is>
      </c>
      <c r="T414" t="inlineStr">
        <is>
          <t>Comet 87 : 2022-06-30 - 2022-07-13</t>
        </is>
      </c>
      <c r="U414" t="inlineStr">
        <is>
          <t>2022-07-14T00:00:00-05:00</t>
        </is>
      </c>
      <c r="V414" t="inlineStr">
        <is>
          <t>2022-07-14T00:00:00-05:00</t>
        </is>
      </c>
      <c r="W414" t="inlineStr">
        <is>
          <t>2022-07-14T17:20:59-05:00</t>
        </is>
      </c>
      <c r="X414">
        <f>IFERROR(1/COUNTIF($I:$I,@$I:$I), 0)</f>
        <v/>
      </c>
    </row>
    <row r="415">
      <c r="A415">
        <f>HYPERLINK("https://drivetime.tpondemand.com/entity/133807", "133807")</f>
        <v/>
      </c>
      <c r="B415" t="inlineStr">
        <is>
          <t>Research Business rules and Data Elements necessary to support our Payment email campaigns</t>
        </is>
      </c>
      <c r="C415" t="inlineStr">
        <is>
          <t>UserStory</t>
        </is>
      </c>
      <c r="D415" t="inlineStr">
        <is>
          <t>BC Digital - 1:1:1</t>
        </is>
      </c>
      <c r="E415" t="inlineStr">
        <is>
          <t>BC Digital Comet</t>
        </is>
      </c>
      <c r="F415" t="inlineStr">
        <is>
          <t>35</t>
        </is>
      </c>
      <c r="G415" t="inlineStr">
        <is>
          <t>Sushma Gurram</t>
        </is>
      </c>
      <c r="H415" t="inlineStr">
        <is>
          <t>1:1:1 Phase 1 - Technical Research</t>
        </is>
      </c>
      <c r="I415" t="n">
        <v>1</v>
      </c>
      <c r="J415" t="n">
        <v>13.02086805555555</v>
      </c>
      <c r="K415" t="inlineStr"/>
      <c r="L415" t="inlineStr"/>
      <c r="M415" t="n">
        <v>5</v>
      </c>
      <c r="N415" t="n">
        <v>127323</v>
      </c>
      <c r="O415" t="inlineStr">
        <is>
          <t>Done</t>
        </is>
      </c>
      <c r="P415" t="n">
        <v>0</v>
      </c>
      <c r="Q415" t="inlineStr">
        <is>
          <t>Comet 91</t>
        </is>
      </c>
      <c r="R415" t="inlineStr">
        <is>
          <t>2022-08-25</t>
        </is>
      </c>
      <c r="S415" t="inlineStr">
        <is>
          <t>2022-09-07</t>
        </is>
      </c>
      <c r="T415" t="inlineStr">
        <is>
          <t>Comet 91 : 2022-08-25 - 2022-09-07</t>
        </is>
      </c>
      <c r="U415" t="inlineStr">
        <is>
          <t>2022-08-31T00:00:00-05:00</t>
        </is>
      </c>
      <c r="V415" t="inlineStr">
        <is>
          <t>2022-08-30T00:00:00-05:00</t>
        </is>
      </c>
      <c r="W415" t="inlineStr">
        <is>
          <t>2022-08-31T11:15:10-05:00</t>
        </is>
      </c>
      <c r="X415">
        <f>IFERROR(1/COUNTIF($I:$I,@$I:$I), 0)</f>
        <v/>
      </c>
    </row>
    <row r="416">
      <c r="A416">
        <f>HYPERLINK("https://drivetime.tpondemand.com/entity/135902", "135902")</f>
        <v/>
      </c>
      <c r="B416" t="inlineStr">
        <is>
          <t>Research Business rules and Data Elements necessary to support our Clear Repo email campaigns</t>
        </is>
      </c>
      <c r="C416" t="inlineStr">
        <is>
          <t>UserStory</t>
        </is>
      </c>
      <c r="D416" t="inlineStr">
        <is>
          <t>BC Digital - 1:1:1</t>
        </is>
      </c>
      <c r="E416" t="inlineStr">
        <is>
          <t>BC Digital Comet</t>
        </is>
      </c>
      <c r="F416" t="inlineStr">
        <is>
          <t>32</t>
        </is>
      </c>
      <c r="G416" t="inlineStr">
        <is>
          <t>Sushma Gurram</t>
        </is>
      </c>
      <c r="H416" t="inlineStr">
        <is>
          <t>1:1:1 Phase 1 - Technical Research</t>
        </is>
      </c>
      <c r="I416" t="n">
        <v>1</v>
      </c>
      <c r="J416" t="n">
        <v>12.00662037037037</v>
      </c>
      <c r="K416" t="inlineStr"/>
      <c r="L416" t="inlineStr"/>
      <c r="M416" t="n">
        <v>5</v>
      </c>
      <c r="N416" t="n">
        <v>127321</v>
      </c>
      <c r="O416" t="inlineStr">
        <is>
          <t>Done</t>
        </is>
      </c>
      <c r="P416" t="n">
        <v>0</v>
      </c>
      <c r="Q416" t="inlineStr">
        <is>
          <t>Comet 89</t>
        </is>
      </c>
      <c r="R416" t="inlineStr">
        <is>
          <t>2022-07-28</t>
        </is>
      </c>
      <c r="S416" t="inlineStr">
        <is>
          <t>2022-08-10</t>
        </is>
      </c>
      <c r="T416" t="inlineStr">
        <is>
          <t>Comet 89 : 2022-07-28 - 2022-08-10</t>
        </is>
      </c>
      <c r="U416" t="inlineStr">
        <is>
          <t>2022-08-10T00:00:00-05:00</t>
        </is>
      </c>
      <c r="V416" t="inlineStr">
        <is>
          <t>2022-08-09T00:00:00-05:00</t>
        </is>
      </c>
      <c r="W416" t="inlineStr">
        <is>
          <t>2022-08-10T11:21:00-05:00</t>
        </is>
      </c>
      <c r="X416">
        <f>IFERROR(1/COUNTIF($I:$I,@$I:$I), 0)</f>
        <v/>
      </c>
    </row>
    <row r="417">
      <c r="A417">
        <f>HYPERLINK("https://drivetime.tpondemand.com/entity/143443", "143443")</f>
        <v/>
      </c>
      <c r="B417" t="inlineStr">
        <is>
          <t>Research look and feel configurations</t>
        </is>
      </c>
      <c r="C417" t="inlineStr">
        <is>
          <t>UserStory</t>
        </is>
      </c>
      <c r="D417" t="inlineStr">
        <is>
          <t>BC Digital - 1:1:1</t>
        </is>
      </c>
      <c r="E417" t="inlineStr">
        <is>
          <t>BC Digital Comet</t>
        </is>
      </c>
      <c r="F417" t="inlineStr">
        <is>
          <t>48</t>
        </is>
      </c>
      <c r="G417" t="inlineStr">
        <is>
          <t>Daniel Verhagen</t>
        </is>
      </c>
      <c r="H417" t="inlineStr">
        <is>
          <t>[COMMUNICATIONS] TWT Widget and Campaigns in Genesys</t>
        </is>
      </c>
      <c r="I417" t="n">
        <v>5</v>
      </c>
      <c r="J417" t="n">
        <v>14.99537037037037</v>
      </c>
      <c r="K417" t="inlineStr"/>
      <c r="L417" t="inlineStr"/>
      <c r="M417" t="n">
        <v>5</v>
      </c>
      <c r="N417" t="n">
        <v>127329</v>
      </c>
      <c r="O417" t="inlineStr">
        <is>
          <t>Done</t>
        </is>
      </c>
      <c r="P417" t="n">
        <v>0</v>
      </c>
      <c r="Q417" t="inlineStr">
        <is>
          <t>Comet 97</t>
        </is>
      </c>
      <c r="R417" t="inlineStr">
        <is>
          <t>2022-11-17</t>
        </is>
      </c>
      <c r="S417" t="inlineStr">
        <is>
          <t>2022-11-30</t>
        </is>
      </c>
      <c r="T417" t="inlineStr">
        <is>
          <t>Comet 97 : 2022-11-17 - 2022-11-30</t>
        </is>
      </c>
      <c r="U417" t="inlineStr">
        <is>
          <t>2022-11-30T00:00:00-06:00</t>
        </is>
      </c>
      <c r="V417" t="inlineStr">
        <is>
          <t>2022-11-25T00:00:00-06:00</t>
        </is>
      </c>
      <c r="W417" t="inlineStr">
        <is>
          <t>2022-11-30T10:20:10-06:00</t>
        </is>
      </c>
      <c r="X417">
        <f>IFERROR(1/COUNTIF($I:$I,@$I:$I), 0)</f>
        <v/>
      </c>
    </row>
    <row r="418">
      <c r="A418">
        <f>HYPERLINK("https://drivetime.tpondemand.com/entity/143444", "143444")</f>
        <v/>
      </c>
      <c r="B418" t="inlineStr">
        <is>
          <t>Research BE events</t>
        </is>
      </c>
      <c r="C418" t="inlineStr">
        <is>
          <t>UserStory</t>
        </is>
      </c>
      <c r="D418" t="inlineStr">
        <is>
          <t>BC Digital - 1:1:1</t>
        </is>
      </c>
      <c r="E418" t="inlineStr">
        <is>
          <t>BC Digital Comet</t>
        </is>
      </c>
      <c r="F418" t="inlineStr">
        <is>
          <t>51</t>
        </is>
      </c>
      <c r="G418" t="inlineStr">
        <is>
          <t>Daniel Verhagen</t>
        </is>
      </c>
      <c r="H418" t="inlineStr">
        <is>
          <t>[COMMUNICATIONS] TWT Widget and Campaigns in Genesys</t>
        </is>
      </c>
      <c r="I418" t="n">
        <v>6</v>
      </c>
      <c r="J418" t="n">
        <v>21.09409722222222</v>
      </c>
      <c r="K418" t="inlineStr"/>
      <c r="L418" t="inlineStr"/>
      <c r="M418" t="n">
        <v>5</v>
      </c>
      <c r="N418" t="n">
        <v>127330</v>
      </c>
      <c r="O418" t="inlineStr">
        <is>
          <t>Done</t>
        </is>
      </c>
      <c r="P418" t="n">
        <v>0</v>
      </c>
      <c r="Q418" t="inlineStr">
        <is>
          <t>Comet 98</t>
        </is>
      </c>
      <c r="R418" t="inlineStr">
        <is>
          <t>2022-12-01</t>
        </is>
      </c>
      <c r="S418" t="inlineStr">
        <is>
          <t>2022-12-14</t>
        </is>
      </c>
      <c r="T418" t="inlineStr">
        <is>
          <t>Comet 98 : 2022-12-01 - 2022-12-14</t>
        </is>
      </c>
      <c r="U418" t="inlineStr">
        <is>
          <t>2022-12-22T00:00:00-06:00</t>
        </is>
      </c>
      <c r="V418" t="inlineStr">
        <is>
          <t>2022-12-16T00:00:00-06:00</t>
        </is>
      </c>
      <c r="W418" t="inlineStr">
        <is>
          <t>2022-12-22T15:37:34-06:00</t>
        </is>
      </c>
      <c r="X418">
        <f>IFERROR(1/COUNTIF($I:$I,@$I:$I), 0)</f>
        <v/>
      </c>
    </row>
    <row r="419">
      <c r="A419">
        <f>HYPERLINK("https://drivetime.tpondemand.com/entity/143445", "143445")</f>
        <v/>
      </c>
      <c r="B419" t="inlineStr">
        <is>
          <t>Research existing Quick Pay functionality</t>
        </is>
      </c>
      <c r="C419" t="inlineStr">
        <is>
          <t>UserStory</t>
        </is>
      </c>
      <c r="D419" t="inlineStr">
        <is>
          <t>BC Digital - 1:1:1</t>
        </is>
      </c>
      <c r="E419" t="inlineStr">
        <is>
          <t>BC Digital Comet</t>
        </is>
      </c>
      <c r="F419" t="inlineStr"/>
      <c r="G419" t="inlineStr">
        <is>
          <t>Marcus Rogers and Daniel Verhagen</t>
        </is>
      </c>
      <c r="H419" t="inlineStr">
        <is>
          <t>[COMMUNICATIONS] TWT Widget and Campaigns in Genesys</t>
        </is>
      </c>
      <c r="I419" t="inlineStr"/>
      <c r="J419" t="n">
        <v>5.900415554723379</v>
      </c>
      <c r="K419" t="inlineStr"/>
      <c r="L419" t="inlineStr"/>
      <c r="M419" t="n">
        <v>5</v>
      </c>
      <c r="N419" t="n">
        <v>127331</v>
      </c>
      <c r="O419" t="inlineStr">
        <is>
          <t>In Progress</t>
        </is>
      </c>
      <c r="P419" t="n">
        <v>0</v>
      </c>
      <c r="Q419" t="inlineStr">
        <is>
          <t>Comet 99</t>
        </is>
      </c>
      <c r="R419" t="inlineStr">
        <is>
          <t>2022-12-15</t>
        </is>
      </c>
      <c r="S419" t="inlineStr">
        <is>
          <t>2022-12-28</t>
        </is>
      </c>
      <c r="T419" t="inlineStr">
        <is>
          <t>Comet 99 : 2022-12-15 - 2022-12-28</t>
        </is>
      </c>
      <c r="U419" t="inlineStr"/>
      <c r="V419" t="inlineStr"/>
      <c r="X419">
        <f>IFERROR(1/COUNTIF($I:$I,@$I:$I), 0)</f>
        <v/>
      </c>
    </row>
    <row r="420">
      <c r="A420">
        <f>HYPERLINK("https://drivetime.tpondemand.com/entity/143673", "143673")</f>
        <v/>
      </c>
      <c r="B420" t="inlineStr">
        <is>
          <t>[BCNext] Support Payment DropOff Email Test</t>
        </is>
      </c>
      <c r="C420" t="inlineStr">
        <is>
          <t>UserStory</t>
        </is>
      </c>
      <c r="D420" t="inlineStr">
        <is>
          <t>BC Digital - 1:1:1</t>
        </is>
      </c>
      <c r="E420" t="inlineStr">
        <is>
          <t>BC Digital Comet</t>
        </is>
      </c>
      <c r="F420" t="inlineStr"/>
      <c r="G420" t="inlineStr">
        <is>
          <t>Aditi Sharma</t>
        </is>
      </c>
      <c r="H420" t="inlineStr">
        <is>
          <t>Trigger Based Message Text</t>
        </is>
      </c>
      <c r="I420" t="inlineStr"/>
      <c r="K420" t="inlineStr"/>
      <c r="L420" t="inlineStr"/>
      <c r="M420" t="n">
        <v>5</v>
      </c>
      <c r="N420" t="inlineStr"/>
      <c r="O420" t="inlineStr">
        <is>
          <t>Backlog</t>
        </is>
      </c>
      <c r="P420" t="n">
        <v>0</v>
      </c>
      <c r="Q420" t="inlineStr"/>
      <c r="R420" t="inlineStr"/>
      <c r="S420" t="inlineStr"/>
      <c r="T420" t="inlineStr"/>
      <c r="U420" t="inlineStr"/>
      <c r="V420" t="inlineStr"/>
      <c r="X420">
        <f>IFERROR(1/COUNTIF($I:$I,@$I:$I), 0)</f>
        <v/>
      </c>
    </row>
    <row r="421">
      <c r="A421">
        <f>HYPERLINK("https://drivetime.tpondemand.com/entity/143675", "143675")</f>
        <v/>
      </c>
      <c r="B421" t="inlineStr">
        <is>
          <t>Automate Clear Charge Off Emails</t>
        </is>
      </c>
      <c r="C421" t="inlineStr">
        <is>
          <t>UserStory</t>
        </is>
      </c>
      <c r="D421" t="inlineStr">
        <is>
          <t>BC Digital - 1:1:1</t>
        </is>
      </c>
      <c r="E421" t="inlineStr">
        <is>
          <t>BC Digital Comet</t>
        </is>
      </c>
      <c r="F421" t="inlineStr"/>
      <c r="G421" t="inlineStr"/>
      <c r="H421" t="inlineStr">
        <is>
          <t>[COMMUNICATIONS] Automate Clear Charge Off Emails</t>
        </is>
      </c>
      <c r="I421" t="inlineStr"/>
      <c r="K421" t="inlineStr"/>
      <c r="L421" t="inlineStr"/>
      <c r="M421" t="n">
        <v>5</v>
      </c>
      <c r="N421" t="inlineStr"/>
      <c r="O421" t="inlineStr">
        <is>
          <t>Backlog</t>
        </is>
      </c>
      <c r="P421" t="n">
        <v>0</v>
      </c>
      <c r="Q421" t="inlineStr"/>
      <c r="R421" t="inlineStr"/>
      <c r="S421" t="inlineStr"/>
      <c r="T421" t="inlineStr"/>
      <c r="U421" t="inlineStr"/>
      <c r="V421" t="inlineStr"/>
      <c r="X421">
        <f>IFERROR(1/COUNTIF($I:$I,@$I:$I), 0)</f>
        <v/>
      </c>
    </row>
    <row r="422">
      <c r="A422">
        <f>HYPERLINK("https://drivetime.tpondemand.com/entity/135052", "135052")</f>
        <v/>
      </c>
      <c r="B422" t="inlineStr">
        <is>
          <t>Research New Twilio Shortlink Pilot</t>
        </is>
      </c>
      <c r="C422" t="inlineStr">
        <is>
          <t>UserStory</t>
        </is>
      </c>
      <c r="D422" t="inlineStr">
        <is>
          <t>BC Digital - 1:1:1</t>
        </is>
      </c>
      <c r="E422" t="inlineStr">
        <is>
          <t>BC Digital Comet</t>
        </is>
      </c>
      <c r="F422" t="inlineStr">
        <is>
          <t>28</t>
        </is>
      </c>
      <c r="G422" t="inlineStr">
        <is>
          <t>Akshay Golash</t>
        </is>
      </c>
      <c r="H422" t="inlineStr">
        <is>
          <t>Redesign Extension and Payment Frequency Communication Experience</t>
        </is>
      </c>
      <c r="I422" t="n">
        <v>2</v>
      </c>
      <c r="J422" t="n">
        <v>13.83930555555555</v>
      </c>
      <c r="K422" t="inlineStr"/>
      <c r="L422" t="inlineStr"/>
      <c r="M422" t="n">
        <v>3</v>
      </c>
      <c r="N422" t="n">
        <v>127319</v>
      </c>
      <c r="O422" t="inlineStr">
        <is>
          <t>Done</t>
        </is>
      </c>
      <c r="P422" t="n">
        <v>0</v>
      </c>
      <c r="Q422" t="inlineStr">
        <is>
          <t>Comet 87</t>
        </is>
      </c>
      <c r="R422" t="inlineStr">
        <is>
          <t>2022-06-30</t>
        </is>
      </c>
      <c r="S422" t="inlineStr">
        <is>
          <t>2022-07-13</t>
        </is>
      </c>
      <c r="T422" t="inlineStr">
        <is>
          <t>Comet 87 : 2022-06-30 - 2022-07-13</t>
        </is>
      </c>
      <c r="U422" t="inlineStr">
        <is>
          <t>2022-07-15T00:00:00-05:00</t>
        </is>
      </c>
      <c r="V422" t="inlineStr">
        <is>
          <t>2022-07-13T00:00:00-05:00</t>
        </is>
      </c>
      <c r="W422" t="inlineStr">
        <is>
          <t>2022-07-15T11:08:53-05:00</t>
        </is>
      </c>
      <c r="X422">
        <f>IFERROR(1/COUNTIF($I:$I,@$I:$I), 0)</f>
        <v/>
      </c>
    </row>
    <row r="423">
      <c r="A423">
        <f>HYPERLINK("https://drivetime.tpondemand.com/entity/143668", "143668")</f>
        <v/>
      </c>
      <c r="B423" t="inlineStr">
        <is>
          <t>Implement updated verbiage to text campaigns</t>
        </is>
      </c>
      <c r="C423" t="inlineStr">
        <is>
          <t>UserStory</t>
        </is>
      </c>
      <c r="D423" t="inlineStr">
        <is>
          <t>BC Digital - 1:1:1</t>
        </is>
      </c>
      <c r="E423" t="inlineStr">
        <is>
          <t>BC Digital Comet</t>
        </is>
      </c>
      <c r="F423" t="inlineStr"/>
      <c r="G423" t="inlineStr">
        <is>
          <t>Sushma Gurram</t>
        </is>
      </c>
      <c r="H423" t="inlineStr">
        <is>
          <t>[COMMUNICATIONS] Bridgecrest as Servicer clarity</t>
        </is>
      </c>
      <c r="I423" t="inlineStr"/>
      <c r="J423" t="n">
        <v>20.90704749916782</v>
      </c>
      <c r="K423">
        <f>HYPERLINK("https://drivetime.tpondemand.com/entity/147179", "147179")</f>
        <v/>
      </c>
      <c r="L423" t="inlineStr"/>
      <c r="M423" t="n">
        <v>3</v>
      </c>
      <c r="N423" t="n">
        <v>127331</v>
      </c>
      <c r="O423" t="inlineStr">
        <is>
          <t>Ready for Deploy</t>
        </is>
      </c>
      <c r="P423" t="n">
        <v>0</v>
      </c>
      <c r="Q423" t="inlineStr">
        <is>
          <t>Comet 99</t>
        </is>
      </c>
      <c r="R423" t="inlineStr">
        <is>
          <t>2022-12-15</t>
        </is>
      </c>
      <c r="S423" t="inlineStr">
        <is>
          <t>2022-12-28</t>
        </is>
      </c>
      <c r="T423" t="inlineStr">
        <is>
          <t>Comet 99 : 2022-12-15 - 2022-12-28</t>
        </is>
      </c>
      <c r="U423" t="inlineStr"/>
      <c r="V423" t="inlineStr">
        <is>
          <t>2022-12-22T00:00:00-06:00</t>
        </is>
      </c>
      <c r="X423">
        <f>IFERROR(1/COUNTIF($I:$I,@$I:$I), 0)</f>
        <v/>
      </c>
    </row>
    <row r="424">
      <c r="A424">
        <f>HYPERLINK("https://drivetime.tpondemand.com/entity/143671", "143671")</f>
        <v/>
      </c>
      <c r="B424" t="inlineStr">
        <is>
          <t>Add 3 Texts to the MMS pipeline</t>
        </is>
      </c>
      <c r="C424" t="inlineStr">
        <is>
          <t>UserStory</t>
        </is>
      </c>
      <c r="D424" t="inlineStr">
        <is>
          <t>BC Digital - 1:1:1</t>
        </is>
      </c>
      <c r="E424" t="inlineStr">
        <is>
          <t>BC Digital Comet</t>
        </is>
      </c>
      <c r="F424" t="inlineStr">
        <is>
          <t>51</t>
        </is>
      </c>
      <c r="G424" t="inlineStr">
        <is>
          <t>Aditi Sharma</t>
        </is>
      </c>
      <c r="H424" t="inlineStr">
        <is>
          <t>[COMMUNICATIONS] Automate Analytics Semi-Monthly OWT</t>
        </is>
      </c>
      <c r="I424" t="n">
        <v>0</v>
      </c>
      <c r="J424" t="n">
        <v>6.896944444444444</v>
      </c>
      <c r="K424" t="inlineStr"/>
      <c r="L424" t="inlineStr"/>
      <c r="M424" t="n">
        <v>3</v>
      </c>
      <c r="N424" t="n">
        <v>127331</v>
      </c>
      <c r="O424" t="inlineStr">
        <is>
          <t>Done</t>
        </is>
      </c>
      <c r="P424" t="n">
        <v>0</v>
      </c>
      <c r="Q424" t="inlineStr">
        <is>
          <t>Comet 99</t>
        </is>
      </c>
      <c r="R424" t="inlineStr">
        <is>
          <t>2022-12-15</t>
        </is>
      </c>
      <c r="S424" t="inlineStr">
        <is>
          <t>2022-12-28</t>
        </is>
      </c>
      <c r="T424" t="inlineStr">
        <is>
          <t>Comet 99 : 2022-12-15 - 2022-12-28</t>
        </is>
      </c>
      <c r="U424" t="inlineStr">
        <is>
          <t>2022-12-22T00:00:00-06:00</t>
        </is>
      </c>
      <c r="V424" t="inlineStr">
        <is>
          <t>2022-12-22T00:00:00-06:00</t>
        </is>
      </c>
      <c r="W424" t="inlineStr">
        <is>
          <t>2022-12-22T10:26:43-06:00</t>
        </is>
      </c>
      <c r="X424">
        <f>IFERROR(1/COUNTIF($I:$I,@$I:$I), 0)</f>
        <v/>
      </c>
    </row>
    <row r="425">
      <c r="A425">
        <f>HYPERLINK("https://drivetime.tpondemand.com/entity/144130", "144130")</f>
        <v/>
      </c>
      <c r="B425" t="inlineStr">
        <is>
          <t>Fix (fka) CACS Comments for the Clear Charge Off Email Process</t>
        </is>
      </c>
      <c r="C425" t="inlineStr">
        <is>
          <t>UserStory</t>
        </is>
      </c>
      <c r="D425" t="inlineStr">
        <is>
          <t>BC Digital - 1:1:1</t>
        </is>
      </c>
      <c r="E425" t="inlineStr">
        <is>
          <t>BC Digital Comet</t>
        </is>
      </c>
      <c r="F425" t="inlineStr">
        <is>
          <t>47</t>
        </is>
      </c>
      <c r="G425" t="inlineStr">
        <is>
          <t>Sushma Gurram</t>
        </is>
      </c>
      <c r="H425" t="inlineStr">
        <is>
          <t>[COMMUNICATIONS] Automate Clear Charge Off Emails</t>
        </is>
      </c>
      <c r="I425" t="n">
        <v>0</v>
      </c>
      <c r="J425" t="n">
        <v>3.2334375</v>
      </c>
      <c r="K425" t="inlineStr"/>
      <c r="L425" t="inlineStr"/>
      <c r="M425" t="n">
        <v>2</v>
      </c>
      <c r="N425" t="n">
        <v>127329</v>
      </c>
      <c r="O425" t="inlineStr">
        <is>
          <t>Done</t>
        </is>
      </c>
      <c r="P425" t="n">
        <v>0</v>
      </c>
      <c r="Q425" t="inlineStr">
        <is>
          <t>Comet 97</t>
        </is>
      </c>
      <c r="R425" t="inlineStr">
        <is>
          <t>2022-11-17</t>
        </is>
      </c>
      <c r="S425" t="inlineStr">
        <is>
          <t>2022-11-30</t>
        </is>
      </c>
      <c r="T425" t="inlineStr">
        <is>
          <t>Comet 97 : 2022-11-17 - 2022-11-30</t>
        </is>
      </c>
      <c r="U425" t="inlineStr">
        <is>
          <t>2022-11-21T00:00:00-06:00</t>
        </is>
      </c>
      <c r="V425" t="inlineStr">
        <is>
          <t>2022-11-21T00:00:00-06:00</t>
        </is>
      </c>
      <c r="W425" t="inlineStr">
        <is>
          <t>2022-11-21T15:34:41-06:00</t>
        </is>
      </c>
      <c r="X425">
        <f>IFERROR(1/COUNTIF($I:$I,@$I:$I), 0)</f>
        <v/>
      </c>
    </row>
    <row r="426">
      <c r="A426">
        <f>HYPERLINK("https://drivetime.tpondemand.com/entity/133814", "133814")</f>
        <v/>
      </c>
      <c r="B426" t="inlineStr">
        <is>
          <t>Segment Research</t>
        </is>
      </c>
      <c r="C426" t="inlineStr">
        <is>
          <t>UserStory</t>
        </is>
      </c>
      <c r="D426" t="inlineStr">
        <is>
          <t>BC Digital - 1:1:1</t>
        </is>
      </c>
      <c r="E426" t="inlineStr">
        <is>
          <t>BC Digital Wyvern</t>
        </is>
      </c>
      <c r="F426" t="inlineStr">
        <is>
          <t>28</t>
        </is>
      </c>
      <c r="G426" t="inlineStr">
        <is>
          <t>Jonathan Escamilla and Isaac Ng and Jajati Routray</t>
        </is>
      </c>
      <c r="H426" t="inlineStr">
        <is>
          <t>1:1:1 Phase 1 - Technical Research</t>
        </is>
      </c>
      <c r="I426" t="n">
        <v>7</v>
      </c>
      <c r="J426" t="n">
        <v>25.99270833333333</v>
      </c>
      <c r="K426" t="inlineStr"/>
      <c r="L426" t="inlineStr"/>
      <c r="M426" t="n">
        <v>5</v>
      </c>
      <c r="N426" t="n">
        <v>127343</v>
      </c>
      <c r="O426" t="inlineStr">
        <is>
          <t>Done</t>
        </is>
      </c>
      <c r="P426" t="n">
        <v>0</v>
      </c>
      <c r="Q426" t="inlineStr">
        <is>
          <t>Wyvern 25</t>
        </is>
      </c>
      <c r="R426" t="inlineStr">
        <is>
          <t>2022-06-30</t>
        </is>
      </c>
      <c r="S426" t="inlineStr">
        <is>
          <t>2022-07-13</t>
        </is>
      </c>
      <c r="T426" t="inlineStr">
        <is>
          <t>Wyvern 25 : 2022-06-30 - 2022-07-13</t>
        </is>
      </c>
      <c r="U426" t="inlineStr">
        <is>
          <t>2022-07-13T00:00:00-05:00</t>
        </is>
      </c>
      <c r="V426" t="inlineStr">
        <is>
          <t>2022-07-06T00:00:00-05:00</t>
        </is>
      </c>
      <c r="W426" t="inlineStr">
        <is>
          <t>2022-07-13T11:33:12-05:00</t>
        </is>
      </c>
      <c r="X426">
        <f>IFERROR(1/COUNTIF($I:$I,@$I:$I), 0)</f>
        <v/>
      </c>
    </row>
    <row r="427">
      <c r="A427">
        <f>HYPERLINK("https://drivetime.tpondemand.com/entity/137137", "137137")</f>
        <v/>
      </c>
      <c r="B427" t="inlineStr">
        <is>
          <t>[BC NEXT][EXP] Account Balance - Variations 1, 2, and 3</t>
        </is>
      </c>
      <c r="C427" t="inlineStr">
        <is>
          <t>UserStory</t>
        </is>
      </c>
      <c r="D427" t="inlineStr">
        <is>
          <t>Bridgecrest Experimentation</t>
        </is>
      </c>
      <c r="E427" t="inlineStr">
        <is>
          <t>BC Digital Drakon</t>
        </is>
      </c>
      <c r="F427" t="inlineStr">
        <is>
          <t>38</t>
        </is>
      </c>
      <c r="G427" t="inlineStr">
        <is>
          <t>Joseph Kranak</t>
        </is>
      </c>
      <c r="H427" t="inlineStr">
        <is>
          <t>[BC NEXT][EXP] Account Balance</t>
        </is>
      </c>
      <c r="I427" t="n">
        <v>1</v>
      </c>
      <c r="J427" t="n">
        <v>30.11721064814815</v>
      </c>
      <c r="K427">
        <f>HYPERLINK("https://drivetime.tpondemand.com/entity/139925", "139925")</f>
        <v/>
      </c>
      <c r="L427" t="inlineStr"/>
      <c r="M427" t="n">
        <v>5</v>
      </c>
      <c r="N427" t="n">
        <v>136574</v>
      </c>
      <c r="O427" t="inlineStr">
        <is>
          <t>Done</t>
        </is>
      </c>
      <c r="P427" t="n">
        <v>1</v>
      </c>
      <c r="Q427" t="inlineStr">
        <is>
          <t>Drakon 15</t>
        </is>
      </c>
      <c r="R427" t="inlineStr">
        <is>
          <t>2022-09-08</t>
        </is>
      </c>
      <c r="S427" t="inlineStr">
        <is>
          <t>2022-09-21</t>
        </is>
      </c>
      <c r="T427" t="inlineStr">
        <is>
          <t>Drakon 15 : 2022-09-08 - 2022-09-21</t>
        </is>
      </c>
      <c r="U427" t="inlineStr">
        <is>
          <t>2022-09-21T00:00:00-05:00</t>
        </is>
      </c>
      <c r="V427" t="inlineStr">
        <is>
          <t>2022-09-20T00:00:00-05:00</t>
        </is>
      </c>
      <c r="W427" t="inlineStr">
        <is>
          <t>2022-09-21T16:20:07-05:00</t>
        </is>
      </c>
      <c r="X427">
        <f>IFERROR(1/COUNTIF($I:$I,@$I:$I), 0)</f>
        <v/>
      </c>
    </row>
    <row r="428">
      <c r="A428">
        <f>HYPERLINK("https://drivetime.tpondemand.com/entity/140604", "140604")</f>
        <v/>
      </c>
      <c r="B428" t="inlineStr">
        <is>
          <t>[BC NEXT][EXP] Account Balance Experiment - Analytics firing incorrectly</t>
        </is>
      </c>
      <c r="C428" t="inlineStr">
        <is>
          <t>UserStory</t>
        </is>
      </c>
      <c r="D428" t="inlineStr">
        <is>
          <t>Bridgecrest Experimentation</t>
        </is>
      </c>
      <c r="E428" t="inlineStr">
        <is>
          <t>BC Digital Drakon</t>
        </is>
      </c>
      <c r="F428" t="inlineStr">
        <is>
          <t>40</t>
        </is>
      </c>
      <c r="G428" t="inlineStr">
        <is>
          <t>Connor Golobich and Joseph Kranak</t>
        </is>
      </c>
      <c r="H428" t="inlineStr">
        <is>
          <t>[BC NEXT][EXP] Account Balance</t>
        </is>
      </c>
      <c r="I428" t="n">
        <v>0</v>
      </c>
      <c r="J428" t="n">
        <v>5.610381944444444</v>
      </c>
      <c r="K428">
        <f>HYPERLINK("https://drivetime.tpondemand.com/entity/140487", "140487")</f>
        <v/>
      </c>
      <c r="L428" t="inlineStr"/>
      <c r="M428" t="n">
        <v>3</v>
      </c>
      <c r="N428" t="n">
        <v>136575</v>
      </c>
      <c r="O428" t="inlineStr">
        <is>
          <t>Done</t>
        </is>
      </c>
      <c r="P428" t="n">
        <v>0</v>
      </c>
      <c r="Q428" t="inlineStr">
        <is>
          <t>Drakon 16</t>
        </is>
      </c>
      <c r="R428" t="inlineStr">
        <is>
          <t>2022-09-22</t>
        </is>
      </c>
      <c r="S428" t="inlineStr">
        <is>
          <t>2022-10-05</t>
        </is>
      </c>
      <c r="T428" t="inlineStr">
        <is>
          <t>Drakon 16 : 2022-09-22 - 2022-10-05</t>
        </is>
      </c>
      <c r="U428" t="inlineStr">
        <is>
          <t>2022-10-05T00:00:00-05:00</t>
        </is>
      </c>
      <c r="V428" t="inlineStr">
        <is>
          <t>2022-10-05T00:00:00-05:00</t>
        </is>
      </c>
      <c r="W428" t="inlineStr">
        <is>
          <t>2022-10-05T00:00:00-05:00</t>
        </is>
      </c>
      <c r="X428">
        <f>IFERROR(1/COUNTIF($I:$I,@$I:$I), 0)</f>
        <v/>
      </c>
    </row>
    <row r="429">
      <c r="A429">
        <f>HYPERLINK("https://drivetime.tpondemand.com/entity/141523", "141523")</f>
        <v/>
      </c>
      <c r="B429" t="inlineStr">
        <is>
          <t>[BC NEXT][EXP] Account Balance - Hide all variations from same day sales</t>
        </is>
      </c>
      <c r="C429" t="inlineStr">
        <is>
          <t>UserStory</t>
        </is>
      </c>
      <c r="D429" t="inlineStr">
        <is>
          <t>Bridgecrest Experimentation</t>
        </is>
      </c>
      <c r="E429" t="inlineStr">
        <is>
          <t>BC Digital Drakon</t>
        </is>
      </c>
      <c r="F429" t="inlineStr">
        <is>
          <t>42</t>
        </is>
      </c>
      <c r="G429" t="inlineStr">
        <is>
          <t>Joseph Kranak</t>
        </is>
      </c>
      <c r="H429" t="inlineStr">
        <is>
          <t>[BC NEXT][EXP] Account Balance</t>
        </is>
      </c>
      <c r="I429" t="n">
        <v>3</v>
      </c>
      <c r="J429" t="n">
        <v>4.732465277777777</v>
      </c>
      <c r="K429">
        <f>HYPERLINK("https://drivetime.tpondemand.com/entity/141476", "141476")</f>
        <v/>
      </c>
      <c r="L429" t="inlineStr"/>
      <c r="M429" t="n">
        <v>2</v>
      </c>
      <c r="N429" t="inlineStr"/>
      <c r="O429" t="inlineStr">
        <is>
          <t>Done</t>
        </is>
      </c>
      <c r="P429" t="n">
        <v>0</v>
      </c>
      <c r="Q429" t="inlineStr"/>
      <c r="R429" t="inlineStr"/>
      <c r="S429" t="inlineStr"/>
      <c r="T429" t="inlineStr"/>
      <c r="U429" t="inlineStr">
        <is>
          <t>2022-10-17T00:00:00-05:00</t>
        </is>
      </c>
      <c r="V429" t="inlineStr">
        <is>
          <t>2022-10-14T00:00:00-05:00</t>
        </is>
      </c>
      <c r="W429" t="inlineStr">
        <is>
          <t>2022-10-17T18:01:46-05:00</t>
        </is>
      </c>
      <c r="X429">
        <f>IFERROR(1/COUNTIF($I:$I,@$I:$I), 0)</f>
        <v/>
      </c>
    </row>
    <row r="430">
      <c r="A430">
        <f>HYPERLINK("https://drivetime.tpondemand.com/entity/126336", "126336")</f>
        <v/>
      </c>
      <c r="B430" t="inlineStr">
        <is>
          <t>Create CSV file and CACS Comments</t>
        </is>
      </c>
      <c r="C430" t="inlineStr">
        <is>
          <t>UserStory</t>
        </is>
      </c>
      <c r="D430" t="inlineStr">
        <is>
          <t>Bridgecrest Experimentation</t>
        </is>
      </c>
      <c r="E430" t="inlineStr">
        <is>
          <t>BC Digital Comet</t>
        </is>
      </c>
      <c r="F430" t="inlineStr">
        <is>
          <t>04</t>
        </is>
      </c>
      <c r="G430" t="inlineStr">
        <is>
          <t>Bindu Dudipala</t>
        </is>
      </c>
      <c r="H430" t="inlineStr">
        <is>
          <t>CSO Email Multivariate Testing Phase 1</t>
        </is>
      </c>
      <c r="I430" t="n">
        <v>0</v>
      </c>
      <c r="J430" t="n">
        <v>2.805613425925926</v>
      </c>
      <c r="K430" t="inlineStr"/>
      <c r="L430" t="inlineStr"/>
      <c r="M430" t="n">
        <v>2</v>
      </c>
      <c r="N430" t="n">
        <v>116975</v>
      </c>
      <c r="O430" t="inlineStr">
        <is>
          <t>Done</t>
        </is>
      </c>
      <c r="P430" t="n">
        <v>0</v>
      </c>
      <c r="Q430" t="inlineStr">
        <is>
          <t>Comet 76</t>
        </is>
      </c>
      <c r="R430" t="inlineStr">
        <is>
          <t>2022-01-27</t>
        </is>
      </c>
      <c r="S430" t="inlineStr">
        <is>
          <t>2022-02-09</t>
        </is>
      </c>
      <c r="T430" t="inlineStr">
        <is>
          <t>Comet 76 : 2022-01-27 - 2022-02-09</t>
        </is>
      </c>
      <c r="U430" t="inlineStr">
        <is>
          <t>2022-01-28T00:00:00-06:00</t>
        </is>
      </c>
      <c r="V430" t="inlineStr">
        <is>
          <t>2022-01-28T00:00:00-06:00</t>
        </is>
      </c>
      <c r="W430" t="inlineStr">
        <is>
          <t>2022-01-28T12:47:45-06:00</t>
        </is>
      </c>
      <c r="X430">
        <f>IFERROR(1/COUNTIF($I:$I,@$I:$I), 0)</f>
        <v/>
      </c>
    </row>
    <row r="431">
      <c r="A431">
        <f>HYPERLINK("https://drivetime.tpondemand.com/entity/128928", "128928")</f>
        <v/>
      </c>
      <c r="B431" t="inlineStr">
        <is>
          <t>CSO Email Multivariate Testing Phase 2</t>
        </is>
      </c>
      <c r="C431" t="inlineStr">
        <is>
          <t>UserStory</t>
        </is>
      </c>
      <c r="D431" t="inlineStr">
        <is>
          <t>Bridgecrest Experimentation</t>
        </is>
      </c>
      <c r="E431" t="inlineStr">
        <is>
          <t>BC Digital Comet</t>
        </is>
      </c>
      <c r="F431" t="inlineStr">
        <is>
          <t>12</t>
        </is>
      </c>
      <c r="G431" t="inlineStr"/>
      <c r="H431" t="inlineStr">
        <is>
          <t>CSO Email Multivariate Testing Phase 2</t>
        </is>
      </c>
      <c r="I431" t="n">
        <v>1</v>
      </c>
      <c r="J431" t="n">
        <v>3.783333333333333</v>
      </c>
      <c r="K431" t="inlineStr"/>
      <c r="L431" t="inlineStr"/>
      <c r="M431" t="n">
        <v>0</v>
      </c>
      <c r="N431" t="inlineStr"/>
      <c r="O431" t="inlineStr">
        <is>
          <t>Done</t>
        </is>
      </c>
      <c r="P431" t="n">
        <v>0</v>
      </c>
      <c r="Q431" t="inlineStr"/>
      <c r="R431" t="inlineStr"/>
      <c r="S431" t="inlineStr"/>
      <c r="T431" t="inlineStr"/>
      <c r="U431" t="inlineStr">
        <is>
          <t>2022-03-25T00:00:00-05:00</t>
        </is>
      </c>
      <c r="V431" t="inlineStr">
        <is>
          <t>2022-03-24T00:00:00-05:00</t>
        </is>
      </c>
      <c r="W431" t="inlineStr">
        <is>
          <t>2022-03-25T11:21:48-05:00</t>
        </is>
      </c>
      <c r="X431">
        <f>IFERROR(1/COUNTIF($I:$I,@$I:$I), 0)</f>
        <v/>
      </c>
    </row>
    <row r="432">
      <c r="A432">
        <f>HYPERLINK("https://drivetime.tpondemand.com/entity/130765", "130765")</f>
        <v/>
      </c>
      <c r="B432" t="inlineStr">
        <is>
          <t>[BC NEXT] Upgrade to Ionic 6.1.3</t>
        </is>
      </c>
      <c r="C432" t="inlineStr">
        <is>
          <t>UserStory</t>
        </is>
      </c>
      <c r="D432" t="inlineStr">
        <is>
          <t>BC Digital - Ongoing Fixes and Enhancements</t>
        </is>
      </c>
      <c r="E432" t="inlineStr">
        <is>
          <t>BC Digital Drakon</t>
        </is>
      </c>
      <c r="F432" t="inlineStr">
        <is>
          <t>32</t>
        </is>
      </c>
      <c r="G432" t="inlineStr">
        <is>
          <t>Connor Golobich</t>
        </is>
      </c>
      <c r="H432" t="inlineStr">
        <is>
          <t>[BC NEXT] Nice To Have Tech Investment</t>
        </is>
      </c>
      <c r="I432" t="n">
        <v>21</v>
      </c>
      <c r="J432" t="n">
        <v>63.94025462962963</v>
      </c>
      <c r="K432" t="inlineStr"/>
      <c r="L432" t="inlineStr"/>
      <c r="M432" t="n">
        <v>8</v>
      </c>
      <c r="N432" t="n">
        <v>133020</v>
      </c>
      <c r="O432" t="inlineStr">
        <is>
          <t>Done</t>
        </is>
      </c>
      <c r="P432" t="n">
        <v>0</v>
      </c>
      <c r="Q432" t="inlineStr">
        <is>
          <t>Drakon 11</t>
        </is>
      </c>
      <c r="R432" t="inlineStr">
        <is>
          <t>2022-07-14</t>
        </is>
      </c>
      <c r="S432" t="inlineStr">
        <is>
          <t>2022-07-27</t>
        </is>
      </c>
      <c r="T432" t="inlineStr">
        <is>
          <t>Drakon 11 : 2022-07-14 - 2022-07-27</t>
        </is>
      </c>
      <c r="U432" t="inlineStr">
        <is>
          <t>2022-08-09T00:00:00-05:00</t>
        </is>
      </c>
      <c r="V432" t="inlineStr">
        <is>
          <t>2022-07-19T00:00:00-05:00</t>
        </is>
      </c>
      <c r="W432" t="inlineStr">
        <is>
          <t>2022-08-11T09:14:27-05:00</t>
        </is>
      </c>
      <c r="X432">
        <f>IFERROR(1/COUNTIF($I:$I,@$I:$I), 0)</f>
        <v/>
      </c>
    </row>
    <row r="433">
      <c r="A433">
        <f>HYPERLINK("https://drivetime.tpondemand.com/entity/135331", "135331")</f>
        <v/>
      </c>
      <c r="B433" t="inlineStr">
        <is>
          <t>[BC NEXT][AUTOMATION] AutoPay Enrollment</t>
        </is>
      </c>
      <c r="C433" t="inlineStr">
        <is>
          <t>UserStory</t>
        </is>
      </c>
      <c r="D433" t="inlineStr">
        <is>
          <t>BC Digital - Ongoing Fixes and Enhancements</t>
        </is>
      </c>
      <c r="E433" t="inlineStr">
        <is>
          <t>BC Digital Drakon</t>
        </is>
      </c>
      <c r="F433" t="inlineStr">
        <is>
          <t>33</t>
        </is>
      </c>
      <c r="G433" t="inlineStr">
        <is>
          <t>Joseph Kranak</t>
        </is>
      </c>
      <c r="H433" t="inlineStr">
        <is>
          <t>[BC NEXT] Nice To Have Tech Investment</t>
        </is>
      </c>
      <c r="I433" t="n">
        <v>2</v>
      </c>
      <c r="J433" t="n">
        <v>35.94972222222222</v>
      </c>
      <c r="K433" t="inlineStr"/>
      <c r="L433" t="inlineStr"/>
      <c r="M433" t="n">
        <v>5</v>
      </c>
      <c r="N433" t="n">
        <v>136569</v>
      </c>
      <c r="O433" t="inlineStr">
        <is>
          <t>Done</t>
        </is>
      </c>
      <c r="P433" t="n">
        <v>0</v>
      </c>
      <c r="Q433" t="inlineStr">
        <is>
          <t>Drakon 13</t>
        </is>
      </c>
      <c r="R433" t="inlineStr">
        <is>
          <t>2022-08-11</t>
        </is>
      </c>
      <c r="S433" t="inlineStr">
        <is>
          <t>2022-08-24</t>
        </is>
      </c>
      <c r="T433" t="inlineStr">
        <is>
          <t>Drakon 13 : 2022-08-11 - 2022-08-24</t>
        </is>
      </c>
      <c r="U433" t="inlineStr">
        <is>
          <t>2022-08-17T00:00:00-05:00</t>
        </is>
      </c>
      <c r="V433" t="inlineStr">
        <is>
          <t>2022-08-15T00:00:00-05:00</t>
        </is>
      </c>
      <c r="W433" t="inlineStr">
        <is>
          <t>2022-08-17T17:36:18-05:00</t>
        </is>
      </c>
      <c r="X433">
        <f>IFERROR(1/COUNTIF($I:$I,@$I:$I), 0)</f>
        <v/>
      </c>
    </row>
    <row r="434">
      <c r="A434">
        <f>HYPERLINK("https://drivetime.tpondemand.com/entity/135332", "135332")</f>
        <v/>
      </c>
      <c r="B434" t="inlineStr">
        <is>
          <t>[BC NEXT][AUTOMATION] AutoPay Past Due</t>
        </is>
      </c>
      <c r="C434" t="inlineStr">
        <is>
          <t>UserStory</t>
        </is>
      </c>
      <c r="D434" t="inlineStr">
        <is>
          <t>BC Digital - Ongoing Fixes and Enhancements</t>
        </is>
      </c>
      <c r="E434" t="inlineStr">
        <is>
          <t>BC Digital Drakon</t>
        </is>
      </c>
      <c r="F434" t="inlineStr">
        <is>
          <t>50</t>
        </is>
      </c>
      <c r="G434" t="inlineStr">
        <is>
          <t>Shyam Senthil Nathan</t>
        </is>
      </c>
      <c r="H434" t="inlineStr">
        <is>
          <t>[BC NEXT] Nice To Have Tech Investment</t>
        </is>
      </c>
      <c r="I434" t="n">
        <v>0</v>
      </c>
      <c r="J434" t="n">
        <v>76.06449074074074</v>
      </c>
      <c r="K434">
        <f>HYPERLINK("https://drivetime.tpondemand.com/entity/141937", "141937")</f>
        <v/>
      </c>
      <c r="L434" t="inlineStr"/>
      <c r="M434" t="n">
        <v>5</v>
      </c>
      <c r="N434" t="n">
        <v>136576</v>
      </c>
      <c r="O434" t="inlineStr">
        <is>
          <t>Done</t>
        </is>
      </c>
      <c r="P434" t="n">
        <v>0</v>
      </c>
      <c r="Q434" t="inlineStr">
        <is>
          <t>Drakon 17</t>
        </is>
      </c>
      <c r="R434" t="inlineStr">
        <is>
          <t>2022-10-06</t>
        </is>
      </c>
      <c r="S434" t="inlineStr">
        <is>
          <t>2022-10-19</t>
        </is>
      </c>
      <c r="T434" t="inlineStr">
        <is>
          <t>Drakon 17 : 2022-10-06 - 2022-10-19</t>
        </is>
      </c>
      <c r="U434" t="inlineStr">
        <is>
          <t>2022-10-19T00:00:00-05:00</t>
        </is>
      </c>
      <c r="V434" t="inlineStr">
        <is>
          <t>2022-10-19T00:00:00-05:00</t>
        </is>
      </c>
      <c r="W434" t="inlineStr">
        <is>
          <t>2022-12-14T10:26:07-06:00</t>
        </is>
      </c>
      <c r="X434">
        <f>IFERROR(1/COUNTIF($I:$I,@$I:$I), 0)</f>
        <v/>
      </c>
    </row>
    <row r="435">
      <c r="A435">
        <f>HYPERLINK("https://drivetime.tpondemand.com/entity/135335", "135335")</f>
        <v/>
      </c>
      <c r="B435" t="inlineStr">
        <is>
          <t>[BC NEXT][AUTOMATION] Manage Bank Accounts</t>
        </is>
      </c>
      <c r="C435" t="inlineStr">
        <is>
          <t>UserStory</t>
        </is>
      </c>
      <c r="D435" t="inlineStr">
        <is>
          <t>BC Digital - Ongoing Fixes and Enhancements</t>
        </is>
      </c>
      <c r="E435" t="inlineStr">
        <is>
          <t>BC Digital Drakon</t>
        </is>
      </c>
      <c r="F435" t="inlineStr">
        <is>
          <t>38</t>
        </is>
      </c>
      <c r="G435" t="inlineStr">
        <is>
          <t>Joseph Kranak</t>
        </is>
      </c>
      <c r="H435" t="inlineStr">
        <is>
          <t>[BC NEXT] Nice To Have Tech Investment</t>
        </is>
      </c>
      <c r="I435" t="n">
        <v>7</v>
      </c>
      <c r="J435" t="n">
        <v>26.77587962962963</v>
      </c>
      <c r="K435" t="inlineStr"/>
      <c r="L435" t="inlineStr"/>
      <c r="M435" t="n">
        <v>5</v>
      </c>
      <c r="N435" t="n">
        <v>136574</v>
      </c>
      <c r="O435" t="inlineStr">
        <is>
          <t>Done</t>
        </is>
      </c>
      <c r="P435" t="n">
        <v>0</v>
      </c>
      <c r="Q435" t="inlineStr">
        <is>
          <t>Drakon 15</t>
        </is>
      </c>
      <c r="R435" t="inlineStr">
        <is>
          <t>2022-09-08</t>
        </is>
      </c>
      <c r="S435" t="inlineStr">
        <is>
          <t>2022-09-21</t>
        </is>
      </c>
      <c r="T435" t="inlineStr">
        <is>
          <t>Drakon 15 : 2022-09-08 - 2022-09-21</t>
        </is>
      </c>
      <c r="U435" t="inlineStr">
        <is>
          <t>2022-09-21T00:00:00-05:00</t>
        </is>
      </c>
      <c r="V435" t="inlineStr">
        <is>
          <t>2022-09-14T00:00:00-05:00</t>
        </is>
      </c>
      <c r="W435" t="inlineStr">
        <is>
          <t>2022-09-21T08:51:26-05:00</t>
        </is>
      </c>
      <c r="X435">
        <f>IFERROR(1/COUNTIF($I:$I,@$I:$I), 0)</f>
        <v/>
      </c>
    </row>
    <row r="436">
      <c r="A436">
        <f>HYPERLINK("https://drivetime.tpondemand.com/entity/135336", "135336")</f>
        <v/>
      </c>
      <c r="B436" t="inlineStr">
        <is>
          <t>[BC NEXT][AUTOMATION] Manage Payments</t>
        </is>
      </c>
      <c r="C436" t="inlineStr">
        <is>
          <t>UserStory</t>
        </is>
      </c>
      <c r="D436" t="inlineStr">
        <is>
          <t>BC Digital - Ongoing Fixes and Enhancements</t>
        </is>
      </c>
      <c r="E436" t="inlineStr">
        <is>
          <t>BC Digital Drakon</t>
        </is>
      </c>
      <c r="F436" t="inlineStr">
        <is>
          <t>38</t>
        </is>
      </c>
      <c r="G436" t="inlineStr">
        <is>
          <t>Yokeshwaran Lokanathan</t>
        </is>
      </c>
      <c r="H436" t="inlineStr">
        <is>
          <t>[BC NEXT] Nice To Have Tech Investment</t>
        </is>
      </c>
      <c r="I436" t="n">
        <v>2</v>
      </c>
      <c r="J436" t="n">
        <v>26.90292824074074</v>
      </c>
      <c r="K436" t="inlineStr"/>
      <c r="L436" t="inlineStr"/>
      <c r="M436" t="n">
        <v>5</v>
      </c>
      <c r="N436" t="n">
        <v>136574</v>
      </c>
      <c r="O436" t="inlineStr">
        <is>
          <t>Done</t>
        </is>
      </c>
      <c r="P436" t="n">
        <v>0</v>
      </c>
      <c r="Q436" t="inlineStr">
        <is>
          <t>Drakon 15</t>
        </is>
      </c>
      <c r="R436" t="inlineStr">
        <is>
          <t>2022-09-08</t>
        </is>
      </c>
      <c r="S436" t="inlineStr">
        <is>
          <t>2022-09-21</t>
        </is>
      </c>
      <c r="T436" t="inlineStr">
        <is>
          <t>Drakon 15 : 2022-09-08 - 2022-09-21</t>
        </is>
      </c>
      <c r="U436" t="inlineStr">
        <is>
          <t>2022-09-21T00:00:00-05:00</t>
        </is>
      </c>
      <c r="V436" t="inlineStr">
        <is>
          <t>2022-09-19T00:00:00-05:00</t>
        </is>
      </c>
      <c r="W436" t="inlineStr">
        <is>
          <t>2022-09-21T08:51:34-05:00</t>
        </is>
      </c>
      <c r="X436">
        <f>IFERROR(1/COUNTIF($I:$I,@$I:$I), 0)</f>
        <v/>
      </c>
    </row>
    <row r="437">
      <c r="A437">
        <f>HYPERLINK("https://drivetime.tpondemand.com/entity/136891", "136891")</f>
        <v/>
      </c>
      <c r="B437" t="inlineStr">
        <is>
          <t>[BC NEXT] Upgrade HotChocolate</t>
        </is>
      </c>
      <c r="C437" t="inlineStr">
        <is>
          <t>UserStory</t>
        </is>
      </c>
      <c r="D437" t="inlineStr">
        <is>
          <t>BC Digital - Ongoing Fixes and Enhancements</t>
        </is>
      </c>
      <c r="E437" t="inlineStr">
        <is>
          <t>BC Digital Drakon</t>
        </is>
      </c>
      <c r="F437" t="inlineStr">
        <is>
          <t>38</t>
        </is>
      </c>
      <c r="G437" t="inlineStr">
        <is>
          <t>Pete Wesselius</t>
        </is>
      </c>
      <c r="H437" t="inlineStr">
        <is>
          <t>[BC NEXT] Bug Fixes/Enhancements for September</t>
        </is>
      </c>
      <c r="I437" t="n">
        <v>0</v>
      </c>
      <c r="J437" t="n">
        <v>23.21835648148148</v>
      </c>
      <c r="K437">
        <f>HYPERLINK("https://drivetime.tpondemand.com/entity/139925", "139925")</f>
        <v/>
      </c>
      <c r="L437" t="inlineStr"/>
      <c r="M437" t="n">
        <v>5</v>
      </c>
      <c r="N437" t="n">
        <v>136574</v>
      </c>
      <c r="O437" t="inlineStr">
        <is>
          <t>Done</t>
        </is>
      </c>
      <c r="P437" t="n">
        <v>0</v>
      </c>
      <c r="Q437" t="inlineStr">
        <is>
          <t>Drakon 15</t>
        </is>
      </c>
      <c r="R437" t="inlineStr">
        <is>
          <t>2022-09-08</t>
        </is>
      </c>
      <c r="S437" t="inlineStr">
        <is>
          <t>2022-09-21</t>
        </is>
      </c>
      <c r="T437" t="inlineStr">
        <is>
          <t>Drakon 15 : 2022-09-08 - 2022-09-21</t>
        </is>
      </c>
      <c r="U437" t="inlineStr">
        <is>
          <t>2022-09-21T00:00:00-05:00</t>
        </is>
      </c>
      <c r="V437" t="inlineStr">
        <is>
          <t>2022-09-21T00:00:00-05:00</t>
        </is>
      </c>
      <c r="W437" t="inlineStr">
        <is>
          <t>2022-09-21T16:20:04-05:00</t>
        </is>
      </c>
      <c r="X437">
        <f>IFERROR(1/COUNTIF($I:$I,@$I:$I), 0)</f>
        <v/>
      </c>
    </row>
    <row r="438">
      <c r="A438">
        <f>HYPERLINK("https://drivetime.tpondemand.com/entity/137508", "137508")</f>
        <v/>
      </c>
      <c r="B438" t="inlineStr">
        <is>
          <t>[BC NEXT] Pending Payments Modal Enhancements</t>
        </is>
      </c>
      <c r="C438" t="inlineStr">
        <is>
          <t>UserStory</t>
        </is>
      </c>
      <c r="D438" t="inlineStr">
        <is>
          <t>BC Digital - Ongoing Fixes and Enhancements</t>
        </is>
      </c>
      <c r="E438" t="inlineStr">
        <is>
          <t>BC Digital Drakon</t>
        </is>
      </c>
      <c r="F438" t="inlineStr"/>
      <c r="G438" t="inlineStr">
        <is>
          <t>Michael Wang</t>
        </is>
      </c>
      <c r="H438" t="inlineStr">
        <is>
          <t>[BC NEXT] Bug Fixes/Enhancements for November/December</t>
        </is>
      </c>
      <c r="I438" t="inlineStr"/>
      <c r="J438" t="n">
        <v>25.77129857764583</v>
      </c>
      <c r="K438">
        <f>HYPERLINK("https://drivetime.tpondemand.com/entity/147266", "147266")</f>
        <v/>
      </c>
      <c r="L438" t="inlineStr"/>
      <c r="M438" t="n">
        <v>5</v>
      </c>
      <c r="N438" t="n">
        <v>136581</v>
      </c>
      <c r="O438" t="inlineStr">
        <is>
          <t>Ready for Deploy</t>
        </is>
      </c>
      <c r="P438" t="n">
        <v>0</v>
      </c>
      <c r="Q438" t="inlineStr">
        <is>
          <t>Drakon 22</t>
        </is>
      </c>
      <c r="R438" t="inlineStr">
        <is>
          <t>2022-12-15</t>
        </is>
      </c>
      <c r="S438" t="inlineStr">
        <is>
          <t>2022-12-28</t>
        </is>
      </c>
      <c r="T438" t="inlineStr">
        <is>
          <t>Drakon 22 : 2022-12-15 - 2022-12-28</t>
        </is>
      </c>
      <c r="U438" t="inlineStr"/>
      <c r="V438" t="inlineStr">
        <is>
          <t>2022-12-22T00:00:00-06:00</t>
        </is>
      </c>
      <c r="X438">
        <f>IFERROR(1/COUNTIF($I:$I,@$I:$I), 0)</f>
        <v/>
      </c>
    </row>
    <row r="439">
      <c r="A439">
        <f>HYPERLINK("https://drivetime.tpondemand.com/entity/138659", "138659")</f>
        <v/>
      </c>
      <c r="B439" t="inlineStr">
        <is>
          <t>[BC NEXT] Create and Implement Paymentus Redirect Modal</t>
        </is>
      </c>
      <c r="C439" t="inlineStr">
        <is>
          <t>UserStory</t>
        </is>
      </c>
      <c r="D439" t="inlineStr">
        <is>
          <t>BC Digital - Ongoing Fixes and Enhancements</t>
        </is>
      </c>
      <c r="E439" t="inlineStr">
        <is>
          <t>BC Digital Drakon</t>
        </is>
      </c>
      <c r="F439" t="inlineStr">
        <is>
          <t>43</t>
        </is>
      </c>
      <c r="G439" t="inlineStr">
        <is>
          <t>Abbas Shamshi</t>
        </is>
      </c>
      <c r="H439" t="inlineStr">
        <is>
          <t>[BC NEXT] Bug Fixes/Enhancements for November/December</t>
        </is>
      </c>
      <c r="I439" t="n">
        <v>11</v>
      </c>
      <c r="J439" t="n">
        <v>31.27759259259259</v>
      </c>
      <c r="K439">
        <f>HYPERLINK("https://drivetime.tpondemand.com/entity/142204", "142204")</f>
        <v/>
      </c>
      <c r="L439" t="inlineStr"/>
      <c r="M439" t="n">
        <v>5</v>
      </c>
      <c r="N439" t="n">
        <v>136576</v>
      </c>
      <c r="O439" t="inlineStr">
        <is>
          <t>Done</t>
        </is>
      </c>
      <c r="P439" t="n">
        <v>2</v>
      </c>
      <c r="Q439" t="inlineStr">
        <is>
          <t>Drakon 17</t>
        </is>
      </c>
      <c r="R439" t="inlineStr">
        <is>
          <t>2022-10-06</t>
        </is>
      </c>
      <c r="S439" t="inlineStr">
        <is>
          <t>2022-10-19</t>
        </is>
      </c>
      <c r="T439" t="inlineStr">
        <is>
          <t>Drakon 17 : 2022-10-06 - 2022-10-19</t>
        </is>
      </c>
      <c r="U439" t="inlineStr">
        <is>
          <t>2022-10-24T00:00:00-05:00</t>
        </is>
      </c>
      <c r="V439" t="inlineStr">
        <is>
          <t>2022-10-13T00:00:00-05:00</t>
        </is>
      </c>
      <c r="W439" t="inlineStr">
        <is>
          <t>2022-10-24T17:06:23-05:00</t>
        </is>
      </c>
      <c r="X439">
        <f>IFERROR(1/COUNTIF($I:$I,@$I:$I), 0)</f>
        <v/>
      </c>
    </row>
    <row r="440">
      <c r="A440">
        <f>HYPERLINK("https://drivetime.tpondemand.com/entity/139995", "139995")</f>
        <v/>
      </c>
      <c r="B440" t="inlineStr">
        <is>
          <t>[BC API] Prod bug: Allow Charge Off users to pay with debit card on logged out experience</t>
        </is>
      </c>
      <c r="C440" t="inlineStr">
        <is>
          <t>UserStory</t>
        </is>
      </c>
      <c r="D440" t="inlineStr">
        <is>
          <t>BC Digital - Ongoing Fixes and Enhancements</t>
        </is>
      </c>
      <c r="E440" t="inlineStr">
        <is>
          <t>BC Digital Drakon</t>
        </is>
      </c>
      <c r="F440" t="inlineStr">
        <is>
          <t>40</t>
        </is>
      </c>
      <c r="G440" t="inlineStr">
        <is>
          <t>Connor Golobich</t>
        </is>
      </c>
      <c r="H440" t="inlineStr">
        <is>
          <t>[BC NEXT] Bug Fixes/Enhancements for September</t>
        </is>
      </c>
      <c r="I440" t="n">
        <v>2</v>
      </c>
      <c r="J440" t="n">
        <v>13.95163194444444</v>
      </c>
      <c r="K440">
        <f>HYPERLINK("https://drivetime.tpondemand.com/entity/140854", "140854")</f>
        <v/>
      </c>
      <c r="L440" t="inlineStr"/>
      <c r="M440" t="n">
        <v>5</v>
      </c>
      <c r="N440" t="n">
        <v>136575</v>
      </c>
      <c r="O440" t="inlineStr">
        <is>
          <t>Done</t>
        </is>
      </c>
      <c r="P440" t="n">
        <v>0</v>
      </c>
      <c r="Q440" t="inlineStr">
        <is>
          <t>Drakon 16</t>
        </is>
      </c>
      <c r="R440" t="inlineStr">
        <is>
          <t>2022-09-22</t>
        </is>
      </c>
      <c r="S440" t="inlineStr">
        <is>
          <t>2022-10-05</t>
        </is>
      </c>
      <c r="T440" t="inlineStr">
        <is>
          <t>Drakon 16 : 2022-09-22 - 2022-10-05</t>
        </is>
      </c>
      <c r="U440" t="inlineStr">
        <is>
          <t>2022-10-05T00:00:00-05:00</t>
        </is>
      </c>
      <c r="V440" t="inlineStr">
        <is>
          <t>2022-10-03T00:00:00-05:00</t>
        </is>
      </c>
      <c r="W440" t="inlineStr">
        <is>
          <t>2022-10-05T08:50:37-05:00</t>
        </is>
      </c>
      <c r="X440">
        <f>IFERROR(1/COUNTIF($I:$I,@$I:$I), 0)</f>
        <v/>
      </c>
    </row>
    <row r="441">
      <c r="A441">
        <f>HYPERLINK("https://drivetime.tpondemand.com/entity/144488", "144488")</f>
        <v/>
      </c>
      <c r="B441" t="inlineStr">
        <is>
          <t>[BC NEXT] Manage Modification - Completed Mods experience not showing as expected</t>
        </is>
      </c>
      <c r="C441" t="inlineStr">
        <is>
          <t>UserStory</t>
        </is>
      </c>
      <c r="D441" t="inlineStr">
        <is>
          <t>BC Digital - Ongoing Fixes and Enhancements</t>
        </is>
      </c>
      <c r="E441" t="inlineStr">
        <is>
          <t>BC Digital Drakon</t>
        </is>
      </c>
      <c r="F441" t="inlineStr">
        <is>
          <t>49</t>
        </is>
      </c>
      <c r="G441" t="inlineStr">
        <is>
          <t>Joseph Kranak</t>
        </is>
      </c>
      <c r="H441" t="inlineStr">
        <is>
          <t>[BC NEXT] Bug Fixes/Enhancements for November/December</t>
        </is>
      </c>
      <c r="I441" t="n">
        <v>15</v>
      </c>
      <c r="J441" t="n">
        <v>15.49431712962963</v>
      </c>
      <c r="K441">
        <f>HYPERLINK("https://drivetime.tpondemand.com/entity/145895", "145895")</f>
        <v/>
      </c>
      <c r="L441" t="inlineStr"/>
      <c r="M441" t="n">
        <v>5</v>
      </c>
      <c r="N441" t="n">
        <v>136579</v>
      </c>
      <c r="O441" t="inlineStr">
        <is>
          <t>Done</t>
        </is>
      </c>
      <c r="P441" t="n">
        <v>0</v>
      </c>
      <c r="Q441" t="inlineStr">
        <is>
          <t>Drakon 20</t>
        </is>
      </c>
      <c r="R441" t="inlineStr">
        <is>
          <t>2022-11-17</t>
        </is>
      </c>
      <c r="S441" t="inlineStr">
        <is>
          <t>2022-11-30</t>
        </is>
      </c>
      <c r="T441" t="inlineStr">
        <is>
          <t>Drakon 20 : 2022-11-17 - 2022-11-30</t>
        </is>
      </c>
      <c r="U441" t="inlineStr">
        <is>
          <t>2022-12-07T00:00:00-06:00</t>
        </is>
      </c>
      <c r="V441" t="inlineStr">
        <is>
          <t>2022-11-22T00:00:00-06:00</t>
        </is>
      </c>
      <c r="W441" t="inlineStr">
        <is>
          <t>2022-12-07T00:00:00-06:00</t>
        </is>
      </c>
      <c r="X441">
        <f>IFERROR(1/COUNTIF($I:$I,@$I:$I), 0)</f>
        <v/>
      </c>
    </row>
    <row r="442">
      <c r="A442">
        <f>HYPERLINK("https://drivetime.tpondemand.com/entity/127603", "127603")</f>
        <v/>
      </c>
      <c r="B442" t="inlineStr">
        <is>
          <t>[BC NEXT][RESEARCH] Research steps in code to share email addresses</t>
        </is>
      </c>
      <c r="C442" t="inlineStr">
        <is>
          <t>UserStory</t>
        </is>
      </c>
      <c r="D442" t="inlineStr">
        <is>
          <t>BC Digital - Ongoing Fixes and Enhancements</t>
        </is>
      </c>
      <c r="E442" t="inlineStr">
        <is>
          <t>BC Digital Drakon</t>
        </is>
      </c>
      <c r="F442" t="inlineStr">
        <is>
          <t>10</t>
        </is>
      </c>
      <c r="G442" t="inlineStr">
        <is>
          <t>Namratha Chilukuri</t>
        </is>
      </c>
      <c r="H442" t="inlineStr">
        <is>
          <t>[BC NEXT] Nice To Have Tech Investment</t>
        </is>
      </c>
      <c r="I442" t="n">
        <v>0</v>
      </c>
      <c r="J442" t="n">
        <v>6.601689814814814</v>
      </c>
      <c r="K442" t="inlineStr"/>
      <c r="L442" t="inlineStr"/>
      <c r="M442" t="n">
        <v>3</v>
      </c>
      <c r="N442" t="inlineStr"/>
      <c r="O442" t="inlineStr">
        <is>
          <t>Done</t>
        </is>
      </c>
      <c r="P442" t="n">
        <v>0</v>
      </c>
      <c r="Q442" t="inlineStr"/>
      <c r="R442" t="inlineStr"/>
      <c r="S442" t="inlineStr"/>
      <c r="T442" t="inlineStr"/>
      <c r="U442" t="inlineStr">
        <is>
          <t>2022-03-10T00:00:00-06:00</t>
        </is>
      </c>
      <c r="V442" t="inlineStr">
        <is>
          <t>2022-03-10T00:00:00-06:00</t>
        </is>
      </c>
      <c r="W442" t="inlineStr">
        <is>
          <t>2022-03-09T00:00:00-06:00</t>
        </is>
      </c>
      <c r="X442">
        <f>IFERROR(1/COUNTIF($I:$I,@$I:$I), 0)</f>
        <v/>
      </c>
    </row>
    <row r="443">
      <c r="A443">
        <f>HYPERLINK("https://drivetime.tpondemand.com/entity/133227", "133227")</f>
        <v/>
      </c>
      <c r="B443" t="inlineStr">
        <is>
          <t>[BC NEXT] AutoPay/APPD Enrollment Authorization Updates</t>
        </is>
      </c>
      <c r="C443" t="inlineStr">
        <is>
          <t>UserStory</t>
        </is>
      </c>
      <c r="D443" t="inlineStr">
        <is>
          <t>BC Digital - Ongoing Fixes and Enhancements</t>
        </is>
      </c>
      <c r="E443" t="inlineStr">
        <is>
          <t>BC Digital Drakon</t>
        </is>
      </c>
      <c r="F443" t="inlineStr">
        <is>
          <t>38</t>
        </is>
      </c>
      <c r="G443" t="inlineStr">
        <is>
          <t>Abbas Shamshi</t>
        </is>
      </c>
      <c r="H443" t="inlineStr">
        <is>
          <t>[BC NEXT] Payment Authorization Updates</t>
        </is>
      </c>
      <c r="I443" t="n">
        <v>2</v>
      </c>
      <c r="J443" t="n">
        <v>23.23541666666667</v>
      </c>
      <c r="K443">
        <f>HYPERLINK("https://drivetime.tpondemand.com/entity/139925", "139925")</f>
        <v/>
      </c>
      <c r="L443" t="inlineStr"/>
      <c r="M443" t="n">
        <v>3</v>
      </c>
      <c r="N443" t="n">
        <v>136574</v>
      </c>
      <c r="O443" t="inlineStr">
        <is>
          <t>Done</t>
        </is>
      </c>
      <c r="P443" t="n">
        <v>1</v>
      </c>
      <c r="Q443" t="inlineStr">
        <is>
          <t>Drakon 15</t>
        </is>
      </c>
      <c r="R443" t="inlineStr">
        <is>
          <t>2022-09-08</t>
        </is>
      </c>
      <c r="S443" t="inlineStr">
        <is>
          <t>2022-09-21</t>
        </is>
      </c>
      <c r="T443" t="inlineStr">
        <is>
          <t>Drakon 15 : 2022-09-08 - 2022-09-21</t>
        </is>
      </c>
      <c r="U443" t="inlineStr">
        <is>
          <t>2022-09-21T00:00:00-05:00</t>
        </is>
      </c>
      <c r="V443" t="inlineStr">
        <is>
          <t>2022-09-19T00:00:00-05:00</t>
        </is>
      </c>
      <c r="W443" t="inlineStr">
        <is>
          <t>2022-09-21T16:20:02-05:00</t>
        </is>
      </c>
      <c r="X443">
        <f>IFERROR(1/COUNTIF($I:$I,@$I:$I), 0)</f>
        <v/>
      </c>
    </row>
    <row r="444">
      <c r="A444">
        <f>HYPERLINK("https://drivetime.tpondemand.com/entity/135334", "135334")</f>
        <v/>
      </c>
      <c r="B444" t="inlineStr">
        <is>
          <t>[BC NEXT][AUTOMATION] Account Settings</t>
        </is>
      </c>
      <c r="C444" t="inlineStr">
        <is>
          <t>UserStory</t>
        </is>
      </c>
      <c r="D444" t="inlineStr">
        <is>
          <t>BC Digital - Ongoing Fixes and Enhancements</t>
        </is>
      </c>
      <c r="E444" t="inlineStr">
        <is>
          <t>BC Digital Drakon</t>
        </is>
      </c>
      <c r="F444" t="inlineStr">
        <is>
          <t>50</t>
        </is>
      </c>
      <c r="G444" t="inlineStr">
        <is>
          <t>Pete Wesselius</t>
        </is>
      </c>
      <c r="H444" t="inlineStr">
        <is>
          <t>[BC NEXT] Nice To Have Tech Investment</t>
        </is>
      </c>
      <c r="I444" t="n">
        <v>0</v>
      </c>
      <c r="J444" t="n">
        <v>134.9286111111111</v>
      </c>
      <c r="K444">
        <f>HYPERLINK("https://drivetime.tpondemand.com/entity/141937", "141937")</f>
        <v/>
      </c>
      <c r="L444" t="inlineStr"/>
      <c r="M444" t="n">
        <v>3</v>
      </c>
      <c r="N444" t="n">
        <v>136576</v>
      </c>
      <c r="O444" t="inlineStr">
        <is>
          <t>Done</t>
        </is>
      </c>
      <c r="P444" t="n">
        <v>0</v>
      </c>
      <c r="Q444" t="inlineStr">
        <is>
          <t>Drakon 17</t>
        </is>
      </c>
      <c r="R444" t="inlineStr">
        <is>
          <t>2022-10-06</t>
        </is>
      </c>
      <c r="S444" t="inlineStr">
        <is>
          <t>2022-10-19</t>
        </is>
      </c>
      <c r="T444" t="inlineStr">
        <is>
          <t>Drakon 17 : 2022-10-06 - 2022-10-19</t>
        </is>
      </c>
      <c r="U444" t="inlineStr">
        <is>
          <t>2022-10-18T00:00:00-05:00</t>
        </is>
      </c>
      <c r="V444" t="inlineStr">
        <is>
          <t>2022-10-18T00:00:00-05:00</t>
        </is>
      </c>
      <c r="W444" t="inlineStr">
        <is>
          <t>2022-12-14T10:25:41-06:00</t>
        </is>
      </c>
      <c r="X444">
        <f>IFERROR(1/COUNTIF($I:$I,@$I:$I), 0)</f>
        <v/>
      </c>
    </row>
    <row r="445">
      <c r="A445">
        <f>HYPERLINK("https://drivetime.tpondemand.com/entity/135337", "135337")</f>
        <v/>
      </c>
      <c r="B445" t="inlineStr">
        <is>
          <t>[BC NEXT][AUTOMATION] Manage Debit Cards</t>
        </is>
      </c>
      <c r="C445" t="inlineStr">
        <is>
          <t>UserStory</t>
        </is>
      </c>
      <c r="D445" t="inlineStr">
        <is>
          <t>BC Digital - Ongoing Fixes and Enhancements</t>
        </is>
      </c>
      <c r="E445" t="inlineStr">
        <is>
          <t>BC Digital Drakon</t>
        </is>
      </c>
      <c r="F445" t="inlineStr">
        <is>
          <t>34</t>
        </is>
      </c>
      <c r="G445" t="inlineStr">
        <is>
          <t>Joseph Kranak</t>
        </is>
      </c>
      <c r="H445" t="inlineStr">
        <is>
          <t>[BC NEXT] Nice To Have Tech Investment</t>
        </is>
      </c>
      <c r="I445" t="n">
        <v>2</v>
      </c>
      <c r="J445" t="n">
        <v>7.243506944444444</v>
      </c>
      <c r="K445" t="inlineStr"/>
      <c r="L445" t="inlineStr"/>
      <c r="M445" t="n">
        <v>3</v>
      </c>
      <c r="N445" t="n">
        <v>136569</v>
      </c>
      <c r="O445" t="inlineStr">
        <is>
          <t>Done</t>
        </is>
      </c>
      <c r="P445" t="n">
        <v>0</v>
      </c>
      <c r="Q445" t="inlineStr">
        <is>
          <t>Drakon 13</t>
        </is>
      </c>
      <c r="R445" t="inlineStr">
        <is>
          <t>2022-08-11</t>
        </is>
      </c>
      <c r="S445" t="inlineStr">
        <is>
          <t>2022-08-24</t>
        </is>
      </c>
      <c r="T445" t="inlineStr">
        <is>
          <t>Drakon 13 : 2022-08-11 - 2022-08-24</t>
        </is>
      </c>
      <c r="U445" t="inlineStr">
        <is>
          <t>2022-08-24T00:00:00-05:00</t>
        </is>
      </c>
      <c r="V445" t="inlineStr">
        <is>
          <t>2022-08-22T00:00:00-05:00</t>
        </is>
      </c>
      <c r="W445" t="inlineStr">
        <is>
          <t>2022-08-24T15:43:35-05:00</t>
        </is>
      </c>
      <c r="X445">
        <f>IFERROR(1/COUNTIF($I:$I,@$I:$I), 0)</f>
        <v/>
      </c>
    </row>
    <row r="446">
      <c r="A446">
        <f>HYPERLINK("https://drivetime.tpondemand.com/entity/135338", "135338")</f>
        <v/>
      </c>
      <c r="B446" t="inlineStr">
        <is>
          <t>[BC NEXT][AUTOMATION] Homepage</t>
        </is>
      </c>
      <c r="C446" t="inlineStr">
        <is>
          <t>UserStory</t>
        </is>
      </c>
      <c r="D446" t="inlineStr">
        <is>
          <t>BC Digital - Ongoing Fixes and Enhancements</t>
        </is>
      </c>
      <c r="E446" t="inlineStr">
        <is>
          <t>BC Digital Drakon</t>
        </is>
      </c>
      <c r="F446" t="inlineStr">
        <is>
          <t>34</t>
        </is>
      </c>
      <c r="G446" t="inlineStr">
        <is>
          <t>Joseph Kranak</t>
        </is>
      </c>
      <c r="H446" t="inlineStr">
        <is>
          <t>[BC NEXT] Nice To Have Tech Investment</t>
        </is>
      </c>
      <c r="I446" t="n">
        <v>7</v>
      </c>
      <c r="J446" t="n">
        <v>21.10900462962963</v>
      </c>
      <c r="K446" t="inlineStr"/>
      <c r="L446" t="inlineStr"/>
      <c r="M446" t="n">
        <v>3</v>
      </c>
      <c r="N446" t="n">
        <v>136569</v>
      </c>
      <c r="O446" t="inlineStr">
        <is>
          <t>Done</t>
        </is>
      </c>
      <c r="P446" t="n">
        <v>0</v>
      </c>
      <c r="Q446" t="inlineStr">
        <is>
          <t>Drakon 13</t>
        </is>
      </c>
      <c r="R446" t="inlineStr">
        <is>
          <t>2022-08-11</t>
        </is>
      </c>
      <c r="S446" t="inlineStr">
        <is>
          <t>2022-08-24</t>
        </is>
      </c>
      <c r="T446" t="inlineStr">
        <is>
          <t>Drakon 13 : 2022-08-11 - 2022-08-24</t>
        </is>
      </c>
      <c r="U446" t="inlineStr">
        <is>
          <t>2022-08-24T00:00:00-05:00</t>
        </is>
      </c>
      <c r="V446" t="inlineStr">
        <is>
          <t>2022-08-17T00:00:00-05:00</t>
        </is>
      </c>
      <c r="W446" t="inlineStr">
        <is>
          <t>2022-08-24T15:43:37-05:00</t>
        </is>
      </c>
      <c r="X446">
        <f>IFERROR(1/COUNTIF($I:$I,@$I:$I), 0)</f>
        <v/>
      </c>
    </row>
    <row r="447">
      <c r="A447">
        <f>HYPERLINK("https://drivetime.tpondemand.com/entity/135339", "135339")</f>
        <v/>
      </c>
      <c r="B447" t="inlineStr">
        <is>
          <t>[BC NEXT][AUTOMATION] Top/Side Nav</t>
        </is>
      </c>
      <c r="C447" t="inlineStr">
        <is>
          <t>UserStory</t>
        </is>
      </c>
      <c r="D447" t="inlineStr">
        <is>
          <t>BC Digital - Ongoing Fixes and Enhancements</t>
        </is>
      </c>
      <c r="E447" t="inlineStr">
        <is>
          <t>BC Digital Drakon</t>
        </is>
      </c>
      <c r="F447" t="inlineStr">
        <is>
          <t>46</t>
        </is>
      </c>
      <c r="G447" t="inlineStr">
        <is>
          <t>Joseph Kranak</t>
        </is>
      </c>
      <c r="H447" t="inlineStr">
        <is>
          <t>[BC NEXT] Nice To Have Tech Investment</t>
        </is>
      </c>
      <c r="I447" t="n">
        <v>2</v>
      </c>
      <c r="J447" t="n">
        <v>23.15775462962963</v>
      </c>
      <c r="K447">
        <f>HYPERLINK("https://drivetime.tpondemand.com/entity/144410", "144410")</f>
        <v/>
      </c>
      <c r="L447" t="inlineStr"/>
      <c r="M447" t="n">
        <v>3</v>
      </c>
      <c r="N447" t="n">
        <v>136578</v>
      </c>
      <c r="O447" t="inlineStr">
        <is>
          <t>Done</t>
        </is>
      </c>
      <c r="P447" t="n">
        <v>0</v>
      </c>
      <c r="Q447" t="inlineStr">
        <is>
          <t>Drakon 19</t>
        </is>
      </c>
      <c r="R447" t="inlineStr">
        <is>
          <t>2022-11-03</t>
        </is>
      </c>
      <c r="S447" t="inlineStr">
        <is>
          <t>2022-11-16</t>
        </is>
      </c>
      <c r="T447" t="inlineStr">
        <is>
          <t>Drakon 19 : 2022-11-03 - 2022-11-16</t>
        </is>
      </c>
      <c r="U447" t="inlineStr">
        <is>
          <t>2022-11-17T00:00:00-06:00</t>
        </is>
      </c>
      <c r="V447" t="inlineStr">
        <is>
          <t>2022-11-15T00:00:00-06:00</t>
        </is>
      </c>
      <c r="W447" t="inlineStr">
        <is>
          <t>2022-11-17T13:55:47-06:00</t>
        </is>
      </c>
      <c r="X447">
        <f>IFERROR(1/COUNTIF($I:$I,@$I:$I), 0)</f>
        <v/>
      </c>
    </row>
    <row r="448">
      <c r="A448">
        <f>HYPERLINK("https://drivetime.tpondemand.com/entity/137509", "137509")</f>
        <v/>
      </c>
      <c r="B448" t="inlineStr">
        <is>
          <t>[BC NEXT] Update how reporting platforms in Ionic 6</t>
        </is>
      </c>
      <c r="C448" t="inlineStr">
        <is>
          <t>UserStory</t>
        </is>
      </c>
      <c r="D448" t="inlineStr">
        <is>
          <t>BC Digital - Ongoing Fixes and Enhancements</t>
        </is>
      </c>
      <c r="E448" t="inlineStr">
        <is>
          <t>BC Digital Drakon</t>
        </is>
      </c>
      <c r="F448" t="inlineStr">
        <is>
          <t>37</t>
        </is>
      </c>
      <c r="G448" t="inlineStr">
        <is>
          <t>Shyam Senthil Nathan</t>
        </is>
      </c>
      <c r="H448" t="inlineStr">
        <is>
          <t>null</t>
        </is>
      </c>
      <c r="I448" t="n">
        <v>6</v>
      </c>
      <c r="J448" t="n">
        <v>20.09512731481481</v>
      </c>
      <c r="K448">
        <f>HYPERLINK("https://drivetime.tpondemand.com/entity/139500", "139500")</f>
        <v/>
      </c>
      <c r="L448" t="inlineStr"/>
      <c r="M448" t="n">
        <v>3</v>
      </c>
      <c r="N448" t="n">
        <v>136574</v>
      </c>
      <c r="O448" t="inlineStr">
        <is>
          <t>Done</t>
        </is>
      </c>
      <c r="P448" t="n">
        <v>0</v>
      </c>
      <c r="Q448" t="inlineStr">
        <is>
          <t>Drakon 15</t>
        </is>
      </c>
      <c r="R448" t="inlineStr">
        <is>
          <t>2022-09-08</t>
        </is>
      </c>
      <c r="S448" t="inlineStr">
        <is>
          <t>2022-09-21</t>
        </is>
      </c>
      <c r="T448" t="inlineStr">
        <is>
          <t>Drakon 15 : 2022-09-08 - 2022-09-21</t>
        </is>
      </c>
      <c r="U448" t="inlineStr">
        <is>
          <t>2022-09-14T00:00:00-05:00</t>
        </is>
      </c>
      <c r="V448" t="inlineStr">
        <is>
          <t>2022-09-08T00:00:00-05:00</t>
        </is>
      </c>
      <c r="W448" t="inlineStr">
        <is>
          <t>2022-09-14T12:47:07-05:00</t>
        </is>
      </c>
      <c r="X448">
        <f>IFERROR(1/COUNTIF($I:$I,@$I:$I), 0)</f>
        <v/>
      </c>
    </row>
    <row r="449">
      <c r="A449">
        <f>HYPERLINK("https://drivetime.tpondemand.com/entity/138658", "138658")</f>
        <v/>
      </c>
      <c r="B449" t="inlineStr">
        <is>
          <t>[BC NEXT] Refactor global text entry component</t>
        </is>
      </c>
      <c r="C449" t="inlineStr">
        <is>
          <t>UserStory</t>
        </is>
      </c>
      <c r="D449" t="inlineStr">
        <is>
          <t>BC Digital - Ongoing Fixes and Enhancements</t>
        </is>
      </c>
      <c r="E449" t="inlineStr">
        <is>
          <t>BC Digital Drakon</t>
        </is>
      </c>
      <c r="F449" t="inlineStr">
        <is>
          <t>43</t>
        </is>
      </c>
      <c r="G449" t="inlineStr">
        <is>
          <t>Yokeshwaran Lokanathan</t>
        </is>
      </c>
      <c r="H449" t="inlineStr">
        <is>
          <t>null</t>
        </is>
      </c>
      <c r="I449" t="n">
        <v>11</v>
      </c>
      <c r="J449" t="n">
        <v>24.24701388888889</v>
      </c>
      <c r="K449">
        <f>HYPERLINK("https://drivetime.tpondemand.com/entity/142204", "142204")</f>
        <v/>
      </c>
      <c r="L449" t="inlineStr"/>
      <c r="M449" t="n">
        <v>3</v>
      </c>
      <c r="N449" t="n">
        <v>136576</v>
      </c>
      <c r="O449" t="inlineStr">
        <is>
          <t>Done</t>
        </is>
      </c>
      <c r="P449" t="n">
        <v>1</v>
      </c>
      <c r="Q449" t="inlineStr">
        <is>
          <t>Drakon 17</t>
        </is>
      </c>
      <c r="R449" t="inlineStr">
        <is>
          <t>2022-10-06</t>
        </is>
      </c>
      <c r="S449" t="inlineStr">
        <is>
          <t>2022-10-19</t>
        </is>
      </c>
      <c r="T449" t="inlineStr">
        <is>
          <t>Drakon 17 : 2022-10-06 - 2022-10-19</t>
        </is>
      </c>
      <c r="U449" t="inlineStr">
        <is>
          <t>2022-10-24T00:00:00-05:00</t>
        </is>
      </c>
      <c r="V449" t="inlineStr">
        <is>
          <t>2022-10-13T00:00:00-05:00</t>
        </is>
      </c>
      <c r="W449" t="inlineStr">
        <is>
          <t>2022-10-24T17:06:25-05:00</t>
        </is>
      </c>
      <c r="X449">
        <f>IFERROR(1/COUNTIF($I:$I,@$I:$I), 0)</f>
        <v/>
      </c>
    </row>
    <row r="450">
      <c r="A450">
        <f>HYPERLINK("https://drivetime.tpondemand.com/entity/141816", "141816")</f>
        <v/>
      </c>
      <c r="B450" t="inlineStr">
        <is>
          <t>[BC NEXT] Update code to allow payments in any timezone</t>
        </is>
      </c>
      <c r="C450" t="inlineStr">
        <is>
          <t>UserStory</t>
        </is>
      </c>
      <c r="D450" t="inlineStr">
        <is>
          <t>BC Digital - Ongoing Fixes and Enhancements</t>
        </is>
      </c>
      <c r="E450" t="inlineStr">
        <is>
          <t>BC Digital Drakon</t>
        </is>
      </c>
      <c r="F450" t="inlineStr"/>
      <c r="G450" t="inlineStr">
        <is>
          <t>Shyam Senthil Nathan</t>
        </is>
      </c>
      <c r="H450" t="inlineStr">
        <is>
          <t>[BC NEXT] Nice To Have Tech Investment</t>
        </is>
      </c>
      <c r="I450" t="inlineStr"/>
      <c r="K450" t="inlineStr"/>
      <c r="L450" t="inlineStr"/>
      <c r="M450" t="n">
        <v>3</v>
      </c>
      <c r="N450" t="inlineStr"/>
      <c r="O450" t="inlineStr">
        <is>
          <t>Icebox</t>
        </is>
      </c>
      <c r="P450" t="n">
        <v>0</v>
      </c>
      <c r="Q450" t="inlineStr"/>
      <c r="R450" t="inlineStr"/>
      <c r="S450" t="inlineStr"/>
      <c r="T450" t="inlineStr"/>
      <c r="U450" t="inlineStr"/>
      <c r="V450" t="inlineStr"/>
      <c r="X450">
        <f>IFERROR(1/COUNTIF($I:$I,@$I:$I), 0)</f>
        <v/>
      </c>
    </row>
    <row r="451">
      <c r="A451">
        <f>HYPERLINK("https://drivetime.tpondemand.com/entity/144268", "144268")</f>
        <v/>
      </c>
      <c r="B451" t="inlineStr">
        <is>
          <t>[BC NEXT] Fix Missing Analytics</t>
        </is>
      </c>
      <c r="C451" t="inlineStr">
        <is>
          <t>UserStory</t>
        </is>
      </c>
      <c r="D451" t="inlineStr">
        <is>
          <t>BC Digital - Ongoing Fixes and Enhancements</t>
        </is>
      </c>
      <c r="E451" t="inlineStr">
        <is>
          <t>BC Digital Drakon</t>
        </is>
      </c>
      <c r="F451" t="inlineStr">
        <is>
          <t>46</t>
        </is>
      </c>
      <c r="G451" t="inlineStr">
        <is>
          <t>Joseph Kranak</t>
        </is>
      </c>
      <c r="H451" t="inlineStr">
        <is>
          <t>[BC NEXT] Bug Fixes/Enhancements for November/December</t>
        </is>
      </c>
      <c r="I451" t="n">
        <v>1</v>
      </c>
      <c r="J451" t="n">
        <v>2.131770833333333</v>
      </c>
      <c r="K451">
        <f>HYPERLINK("https://drivetime.tpondemand.com/entity/144410", "144410")</f>
        <v/>
      </c>
      <c r="L451" t="inlineStr"/>
      <c r="M451" t="n">
        <v>3</v>
      </c>
      <c r="N451" t="n">
        <v>136578</v>
      </c>
      <c r="O451" t="inlineStr">
        <is>
          <t>Done</t>
        </is>
      </c>
      <c r="P451" t="n">
        <v>0</v>
      </c>
      <c r="Q451" t="inlineStr">
        <is>
          <t>Drakon 19</t>
        </is>
      </c>
      <c r="R451" t="inlineStr">
        <is>
          <t>2022-11-03</t>
        </is>
      </c>
      <c r="S451" t="inlineStr">
        <is>
          <t>2022-11-16</t>
        </is>
      </c>
      <c r="T451" t="inlineStr">
        <is>
          <t>Drakon 19 : 2022-11-03 - 2022-11-16</t>
        </is>
      </c>
      <c r="U451" t="inlineStr">
        <is>
          <t>2022-11-17T00:00:00-06:00</t>
        </is>
      </c>
      <c r="V451" t="inlineStr">
        <is>
          <t>2022-11-16T00:00:00-06:00</t>
        </is>
      </c>
      <c r="W451" t="inlineStr">
        <is>
          <t>2022-11-17T13:55:49-06:00</t>
        </is>
      </c>
      <c r="X451">
        <f>IFERROR(1/COUNTIF($I:$I,@$I:$I), 0)</f>
        <v/>
      </c>
    </row>
    <row r="452">
      <c r="A452">
        <f>HYPERLINK("https://drivetime.tpondemand.com/entity/144459", "144459")</f>
        <v/>
      </c>
      <c r="B452" t="inlineStr">
        <is>
          <t>[BC NEXT] Payoff Quote - Update footer disclosure to follow state specific disclaimers</t>
        </is>
      </c>
      <c r="C452" t="inlineStr">
        <is>
          <t>UserStory</t>
        </is>
      </c>
      <c r="D452" t="inlineStr">
        <is>
          <t>BC Digital - Ongoing Fixes and Enhancements</t>
        </is>
      </c>
      <c r="E452" t="inlineStr">
        <is>
          <t>BC Digital Drakon</t>
        </is>
      </c>
      <c r="F452" t="inlineStr">
        <is>
          <t>49</t>
        </is>
      </c>
      <c r="G452" t="inlineStr">
        <is>
          <t>Chirag Khandhar</t>
        </is>
      </c>
      <c r="H452" t="inlineStr">
        <is>
          <t>[BC NEXT] Bug Fixes/Enhancements for November/December</t>
        </is>
      </c>
      <c r="I452" t="n">
        <v>8</v>
      </c>
      <c r="J452" t="n">
        <v>13.5030787037037</v>
      </c>
      <c r="K452">
        <f>HYPERLINK("https://drivetime.tpondemand.com/entity/145895", "145895")</f>
        <v/>
      </c>
      <c r="L452" t="inlineStr"/>
      <c r="M452" t="n">
        <v>3</v>
      </c>
      <c r="N452" t="n">
        <v>136579</v>
      </c>
      <c r="O452" t="inlineStr">
        <is>
          <t>Done</t>
        </is>
      </c>
      <c r="P452" t="n">
        <v>1</v>
      </c>
      <c r="Q452" t="inlineStr">
        <is>
          <t>Drakon 20</t>
        </is>
      </c>
      <c r="R452" t="inlineStr">
        <is>
          <t>2022-11-17</t>
        </is>
      </c>
      <c r="S452" t="inlineStr">
        <is>
          <t>2022-11-30</t>
        </is>
      </c>
      <c r="T452" t="inlineStr">
        <is>
          <t>Drakon 20 : 2022-11-17 - 2022-11-30</t>
        </is>
      </c>
      <c r="U452" t="inlineStr">
        <is>
          <t>2022-12-07T00:00:00-06:00</t>
        </is>
      </c>
      <c r="V452" t="inlineStr">
        <is>
          <t>2022-11-29T00:00:00-06:00</t>
        </is>
      </c>
      <c r="W452" t="inlineStr">
        <is>
          <t>2022-12-07T00:00:00-06:00</t>
        </is>
      </c>
      <c r="X452">
        <f>IFERROR(1/COUNTIF($I:$I,@$I:$I), 0)</f>
        <v/>
      </c>
    </row>
    <row r="453">
      <c r="A453">
        <f>HYPERLINK("https://drivetime.tpondemand.com/entity/147125", "147125")</f>
        <v/>
      </c>
      <c r="B453" t="inlineStr">
        <is>
          <t>[BC NEXT][OTP] Payoff Today Persisting Incorrectly</t>
        </is>
      </c>
      <c r="C453" t="inlineStr">
        <is>
          <t>UserStory</t>
        </is>
      </c>
      <c r="D453" t="inlineStr">
        <is>
          <t>BC Digital - Ongoing Fixes and Enhancements</t>
        </is>
      </c>
      <c r="E453" t="inlineStr">
        <is>
          <t>BC Digital Drakon</t>
        </is>
      </c>
      <c r="F453" t="inlineStr"/>
      <c r="G453" t="inlineStr">
        <is>
          <t>Abbas Shamshi</t>
        </is>
      </c>
      <c r="H453" t="inlineStr">
        <is>
          <t>[BC NEXT] Nice To Have Tech Investment</t>
        </is>
      </c>
      <c r="I453" t="inlineStr"/>
      <c r="J453" t="n">
        <v>10.70028005912731</v>
      </c>
      <c r="K453">
        <f>HYPERLINK("https://drivetime.tpondemand.com/entity/147266", "147266")</f>
        <v/>
      </c>
      <c r="L453" t="inlineStr"/>
      <c r="M453" t="n">
        <v>3</v>
      </c>
      <c r="N453" t="n">
        <v>146434</v>
      </c>
      <c r="O453" t="inlineStr">
        <is>
          <t>Ready for Deploy</t>
        </is>
      </c>
      <c r="P453" t="n">
        <v>0</v>
      </c>
      <c r="Q453" t="inlineStr">
        <is>
          <t>Drakon 23</t>
        </is>
      </c>
      <c r="R453" t="inlineStr">
        <is>
          <t>2022-12-29</t>
        </is>
      </c>
      <c r="S453" t="inlineStr">
        <is>
          <t>2023-01-11</t>
        </is>
      </c>
      <c r="T453" t="inlineStr">
        <is>
          <t>Drakon 23 : 2022-12-29 - 2023-01-11</t>
        </is>
      </c>
      <c r="U453" t="inlineStr"/>
      <c r="V453" t="inlineStr">
        <is>
          <t>2022-12-29T00:00:00-06:00</t>
        </is>
      </c>
      <c r="X453">
        <f>IFERROR(1/COUNTIF($I:$I,@$I:$I), 0)</f>
        <v/>
      </c>
    </row>
    <row r="454">
      <c r="A454">
        <f>HYPERLINK("https://drivetime.tpondemand.com/entity/147248", "147248")</f>
        <v/>
      </c>
      <c r="B454" t="inlineStr">
        <is>
          <t>[BC NEXT] Data persisting after logout/time out in app and Dashboard cards not the same size</t>
        </is>
      </c>
      <c r="C454" t="inlineStr">
        <is>
          <t>UserStory</t>
        </is>
      </c>
      <c r="D454" t="inlineStr">
        <is>
          <t>BC Digital - Ongoing Fixes and Enhancements</t>
        </is>
      </c>
      <c r="E454" t="inlineStr">
        <is>
          <t>BC Digital Drakon</t>
        </is>
      </c>
      <c r="F454" t="inlineStr"/>
      <c r="G454" t="inlineStr">
        <is>
          <t>Abbas Shamshi</t>
        </is>
      </c>
      <c r="H454" t="inlineStr">
        <is>
          <t>[BC NEXT] Nice To Have Tech Investment</t>
        </is>
      </c>
      <c r="I454" t="inlineStr"/>
      <c r="J454" t="n">
        <v>6.797328670238426</v>
      </c>
      <c r="K454" t="inlineStr"/>
      <c r="L454" t="inlineStr"/>
      <c r="M454" t="n">
        <v>3</v>
      </c>
      <c r="N454" t="n">
        <v>146434</v>
      </c>
      <c r="O454" t="inlineStr">
        <is>
          <t>Ready for Deploy</t>
        </is>
      </c>
      <c r="P454" t="n">
        <v>0</v>
      </c>
      <c r="Q454" t="inlineStr">
        <is>
          <t>Drakon 23</t>
        </is>
      </c>
      <c r="R454" t="inlineStr">
        <is>
          <t>2022-12-29</t>
        </is>
      </c>
      <c r="S454" t="inlineStr">
        <is>
          <t>2023-01-11</t>
        </is>
      </c>
      <c r="T454" t="inlineStr">
        <is>
          <t>Drakon 23 : 2022-12-29 - 2023-01-11</t>
        </is>
      </c>
      <c r="U454" t="inlineStr"/>
      <c r="V454" t="inlineStr">
        <is>
          <t>2022-12-29T00:00:00-06:00</t>
        </is>
      </c>
      <c r="X454">
        <f>IFERROR(1/COUNTIF($I:$I,@$I:$I), 0)</f>
        <v/>
      </c>
    </row>
    <row r="455">
      <c r="A455">
        <f>HYPERLINK("https://drivetime.tpondemand.com/entity/125746", "125746")</f>
        <v/>
      </c>
      <c r="B455" t="inlineStr">
        <is>
          <t>[BC NEXT] Full Page Loading Spinner - Page Position</t>
        </is>
      </c>
      <c r="C455" t="inlineStr">
        <is>
          <t>UserStory</t>
        </is>
      </c>
      <c r="D455" t="inlineStr">
        <is>
          <t>BC Digital - Ongoing Fixes and Enhancements</t>
        </is>
      </c>
      <c r="E455" t="inlineStr">
        <is>
          <t>BC Digital Drakon</t>
        </is>
      </c>
      <c r="F455" t="inlineStr">
        <is>
          <t>03</t>
        </is>
      </c>
      <c r="G455" t="inlineStr">
        <is>
          <t>Joseph Kranak</t>
        </is>
      </c>
      <c r="H455" t="inlineStr">
        <is>
          <t>[BC NEXT] Nice To Have Tech Investment</t>
        </is>
      </c>
      <c r="I455" t="n">
        <v>5</v>
      </c>
      <c r="J455" t="n">
        <v>5.972986111111111</v>
      </c>
      <c r="K455" t="inlineStr"/>
      <c r="L455" t="inlineStr"/>
      <c r="M455" t="n">
        <v>2</v>
      </c>
      <c r="N455" t="inlineStr"/>
      <c r="O455" t="inlineStr">
        <is>
          <t>Done</t>
        </is>
      </c>
      <c r="P455" t="n">
        <v>0</v>
      </c>
      <c r="Q455" t="inlineStr"/>
      <c r="R455" t="inlineStr"/>
      <c r="S455" t="inlineStr"/>
      <c r="T455" t="inlineStr"/>
      <c r="U455" t="inlineStr">
        <is>
          <t>2022-01-19T00:00:00-06:00</t>
        </is>
      </c>
      <c r="V455" t="inlineStr">
        <is>
          <t>2022-01-14T00:00:00-06:00</t>
        </is>
      </c>
      <c r="W455" t="inlineStr">
        <is>
          <t>2022-01-19T15:47:49-06:00</t>
        </is>
      </c>
      <c r="X455">
        <f>IFERROR(1/COUNTIF($I:$I,@$I:$I), 0)</f>
        <v/>
      </c>
    </row>
    <row r="456">
      <c r="A456">
        <f>HYPERLINK("https://drivetime.tpondemand.com/entity/127920", "127920")</f>
        <v/>
      </c>
      <c r="B456" t="inlineStr">
        <is>
          <t>[BC NEXT][CLEAN UP] Rename Cookie service</t>
        </is>
      </c>
      <c r="C456" t="inlineStr">
        <is>
          <t>UserStory</t>
        </is>
      </c>
      <c r="D456" t="inlineStr">
        <is>
          <t>BC Digital - Ongoing Fixes and Enhancements</t>
        </is>
      </c>
      <c r="E456" t="inlineStr">
        <is>
          <t>BC Digital Drakon</t>
        </is>
      </c>
      <c r="F456" t="inlineStr">
        <is>
          <t>11</t>
        </is>
      </c>
      <c r="G456" t="inlineStr">
        <is>
          <t>Antonio Posada</t>
        </is>
      </c>
      <c r="H456" t="inlineStr">
        <is>
          <t>[BC NEXT] Nice To Have Tech Investment</t>
        </is>
      </c>
      <c r="I456" t="n">
        <v>5</v>
      </c>
      <c r="J456" t="n">
        <v>13.80930555555556</v>
      </c>
      <c r="K456" t="inlineStr"/>
      <c r="L456" t="inlineStr"/>
      <c r="M456" t="n">
        <v>2</v>
      </c>
      <c r="N456" t="inlineStr"/>
      <c r="O456" t="inlineStr">
        <is>
          <t>Done</t>
        </is>
      </c>
      <c r="P456" t="n">
        <v>0</v>
      </c>
      <c r="Q456" t="inlineStr"/>
      <c r="R456" t="inlineStr"/>
      <c r="S456" t="inlineStr"/>
      <c r="T456" t="inlineStr"/>
      <c r="U456" t="inlineStr">
        <is>
          <t>2022-03-17T00:00:00-05:00</t>
        </is>
      </c>
      <c r="V456" t="inlineStr">
        <is>
          <t>2022-03-11T00:00:00-06:00</t>
        </is>
      </c>
      <c r="W456" t="inlineStr">
        <is>
          <t>2022-03-17T10:33:36-05:00</t>
        </is>
      </c>
      <c r="X456">
        <f>IFERROR(1/COUNTIF($I:$I,@$I:$I), 0)</f>
        <v/>
      </c>
    </row>
    <row r="457">
      <c r="A457">
        <f>HYPERLINK("https://drivetime.tpondemand.com/entity/132395", "132395")</f>
        <v/>
      </c>
      <c r="B457" t="inlineStr">
        <is>
          <t>[BC NEXT] Delete Demo Pages</t>
        </is>
      </c>
      <c r="C457" t="inlineStr">
        <is>
          <t>UserStory</t>
        </is>
      </c>
      <c r="D457" t="inlineStr">
        <is>
          <t>BC Digital - Ongoing Fixes and Enhancements</t>
        </is>
      </c>
      <c r="E457" t="inlineStr">
        <is>
          <t>BC Digital Drakon</t>
        </is>
      </c>
      <c r="F457" t="inlineStr">
        <is>
          <t>21</t>
        </is>
      </c>
      <c r="G457" t="inlineStr">
        <is>
          <t>Connor Golobich</t>
        </is>
      </c>
      <c r="H457" t="inlineStr">
        <is>
          <t>[BC NEXT] Nice To Have Tech Investment</t>
        </is>
      </c>
      <c r="I457" t="n">
        <v>1</v>
      </c>
      <c r="J457" t="n">
        <v>6.96392361111111</v>
      </c>
      <c r="K457" t="inlineStr"/>
      <c r="L457" t="inlineStr"/>
      <c r="M457" t="n">
        <v>2</v>
      </c>
      <c r="N457" t="n">
        <v>130167</v>
      </c>
      <c r="O457" t="inlineStr">
        <is>
          <t>Done</t>
        </is>
      </c>
      <c r="P457" t="n">
        <v>0</v>
      </c>
      <c r="Q457" t="inlineStr">
        <is>
          <t>Drakon 7</t>
        </is>
      </c>
      <c r="R457" t="inlineStr">
        <is>
          <t>2022-05-19</t>
        </is>
      </c>
      <c r="S457" t="inlineStr">
        <is>
          <t>2022-06-01</t>
        </is>
      </c>
      <c r="T457" t="inlineStr">
        <is>
          <t>Drakon 7 : 2022-05-19 - 2022-06-01</t>
        </is>
      </c>
      <c r="U457" t="inlineStr">
        <is>
          <t>2022-05-25T00:00:00-05:00</t>
        </is>
      </c>
      <c r="V457" t="inlineStr">
        <is>
          <t>2022-05-24T00:00:00-05:00</t>
        </is>
      </c>
      <c r="W457" t="inlineStr">
        <is>
          <t>2022-05-25T15:15:49-05:00</t>
        </is>
      </c>
      <c r="X457">
        <f>IFERROR(1/COUNTIF($I:$I,@$I:$I), 0)</f>
        <v/>
      </c>
    </row>
    <row r="458">
      <c r="A458">
        <f>HYPERLINK("https://drivetime.tpondemand.com/entity/133231", "133231")</f>
        <v/>
      </c>
      <c r="B458" t="inlineStr">
        <is>
          <t>[BC NEXT]  Payment Authorization Modal Updates</t>
        </is>
      </c>
      <c r="C458" t="inlineStr">
        <is>
          <t>UserStory</t>
        </is>
      </c>
      <c r="D458" t="inlineStr">
        <is>
          <t>BC Digital - Ongoing Fixes and Enhancements</t>
        </is>
      </c>
      <c r="E458" t="inlineStr">
        <is>
          <t>BC Digital Drakon</t>
        </is>
      </c>
      <c r="F458" t="inlineStr">
        <is>
          <t>38</t>
        </is>
      </c>
      <c r="G458" t="inlineStr">
        <is>
          <t>Antonio Posada</t>
        </is>
      </c>
      <c r="H458" t="inlineStr">
        <is>
          <t>[BC NEXT] Payment Authorization Updates</t>
        </is>
      </c>
      <c r="I458" t="n">
        <v>33</v>
      </c>
      <c r="J458" t="n">
        <v>34.94814814814815</v>
      </c>
      <c r="K458">
        <f>HYPERLINK("https://drivetime.tpondemand.com/entity/139925", "139925")</f>
        <v/>
      </c>
      <c r="L458" t="inlineStr"/>
      <c r="M458" t="n">
        <v>2</v>
      </c>
      <c r="N458" t="n">
        <v>136569</v>
      </c>
      <c r="O458" t="inlineStr">
        <is>
          <t>Done</t>
        </is>
      </c>
      <c r="P458" t="n">
        <v>0</v>
      </c>
      <c r="Q458" t="inlineStr">
        <is>
          <t>Drakon 13</t>
        </is>
      </c>
      <c r="R458" t="inlineStr">
        <is>
          <t>2022-08-11</t>
        </is>
      </c>
      <c r="S458" t="inlineStr">
        <is>
          <t>2022-08-24</t>
        </is>
      </c>
      <c r="T458" t="inlineStr">
        <is>
          <t>Drakon 13 : 2022-08-11 - 2022-08-24</t>
        </is>
      </c>
      <c r="U458" t="inlineStr">
        <is>
          <t>2022-09-21T00:00:00-05:00</t>
        </is>
      </c>
      <c r="V458" t="inlineStr">
        <is>
          <t>2022-08-19T00:00:00-05:00</t>
        </is>
      </c>
      <c r="W458" t="inlineStr">
        <is>
          <t>2022-09-21T16:20:06-05:00</t>
        </is>
      </c>
      <c r="X458">
        <f>IFERROR(1/COUNTIF($I:$I,@$I:$I), 0)</f>
        <v/>
      </c>
    </row>
    <row r="459">
      <c r="A459">
        <f>HYPERLINK("https://drivetime.tpondemand.com/entity/138636", "138636")</f>
        <v/>
      </c>
      <c r="B459" t="inlineStr">
        <is>
          <t>[BC NEXT][HOT FIX] Fix Pay With Debit Card not opening in Safari browsers</t>
        </is>
      </c>
      <c r="C459" t="inlineStr">
        <is>
          <t>UserStory</t>
        </is>
      </c>
      <c r="D459" t="inlineStr">
        <is>
          <t>BC Digital - Ongoing Fixes and Enhancements</t>
        </is>
      </c>
      <c r="E459" t="inlineStr">
        <is>
          <t>BC Digital Drakon</t>
        </is>
      </c>
      <c r="F459" t="inlineStr">
        <is>
          <t>35</t>
        </is>
      </c>
      <c r="G459" t="inlineStr">
        <is>
          <t>Ari Pace</t>
        </is>
      </c>
      <c r="H459" t="inlineStr">
        <is>
          <t>[BC NEXT] Bug Fixes/Enhancements for September</t>
        </is>
      </c>
      <c r="I459" t="n">
        <v>2</v>
      </c>
      <c r="J459" t="n">
        <v>1.745</v>
      </c>
      <c r="K459" t="inlineStr"/>
      <c r="L459" t="inlineStr"/>
      <c r="M459" t="n">
        <v>2</v>
      </c>
      <c r="N459" t="n">
        <v>136572</v>
      </c>
      <c r="O459" t="inlineStr">
        <is>
          <t>Done</t>
        </is>
      </c>
      <c r="P459" t="n">
        <v>0</v>
      </c>
      <c r="Q459" t="inlineStr">
        <is>
          <t>Drakon 14</t>
        </is>
      </c>
      <c r="R459" t="inlineStr">
        <is>
          <t>2022-08-25</t>
        </is>
      </c>
      <c r="S459" t="inlineStr">
        <is>
          <t>2022-09-07</t>
        </is>
      </c>
      <c r="T459" t="inlineStr">
        <is>
          <t>Drakon 14 : 2022-08-25 - 2022-09-07</t>
        </is>
      </c>
      <c r="U459" t="inlineStr">
        <is>
          <t>2022-08-29T00:00:00-05:00</t>
        </is>
      </c>
      <c r="V459" t="inlineStr">
        <is>
          <t>2022-08-27T00:00:00-05:00</t>
        </is>
      </c>
      <c r="W459" t="inlineStr">
        <is>
          <t>2022-08-29T09:02:13-05:00</t>
        </is>
      </c>
      <c r="X459">
        <f>IFERROR(1/COUNTIF($I:$I,@$I:$I), 0)</f>
        <v/>
      </c>
    </row>
    <row r="460">
      <c r="A460">
        <f>HYPERLINK("https://drivetime.tpondemand.com/entity/139167", "139167")</f>
        <v/>
      </c>
      <c r="B460" t="inlineStr">
        <is>
          <t>[BC NEXT][SSP] Add Paymentus Quick Access URLs to redirect flag</t>
        </is>
      </c>
      <c r="C460" t="inlineStr">
        <is>
          <t>UserStory</t>
        </is>
      </c>
      <c r="D460" t="inlineStr">
        <is>
          <t>BC Digital - Ongoing Fixes and Enhancements</t>
        </is>
      </c>
      <c r="E460" t="inlineStr">
        <is>
          <t>BC Digital Drakon</t>
        </is>
      </c>
      <c r="F460" t="inlineStr">
        <is>
          <t>41</t>
        </is>
      </c>
      <c r="G460" t="inlineStr">
        <is>
          <t>Pete Wesselius</t>
        </is>
      </c>
      <c r="H460" t="inlineStr">
        <is>
          <t>[BC NEXT] Bug Fixes/Enhancements for November/December</t>
        </is>
      </c>
      <c r="I460" t="n">
        <v>4</v>
      </c>
      <c r="J460" t="n">
        <v>20.91380787037037</v>
      </c>
      <c r="K460">
        <f>HYPERLINK("https://drivetime.tpondemand.com/entity/141527", "141527")</f>
        <v/>
      </c>
      <c r="L460" t="inlineStr"/>
      <c r="M460" t="n">
        <v>2</v>
      </c>
      <c r="N460" t="n">
        <v>136576</v>
      </c>
      <c r="O460" t="inlineStr">
        <is>
          <t>Done</t>
        </is>
      </c>
      <c r="P460" t="n">
        <v>0</v>
      </c>
      <c r="Q460" t="inlineStr">
        <is>
          <t>Drakon 17</t>
        </is>
      </c>
      <c r="R460" t="inlineStr">
        <is>
          <t>2022-10-06</t>
        </is>
      </c>
      <c r="S460" t="inlineStr">
        <is>
          <t>2022-10-19</t>
        </is>
      </c>
      <c r="T460" t="inlineStr">
        <is>
          <t>Drakon 17 : 2022-10-06 - 2022-10-19</t>
        </is>
      </c>
      <c r="U460" t="inlineStr">
        <is>
          <t>2022-10-14T00:00:00-05:00</t>
        </is>
      </c>
      <c r="V460" t="inlineStr">
        <is>
          <t>2022-10-10T00:00:00-05:00</t>
        </is>
      </c>
      <c r="W460" t="inlineStr">
        <is>
          <t>2022-10-14T08:58:37-05:00</t>
        </is>
      </c>
      <c r="X460">
        <f>IFERROR(1/COUNTIF($I:$I,@$I:$I), 0)</f>
        <v/>
      </c>
    </row>
    <row r="461">
      <c r="A461">
        <f>HYPERLINK("https://drivetime.tpondemand.com/entity/139883", "139883")</f>
        <v/>
      </c>
      <c r="B461" t="inlineStr">
        <is>
          <t>[BC NEXT] PROD BUG - Pointing to TEST environment</t>
        </is>
      </c>
      <c r="C461" t="inlineStr">
        <is>
          <t>UserStory</t>
        </is>
      </c>
      <c r="D461" t="inlineStr">
        <is>
          <t>BC Digital - Ongoing Fixes and Enhancements</t>
        </is>
      </c>
      <c r="E461" t="inlineStr">
        <is>
          <t>BC Digital Drakon</t>
        </is>
      </c>
      <c r="F461" t="inlineStr">
        <is>
          <t>38</t>
        </is>
      </c>
      <c r="G461" t="inlineStr">
        <is>
          <t>Abbas Shamshi</t>
        </is>
      </c>
      <c r="H461" t="inlineStr">
        <is>
          <t>[BC NEXT] Bug Fixes/Enhancements for September</t>
        </is>
      </c>
      <c r="I461" t="n">
        <v>0</v>
      </c>
      <c r="J461" t="n">
        <v>0.05972222222222222</v>
      </c>
      <c r="K461">
        <f>HYPERLINK("https://drivetime.tpondemand.com/entity/139803", "139803")</f>
        <v/>
      </c>
      <c r="L461" t="inlineStr"/>
      <c r="M461" t="n">
        <v>2</v>
      </c>
      <c r="N461" t="n">
        <v>136574</v>
      </c>
      <c r="O461" t="inlineStr">
        <is>
          <t>Done</t>
        </is>
      </c>
      <c r="P461" t="n">
        <v>0</v>
      </c>
      <c r="Q461" t="inlineStr">
        <is>
          <t>Drakon 15</t>
        </is>
      </c>
      <c r="R461" t="inlineStr">
        <is>
          <t>2022-09-08</t>
        </is>
      </c>
      <c r="S461" t="inlineStr">
        <is>
          <t>2022-09-21</t>
        </is>
      </c>
      <c r="T461" t="inlineStr">
        <is>
          <t>Drakon 15 : 2022-09-08 - 2022-09-21</t>
        </is>
      </c>
      <c r="U461" t="inlineStr">
        <is>
          <t>2022-09-19T00:00:00-05:00</t>
        </is>
      </c>
      <c r="V461" t="inlineStr">
        <is>
          <t>2022-09-19T00:00:00-05:00</t>
        </is>
      </c>
      <c r="W461" t="inlineStr">
        <is>
          <t>2022-09-19T12:46:38-05:00</t>
        </is>
      </c>
      <c r="X461">
        <f>IFERROR(1/COUNTIF($I:$I,@$I:$I), 0)</f>
        <v/>
      </c>
    </row>
    <row r="462">
      <c r="A462">
        <f>HYPERLINK("https://drivetime.tpondemand.com/entity/139886", "139886")</f>
        <v/>
      </c>
      <c r="B462" t="inlineStr">
        <is>
          <t>Add linting to prevent wrong Environment input</t>
        </is>
      </c>
      <c r="C462" t="inlineStr">
        <is>
          <t>UserStory</t>
        </is>
      </c>
      <c r="D462" t="inlineStr">
        <is>
          <t>BC Digital - Ongoing Fixes and Enhancements</t>
        </is>
      </c>
      <c r="E462" t="inlineStr">
        <is>
          <t>BC Digital Drakon</t>
        </is>
      </c>
      <c r="F462" t="inlineStr">
        <is>
          <t>38</t>
        </is>
      </c>
      <c r="G462" t="inlineStr">
        <is>
          <t>Joseph Kranak</t>
        </is>
      </c>
      <c r="H462" t="inlineStr">
        <is>
          <t>[BC NEXT] Nice To Have Tech Investment</t>
        </is>
      </c>
      <c r="I462" t="n">
        <v>2</v>
      </c>
      <c r="J462" t="n">
        <v>1.935231481481481</v>
      </c>
      <c r="K462" t="inlineStr"/>
      <c r="L462" t="inlineStr"/>
      <c r="M462" t="n">
        <v>2</v>
      </c>
      <c r="N462" t="n">
        <v>136574</v>
      </c>
      <c r="O462" t="inlineStr">
        <is>
          <t>Done</t>
        </is>
      </c>
      <c r="P462" t="n">
        <v>0</v>
      </c>
      <c r="Q462" t="inlineStr">
        <is>
          <t>Drakon 15</t>
        </is>
      </c>
      <c r="R462" t="inlineStr">
        <is>
          <t>2022-09-08</t>
        </is>
      </c>
      <c r="S462" t="inlineStr">
        <is>
          <t>2022-09-21</t>
        </is>
      </c>
      <c r="T462" t="inlineStr">
        <is>
          <t>Drakon 15 : 2022-09-08 - 2022-09-21</t>
        </is>
      </c>
      <c r="U462" t="inlineStr">
        <is>
          <t>2022-09-21T00:00:00-05:00</t>
        </is>
      </c>
      <c r="V462" t="inlineStr">
        <is>
          <t>2022-09-19T00:00:00-05:00</t>
        </is>
      </c>
      <c r="W462" t="inlineStr">
        <is>
          <t>2022-09-21T08:51:49-05:00</t>
        </is>
      </c>
      <c r="X462">
        <f>IFERROR(1/COUNTIF($I:$I,@$I:$I), 0)</f>
        <v/>
      </c>
    </row>
    <row r="463">
      <c r="A463">
        <f>HYPERLINK("https://drivetime.tpondemand.com/entity/143914", "143914")</f>
        <v/>
      </c>
      <c r="B463" t="inlineStr">
        <is>
          <t>[BC NEXT] Prod Bug - Incorrect Disclaimer on Linked Account Success page</t>
        </is>
      </c>
      <c r="C463" t="inlineStr">
        <is>
          <t>UserStory</t>
        </is>
      </c>
      <c r="D463" t="inlineStr">
        <is>
          <t>BC Digital - Ongoing Fixes and Enhancements</t>
        </is>
      </c>
      <c r="E463" t="inlineStr">
        <is>
          <t>BC Digital Drakon</t>
        </is>
      </c>
      <c r="F463" t="inlineStr">
        <is>
          <t>46</t>
        </is>
      </c>
      <c r="G463" t="inlineStr">
        <is>
          <t>Abbas Shamshi</t>
        </is>
      </c>
      <c r="H463" t="inlineStr">
        <is>
          <t>[BC NEXT] Bug Fixes/Enhancements for November/December</t>
        </is>
      </c>
      <c r="I463" t="n">
        <v>4</v>
      </c>
      <c r="J463" t="n">
        <v>5.081226851851851</v>
      </c>
      <c r="K463">
        <f>HYPERLINK("https://drivetime.tpondemand.com/entity/144073", "144073")</f>
        <v/>
      </c>
      <c r="L463" t="inlineStr"/>
      <c r="M463" t="n">
        <v>2</v>
      </c>
      <c r="N463" t="n">
        <v>136578</v>
      </c>
      <c r="O463" t="inlineStr">
        <is>
          <t>Done</t>
        </is>
      </c>
      <c r="P463" t="n">
        <v>0</v>
      </c>
      <c r="Q463" t="inlineStr">
        <is>
          <t>Drakon 19</t>
        </is>
      </c>
      <c r="R463" t="inlineStr">
        <is>
          <t>2022-11-03</t>
        </is>
      </c>
      <c r="S463" t="inlineStr">
        <is>
          <t>2022-11-16</t>
        </is>
      </c>
      <c r="T463" t="inlineStr">
        <is>
          <t>Drakon 19 : 2022-11-03 - 2022-11-16</t>
        </is>
      </c>
      <c r="U463" t="inlineStr">
        <is>
          <t>2022-11-15T00:00:00-06:00</t>
        </is>
      </c>
      <c r="V463" t="inlineStr">
        <is>
          <t>2022-11-11T00:00:00-06:00</t>
        </is>
      </c>
      <c r="W463" t="inlineStr">
        <is>
          <t>2022-11-15T15:36:22-06:00</t>
        </is>
      </c>
      <c r="X463">
        <f>IFERROR(1/COUNTIF($I:$I,@$I:$I), 0)</f>
        <v/>
      </c>
    </row>
    <row r="464">
      <c r="A464">
        <f>HYPERLINK("https://drivetime.tpondemand.com/entity/145320", "145320")</f>
        <v/>
      </c>
      <c r="B464" t="inlineStr">
        <is>
          <t>[BC NEXT] Update dotnet version</t>
        </is>
      </c>
      <c r="C464" t="inlineStr">
        <is>
          <t>UserStory</t>
        </is>
      </c>
      <c r="D464" t="inlineStr">
        <is>
          <t>BC Digital - Ongoing Fixes and Enhancements</t>
        </is>
      </c>
      <c r="E464" t="inlineStr">
        <is>
          <t>BC Digital Drakon</t>
        </is>
      </c>
      <c r="F464" t="inlineStr"/>
      <c r="G464" t="inlineStr">
        <is>
          <t>Connor Golobich</t>
        </is>
      </c>
      <c r="H464" t="inlineStr">
        <is>
          <t>[BC NEXT] Bug Fixes/Enhancements for November/December</t>
        </is>
      </c>
      <c r="I464" t="inlineStr"/>
      <c r="J464" t="n">
        <v>33.68662265171991</v>
      </c>
      <c r="K464" t="inlineStr"/>
      <c r="L464" t="inlineStr"/>
      <c r="M464" t="n">
        <v>2</v>
      </c>
      <c r="N464" t="inlineStr"/>
      <c r="O464" t="inlineStr">
        <is>
          <t>UAT</t>
        </is>
      </c>
      <c r="P464" t="n">
        <v>0</v>
      </c>
      <c r="Q464" t="inlineStr"/>
      <c r="R464" t="inlineStr"/>
      <c r="S464" t="inlineStr"/>
      <c r="T464" t="inlineStr"/>
      <c r="U464" t="inlineStr"/>
      <c r="V464" t="inlineStr">
        <is>
          <t>2022-12-14T00:00:00-06:00</t>
        </is>
      </c>
      <c r="X464">
        <f>IFERROR(1/COUNTIF($I:$I,@$I:$I), 0)</f>
        <v/>
      </c>
    </row>
    <row r="465">
      <c r="A465">
        <f>HYPERLINK("https://drivetime.tpondemand.com/entity/146441", "146441")</f>
        <v/>
      </c>
      <c r="B465" t="inlineStr">
        <is>
          <t>[BC NEXT] Update Manage Modifications Integration tests</t>
        </is>
      </c>
      <c r="C465" t="inlineStr">
        <is>
          <t>UserStory</t>
        </is>
      </c>
      <c r="D465" t="inlineStr">
        <is>
          <t>BC Digital - Ongoing Fixes and Enhancements</t>
        </is>
      </c>
      <c r="E465" t="inlineStr">
        <is>
          <t>BC Digital Drakon</t>
        </is>
      </c>
      <c r="F465" t="inlineStr">
        <is>
          <t>50</t>
        </is>
      </c>
      <c r="G465" t="inlineStr">
        <is>
          <t>Connor Golobich</t>
        </is>
      </c>
      <c r="H465" t="inlineStr">
        <is>
          <t>[BC NEXT] Bug Fixes/Enhancements for November/December</t>
        </is>
      </c>
      <c r="I465" t="n">
        <v>0</v>
      </c>
      <c r="J465" t="n">
        <v>0.5221527777777778</v>
      </c>
      <c r="K465">
        <f>HYPERLINK("https://drivetime.tpondemand.com/entity/146568", "146568")</f>
        <v/>
      </c>
      <c r="L465" t="inlineStr"/>
      <c r="M465" t="n">
        <v>2</v>
      </c>
      <c r="N465" t="n">
        <v>136580</v>
      </c>
      <c r="O465" t="inlineStr">
        <is>
          <t>Done</t>
        </is>
      </c>
      <c r="P465" t="n">
        <v>0</v>
      </c>
      <c r="Q465" t="inlineStr">
        <is>
          <t>Drakon 21</t>
        </is>
      </c>
      <c r="R465" t="inlineStr">
        <is>
          <t>2022-12-01</t>
        </is>
      </c>
      <c r="S465" t="inlineStr">
        <is>
          <t>2022-12-14</t>
        </is>
      </c>
      <c r="T465" t="inlineStr">
        <is>
          <t>Drakon 21 : 2022-12-01 - 2022-12-14</t>
        </is>
      </c>
      <c r="U465" t="inlineStr">
        <is>
          <t>2022-12-14T00:00:00-06:00</t>
        </is>
      </c>
      <c r="V465" t="inlineStr">
        <is>
          <t>2022-12-14T00:00:00-06:00</t>
        </is>
      </c>
      <c r="W465" t="inlineStr">
        <is>
          <t>2022-12-14T00:00:00-06:00</t>
        </is>
      </c>
      <c r="X465">
        <f>IFERROR(1/COUNTIF($I:$I,@$I:$I), 0)</f>
        <v/>
      </c>
    </row>
    <row r="466">
      <c r="A466">
        <f>HYPERLINK("https://drivetime.tpondemand.com/entity/146779", "146779")</f>
        <v/>
      </c>
      <c r="B466" t="inlineStr">
        <is>
          <t>[BC NEXT] Update Payoff Quote footer with CA specific disclosure</t>
        </is>
      </c>
      <c r="C466" t="inlineStr">
        <is>
          <t>UserStory</t>
        </is>
      </c>
      <c r="D466" t="inlineStr">
        <is>
          <t>BC Digital - Ongoing Fixes and Enhancements</t>
        </is>
      </c>
      <c r="E466" t="inlineStr">
        <is>
          <t>BC Digital Drakon</t>
        </is>
      </c>
      <c r="F466" t="inlineStr">
        <is>
          <t>52</t>
        </is>
      </c>
      <c r="G466" t="inlineStr">
        <is>
          <t>Michael Wang</t>
        </is>
      </c>
      <c r="H466" t="inlineStr">
        <is>
          <t>[BC NEXT] Bug Fixes/Enhancements for November/December</t>
        </is>
      </c>
      <c r="I466" t="n">
        <v>5</v>
      </c>
      <c r="J466" t="n">
        <v>8.259305555555555</v>
      </c>
      <c r="K466">
        <f>HYPERLINK("https://drivetime.tpondemand.com/entity/147208", "147208")</f>
        <v/>
      </c>
      <c r="L466" t="inlineStr"/>
      <c r="M466" t="n">
        <v>2</v>
      </c>
      <c r="N466" t="n">
        <v>136581</v>
      </c>
      <c r="O466" t="inlineStr">
        <is>
          <t>Done</t>
        </is>
      </c>
      <c r="P466" t="n">
        <v>0</v>
      </c>
      <c r="Q466" t="inlineStr">
        <is>
          <t>Drakon 22</t>
        </is>
      </c>
      <c r="R466" t="inlineStr">
        <is>
          <t>2022-12-15</t>
        </is>
      </c>
      <c r="S466" t="inlineStr">
        <is>
          <t>2022-12-28</t>
        </is>
      </c>
      <c r="T466" t="inlineStr">
        <is>
          <t>Drakon 22 : 2022-12-15 - 2022-12-28</t>
        </is>
      </c>
      <c r="U466" t="inlineStr">
        <is>
          <t>2022-12-27T00:00:00-06:00</t>
        </is>
      </c>
      <c r="V466" t="inlineStr">
        <is>
          <t>2022-12-22T00:00:00-06:00</t>
        </is>
      </c>
      <c r="W466" t="inlineStr">
        <is>
          <t>2022-12-27T14:55:01-06:00</t>
        </is>
      </c>
      <c r="X466">
        <f>IFERROR(1/COUNTIF($I:$I,@$I:$I), 0)</f>
        <v/>
      </c>
    </row>
    <row r="467">
      <c r="A467">
        <f>HYPERLINK("https://drivetime.tpondemand.com/entity/144455", "144455")</f>
        <v/>
      </c>
      <c r="B467" t="inlineStr">
        <is>
          <t>[SSP] Add PTP/PDP question to FAQ</t>
        </is>
      </c>
      <c r="C467" t="inlineStr">
        <is>
          <t>UserStory</t>
        </is>
      </c>
      <c r="D467" t="inlineStr">
        <is>
          <t>BC Digital - Ongoing Fixes and Enhancements</t>
        </is>
      </c>
      <c r="E467" t="inlineStr">
        <is>
          <t>BC Digital Drakon</t>
        </is>
      </c>
      <c r="F467" t="inlineStr">
        <is>
          <t>47</t>
        </is>
      </c>
      <c r="G467" t="inlineStr">
        <is>
          <t>Connor Golobich</t>
        </is>
      </c>
      <c r="H467" t="inlineStr">
        <is>
          <t>[BC NEXT] Bug Fixes/Enhancements for November/December</t>
        </is>
      </c>
      <c r="I467" t="n">
        <v>3</v>
      </c>
      <c r="J467" t="n">
        <v>3.126585648148148</v>
      </c>
      <c r="K467">
        <f>HYPERLINK("https://drivetime.tpondemand.com/entity/144834", "144834")</f>
        <v/>
      </c>
      <c r="L467" t="inlineStr"/>
      <c r="M467" t="n">
        <v>1</v>
      </c>
      <c r="N467" t="n">
        <v>136579</v>
      </c>
      <c r="O467" t="inlineStr">
        <is>
          <t>Done</t>
        </is>
      </c>
      <c r="P467" t="n">
        <v>0</v>
      </c>
      <c r="Q467" t="inlineStr">
        <is>
          <t>Drakon 20</t>
        </is>
      </c>
      <c r="R467" t="inlineStr">
        <is>
          <t>2022-11-17</t>
        </is>
      </c>
      <c r="S467" t="inlineStr">
        <is>
          <t>2022-11-30</t>
        </is>
      </c>
      <c r="T467" t="inlineStr">
        <is>
          <t>Drakon 20 : 2022-11-17 - 2022-11-30</t>
        </is>
      </c>
      <c r="U467" t="inlineStr">
        <is>
          <t>2022-11-21T00:00:00-06:00</t>
        </is>
      </c>
      <c r="V467" t="inlineStr">
        <is>
          <t>2022-11-18T00:00:00-06:00</t>
        </is>
      </c>
      <c r="W467" t="inlineStr">
        <is>
          <t>2022-11-21T16:00:22-06:00</t>
        </is>
      </c>
      <c r="X467">
        <f>IFERROR(1/COUNTIF($I:$I,@$I:$I), 0)</f>
        <v/>
      </c>
    </row>
    <row r="468">
      <c r="A468">
        <f>HYPERLINK("https://drivetime.tpondemand.com/entity/125707", "125707")</f>
        <v/>
      </c>
      <c r="B468" t="inlineStr">
        <is>
          <t>[BC NEXT][Dashboard] - Incorrect description for pending reversals in trans history</t>
        </is>
      </c>
      <c r="C468" t="inlineStr">
        <is>
          <t>UserStory</t>
        </is>
      </c>
      <c r="D468" t="inlineStr">
        <is>
          <t>BC Digital - Ongoing Fixes and Enhancements</t>
        </is>
      </c>
      <c r="E468" t="inlineStr">
        <is>
          <t>BC Digital Drakon</t>
        </is>
      </c>
      <c r="F468" t="inlineStr"/>
      <c r="G468" t="inlineStr"/>
      <c r="H468" t="inlineStr">
        <is>
          <t>[BC NEXT] Nice To Have Tech Investment</t>
        </is>
      </c>
      <c r="I468" t="inlineStr"/>
      <c r="K468" t="inlineStr"/>
      <c r="L468" t="inlineStr"/>
      <c r="M468" t="n">
        <v>0</v>
      </c>
      <c r="N468" t="inlineStr"/>
      <c r="O468" t="inlineStr">
        <is>
          <t>Icebox</t>
        </is>
      </c>
      <c r="P468" t="n">
        <v>0</v>
      </c>
      <c r="Q468" t="inlineStr"/>
      <c r="R468" t="inlineStr"/>
      <c r="S468" t="inlineStr"/>
      <c r="T468" t="inlineStr"/>
      <c r="U468" t="inlineStr"/>
      <c r="V468" t="inlineStr"/>
      <c r="X468">
        <f>IFERROR(1/COUNTIF($I:$I,@$I:$I), 0)</f>
        <v/>
      </c>
    </row>
    <row r="469">
      <c r="A469">
        <f>HYPERLINK("https://drivetime.tpondemand.com/entity/128600", "128600")</f>
        <v/>
      </c>
      <c r="B469" t="inlineStr">
        <is>
          <t>Dashboard Integration Tests</t>
        </is>
      </c>
      <c r="C469" t="inlineStr">
        <is>
          <t>UserStory</t>
        </is>
      </c>
      <c r="D469" t="inlineStr">
        <is>
          <t>BC Digital - Ongoing Fixes and Enhancements</t>
        </is>
      </c>
      <c r="E469" t="inlineStr">
        <is>
          <t>BC Digital Drakon</t>
        </is>
      </c>
      <c r="F469" t="inlineStr"/>
      <c r="G469" t="inlineStr"/>
      <c r="H469" t="inlineStr">
        <is>
          <t>[BC NEXT] Nice To Have Tech Investment</t>
        </is>
      </c>
      <c r="I469" t="inlineStr"/>
      <c r="K469" t="inlineStr"/>
      <c r="L469" t="inlineStr"/>
      <c r="M469" t="n">
        <v>0</v>
      </c>
      <c r="N469" t="inlineStr"/>
      <c r="O469" t="inlineStr">
        <is>
          <t>Icebox</t>
        </is>
      </c>
      <c r="P469" t="n">
        <v>0</v>
      </c>
      <c r="Q469" t="inlineStr"/>
      <c r="R469" t="inlineStr"/>
      <c r="S469" t="inlineStr"/>
      <c r="T469" t="inlineStr"/>
      <c r="U469" t="inlineStr"/>
      <c r="V469" t="inlineStr"/>
      <c r="X469">
        <f>IFERROR(1/COUNTIF($I:$I,@$I:$I), 0)</f>
        <v/>
      </c>
    </row>
    <row r="470">
      <c r="A470">
        <f>HYPERLINK("https://drivetime.tpondemand.com/entity/128618", "128618")</f>
        <v/>
      </c>
      <c r="B470" t="inlineStr">
        <is>
          <t>[BC NEXT][RESEARCH] GraphQL - Add Authentication on Evict mutation</t>
        </is>
      </c>
      <c r="C470" t="inlineStr">
        <is>
          <t>UserStory</t>
        </is>
      </c>
      <c r="D470" t="inlineStr">
        <is>
          <t>BC Digital - Ongoing Fixes and Enhancements</t>
        </is>
      </c>
      <c r="E470" t="inlineStr">
        <is>
          <t>BC Digital Drakon</t>
        </is>
      </c>
      <c r="F470" t="inlineStr"/>
      <c r="G470" t="inlineStr"/>
      <c r="H470" t="inlineStr">
        <is>
          <t>[BC NEXT] Nice To Have Tech Investment</t>
        </is>
      </c>
      <c r="I470" t="inlineStr"/>
      <c r="K470" t="inlineStr"/>
      <c r="L470" t="inlineStr"/>
      <c r="M470" t="n">
        <v>0</v>
      </c>
      <c r="N470" t="inlineStr"/>
      <c r="O470" t="inlineStr">
        <is>
          <t>Icebox</t>
        </is>
      </c>
      <c r="P470" t="n">
        <v>0</v>
      </c>
      <c r="Q470" t="inlineStr"/>
      <c r="R470" t="inlineStr"/>
      <c r="S470" t="inlineStr"/>
      <c r="T470" t="inlineStr"/>
      <c r="U470" t="inlineStr"/>
      <c r="V470" t="inlineStr"/>
      <c r="X470">
        <f>IFERROR(1/COUNTIF($I:$I,@$I:$I), 0)</f>
        <v/>
      </c>
    </row>
    <row r="471">
      <c r="A471">
        <f>HYPERLINK("https://drivetime.tpondemand.com/entity/128924", "128924")</f>
        <v/>
      </c>
      <c r="B471" t="inlineStr">
        <is>
          <t>[BC NEXT][WEB] APPD - Update Amount Due and Amount Due Popover</t>
        </is>
      </c>
      <c r="C471" t="inlineStr">
        <is>
          <t>UserStory</t>
        </is>
      </c>
      <c r="D471" t="inlineStr">
        <is>
          <t>BC Digital - Ongoing Fixes and Enhancements</t>
        </is>
      </c>
      <c r="E471" t="inlineStr">
        <is>
          <t>BC Digital Drakon</t>
        </is>
      </c>
      <c r="F471" t="inlineStr"/>
      <c r="G471" t="inlineStr"/>
      <c r="H471" t="inlineStr">
        <is>
          <t>[BC NEXT] Nice To Have Tech Investment</t>
        </is>
      </c>
      <c r="I471" t="inlineStr"/>
      <c r="K471" t="inlineStr"/>
      <c r="L471" t="inlineStr"/>
      <c r="M471" t="n">
        <v>0</v>
      </c>
      <c r="N471" t="inlineStr"/>
      <c r="O471" t="inlineStr">
        <is>
          <t>Icebox</t>
        </is>
      </c>
      <c r="P471" t="n">
        <v>0</v>
      </c>
      <c r="Q471" t="inlineStr"/>
      <c r="R471" t="inlineStr"/>
      <c r="S471" t="inlineStr"/>
      <c r="T471" t="inlineStr"/>
      <c r="U471" t="inlineStr"/>
      <c r="V471" t="inlineStr"/>
      <c r="X471">
        <f>IFERROR(1/COUNTIF($I:$I,@$I:$I), 0)</f>
        <v/>
      </c>
    </row>
    <row r="472">
      <c r="A472">
        <f>HYPERLINK("https://drivetime.tpondemand.com/entity/129658", "129658")</f>
        <v/>
      </c>
      <c r="B472" t="inlineStr">
        <is>
          <t>[BC NEXT] Data persist when user goes back to OTP, AP,APPD</t>
        </is>
      </c>
      <c r="C472" t="inlineStr">
        <is>
          <t>UserStory</t>
        </is>
      </c>
      <c r="D472" t="inlineStr">
        <is>
          <t>BC Digital - Ongoing Fixes and Enhancements</t>
        </is>
      </c>
      <c r="E472" t="inlineStr">
        <is>
          <t>BC Digital Drakon</t>
        </is>
      </c>
      <c r="F472" t="inlineStr"/>
      <c r="G472" t="inlineStr">
        <is>
          <t>Shyam Senthil Nathan</t>
        </is>
      </c>
      <c r="H472" t="inlineStr">
        <is>
          <t>[BC NEXT] Nice To Have Tech Investment</t>
        </is>
      </c>
      <c r="I472" t="inlineStr"/>
      <c r="K472" t="inlineStr"/>
      <c r="L472" t="inlineStr"/>
      <c r="M472" t="n">
        <v>0</v>
      </c>
      <c r="N472" t="inlineStr"/>
      <c r="O472" t="inlineStr">
        <is>
          <t>Icebox</t>
        </is>
      </c>
      <c r="P472" t="n">
        <v>0</v>
      </c>
      <c r="Q472" t="inlineStr"/>
      <c r="R472" t="inlineStr"/>
      <c r="S472" t="inlineStr"/>
      <c r="T472" t="inlineStr"/>
      <c r="U472" t="inlineStr"/>
      <c r="V472" t="inlineStr"/>
      <c r="X472">
        <f>IFERROR(1/COUNTIF($I:$I,@$I:$I), 0)</f>
        <v/>
      </c>
    </row>
    <row r="473">
      <c r="A473">
        <f>HYPERLINK("https://drivetime.tpondemand.com/entity/135333", "135333")</f>
        <v/>
      </c>
      <c r="B473" t="inlineStr">
        <is>
          <t>[BC NEXT][AUTOMATION] OneTime Payment</t>
        </is>
      </c>
      <c r="C473" t="inlineStr">
        <is>
          <t>UserStory</t>
        </is>
      </c>
      <c r="D473" t="inlineStr">
        <is>
          <t>BC Digital - Ongoing Fixes and Enhancements</t>
        </is>
      </c>
      <c r="E473" t="inlineStr">
        <is>
          <t>BC Digital Drakon</t>
        </is>
      </c>
      <c r="F473" t="inlineStr"/>
      <c r="G473" t="inlineStr"/>
      <c r="H473" t="inlineStr">
        <is>
          <t>[BC NEXT] Nice To Have Tech Investment</t>
        </is>
      </c>
      <c r="I473" t="inlineStr"/>
      <c r="K473" t="inlineStr"/>
      <c r="L473" t="inlineStr"/>
      <c r="M473" t="n">
        <v>0</v>
      </c>
      <c r="N473" t="inlineStr"/>
      <c r="O473" t="inlineStr">
        <is>
          <t>Icebox</t>
        </is>
      </c>
      <c r="P473" t="n">
        <v>0</v>
      </c>
      <c r="Q473" t="inlineStr"/>
      <c r="R473" t="inlineStr"/>
      <c r="S473" t="inlineStr"/>
      <c r="T473" t="inlineStr"/>
      <c r="U473" t="inlineStr"/>
      <c r="V473" t="inlineStr"/>
      <c r="X473">
        <f>IFERROR(1/COUNTIF($I:$I,@$I:$I), 0)</f>
        <v/>
      </c>
    </row>
    <row r="474">
      <c r="A474">
        <f>HYPERLINK("https://drivetime.tpondemand.com/entity/139386", "139386")</f>
        <v/>
      </c>
      <c r="B474" t="inlineStr">
        <is>
          <t>[BC NEXT][UX] Hide debit card</t>
        </is>
      </c>
      <c r="C474" t="inlineStr">
        <is>
          <t>UserStory</t>
        </is>
      </c>
      <c r="D474" t="inlineStr">
        <is>
          <t>BC Digital - Ongoing Fixes and Enhancements</t>
        </is>
      </c>
      <c r="E474" t="inlineStr">
        <is>
          <t>BC Digital Drakon</t>
        </is>
      </c>
      <c r="F474" t="inlineStr">
        <is>
          <t>47</t>
        </is>
      </c>
      <c r="G474" t="inlineStr">
        <is>
          <t>Jennifer Box and Shaden Handal</t>
        </is>
      </c>
      <c r="H474" t="inlineStr">
        <is>
          <t>[BC NEXT] Nice To Have Tech Investment</t>
        </is>
      </c>
      <c r="I474" t="n">
        <v>14</v>
      </c>
      <c r="J474" t="n">
        <v>57.07954861111111</v>
      </c>
      <c r="K474" t="inlineStr"/>
      <c r="L474" t="inlineStr"/>
      <c r="M474" t="n">
        <v>0</v>
      </c>
      <c r="N474" t="inlineStr"/>
      <c r="O474" t="inlineStr">
        <is>
          <t>Done</t>
        </is>
      </c>
      <c r="P474" t="n">
        <v>0</v>
      </c>
      <c r="Q474" t="inlineStr"/>
      <c r="R474" t="inlineStr"/>
      <c r="S474" t="inlineStr"/>
      <c r="T474" t="inlineStr"/>
      <c r="U474" t="inlineStr">
        <is>
          <t>2022-11-22T00:00:00-06:00</t>
        </is>
      </c>
      <c r="V474" t="inlineStr">
        <is>
          <t>2022-11-08T00:00:00-06:00</t>
        </is>
      </c>
      <c r="W474" t="inlineStr">
        <is>
          <t>2022-11-22T11:48:51-06:00</t>
        </is>
      </c>
      <c r="X474">
        <f>IFERROR(1/COUNTIF($I:$I,@$I:$I), 0)</f>
        <v/>
      </c>
    </row>
    <row r="475">
      <c r="A475">
        <f>HYPERLINK("https://drivetime.tpondemand.com/entity/141945", "141945")</f>
        <v/>
      </c>
      <c r="B475" t="inlineStr">
        <is>
          <t>[BC NEXT] Plan to Cure - Automation</t>
        </is>
      </c>
      <c r="C475" t="inlineStr">
        <is>
          <t>UserStory</t>
        </is>
      </c>
      <c r="D475" t="inlineStr">
        <is>
          <t>BC Digital - Ongoing Fixes and Enhancements</t>
        </is>
      </c>
      <c r="E475" t="inlineStr">
        <is>
          <t>BC Digital Drakon</t>
        </is>
      </c>
      <c r="F475" t="inlineStr"/>
      <c r="G475" t="inlineStr"/>
      <c r="H475" t="inlineStr">
        <is>
          <t>[BC NEXT] Nice To Have Tech Investment</t>
        </is>
      </c>
      <c r="I475" t="inlineStr"/>
      <c r="K475" t="inlineStr"/>
      <c r="L475" t="inlineStr"/>
      <c r="M475" t="n">
        <v>0</v>
      </c>
      <c r="N475" t="inlineStr"/>
      <c r="O475" t="inlineStr">
        <is>
          <t>Icebox</t>
        </is>
      </c>
      <c r="P475" t="n">
        <v>0</v>
      </c>
      <c r="Q475" t="inlineStr"/>
      <c r="R475" t="inlineStr"/>
      <c r="S475" t="inlineStr"/>
      <c r="T475" t="inlineStr"/>
      <c r="U475" t="inlineStr"/>
      <c r="V475" t="inlineStr"/>
      <c r="X475">
        <f>IFERROR(1/COUNTIF($I:$I,@$I:$I), 0)</f>
        <v/>
      </c>
    </row>
    <row r="476">
      <c r="A476">
        <f>HYPERLINK("https://drivetime.tpondemand.com/entity/143934", "143934")</f>
        <v/>
      </c>
      <c r="B476" t="inlineStr">
        <is>
          <t>[BC NEXT] Update Vision Classic Comment for Web Access</t>
        </is>
      </c>
      <c r="C476" t="inlineStr">
        <is>
          <t>UserStory</t>
        </is>
      </c>
      <c r="D476" t="inlineStr">
        <is>
          <t>BC Digital - Ongoing Fixes and Enhancements</t>
        </is>
      </c>
      <c r="E476" t="inlineStr">
        <is>
          <t>BC Digital Drakon</t>
        </is>
      </c>
      <c r="F476" t="inlineStr"/>
      <c r="G476" t="inlineStr"/>
      <c r="H476" t="inlineStr">
        <is>
          <t>[BC NEXT] Nice To Have Tech Investment</t>
        </is>
      </c>
      <c r="I476" t="inlineStr"/>
      <c r="K476" t="inlineStr"/>
      <c r="L476" t="inlineStr"/>
      <c r="M476" t="n">
        <v>0</v>
      </c>
      <c r="N476" t="inlineStr"/>
      <c r="O476" t="inlineStr">
        <is>
          <t>Icebox</t>
        </is>
      </c>
      <c r="P476" t="n">
        <v>0</v>
      </c>
      <c r="Q476" t="inlineStr"/>
      <c r="R476" t="inlineStr"/>
      <c r="S476" t="inlineStr"/>
      <c r="T476" t="inlineStr"/>
      <c r="U476" t="inlineStr"/>
      <c r="V476" t="inlineStr"/>
      <c r="X476">
        <f>IFERROR(1/COUNTIF($I:$I,@$I:$I), 0)</f>
        <v/>
      </c>
    </row>
    <row r="477">
      <c r="A477">
        <f>HYPERLINK("https://drivetime.tpondemand.com/entity/147118", "147118")</f>
        <v/>
      </c>
      <c r="B477" t="inlineStr">
        <is>
          <t>[BC NEXT] Add space so TWT widget does not cover any CTA</t>
        </is>
      </c>
      <c r="C477" t="inlineStr">
        <is>
          <t>UserStory</t>
        </is>
      </c>
      <c r="D477" t="inlineStr">
        <is>
          <t>BC Digital - Ongoing Fixes and Enhancements</t>
        </is>
      </c>
      <c r="E477" t="inlineStr">
        <is>
          <t>BC Digital Drakon</t>
        </is>
      </c>
      <c r="F477" t="inlineStr"/>
      <c r="G477" t="inlineStr"/>
      <c r="H477" t="inlineStr">
        <is>
          <t>[BC NEXT] Nice To Have Tech Investment</t>
        </is>
      </c>
      <c r="I477" t="inlineStr"/>
      <c r="K477" t="inlineStr"/>
      <c r="L477" t="inlineStr"/>
      <c r="M477" t="n">
        <v>0</v>
      </c>
      <c r="N477" t="inlineStr"/>
      <c r="O477" t="inlineStr">
        <is>
          <t>Icebox</t>
        </is>
      </c>
      <c r="P477" t="n">
        <v>0</v>
      </c>
      <c r="Q477" t="inlineStr"/>
      <c r="R477" t="inlineStr"/>
      <c r="S477" t="inlineStr"/>
      <c r="T477" t="inlineStr"/>
      <c r="U477" t="inlineStr"/>
      <c r="V477" t="inlineStr"/>
      <c r="X477">
        <f>IFERROR(1/COUNTIF($I:$I,@$I:$I), 0)</f>
        <v/>
      </c>
    </row>
    <row r="478">
      <c r="A478">
        <f>HYPERLINK("https://drivetime.tpondemand.com/entity/147251", "147251")</f>
        <v/>
      </c>
      <c r="B478" t="inlineStr">
        <is>
          <t>[BC NEXT] Update dashboard experience when no recent activity available</t>
        </is>
      </c>
      <c r="C478" t="inlineStr">
        <is>
          <t>UserStory</t>
        </is>
      </c>
      <c r="D478" t="inlineStr">
        <is>
          <t>BC Digital - Ongoing Fixes and Enhancements</t>
        </is>
      </c>
      <c r="E478" t="inlineStr">
        <is>
          <t>BC Digital Drakon</t>
        </is>
      </c>
      <c r="F478" t="inlineStr"/>
      <c r="G478" t="inlineStr"/>
      <c r="H478" t="inlineStr">
        <is>
          <t>[BC NEXT] Nice To Have Tech Investment</t>
        </is>
      </c>
      <c r="I478" t="inlineStr"/>
      <c r="K478" t="inlineStr"/>
      <c r="L478" t="inlineStr"/>
      <c r="M478" t="n">
        <v>0</v>
      </c>
      <c r="N478" t="inlineStr"/>
      <c r="O478" t="inlineStr">
        <is>
          <t>Icebox</t>
        </is>
      </c>
      <c r="P478" t="n">
        <v>0</v>
      </c>
      <c r="Q478" t="inlineStr"/>
      <c r="R478" t="inlineStr"/>
      <c r="S478" t="inlineStr"/>
      <c r="T478" t="inlineStr"/>
      <c r="U478" t="inlineStr"/>
      <c r="V478" t="inlineStr"/>
      <c r="X478">
        <f>IFERROR(1/COUNTIF($I:$I,@$I:$I), 0)</f>
        <v/>
      </c>
    </row>
    <row r="479">
      <c r="A479">
        <f>HYPERLINK("https://drivetime.tpondemand.com/entity/147292", "147292")</f>
        <v/>
      </c>
      <c r="B479" t="inlineStr">
        <is>
          <t>[BC NEXT] New saved bank account not persisting across payment flows</t>
        </is>
      </c>
      <c r="C479" t="inlineStr">
        <is>
          <t>UserStory</t>
        </is>
      </c>
      <c r="D479" t="inlineStr">
        <is>
          <t>BC Digital - Ongoing Fixes and Enhancements</t>
        </is>
      </c>
      <c r="E479" t="inlineStr">
        <is>
          <t>BC Digital Drakon</t>
        </is>
      </c>
      <c r="F479" t="inlineStr"/>
      <c r="G479" t="inlineStr"/>
      <c r="H479" t="inlineStr">
        <is>
          <t>[BC NEXT] Nice To Have Tech Investment</t>
        </is>
      </c>
      <c r="I479" t="inlineStr"/>
      <c r="K479" t="inlineStr"/>
      <c r="L479" t="inlineStr"/>
      <c r="M479" t="n">
        <v>0</v>
      </c>
      <c r="N479" t="inlineStr"/>
      <c r="O479" t="inlineStr">
        <is>
          <t>Icebox</t>
        </is>
      </c>
      <c r="P479" t="n">
        <v>0</v>
      </c>
      <c r="Q479" t="inlineStr"/>
      <c r="R479" t="inlineStr"/>
      <c r="S479" t="inlineStr"/>
      <c r="T479" t="inlineStr"/>
      <c r="U479" t="inlineStr"/>
      <c r="V479" t="inlineStr"/>
      <c r="X479">
        <f>IFERROR(1/COUNTIF($I:$I,@$I:$I), 0)</f>
        <v/>
      </c>
    </row>
    <row r="480">
      <c r="A480">
        <f>HYPERLINK("https://drivetime.tpondemand.com/entity/147293", "147293")</f>
        <v/>
      </c>
      <c r="B480" t="inlineStr">
        <is>
          <t>[BC NEXT] Remove Kmart link from Payment Options page</t>
        </is>
      </c>
      <c r="C480" t="inlineStr">
        <is>
          <t>UserStory</t>
        </is>
      </c>
      <c r="D480" t="inlineStr">
        <is>
          <t>BC Digital - Ongoing Fixes and Enhancements</t>
        </is>
      </c>
      <c r="E480" t="inlineStr">
        <is>
          <t>BC Digital Drakon</t>
        </is>
      </c>
      <c r="F480" t="inlineStr"/>
      <c r="G480" t="inlineStr"/>
      <c r="H480" t="inlineStr">
        <is>
          <t>[BC NEXT] Nice To Have Tech Investment</t>
        </is>
      </c>
      <c r="I480" t="inlineStr"/>
      <c r="K480" t="inlineStr"/>
      <c r="L480" t="inlineStr"/>
      <c r="M480" t="n">
        <v>0</v>
      </c>
      <c r="N480" t="inlineStr"/>
      <c r="O480" t="inlineStr">
        <is>
          <t>Icebox</t>
        </is>
      </c>
      <c r="P480" t="n">
        <v>0</v>
      </c>
      <c r="Q480" t="inlineStr"/>
      <c r="R480" t="inlineStr"/>
      <c r="S480" t="inlineStr"/>
      <c r="T480" t="inlineStr"/>
      <c r="U480" t="inlineStr"/>
      <c r="V480" t="inlineStr"/>
      <c r="X480">
        <f>IFERROR(1/COUNTIF($I:$I,@$I:$I), 0)</f>
        <v/>
      </c>
    </row>
    <row r="481">
      <c r="A481">
        <f>HYPERLINK("https://drivetime.tpondemand.com/entity/147294", "147294")</f>
        <v/>
      </c>
      <c r="B481" t="inlineStr">
        <is>
          <t>[BC NEXT] Expand tap target in side nav</t>
        </is>
      </c>
      <c r="C481" t="inlineStr">
        <is>
          <t>UserStory</t>
        </is>
      </c>
      <c r="D481" t="inlineStr">
        <is>
          <t>BC Digital - Ongoing Fixes and Enhancements</t>
        </is>
      </c>
      <c r="E481" t="inlineStr">
        <is>
          <t>BC Digital Drakon</t>
        </is>
      </c>
      <c r="F481" t="inlineStr"/>
      <c r="G481" t="inlineStr"/>
      <c r="H481" t="inlineStr">
        <is>
          <t>[BC NEXT] Nice To Have Tech Investment</t>
        </is>
      </c>
      <c r="I481" t="inlineStr"/>
      <c r="K481" t="inlineStr"/>
      <c r="L481" t="inlineStr"/>
      <c r="M481" t="n">
        <v>0</v>
      </c>
      <c r="N481" t="inlineStr"/>
      <c r="O481" t="inlineStr">
        <is>
          <t>Icebox</t>
        </is>
      </c>
      <c r="P481" t="n">
        <v>0</v>
      </c>
      <c r="Q481" t="inlineStr"/>
      <c r="R481" t="inlineStr"/>
      <c r="S481" t="inlineStr"/>
      <c r="T481" t="inlineStr"/>
      <c r="U481" t="inlineStr"/>
      <c r="V481" t="inlineStr"/>
      <c r="X481">
        <f>IFERROR(1/COUNTIF($I:$I,@$I:$I), 0)</f>
        <v/>
      </c>
    </row>
    <row r="482">
      <c r="A482">
        <f>HYPERLINK("https://drivetime.tpondemand.com/entity/134640", "134640")</f>
        <v/>
      </c>
      <c r="B482" t="inlineStr">
        <is>
          <t>Create and trigger Red Eligibility Extension Text</t>
        </is>
      </c>
      <c r="C482" t="inlineStr">
        <is>
          <t>UserStory</t>
        </is>
      </c>
      <c r="D482" t="inlineStr">
        <is>
          <t>BC Digital - Ongoing Fixes and Enhancements</t>
        </is>
      </c>
      <c r="E482" t="inlineStr">
        <is>
          <t>BC Digital Comet</t>
        </is>
      </c>
      <c r="F482" t="inlineStr">
        <is>
          <t>33</t>
        </is>
      </c>
      <c r="G482" t="inlineStr">
        <is>
          <t>Marcus Rogers and Aditi Sharma and Daniel Verhagen</t>
        </is>
      </c>
      <c r="H482" t="inlineStr">
        <is>
          <t>Redesign Extension and Payment Frequency Communication Experience</t>
        </is>
      </c>
      <c r="I482" t="n">
        <v>7</v>
      </c>
      <c r="J482" t="n">
        <v>29.99390046296296</v>
      </c>
      <c r="K482">
        <f>HYPERLINK("https://drivetime.tpondemand.com/entity/137618", "137618")</f>
        <v/>
      </c>
      <c r="L482" t="inlineStr"/>
      <c r="M482" t="n">
        <v>8</v>
      </c>
      <c r="N482" t="n">
        <v>127322</v>
      </c>
      <c r="O482" t="inlineStr">
        <is>
          <t>Done</t>
        </is>
      </c>
      <c r="P482" t="n">
        <v>0</v>
      </c>
      <c r="Q482" t="inlineStr">
        <is>
          <t>Comet 90</t>
        </is>
      </c>
      <c r="R482" t="inlineStr">
        <is>
          <t>2022-08-11</t>
        </is>
      </c>
      <c r="S482" t="inlineStr">
        <is>
          <t>2022-08-24</t>
        </is>
      </c>
      <c r="T482" t="inlineStr">
        <is>
          <t>Comet 90 : 2022-08-11 - 2022-08-24</t>
        </is>
      </c>
      <c r="U482" t="inlineStr">
        <is>
          <t>2022-08-18T00:00:00-05:00</t>
        </is>
      </c>
      <c r="V482" t="inlineStr">
        <is>
          <t>2022-08-11T00:00:00-05:00</t>
        </is>
      </c>
      <c r="W482" t="inlineStr">
        <is>
          <t>2022-08-18T11:17:43-05:00</t>
        </is>
      </c>
      <c r="X482">
        <f>IFERROR(1/COUNTIF($I:$I,@$I:$I), 0)</f>
        <v/>
      </c>
    </row>
    <row r="483">
      <c r="A483">
        <f>HYPERLINK("https://drivetime.tpondemand.com/entity/134641", "134641")</f>
        <v/>
      </c>
      <c r="B483" t="inlineStr">
        <is>
          <t>Trigger Extension Emails</t>
        </is>
      </c>
      <c r="C483" t="inlineStr">
        <is>
          <t>UserStory</t>
        </is>
      </c>
      <c r="D483" t="inlineStr">
        <is>
          <t>BC Digital - Ongoing Fixes and Enhancements</t>
        </is>
      </c>
      <c r="E483" t="inlineStr">
        <is>
          <t>BC Digital Comet</t>
        </is>
      </c>
      <c r="F483" t="inlineStr">
        <is>
          <t>34</t>
        </is>
      </c>
      <c r="G483" t="inlineStr">
        <is>
          <t>Manuel Tenorio and Michael Wang</t>
        </is>
      </c>
      <c r="H483" t="inlineStr">
        <is>
          <t>Redesign Extension and Payment Frequency Communication Experience</t>
        </is>
      </c>
      <c r="I483" t="n">
        <v>5</v>
      </c>
      <c r="J483" t="n">
        <v>31.95196759259259</v>
      </c>
      <c r="K483">
        <f>HYPERLINK("https://drivetime.tpondemand.com/entity/138014", "138014")</f>
        <v/>
      </c>
      <c r="L483" t="inlineStr"/>
      <c r="M483" t="n">
        <v>8</v>
      </c>
      <c r="N483" t="n">
        <v>127322</v>
      </c>
      <c r="O483" t="inlineStr">
        <is>
          <t>Done</t>
        </is>
      </c>
      <c r="P483" t="n">
        <v>0</v>
      </c>
      <c r="Q483" t="inlineStr">
        <is>
          <t>Comet 90</t>
        </is>
      </c>
      <c r="R483" t="inlineStr">
        <is>
          <t>2022-08-11</t>
        </is>
      </c>
      <c r="S483" t="inlineStr">
        <is>
          <t>2022-08-24</t>
        </is>
      </c>
      <c r="T483" t="inlineStr">
        <is>
          <t>Comet 90 : 2022-08-11 - 2022-08-24</t>
        </is>
      </c>
      <c r="U483" t="inlineStr">
        <is>
          <t>2022-08-23T00:00:00-05:00</t>
        </is>
      </c>
      <c r="V483" t="inlineStr">
        <is>
          <t>2022-08-18T00:00:00-05:00</t>
        </is>
      </c>
      <c r="W483" t="inlineStr">
        <is>
          <t>2022-08-23T11:19:43-05:00</t>
        </is>
      </c>
      <c r="X483">
        <f>IFERROR(1/COUNTIF($I:$I,@$I:$I), 0)</f>
        <v/>
      </c>
    </row>
    <row r="484">
      <c r="A484">
        <f>HYPERLINK("https://drivetime.tpondemand.com/entity/134642", "134642")</f>
        <v/>
      </c>
      <c r="B484" t="inlineStr">
        <is>
          <t>Trigger 24 and 48 hour reminder texts Development</t>
        </is>
      </c>
      <c r="C484" t="inlineStr">
        <is>
          <t>UserStory</t>
        </is>
      </c>
      <c r="D484" t="inlineStr">
        <is>
          <t>BC Digital - Ongoing Fixes and Enhancements</t>
        </is>
      </c>
      <c r="E484" t="inlineStr">
        <is>
          <t>BC Digital Comet</t>
        </is>
      </c>
      <c r="F484" t="inlineStr">
        <is>
          <t>35</t>
        </is>
      </c>
      <c r="G484" t="inlineStr">
        <is>
          <t>Aditi Sharma and Manuel Tenorio and Michael Wang</t>
        </is>
      </c>
      <c r="H484" t="inlineStr">
        <is>
          <t>Redesign Extension and Payment Frequency Communication Experience</t>
        </is>
      </c>
      <c r="I484" t="n">
        <v>0</v>
      </c>
      <c r="J484" t="n">
        <v>14.95390046296296</v>
      </c>
      <c r="K484">
        <f>HYPERLINK("https://drivetime.tpondemand.com/entity/139036", "139036")</f>
        <v/>
      </c>
      <c r="L484" t="inlineStr"/>
      <c r="M484" t="n">
        <v>8</v>
      </c>
      <c r="N484" t="n">
        <v>127323</v>
      </c>
      <c r="O484" t="inlineStr">
        <is>
          <t>Done</t>
        </is>
      </c>
      <c r="P484" t="n">
        <v>0</v>
      </c>
      <c r="Q484" t="inlineStr">
        <is>
          <t>Comet 91</t>
        </is>
      </c>
      <c r="R484" t="inlineStr">
        <is>
          <t>2022-08-25</t>
        </is>
      </c>
      <c r="S484" t="inlineStr">
        <is>
          <t>2022-09-07</t>
        </is>
      </c>
      <c r="T484" t="inlineStr">
        <is>
          <t>Comet 91 : 2022-08-25 - 2022-09-07</t>
        </is>
      </c>
      <c r="U484" t="inlineStr">
        <is>
          <t>2022-08-30T00:00:00-05:00</t>
        </is>
      </c>
      <c r="V484" t="inlineStr">
        <is>
          <t>2022-08-30T00:00:00-05:00</t>
        </is>
      </c>
      <c r="W484" t="inlineStr">
        <is>
          <t>2022-08-30T14:49:37-05:00</t>
        </is>
      </c>
      <c r="X484">
        <f>IFERROR(1/COUNTIF($I:$I,@$I:$I), 0)</f>
        <v/>
      </c>
    </row>
    <row r="485">
      <c r="A485">
        <f>HYPERLINK("https://drivetime.tpondemand.com/entity/134643", "134643")</f>
        <v/>
      </c>
      <c r="B485" t="inlineStr">
        <is>
          <t>Trigger Success/Unsuccessful emails</t>
        </is>
      </c>
      <c r="C485" t="inlineStr">
        <is>
          <t>UserStory</t>
        </is>
      </c>
      <c r="D485" t="inlineStr">
        <is>
          <t>BC Digital - Ongoing Fixes and Enhancements</t>
        </is>
      </c>
      <c r="E485" t="inlineStr">
        <is>
          <t>BC Digital Comet</t>
        </is>
      </c>
      <c r="F485" t="inlineStr">
        <is>
          <t>36</t>
        </is>
      </c>
      <c r="G485" t="inlineStr">
        <is>
          <t>Marcus Rogers and Daniel Verhagen</t>
        </is>
      </c>
      <c r="H485" t="inlineStr">
        <is>
          <t>Redesign Extension and Payment Frequency Communication Experience</t>
        </is>
      </c>
      <c r="I485" t="n">
        <v>13</v>
      </c>
      <c r="J485" t="n">
        <v>21.81560185185185</v>
      </c>
      <c r="K485">
        <f>HYPERLINK("https://drivetime.tpondemand.com/entity/138348", "138348")</f>
        <v/>
      </c>
      <c r="L485" t="inlineStr"/>
      <c r="M485" t="n">
        <v>8</v>
      </c>
      <c r="N485" t="n">
        <v>127323</v>
      </c>
      <c r="O485" t="inlineStr">
        <is>
          <t>Done</t>
        </is>
      </c>
      <c r="P485" t="n">
        <v>0</v>
      </c>
      <c r="Q485" t="inlineStr">
        <is>
          <t>Comet 91</t>
        </is>
      </c>
      <c r="R485" t="inlineStr">
        <is>
          <t>2022-08-25</t>
        </is>
      </c>
      <c r="S485" t="inlineStr">
        <is>
          <t>2022-09-07</t>
        </is>
      </c>
      <c r="T485" t="inlineStr">
        <is>
          <t>Comet 91 : 2022-08-25 - 2022-09-07</t>
        </is>
      </c>
      <c r="U485" t="inlineStr">
        <is>
          <t>2022-09-06T00:00:00-05:00</t>
        </is>
      </c>
      <c r="V485" t="inlineStr">
        <is>
          <t>2022-08-24T00:00:00-05:00</t>
        </is>
      </c>
      <c r="W485" t="inlineStr">
        <is>
          <t>2022-09-06T11:17:45-05:00</t>
        </is>
      </c>
      <c r="X485">
        <f>IFERROR(1/COUNTIF($I:$I,@$I:$I), 0)</f>
        <v/>
      </c>
    </row>
    <row r="486">
      <c r="A486">
        <f>HYPERLINK("https://drivetime.tpondemand.com/entity/138972", "138972")</f>
        <v/>
      </c>
      <c r="B486" t="inlineStr">
        <is>
          <t>[Research &amp; Implement][Manual Repo Assignments] Post Repo Texts</t>
        </is>
      </c>
      <c r="C486" t="inlineStr">
        <is>
          <t>UserStory</t>
        </is>
      </c>
      <c r="D486" t="inlineStr">
        <is>
          <t>BC Digital - Ongoing Fixes and Enhancements</t>
        </is>
      </c>
      <c r="E486" t="inlineStr">
        <is>
          <t>BC Digital Comet</t>
        </is>
      </c>
      <c r="F486" t="inlineStr"/>
      <c r="G486" t="inlineStr">
        <is>
          <t>Aditi Sharma and Manuel Tenorio</t>
        </is>
      </c>
      <c r="H486" t="inlineStr">
        <is>
          <t>[COMMUNICATIONS] Update Assigned for Repo Texts</t>
        </is>
      </c>
      <c r="I486" t="inlineStr"/>
      <c r="J486" t="n">
        <v>56.7435035302419</v>
      </c>
      <c r="K486">
        <f>HYPERLINK("https://drivetime.tpondemand.com/entity/146703", "146703")</f>
        <v/>
      </c>
      <c r="L486" t="inlineStr"/>
      <c r="M486" t="n">
        <v>8</v>
      </c>
      <c r="N486" t="n">
        <v>127331</v>
      </c>
      <c r="O486" t="inlineStr">
        <is>
          <t>Ready for Deploy</t>
        </is>
      </c>
      <c r="P486" t="n">
        <v>0</v>
      </c>
      <c r="Q486" t="inlineStr">
        <is>
          <t>Comet 99</t>
        </is>
      </c>
      <c r="R486" t="inlineStr">
        <is>
          <t>2022-12-15</t>
        </is>
      </c>
      <c r="S486" t="inlineStr">
        <is>
          <t>2022-12-28</t>
        </is>
      </c>
      <c r="T486" t="inlineStr">
        <is>
          <t>Comet 99 : 2022-12-15 - 2022-12-28</t>
        </is>
      </c>
      <c r="U486" t="inlineStr"/>
      <c r="V486" t="inlineStr">
        <is>
          <t>2022-12-19T00:00:00-06:00</t>
        </is>
      </c>
      <c r="X486">
        <f>IFERROR(1/COUNTIF($I:$I,@$I:$I), 0)</f>
        <v/>
      </c>
    </row>
    <row r="487">
      <c r="A487">
        <f>HYPERLINK("https://drivetime.tpondemand.com/entity/139497", "139497")</f>
        <v/>
      </c>
      <c r="B487" t="inlineStr">
        <is>
          <t>[SQL] - Update nightly email jobs to pass in legal disclosure email attribute</t>
        </is>
      </c>
      <c r="C487" t="inlineStr">
        <is>
          <t>UserStory</t>
        </is>
      </c>
      <c r="D487" t="inlineStr">
        <is>
          <t>BC Digital - Ongoing Fixes and Enhancements</t>
        </is>
      </c>
      <c r="E487" t="inlineStr">
        <is>
          <t>BC Digital Comet</t>
        </is>
      </c>
      <c r="F487" t="inlineStr">
        <is>
          <t>43</t>
        </is>
      </c>
      <c r="G487" t="inlineStr">
        <is>
          <t>Sushma Gurram</t>
        </is>
      </c>
      <c r="H487" t="inlineStr">
        <is>
          <t>[COMMUNICATIONS] Mini Miranda</t>
        </is>
      </c>
      <c r="I487" t="n">
        <v>4</v>
      </c>
      <c r="J487" t="n">
        <v>32.09342592592593</v>
      </c>
      <c r="K487">
        <f>HYPERLINK("https://drivetime.tpondemand.com/entity/142157", "142157")</f>
        <v/>
      </c>
      <c r="L487" t="inlineStr"/>
      <c r="M487" t="n">
        <v>8</v>
      </c>
      <c r="N487" t="n">
        <v>127327</v>
      </c>
      <c r="O487" t="inlineStr">
        <is>
          <t>Done</t>
        </is>
      </c>
      <c r="P487" t="n">
        <v>0</v>
      </c>
      <c r="Q487" t="inlineStr">
        <is>
          <t>Comet 95</t>
        </is>
      </c>
      <c r="R487" t="inlineStr">
        <is>
          <t>2022-10-20</t>
        </is>
      </c>
      <c r="S487" t="inlineStr">
        <is>
          <t>2022-11-02</t>
        </is>
      </c>
      <c r="T487" t="inlineStr">
        <is>
          <t>Comet 95 : 2022-10-20 - 2022-11-02</t>
        </is>
      </c>
      <c r="U487" t="inlineStr">
        <is>
          <t>2022-10-25T00:00:00-05:00</t>
        </is>
      </c>
      <c r="V487" t="inlineStr">
        <is>
          <t>2022-10-21T00:00:00-05:00</t>
        </is>
      </c>
      <c r="W487" t="inlineStr">
        <is>
          <t>2022-10-25T13:28:52-05:00</t>
        </is>
      </c>
      <c r="X487">
        <f>IFERROR(1/COUNTIF($I:$I,@$I:$I), 0)</f>
        <v/>
      </c>
    </row>
    <row r="488">
      <c r="A488">
        <f>HYPERLINK("https://drivetime.tpondemand.com/entity/139606", "139606")</f>
        <v/>
      </c>
      <c r="B488" t="inlineStr">
        <is>
          <t>[SQL, API driven emails] - Adding Legal Disclosure Attribute to Email Payload E2E testing &amp; Deployment</t>
        </is>
      </c>
      <c r="C488" t="inlineStr">
        <is>
          <t>UserStory</t>
        </is>
      </c>
      <c r="D488" t="inlineStr">
        <is>
          <t>BC Digital - Ongoing Fixes and Enhancements</t>
        </is>
      </c>
      <c r="E488" t="inlineStr">
        <is>
          <t>BC Digital Comet</t>
        </is>
      </c>
      <c r="F488" t="inlineStr">
        <is>
          <t>43</t>
        </is>
      </c>
      <c r="G488" t="inlineStr"/>
      <c r="H488" t="inlineStr">
        <is>
          <t>[COMMUNICATIONS] Mini Miranda</t>
        </is>
      </c>
      <c r="I488" t="n">
        <v>4</v>
      </c>
      <c r="J488" t="n">
        <v>8.084837962962963</v>
      </c>
      <c r="K488">
        <f>HYPERLINK("https://drivetime.tpondemand.com/entity/142157", "142157")</f>
        <v/>
      </c>
      <c r="L488" t="inlineStr"/>
      <c r="M488" t="n">
        <v>8</v>
      </c>
      <c r="N488" t="n">
        <v>127327</v>
      </c>
      <c r="O488" t="inlineStr">
        <is>
          <t>Done</t>
        </is>
      </c>
      <c r="P488" t="n">
        <v>0</v>
      </c>
      <c r="Q488" t="inlineStr">
        <is>
          <t>Comet 95</t>
        </is>
      </c>
      <c r="R488" t="inlineStr">
        <is>
          <t>2022-10-20</t>
        </is>
      </c>
      <c r="S488" t="inlineStr">
        <is>
          <t>2022-11-02</t>
        </is>
      </c>
      <c r="T488" t="inlineStr">
        <is>
          <t>Comet 95 : 2022-10-20 - 2022-11-02</t>
        </is>
      </c>
      <c r="U488" t="inlineStr">
        <is>
          <t>2022-10-25T00:00:00-05:00</t>
        </is>
      </c>
      <c r="V488" t="inlineStr">
        <is>
          <t>2022-10-21T00:00:00-05:00</t>
        </is>
      </c>
      <c r="W488" t="inlineStr">
        <is>
          <t>2022-10-25T13:28:43-05:00</t>
        </is>
      </c>
      <c r="X488">
        <f>IFERROR(1/COUNTIF($I:$I,@$I:$I), 0)</f>
        <v/>
      </c>
    </row>
    <row r="489">
      <c r="A489">
        <f>HYPERLINK("https://drivetime.tpondemand.com/entity/141940", "141940")</f>
        <v/>
      </c>
      <c r="B489" t="inlineStr">
        <is>
          <t>[Research &amp; Deveopment] Vision Classic - Payoff Quote</t>
        </is>
      </c>
      <c r="C489" t="inlineStr">
        <is>
          <t>UserStory</t>
        </is>
      </c>
      <c r="D489" t="inlineStr">
        <is>
          <t>BC Digital - Ongoing Fixes and Enhancements</t>
        </is>
      </c>
      <c r="E489" t="inlineStr">
        <is>
          <t>BC Digital Comet</t>
        </is>
      </c>
      <c r="F489" t="inlineStr">
        <is>
          <t>45</t>
        </is>
      </c>
      <c r="G489" t="inlineStr">
        <is>
          <t>Marcus Rogers and Manuel Tenorio and Andrew Vu</t>
        </is>
      </c>
      <c r="H489" t="inlineStr">
        <is>
          <t>[COMMUNICATIONS] Mini Miranda</t>
        </is>
      </c>
      <c r="I489" t="n">
        <v>7</v>
      </c>
      <c r="J489" t="n">
        <v>21.95305555555555</v>
      </c>
      <c r="K489">
        <f>HYPERLINK("https://drivetime.tpondemand.com/entity/143290", "143290")</f>
        <v/>
      </c>
      <c r="L489" t="inlineStr"/>
      <c r="M489" t="n">
        <v>8</v>
      </c>
      <c r="N489" t="n">
        <v>127328</v>
      </c>
      <c r="O489" t="inlineStr">
        <is>
          <t>Done</t>
        </is>
      </c>
      <c r="P489" t="n">
        <v>0</v>
      </c>
      <c r="Q489" t="inlineStr">
        <is>
          <t>Comet 96</t>
        </is>
      </c>
      <c r="R489" t="inlineStr">
        <is>
          <t>2022-11-03</t>
        </is>
      </c>
      <c r="S489" t="inlineStr">
        <is>
          <t>2022-11-16</t>
        </is>
      </c>
      <c r="T489" t="inlineStr">
        <is>
          <t>Comet 96 : 2022-11-03 - 2022-11-16</t>
        </is>
      </c>
      <c r="U489" t="inlineStr">
        <is>
          <t>2022-11-11T00:00:00-06:00</t>
        </is>
      </c>
      <c r="V489" t="inlineStr">
        <is>
          <t>2022-11-04T00:00:00-05:00</t>
        </is>
      </c>
      <c r="W489" t="inlineStr">
        <is>
          <t>2022-11-11T10:31:09-06:00</t>
        </is>
      </c>
      <c r="X489">
        <f>IFERROR(1/COUNTIF($I:$I,@$I:$I), 0)</f>
        <v/>
      </c>
    </row>
    <row r="490">
      <c r="A490">
        <f>HYPERLINK("https://drivetime.tpondemand.com/entity/142246", "142246")</f>
        <v/>
      </c>
      <c r="B490" t="inlineStr">
        <is>
          <t>Add mini miranda to manual sends</t>
        </is>
      </c>
      <c r="C490" t="inlineStr">
        <is>
          <t>UserStory</t>
        </is>
      </c>
      <c r="D490" t="inlineStr">
        <is>
          <t>BC Digital - Ongoing Fixes and Enhancements</t>
        </is>
      </c>
      <c r="E490" t="inlineStr">
        <is>
          <t>BC Digital Comet</t>
        </is>
      </c>
      <c r="F490" t="inlineStr">
        <is>
          <t>49</t>
        </is>
      </c>
      <c r="G490" t="inlineStr">
        <is>
          <t>Sushma Gurram and Marcus Rogers</t>
        </is>
      </c>
      <c r="H490" t="inlineStr">
        <is>
          <t>[COMMUNICATIONS] Mini Miranda</t>
        </is>
      </c>
      <c r="I490" t="n">
        <v>4</v>
      </c>
      <c r="J490" t="n">
        <v>31.18552083333333</v>
      </c>
      <c r="K490">
        <f>HYPERLINK("https://drivetime.tpondemand.com/entity/146175", "146175")</f>
        <v/>
      </c>
      <c r="L490" t="inlineStr"/>
      <c r="M490" t="n">
        <v>8</v>
      </c>
      <c r="N490" t="n">
        <v>127330</v>
      </c>
      <c r="O490" t="inlineStr">
        <is>
          <t>Done</t>
        </is>
      </c>
      <c r="P490" t="n">
        <v>0</v>
      </c>
      <c r="Q490" t="inlineStr">
        <is>
          <t>Comet 98</t>
        </is>
      </c>
      <c r="R490" t="inlineStr">
        <is>
          <t>2022-12-01</t>
        </is>
      </c>
      <c r="S490" t="inlineStr">
        <is>
          <t>2022-12-14</t>
        </is>
      </c>
      <c r="T490" t="inlineStr">
        <is>
          <t>Comet 98 : 2022-12-01 - 2022-12-14</t>
        </is>
      </c>
      <c r="U490" t="inlineStr">
        <is>
          <t>2022-12-09T00:00:00-06:00</t>
        </is>
      </c>
      <c r="V490" t="inlineStr">
        <is>
          <t>2022-12-05T00:00:00-06:00</t>
        </is>
      </c>
      <c r="W490" t="inlineStr">
        <is>
          <t>2022-12-09T14:53:38-06:00</t>
        </is>
      </c>
      <c r="X490">
        <f>IFERROR(1/COUNTIF($I:$I,@$I:$I), 0)</f>
        <v/>
      </c>
    </row>
    <row r="491">
      <c r="A491">
        <f>HYPERLINK("https://drivetime.tpondemand.com/entity/132792", "132792")</f>
        <v/>
      </c>
      <c r="B491" t="inlineStr">
        <is>
          <t>MMS pipeline improvements</t>
        </is>
      </c>
      <c r="C491" t="inlineStr">
        <is>
          <t>UserStory</t>
        </is>
      </c>
      <c r="D491" t="inlineStr">
        <is>
          <t>BC Digital - Ongoing Fixes and Enhancements</t>
        </is>
      </c>
      <c r="E491" t="inlineStr">
        <is>
          <t>BC Digital Comet</t>
        </is>
      </c>
      <c r="F491" t="inlineStr">
        <is>
          <t>29</t>
        </is>
      </c>
      <c r="G491" t="inlineStr">
        <is>
          <t>Marcus Rogers</t>
        </is>
      </c>
      <c r="H491" t="inlineStr">
        <is>
          <t>Redesign Extension and Payment Frequency Communication Experience</t>
        </is>
      </c>
      <c r="I491" t="n">
        <v>5</v>
      </c>
      <c r="J491" t="n">
        <v>13.92893518518519</v>
      </c>
      <c r="K491" t="inlineStr"/>
      <c r="L491" t="inlineStr"/>
      <c r="M491" t="n">
        <v>5</v>
      </c>
      <c r="N491" t="n">
        <v>127320</v>
      </c>
      <c r="O491" t="inlineStr">
        <is>
          <t>Done</t>
        </is>
      </c>
      <c r="P491" t="n">
        <v>0</v>
      </c>
      <c r="Q491" t="inlineStr">
        <is>
          <t>Comet 88</t>
        </is>
      </c>
      <c r="R491" t="inlineStr">
        <is>
          <t>2022-07-14</t>
        </is>
      </c>
      <c r="S491" t="inlineStr">
        <is>
          <t>2022-07-27</t>
        </is>
      </c>
      <c r="T491" t="inlineStr">
        <is>
          <t>Comet 88 : 2022-07-14 - 2022-07-27</t>
        </is>
      </c>
      <c r="U491" t="inlineStr">
        <is>
          <t>2022-07-19T00:00:00-05:00</t>
        </is>
      </c>
      <c r="V491" t="inlineStr">
        <is>
          <t>2022-07-14T00:00:00-05:00</t>
        </is>
      </c>
      <c r="W491" t="inlineStr">
        <is>
          <t>2022-07-19T11:27:29-05:00</t>
        </is>
      </c>
      <c r="X491">
        <f>IFERROR(1/COUNTIF($I:$I,@$I:$I), 0)</f>
        <v/>
      </c>
    </row>
    <row r="492">
      <c r="A492">
        <f>HYPERLINK("https://drivetime.tpondemand.com/entity/134644", "134644")</f>
        <v/>
      </c>
      <c r="B492" t="inlineStr">
        <is>
          <t>Trigger Payment Frequency Email</t>
        </is>
      </c>
      <c r="C492" t="inlineStr">
        <is>
          <t>UserStory</t>
        </is>
      </c>
      <c r="D492" t="inlineStr">
        <is>
          <t>BC Digital - Ongoing Fixes and Enhancements</t>
        </is>
      </c>
      <c r="E492" t="inlineStr">
        <is>
          <t>BC Digital Comet</t>
        </is>
      </c>
      <c r="F492" t="inlineStr">
        <is>
          <t>34</t>
        </is>
      </c>
      <c r="G492" t="inlineStr">
        <is>
          <t>Manuel Tenorio</t>
        </is>
      </c>
      <c r="H492" t="inlineStr">
        <is>
          <t>Redesign Extension and Payment Frequency Communication Experience</t>
        </is>
      </c>
      <c r="I492" t="n">
        <v>5</v>
      </c>
      <c r="J492" t="n">
        <v>24.9934837962963</v>
      </c>
      <c r="K492">
        <f>HYPERLINK("https://drivetime.tpondemand.com/entity/138014", "138014")</f>
        <v/>
      </c>
      <c r="L492" t="inlineStr"/>
      <c r="M492" t="n">
        <v>5</v>
      </c>
      <c r="N492" t="n">
        <v>127322</v>
      </c>
      <c r="O492" t="inlineStr">
        <is>
          <t>Done</t>
        </is>
      </c>
      <c r="P492" t="n">
        <v>0</v>
      </c>
      <c r="Q492" t="inlineStr">
        <is>
          <t>Comet 90</t>
        </is>
      </c>
      <c r="R492" t="inlineStr">
        <is>
          <t>2022-08-11</t>
        </is>
      </c>
      <c r="S492" t="inlineStr">
        <is>
          <t>2022-08-24</t>
        </is>
      </c>
      <c r="T492" t="inlineStr">
        <is>
          <t>Comet 90 : 2022-08-11 - 2022-08-24</t>
        </is>
      </c>
      <c r="U492" t="inlineStr">
        <is>
          <t>2022-08-23T00:00:00-05:00</t>
        </is>
      </c>
      <c r="V492" t="inlineStr">
        <is>
          <t>2022-08-18T00:00:00-05:00</t>
        </is>
      </c>
      <c r="W492" t="inlineStr">
        <is>
          <t>2022-08-23T11:19:50-05:00</t>
        </is>
      </c>
      <c r="X492">
        <f>IFERROR(1/COUNTIF($I:$I,@$I:$I), 0)</f>
        <v/>
      </c>
    </row>
    <row r="493">
      <c r="A493">
        <f>HYPERLINK("https://drivetime.tpondemand.com/entity/134645", "134645")</f>
        <v/>
      </c>
      <c r="B493" t="inlineStr">
        <is>
          <t>Provide Metrics for Measurement</t>
        </is>
      </c>
      <c r="C493" t="inlineStr">
        <is>
          <t>UserStory</t>
        </is>
      </c>
      <c r="D493" t="inlineStr">
        <is>
          <t>BC Digital - Ongoing Fixes and Enhancements</t>
        </is>
      </c>
      <c r="E493" t="inlineStr">
        <is>
          <t>BC Digital Comet</t>
        </is>
      </c>
      <c r="F493" t="inlineStr">
        <is>
          <t>38</t>
        </is>
      </c>
      <c r="G493" t="inlineStr"/>
      <c r="H493" t="inlineStr">
        <is>
          <t>Redesign Extension and Payment Frequency Communication Experience</t>
        </is>
      </c>
      <c r="I493" t="n">
        <v>0</v>
      </c>
      <c r="J493" t="n">
        <v>3.472222222222222e-05</v>
      </c>
      <c r="K493" t="inlineStr"/>
      <c r="L493" t="inlineStr"/>
      <c r="M493" t="n">
        <v>5</v>
      </c>
      <c r="N493" t="n">
        <v>127324</v>
      </c>
      <c r="O493" t="inlineStr">
        <is>
          <t>Done</t>
        </is>
      </c>
      <c r="P493" t="n">
        <v>0</v>
      </c>
      <c r="Q493" t="inlineStr">
        <is>
          <t>Comet 92</t>
        </is>
      </c>
      <c r="R493" t="inlineStr">
        <is>
          <t>2022-09-08</t>
        </is>
      </c>
      <c r="S493" t="inlineStr">
        <is>
          <t>2022-09-21</t>
        </is>
      </c>
      <c r="T493" t="inlineStr">
        <is>
          <t>Comet 92 : 2022-09-08 - 2022-09-21</t>
        </is>
      </c>
      <c r="U493" t="inlineStr">
        <is>
          <t>2022-09-21T00:00:00-05:00</t>
        </is>
      </c>
      <c r="V493" t="inlineStr">
        <is>
          <t>2022-09-21T00:00:00-05:00</t>
        </is>
      </c>
      <c r="W493" t="inlineStr">
        <is>
          <t>2022-09-21T19:03:37-05:00</t>
        </is>
      </c>
      <c r="X493">
        <f>IFERROR(1/COUNTIF($I:$I,@$I:$I), 0)</f>
        <v/>
      </c>
    </row>
    <row r="494">
      <c r="A494">
        <f>HYPERLINK("https://drivetime.tpondemand.com/entity/136786", "136786")</f>
        <v/>
      </c>
      <c r="B494" t="inlineStr">
        <is>
          <t>Research options to address 'No Thanks' redirect</t>
        </is>
      </c>
      <c r="C494" t="inlineStr">
        <is>
          <t>UserStory</t>
        </is>
      </c>
      <c r="D494" t="inlineStr">
        <is>
          <t>BC Digital - Ongoing Fixes and Enhancements</t>
        </is>
      </c>
      <c r="E494" t="inlineStr">
        <is>
          <t>BC Digital Comet</t>
        </is>
      </c>
      <c r="F494" t="inlineStr">
        <is>
          <t>37</t>
        </is>
      </c>
      <c r="G494" t="inlineStr">
        <is>
          <t>Daniel Verhagen</t>
        </is>
      </c>
      <c r="H494" t="inlineStr">
        <is>
          <t>Communications Tech Investment</t>
        </is>
      </c>
      <c r="I494" t="n">
        <v>0</v>
      </c>
      <c r="J494" t="n">
        <v>12.8012037037037</v>
      </c>
      <c r="K494" t="inlineStr"/>
      <c r="L494" t="inlineStr"/>
      <c r="M494" t="n">
        <v>5</v>
      </c>
      <c r="N494" t="n">
        <v>127324</v>
      </c>
      <c r="O494" t="inlineStr">
        <is>
          <t>Done</t>
        </is>
      </c>
      <c r="P494" t="n">
        <v>0</v>
      </c>
      <c r="Q494" t="inlineStr">
        <is>
          <t>Comet 92</t>
        </is>
      </c>
      <c r="R494" t="inlineStr">
        <is>
          <t>2022-09-08</t>
        </is>
      </c>
      <c r="S494" t="inlineStr">
        <is>
          <t>2022-09-21</t>
        </is>
      </c>
      <c r="T494" t="inlineStr">
        <is>
          <t>Comet 92 : 2022-09-08 - 2022-09-21</t>
        </is>
      </c>
      <c r="U494" t="inlineStr">
        <is>
          <t>2022-09-12T00:00:00-05:00</t>
        </is>
      </c>
      <c r="V494" t="inlineStr">
        <is>
          <t>2022-09-12T00:00:00-05:00</t>
        </is>
      </c>
      <c r="W494" t="inlineStr">
        <is>
          <t>2022-09-12T11:20:18-05:00</t>
        </is>
      </c>
      <c r="X494">
        <f>IFERROR(1/COUNTIF($I:$I,@$I:$I), 0)</f>
        <v/>
      </c>
    </row>
    <row r="495">
      <c r="A495">
        <f>HYPERLINK("https://drivetime.tpondemand.com/entity/137496", "137496")</f>
        <v/>
      </c>
      <c r="B495" t="inlineStr">
        <is>
          <t>Trigger 24 and 48 hour reminder texts End to End Testing</t>
        </is>
      </c>
      <c r="C495" t="inlineStr">
        <is>
          <t>UserStory</t>
        </is>
      </c>
      <c r="D495" t="inlineStr">
        <is>
          <t>BC Digital - Ongoing Fixes and Enhancements</t>
        </is>
      </c>
      <c r="E495" t="inlineStr">
        <is>
          <t>BC Digital Comet</t>
        </is>
      </c>
      <c r="F495" t="inlineStr">
        <is>
          <t>36</t>
        </is>
      </c>
      <c r="G495" t="inlineStr"/>
      <c r="H495" t="inlineStr">
        <is>
          <t>Redesign Extension and Payment Frequency Communication Experience</t>
        </is>
      </c>
      <c r="I495" t="n">
        <v>8</v>
      </c>
      <c r="J495" t="n">
        <v>9.995578703703703</v>
      </c>
      <c r="K495">
        <f>HYPERLINK("https://drivetime.tpondemand.com/entity/139036", "139036")</f>
        <v/>
      </c>
      <c r="L495" t="inlineStr"/>
      <c r="M495" t="n">
        <v>5</v>
      </c>
      <c r="N495" t="n">
        <v>127323</v>
      </c>
      <c r="O495" t="inlineStr">
        <is>
          <t>Done</t>
        </is>
      </c>
      <c r="P495" t="n">
        <v>0</v>
      </c>
      <c r="Q495" t="inlineStr">
        <is>
          <t>Comet 91</t>
        </is>
      </c>
      <c r="R495" t="inlineStr">
        <is>
          <t>2022-08-25</t>
        </is>
      </c>
      <c r="S495" t="inlineStr">
        <is>
          <t>2022-09-07</t>
        </is>
      </c>
      <c r="T495" t="inlineStr">
        <is>
          <t>Comet 91 : 2022-08-25 - 2022-09-07</t>
        </is>
      </c>
      <c r="U495" t="inlineStr">
        <is>
          <t>2022-09-08T00:00:00-05:00</t>
        </is>
      </c>
      <c r="V495" t="inlineStr">
        <is>
          <t>2022-08-31T00:00:00-05:00</t>
        </is>
      </c>
      <c r="W495" t="inlineStr">
        <is>
          <t>2022-09-08T11:19:31-05:00</t>
        </is>
      </c>
      <c r="X495">
        <f>IFERROR(1/COUNTIF($I:$I,@$I:$I), 0)</f>
        <v/>
      </c>
    </row>
    <row r="496">
      <c r="A496">
        <f>HYPERLINK("https://drivetime.tpondemand.com/entity/137930", "137930")</f>
        <v/>
      </c>
      <c r="B496" t="inlineStr">
        <is>
          <t>[DTSE] Clean up short term FFs for loan mod enhancement feature</t>
        </is>
      </c>
      <c r="C496" t="inlineStr">
        <is>
          <t>UserStory</t>
        </is>
      </c>
      <c r="D496" t="inlineStr">
        <is>
          <t>BC Digital - Ongoing Fixes and Enhancements</t>
        </is>
      </c>
      <c r="E496" t="inlineStr">
        <is>
          <t>BC Digital Comet</t>
        </is>
      </c>
      <c r="F496" t="inlineStr">
        <is>
          <t>38</t>
        </is>
      </c>
      <c r="G496" t="inlineStr">
        <is>
          <t>Manuel Tenorio</t>
        </is>
      </c>
      <c r="H496" t="inlineStr">
        <is>
          <t>Redesign Extension and Payment Frequency Communication Experience</t>
        </is>
      </c>
      <c r="I496" t="n">
        <v>4</v>
      </c>
      <c r="J496" t="n">
        <v>18.01042824074074</v>
      </c>
      <c r="K496">
        <f>HYPERLINK("https://drivetime.tpondemand.com/entity/139902", "139902")</f>
        <v/>
      </c>
      <c r="L496" t="inlineStr"/>
      <c r="M496" t="n">
        <v>5</v>
      </c>
      <c r="N496" t="n">
        <v>127324</v>
      </c>
      <c r="O496" t="inlineStr">
        <is>
          <t>Done</t>
        </is>
      </c>
      <c r="P496" t="n">
        <v>0</v>
      </c>
      <c r="Q496" t="inlineStr">
        <is>
          <t>Comet 92</t>
        </is>
      </c>
      <c r="R496" t="inlineStr">
        <is>
          <t>2022-09-08</t>
        </is>
      </c>
      <c r="S496" t="inlineStr">
        <is>
          <t>2022-09-21</t>
        </is>
      </c>
      <c r="T496" t="inlineStr">
        <is>
          <t>Comet 92 : 2022-09-08 - 2022-09-21</t>
        </is>
      </c>
      <c r="U496" t="inlineStr">
        <is>
          <t>2022-09-20T00:00:00-05:00</t>
        </is>
      </c>
      <c r="V496" t="inlineStr">
        <is>
          <t>2022-09-16T00:00:00-05:00</t>
        </is>
      </c>
      <c r="W496" t="inlineStr">
        <is>
          <t>2022-09-20T11:37:14-05:00</t>
        </is>
      </c>
      <c r="X496">
        <f>IFERROR(1/COUNTIF($I:$I,@$I:$I), 0)</f>
        <v/>
      </c>
    </row>
    <row r="497">
      <c r="A497">
        <f>HYPERLINK("https://drivetime.tpondemand.com/entity/138971", "138971")</f>
        <v/>
      </c>
      <c r="B497" t="inlineStr">
        <is>
          <t>Send Saturday emails to 1 - 60 DPD</t>
        </is>
      </c>
      <c r="C497" t="inlineStr">
        <is>
          <t>UserStory</t>
        </is>
      </c>
      <c r="D497" t="inlineStr">
        <is>
          <t>BC Digital - Ongoing Fixes and Enhancements</t>
        </is>
      </c>
      <c r="E497" t="inlineStr">
        <is>
          <t>BC Digital Comet</t>
        </is>
      </c>
      <c r="F497" t="inlineStr"/>
      <c r="G497" t="inlineStr">
        <is>
          <t>Sushma Gurram</t>
        </is>
      </c>
      <c r="H497" t="inlineStr">
        <is>
          <t>[COMMUNICATIONS] CSO Update</t>
        </is>
      </c>
      <c r="I497" t="inlineStr"/>
      <c r="K497" t="inlineStr"/>
      <c r="L497" t="inlineStr"/>
      <c r="M497" t="n">
        <v>5</v>
      </c>
      <c r="N497" t="inlineStr"/>
      <c r="O497" t="inlineStr">
        <is>
          <t>Backlog</t>
        </is>
      </c>
      <c r="P497" t="n">
        <v>0</v>
      </c>
      <c r="Q497" t="inlineStr"/>
      <c r="R497" t="inlineStr"/>
      <c r="S497" t="inlineStr"/>
      <c r="T497" t="inlineStr"/>
      <c r="U497" t="inlineStr"/>
      <c r="V497" t="inlineStr"/>
      <c r="X497">
        <f>IFERROR(1/COUNTIF($I:$I,@$I:$I), 0)</f>
        <v/>
      </c>
    </row>
    <row r="498">
      <c r="A498">
        <f>HYPERLINK("https://drivetime.tpondemand.com/entity/139493", "139493")</f>
        <v/>
      </c>
      <c r="B498" t="inlineStr">
        <is>
          <t>[DTSE,Comm API &amp; BCAPI] - Adding Legal Disclosure Attribute to Email Payload Development</t>
        </is>
      </c>
      <c r="C498" t="inlineStr">
        <is>
          <t>UserStory</t>
        </is>
      </c>
      <c r="D498" t="inlineStr">
        <is>
          <t>BC Digital - Ongoing Fixes and Enhancements</t>
        </is>
      </c>
      <c r="E498" t="inlineStr">
        <is>
          <t>BC Digital Comet</t>
        </is>
      </c>
      <c r="F498" t="inlineStr">
        <is>
          <t>42</t>
        </is>
      </c>
      <c r="G498" t="inlineStr">
        <is>
          <t>Aditi Sharma and Michael Wang</t>
        </is>
      </c>
      <c r="H498" t="inlineStr">
        <is>
          <t>[COMMUNICATIONS] Mini Miranda</t>
        </is>
      </c>
      <c r="I498" t="n">
        <v>8</v>
      </c>
      <c r="J498" t="n">
        <v>29.74200231481481</v>
      </c>
      <c r="K498">
        <f>HYPERLINK("https://drivetime.tpondemand.com/entity/141623", "141623")</f>
        <v/>
      </c>
      <c r="L498" t="inlineStr"/>
      <c r="M498" t="n">
        <v>5</v>
      </c>
      <c r="N498" t="n">
        <v>127326</v>
      </c>
      <c r="O498" t="inlineStr">
        <is>
          <t>Done</t>
        </is>
      </c>
      <c r="P498" t="n">
        <v>1</v>
      </c>
      <c r="Q498" t="inlineStr">
        <is>
          <t>Comet 94</t>
        </is>
      </c>
      <c r="R498" t="inlineStr">
        <is>
          <t>2022-10-06</t>
        </is>
      </c>
      <c r="S498" t="inlineStr">
        <is>
          <t>2022-10-19</t>
        </is>
      </c>
      <c r="T498" t="inlineStr">
        <is>
          <t>Comet 94 : 2022-10-06 - 2022-10-19</t>
        </is>
      </c>
      <c r="U498" t="inlineStr">
        <is>
          <t>2022-10-19T00:00:00-05:00</t>
        </is>
      </c>
      <c r="V498" t="inlineStr">
        <is>
          <t>2022-10-11T00:00:00-05:00</t>
        </is>
      </c>
      <c r="W498" t="inlineStr">
        <is>
          <t>2022-10-19T11:19:11-05:00</t>
        </is>
      </c>
      <c r="X498">
        <f>IFERROR(1/COUNTIF($I:$I,@$I:$I), 0)</f>
        <v/>
      </c>
    </row>
    <row r="499">
      <c r="A499">
        <f>HYPERLINK("https://drivetime.tpondemand.com/entity/139494", "139494")</f>
        <v/>
      </c>
      <c r="B499" t="inlineStr">
        <is>
          <t>[SLD API, Comm API &amp; SP] - Add 2 new endpoints for legal disclosure</t>
        </is>
      </c>
      <c r="C499" t="inlineStr">
        <is>
          <t>UserStory</t>
        </is>
      </c>
      <c r="D499" t="inlineStr">
        <is>
          <t>BC Digital - Ongoing Fixes and Enhancements</t>
        </is>
      </c>
      <c r="E499" t="inlineStr">
        <is>
          <t>BC Digital Comet</t>
        </is>
      </c>
      <c r="F499" t="inlineStr">
        <is>
          <t>42</t>
        </is>
      </c>
      <c r="G499" t="inlineStr">
        <is>
          <t>Sushma Gurram and Manuel Tenorio and Daniel Verhagen</t>
        </is>
      </c>
      <c r="H499" t="inlineStr">
        <is>
          <t>[COMMUNICATIONS] Mini Miranda</t>
        </is>
      </c>
      <c r="I499" t="n">
        <v>8</v>
      </c>
      <c r="J499" t="n">
        <v>33.99054398148148</v>
      </c>
      <c r="K499">
        <f>HYPERLINK("https://drivetime.tpondemand.com/entity/141565", "141565")</f>
        <v/>
      </c>
      <c r="L499" t="inlineStr"/>
      <c r="M499" t="n">
        <v>5</v>
      </c>
      <c r="N499" t="n">
        <v>127326</v>
      </c>
      <c r="O499" t="inlineStr">
        <is>
          <t>Done</t>
        </is>
      </c>
      <c r="P499" t="n">
        <v>1</v>
      </c>
      <c r="Q499" t="inlineStr">
        <is>
          <t>Comet 94</t>
        </is>
      </c>
      <c r="R499" t="inlineStr">
        <is>
          <t>2022-10-06</t>
        </is>
      </c>
      <c r="S499" t="inlineStr">
        <is>
          <t>2022-10-19</t>
        </is>
      </c>
      <c r="T499" t="inlineStr">
        <is>
          <t>Comet 94 : 2022-10-06 - 2022-10-19</t>
        </is>
      </c>
      <c r="U499" t="inlineStr">
        <is>
          <t>2022-10-19T00:00:00-05:00</t>
        </is>
      </c>
      <c r="V499" t="inlineStr">
        <is>
          <t>2022-10-11T00:00:00-05:00</t>
        </is>
      </c>
      <c r="W499" t="inlineStr">
        <is>
          <t>2022-10-19T11:19:00-05:00</t>
        </is>
      </c>
      <c r="X499">
        <f>IFERROR(1/COUNTIF($I:$I,@$I:$I), 0)</f>
        <v/>
      </c>
    </row>
    <row r="500">
      <c r="A500">
        <f>HYPERLINK("https://drivetime.tpondemand.com/entity/139495", "139495")</f>
        <v/>
      </c>
      <c r="B500" t="inlineStr">
        <is>
          <t>[MJML] - Add new variable in all BC MJML email templates for legal disclousure</t>
        </is>
      </c>
      <c r="C500" t="inlineStr">
        <is>
          <t>UserStory</t>
        </is>
      </c>
      <c r="D500" t="inlineStr">
        <is>
          <t>BC Digital - Ongoing Fixes and Enhancements</t>
        </is>
      </c>
      <c r="E500" t="inlineStr">
        <is>
          <t>BC Digital Comet</t>
        </is>
      </c>
      <c r="F500" t="inlineStr">
        <is>
          <t>42</t>
        </is>
      </c>
      <c r="G500" t="inlineStr">
        <is>
          <t>Daniel Verhagen</t>
        </is>
      </c>
      <c r="H500" t="inlineStr">
        <is>
          <t>[COMMUNICATIONS] Mini Miranda</t>
        </is>
      </c>
      <c r="I500" t="n">
        <v>0</v>
      </c>
      <c r="J500" t="n">
        <v>14.74635416666667</v>
      </c>
      <c r="K500" t="inlineStr"/>
      <c r="L500" t="inlineStr"/>
      <c r="M500" t="n">
        <v>5</v>
      </c>
      <c r="N500" t="n">
        <v>127326</v>
      </c>
      <c r="O500" t="inlineStr">
        <is>
          <t>Done</t>
        </is>
      </c>
      <c r="P500" t="n">
        <v>0</v>
      </c>
      <c r="Q500" t="inlineStr">
        <is>
          <t>Comet 94</t>
        </is>
      </c>
      <c r="R500" t="inlineStr">
        <is>
          <t>2022-10-06</t>
        </is>
      </c>
      <c r="S500" t="inlineStr">
        <is>
          <t>2022-10-19</t>
        </is>
      </c>
      <c r="T500" t="inlineStr">
        <is>
          <t>Comet 94 : 2022-10-06 - 2022-10-19</t>
        </is>
      </c>
      <c r="U500" t="inlineStr">
        <is>
          <t>2022-10-19T00:00:00-05:00</t>
        </is>
      </c>
      <c r="V500" t="inlineStr">
        <is>
          <t>2022-10-19T00:00:00-05:00</t>
        </is>
      </c>
      <c r="W500" t="inlineStr">
        <is>
          <t>2022-10-19T11:51:18-05:00</t>
        </is>
      </c>
      <c r="X500">
        <f>IFERROR(1/COUNTIF($I:$I,@$I:$I), 0)</f>
        <v/>
      </c>
    </row>
    <row r="501">
      <c r="A501">
        <f>HYPERLINK("https://drivetime.tpondemand.com/entity/139496", "139496")</f>
        <v/>
      </c>
      <c r="B501" t="inlineStr">
        <is>
          <t>[Salesforce] - Update all BC Emails to have legal disclosure variable</t>
        </is>
      </c>
      <c r="C501" t="inlineStr">
        <is>
          <t>UserStory</t>
        </is>
      </c>
      <c r="D501" t="inlineStr">
        <is>
          <t>BC Digital - Ongoing Fixes and Enhancements</t>
        </is>
      </c>
      <c r="E501" t="inlineStr">
        <is>
          <t>BC Digital Comet</t>
        </is>
      </c>
      <c r="F501" t="inlineStr">
        <is>
          <t>42</t>
        </is>
      </c>
      <c r="G501" t="inlineStr">
        <is>
          <t>Aditi Sharma</t>
        </is>
      </c>
      <c r="H501" t="inlineStr">
        <is>
          <t>[COMMUNICATIONS] Mini Miranda</t>
        </is>
      </c>
      <c r="I501" t="n">
        <v>0</v>
      </c>
      <c r="J501" t="n">
        <v>12.01853009259259</v>
      </c>
      <c r="K501" t="inlineStr"/>
      <c r="L501" t="inlineStr"/>
      <c r="M501" t="n">
        <v>5</v>
      </c>
      <c r="N501" t="n">
        <v>127326</v>
      </c>
      <c r="O501" t="inlineStr">
        <is>
          <t>Done</t>
        </is>
      </c>
      <c r="P501" t="n">
        <v>0</v>
      </c>
      <c r="Q501" t="inlineStr">
        <is>
          <t>Comet 94</t>
        </is>
      </c>
      <c r="R501" t="inlineStr">
        <is>
          <t>2022-10-06</t>
        </is>
      </c>
      <c r="S501" t="inlineStr">
        <is>
          <t>2022-10-19</t>
        </is>
      </c>
      <c r="T501" t="inlineStr">
        <is>
          <t>Comet 94 : 2022-10-06 - 2022-10-19</t>
        </is>
      </c>
      <c r="U501" t="inlineStr">
        <is>
          <t>2022-10-19T00:00:00-05:00</t>
        </is>
      </c>
      <c r="V501" t="inlineStr">
        <is>
          <t>2022-10-19T00:00:00-05:00</t>
        </is>
      </c>
      <c r="W501" t="inlineStr">
        <is>
          <t>2022-10-19T11:51:26-05:00</t>
        </is>
      </c>
      <c r="X501">
        <f>IFERROR(1/COUNTIF($I:$I,@$I:$I), 0)</f>
        <v/>
      </c>
    </row>
    <row r="502">
      <c r="A502">
        <f>HYPERLINK("https://drivetime.tpondemand.com/entity/139787", "139787")</f>
        <v/>
      </c>
      <c r="B502" t="inlineStr">
        <is>
          <t>[MJML &amp; Salesforce] Add App Links to and Remove Phone Number from Emails</t>
        </is>
      </c>
      <c r="C502" t="inlineStr">
        <is>
          <t>UserStory</t>
        </is>
      </c>
      <c r="D502" t="inlineStr">
        <is>
          <t>BC Digital - Ongoing Fixes and Enhancements</t>
        </is>
      </c>
      <c r="E502" t="inlineStr">
        <is>
          <t>BC Digital Comet</t>
        </is>
      </c>
      <c r="F502" t="inlineStr">
        <is>
          <t>45</t>
        </is>
      </c>
      <c r="G502" t="inlineStr">
        <is>
          <t>Aditi Sharma and Daniel Verhagen</t>
        </is>
      </c>
      <c r="H502" t="inlineStr">
        <is>
          <t>[COMMUNICATIONS] Mini Miranda</t>
        </is>
      </c>
      <c r="I502" t="n">
        <v>7</v>
      </c>
      <c r="J502" t="n">
        <v>18.68436342592593</v>
      </c>
      <c r="K502">
        <f>HYPERLINK("https://drivetime.tpondemand.com/entity/142983", "142983")</f>
        <v/>
      </c>
      <c r="L502" t="inlineStr"/>
      <c r="M502" t="n">
        <v>5</v>
      </c>
      <c r="N502" t="n">
        <v>127328</v>
      </c>
      <c r="O502" t="inlineStr">
        <is>
          <t>Done</t>
        </is>
      </c>
      <c r="P502" t="n">
        <v>0</v>
      </c>
      <c r="Q502" t="inlineStr">
        <is>
          <t>Comet 96</t>
        </is>
      </c>
      <c r="R502" t="inlineStr">
        <is>
          <t>2022-11-03</t>
        </is>
      </c>
      <c r="S502" t="inlineStr">
        <is>
          <t>2022-11-16</t>
        </is>
      </c>
      <c r="T502" t="inlineStr">
        <is>
          <t>Comet 96 : 2022-11-03 - 2022-11-16</t>
        </is>
      </c>
      <c r="U502" t="inlineStr">
        <is>
          <t>2022-11-08T00:00:00-06:00</t>
        </is>
      </c>
      <c r="V502" t="inlineStr">
        <is>
          <t>2022-11-01T00:00:00-05:00</t>
        </is>
      </c>
      <c r="W502" t="inlineStr">
        <is>
          <t>2022-11-08T09:30:49-06:00</t>
        </is>
      </c>
      <c r="X502">
        <f>IFERROR(1/COUNTIF($I:$I,@$I:$I), 0)</f>
        <v/>
      </c>
    </row>
    <row r="503">
      <c r="A503">
        <f>HYPERLINK("https://drivetime.tpondemand.com/entity/140919", "140919")</f>
        <v/>
      </c>
      <c r="B503" t="inlineStr">
        <is>
          <t>Modify Clear Charge Off audience to include a random split</t>
        </is>
      </c>
      <c r="C503" t="inlineStr">
        <is>
          <t>UserStory</t>
        </is>
      </c>
      <c r="D503" t="inlineStr">
        <is>
          <t>BC Digital - Ongoing Fixes and Enhancements</t>
        </is>
      </c>
      <c r="E503" t="inlineStr">
        <is>
          <t>BC Digital Comet</t>
        </is>
      </c>
      <c r="F503" t="inlineStr">
        <is>
          <t>42</t>
        </is>
      </c>
      <c r="G503" t="inlineStr">
        <is>
          <t>Sushma Gurram</t>
        </is>
      </c>
      <c r="H503" t="inlineStr">
        <is>
          <t>[COMMUNICATIONS] Charge Off Test</t>
        </is>
      </c>
      <c r="I503" t="n">
        <v>4</v>
      </c>
      <c r="J503" t="n">
        <v>7.014398148148148</v>
      </c>
      <c r="K503">
        <f>HYPERLINK("https://drivetime.tpondemand.com/entity/141154", "141154")</f>
        <v/>
      </c>
      <c r="L503" t="inlineStr"/>
      <c r="M503" t="n">
        <v>5</v>
      </c>
      <c r="N503" t="n">
        <v>127326</v>
      </c>
      <c r="O503" t="inlineStr">
        <is>
          <t>Done</t>
        </is>
      </c>
      <c r="P503" t="n">
        <v>0</v>
      </c>
      <c r="Q503" t="inlineStr">
        <is>
          <t>Comet 94</t>
        </is>
      </c>
      <c r="R503" t="inlineStr">
        <is>
          <t>2022-10-06</t>
        </is>
      </c>
      <c r="S503" t="inlineStr">
        <is>
          <t>2022-10-19</t>
        </is>
      </c>
      <c r="T503" t="inlineStr">
        <is>
          <t>Comet 94 : 2022-10-06 - 2022-10-19</t>
        </is>
      </c>
      <c r="U503" t="inlineStr">
        <is>
          <t>2022-10-17T00:00:00-05:00</t>
        </is>
      </c>
      <c r="V503" t="inlineStr">
        <is>
          <t>2022-10-13T00:00:00-05:00</t>
        </is>
      </c>
      <c r="W503" t="inlineStr">
        <is>
          <t>2022-10-17T11:22:07-05:00</t>
        </is>
      </c>
      <c r="X503">
        <f>IFERROR(1/COUNTIF($I:$I,@$I:$I), 0)</f>
        <v/>
      </c>
    </row>
    <row r="504">
      <c r="A504">
        <f>HYPERLINK("https://drivetime.tpondemand.com/entity/140922", "140922")</f>
        <v/>
      </c>
      <c r="B504" t="inlineStr">
        <is>
          <t>[Salesforce] Payoff Quote to match new UX designs</t>
        </is>
      </c>
      <c r="C504" t="inlineStr">
        <is>
          <t>UserStory</t>
        </is>
      </c>
      <c r="D504" t="inlineStr">
        <is>
          <t>BC Digital - Ongoing Fixes and Enhancements</t>
        </is>
      </c>
      <c r="E504" t="inlineStr">
        <is>
          <t>BC Digital Comet</t>
        </is>
      </c>
      <c r="F504" t="inlineStr">
        <is>
          <t>45</t>
        </is>
      </c>
      <c r="G504" t="inlineStr">
        <is>
          <t>Aditi Sharma</t>
        </is>
      </c>
      <c r="H504" t="inlineStr">
        <is>
          <t>[COMMUNICATIONS] Mini Miranda</t>
        </is>
      </c>
      <c r="I504" t="n">
        <v>7</v>
      </c>
      <c r="J504" t="n">
        <v>21.93866898148148</v>
      </c>
      <c r="K504">
        <f>HYPERLINK("https://drivetime.tpondemand.com/entity/143290", "143290")</f>
        <v/>
      </c>
      <c r="L504" t="inlineStr"/>
      <c r="M504" t="n">
        <v>5</v>
      </c>
      <c r="N504" t="n">
        <v>127328</v>
      </c>
      <c r="O504" t="inlineStr">
        <is>
          <t>Done</t>
        </is>
      </c>
      <c r="P504" t="n">
        <v>0</v>
      </c>
      <c r="Q504" t="inlineStr">
        <is>
          <t>Comet 96</t>
        </is>
      </c>
      <c r="R504" t="inlineStr">
        <is>
          <t>2022-11-03</t>
        </is>
      </c>
      <c r="S504" t="inlineStr">
        <is>
          <t>2022-11-16</t>
        </is>
      </c>
      <c r="T504" t="inlineStr">
        <is>
          <t>Comet 96 : 2022-11-03 - 2022-11-16</t>
        </is>
      </c>
      <c r="U504" t="inlineStr">
        <is>
          <t>2022-11-11T00:00:00-06:00</t>
        </is>
      </c>
      <c r="V504" t="inlineStr">
        <is>
          <t>2022-11-04T00:00:00-05:00</t>
        </is>
      </c>
      <c r="W504" t="inlineStr">
        <is>
          <t>2022-11-11T10:30:56-06:00</t>
        </is>
      </c>
      <c r="X504">
        <f>IFERROR(1/COUNTIF($I:$I,@$I:$I), 0)</f>
        <v/>
      </c>
    </row>
    <row r="505">
      <c r="A505">
        <f>HYPERLINK("https://drivetime.tpondemand.com/entity/141948", "141948")</f>
        <v/>
      </c>
      <c r="B505" t="inlineStr">
        <is>
          <t>[DTSE &amp; BC Comm Api &amp; DE Automation] PTC, Clear Repo &amp; Small Balance New Legal Disclosure changes</t>
        </is>
      </c>
      <c r="C505" t="inlineStr">
        <is>
          <t>UserStory</t>
        </is>
      </c>
      <c r="D505" t="inlineStr">
        <is>
          <t>BC Digital - Ongoing Fixes and Enhancements</t>
        </is>
      </c>
      <c r="E505" t="inlineStr">
        <is>
          <t>BC Digital Comet</t>
        </is>
      </c>
      <c r="F505" t="inlineStr">
        <is>
          <t>45</t>
        </is>
      </c>
      <c r="G505" t="inlineStr">
        <is>
          <t>Sushma Gurram and Daniel Verhagen</t>
        </is>
      </c>
      <c r="H505" t="inlineStr">
        <is>
          <t>[COMMUNICATIONS] Mini Miranda</t>
        </is>
      </c>
      <c r="I505" t="n">
        <v>2</v>
      </c>
      <c r="J505" t="n">
        <v>9.065104166666666</v>
      </c>
      <c r="K505">
        <f>HYPERLINK("https://drivetime.tpondemand.com/entity/143291", "143291")</f>
        <v/>
      </c>
      <c r="L505" t="inlineStr"/>
      <c r="M505" t="n">
        <v>5</v>
      </c>
      <c r="N505" t="n">
        <v>127328</v>
      </c>
      <c r="O505" t="inlineStr">
        <is>
          <t>Done</t>
        </is>
      </c>
      <c r="P505" t="n">
        <v>0</v>
      </c>
      <c r="Q505" t="inlineStr">
        <is>
          <t>Comet 96</t>
        </is>
      </c>
      <c r="R505" t="inlineStr">
        <is>
          <t>2022-11-03</t>
        </is>
      </c>
      <c r="S505" t="inlineStr">
        <is>
          <t>2022-11-16</t>
        </is>
      </c>
      <c r="T505" t="inlineStr">
        <is>
          <t>Comet 96 : 2022-11-03 - 2022-11-16</t>
        </is>
      </c>
      <c r="U505" t="inlineStr">
        <is>
          <t>2022-11-09T00:00:00-06:00</t>
        </is>
      </c>
      <c r="V505" t="inlineStr">
        <is>
          <t>2022-11-07T00:00:00-06:00</t>
        </is>
      </c>
      <c r="W505" t="inlineStr">
        <is>
          <t>2022-11-09T14:55:20-06:00</t>
        </is>
      </c>
      <c r="X505">
        <f>IFERROR(1/COUNTIF($I:$I,@$I:$I), 0)</f>
        <v/>
      </c>
    </row>
    <row r="506">
      <c r="A506">
        <f>HYPERLINK("https://drivetime.tpondemand.com/entity/143758", "143758")</f>
        <v/>
      </c>
      <c r="B506" t="inlineStr">
        <is>
          <t>[Research &amp; Implement][Automated Repo Assignments] Post Repo texts</t>
        </is>
      </c>
      <c r="C506" t="inlineStr">
        <is>
          <t>UserStory</t>
        </is>
      </c>
      <c r="D506" t="inlineStr">
        <is>
          <t>BC Digital - Ongoing Fixes and Enhancements</t>
        </is>
      </c>
      <c r="E506" t="inlineStr">
        <is>
          <t>BC Digital Comet</t>
        </is>
      </c>
      <c r="F506" t="inlineStr"/>
      <c r="G506" t="inlineStr">
        <is>
          <t>Marcus Rogers</t>
        </is>
      </c>
      <c r="H506" t="inlineStr">
        <is>
          <t>[COMMUNICATIONS] Update Assigned for Repo Texts</t>
        </is>
      </c>
      <c r="I506" t="inlineStr"/>
      <c r="J506" t="n">
        <v>18.83036695616782</v>
      </c>
      <c r="K506">
        <f>HYPERLINK("https://drivetime.tpondemand.com/entity/146703", "146703")</f>
        <v/>
      </c>
      <c r="L506" t="inlineStr"/>
      <c r="M506" t="n">
        <v>5</v>
      </c>
      <c r="N506" t="n">
        <v>127331</v>
      </c>
      <c r="O506" t="inlineStr">
        <is>
          <t>Ready for Deploy</t>
        </is>
      </c>
      <c r="P506" t="n">
        <v>0</v>
      </c>
      <c r="Q506" t="inlineStr">
        <is>
          <t>Comet 99</t>
        </is>
      </c>
      <c r="R506" t="inlineStr">
        <is>
          <t>2022-12-15</t>
        </is>
      </c>
      <c r="S506" t="inlineStr">
        <is>
          <t>2022-12-28</t>
        </is>
      </c>
      <c r="T506" t="inlineStr">
        <is>
          <t>Comet 99 : 2022-12-15 - 2022-12-28</t>
        </is>
      </c>
      <c r="U506" t="inlineStr"/>
      <c r="V506" t="inlineStr">
        <is>
          <t>2022-12-20T00:00:00-06:00</t>
        </is>
      </c>
      <c r="X506">
        <f>IFERROR(1/COUNTIF($I:$I,@$I:$I), 0)</f>
        <v/>
      </c>
    </row>
    <row r="507">
      <c r="A507">
        <f>HYPERLINK("https://drivetime.tpondemand.com/entity/129153", "129153")</f>
        <v/>
      </c>
      <c r="B507" t="inlineStr">
        <is>
          <t>Create a process to Alert the team of any text campaign failures</t>
        </is>
      </c>
      <c r="C507" t="inlineStr">
        <is>
          <t>UserStory</t>
        </is>
      </c>
      <c r="D507" t="inlineStr">
        <is>
          <t>BC Digital - Ongoing Fixes and Enhancements</t>
        </is>
      </c>
      <c r="E507" t="inlineStr">
        <is>
          <t>BC Digital Comet</t>
        </is>
      </c>
      <c r="F507" t="inlineStr">
        <is>
          <t>24</t>
        </is>
      </c>
      <c r="G507" t="inlineStr">
        <is>
          <t>Aditi Sharma</t>
        </is>
      </c>
      <c r="H507" t="inlineStr">
        <is>
          <t>Communications Tech Investment</t>
        </is>
      </c>
      <c r="I507" t="n">
        <v>6</v>
      </c>
      <c r="J507" t="n">
        <v>12.06822916666667</v>
      </c>
      <c r="K507" t="inlineStr"/>
      <c r="L507" t="inlineStr"/>
      <c r="M507" t="n">
        <v>3</v>
      </c>
      <c r="N507" t="n">
        <v>127317</v>
      </c>
      <c r="O507" t="inlineStr">
        <is>
          <t>Done</t>
        </is>
      </c>
      <c r="P507" t="n">
        <v>0</v>
      </c>
      <c r="Q507" t="inlineStr">
        <is>
          <t>Comet 85</t>
        </is>
      </c>
      <c r="R507" t="inlineStr">
        <is>
          <t>2022-06-02</t>
        </is>
      </c>
      <c r="S507" t="inlineStr">
        <is>
          <t>2022-06-15</t>
        </is>
      </c>
      <c r="T507" t="inlineStr">
        <is>
          <t>Comet 85 : 2022-06-02 - 2022-06-15</t>
        </is>
      </c>
      <c r="U507" t="inlineStr">
        <is>
          <t>2022-06-14T00:00:00-05:00</t>
        </is>
      </c>
      <c r="V507" t="inlineStr">
        <is>
          <t>2022-06-08T00:00:00-05:00</t>
        </is>
      </c>
      <c r="W507" t="inlineStr">
        <is>
          <t>2022-06-14T11:18:33-05:00</t>
        </is>
      </c>
      <c r="X507">
        <f>IFERROR(1/COUNTIF($I:$I,@$I:$I), 0)</f>
        <v/>
      </c>
    </row>
    <row r="508">
      <c r="A508">
        <f>HYPERLINK("https://drivetime.tpondemand.com/entity/136540", "136540")</f>
        <v/>
      </c>
      <c r="B508" t="inlineStr">
        <is>
          <t>KM2 PROD Outage Emails and Texts - Round 2</t>
        </is>
      </c>
      <c r="C508" t="inlineStr">
        <is>
          <t>UserStory</t>
        </is>
      </c>
      <c r="D508" t="inlineStr">
        <is>
          <t>BC Digital - Ongoing Fixes and Enhancements</t>
        </is>
      </c>
      <c r="E508" t="inlineStr">
        <is>
          <t>BC Digital Comet</t>
        </is>
      </c>
      <c r="F508" t="inlineStr">
        <is>
          <t>31</t>
        </is>
      </c>
      <c r="G508" t="inlineStr">
        <is>
          <t>Sushma Gurram</t>
        </is>
      </c>
      <c r="H508" t="inlineStr">
        <is>
          <t>KM2Outage</t>
        </is>
      </c>
      <c r="I508" t="n">
        <v>1</v>
      </c>
      <c r="J508" t="n">
        <v>4.99386574074074</v>
      </c>
      <c r="K508" t="inlineStr"/>
      <c r="L508" t="inlineStr"/>
      <c r="M508" t="n">
        <v>3</v>
      </c>
      <c r="N508" t="n">
        <v>127321</v>
      </c>
      <c r="O508" t="inlineStr">
        <is>
          <t>Done</t>
        </is>
      </c>
      <c r="P508" t="n">
        <v>0</v>
      </c>
      <c r="Q508" t="inlineStr">
        <is>
          <t>Comet 89</t>
        </is>
      </c>
      <c r="R508" t="inlineStr">
        <is>
          <t>2022-07-28</t>
        </is>
      </c>
      <c r="S508" t="inlineStr">
        <is>
          <t>2022-08-10</t>
        </is>
      </c>
      <c r="T508" t="inlineStr">
        <is>
          <t>Comet 89 : 2022-07-28 - 2022-08-10</t>
        </is>
      </c>
      <c r="U508" t="inlineStr">
        <is>
          <t>2022-08-02T00:00:00-05:00</t>
        </is>
      </c>
      <c r="V508" t="inlineStr">
        <is>
          <t>2022-08-01T00:00:00-05:00</t>
        </is>
      </c>
      <c r="W508" t="inlineStr">
        <is>
          <t>2022-08-02T11:17:23-05:00</t>
        </is>
      </c>
      <c r="X508">
        <f>IFERROR(1/COUNTIF($I:$I,@$I:$I), 0)</f>
        <v/>
      </c>
    </row>
    <row r="509">
      <c r="A509">
        <f>HYPERLINK("https://drivetime.tpondemand.com/entity/138283", "138283")</f>
        <v/>
      </c>
      <c r="B509" t="inlineStr">
        <is>
          <t>Salesforce configuration</t>
        </is>
      </c>
      <c r="C509" t="inlineStr">
        <is>
          <t>UserStory</t>
        </is>
      </c>
      <c r="D509" t="inlineStr">
        <is>
          <t>BC Digital - Ongoing Fixes and Enhancements</t>
        </is>
      </c>
      <c r="E509" t="inlineStr">
        <is>
          <t>BC Digital Comet</t>
        </is>
      </c>
      <c r="F509" t="inlineStr">
        <is>
          <t>49</t>
        </is>
      </c>
      <c r="G509" t="inlineStr">
        <is>
          <t>Marcus Rogers</t>
        </is>
      </c>
      <c r="H509" t="inlineStr">
        <is>
          <t>[COMMUNICATIONS] CSO Update</t>
        </is>
      </c>
      <c r="I509" t="n">
        <v>9</v>
      </c>
      <c r="J509" t="n">
        <v>35.14013888888888</v>
      </c>
      <c r="K509">
        <f>HYPERLINK("https://drivetime.tpondemand.com/entity/143293", "143293")</f>
        <v/>
      </c>
      <c r="L509" t="inlineStr"/>
      <c r="M509" t="n">
        <v>3</v>
      </c>
      <c r="N509" t="n">
        <v>127329</v>
      </c>
      <c r="O509" t="inlineStr">
        <is>
          <t>Done</t>
        </is>
      </c>
      <c r="P509" t="n">
        <v>1</v>
      </c>
      <c r="Q509" t="inlineStr">
        <is>
          <t>Comet 97</t>
        </is>
      </c>
      <c r="R509" t="inlineStr">
        <is>
          <t>2022-11-17</t>
        </is>
      </c>
      <c r="S509" t="inlineStr">
        <is>
          <t>2022-11-30</t>
        </is>
      </c>
      <c r="T509" t="inlineStr">
        <is>
          <t>Comet 97 : 2022-11-17 - 2022-11-30</t>
        </is>
      </c>
      <c r="U509" t="inlineStr">
        <is>
          <t>2022-12-09T00:00:00-06:00</t>
        </is>
      </c>
      <c r="V509" t="inlineStr">
        <is>
          <t>2022-11-30T00:00:00-06:00</t>
        </is>
      </c>
      <c r="W509" t="inlineStr">
        <is>
          <t>2022-12-09T14:53:11-06:00</t>
        </is>
      </c>
      <c r="X509">
        <f>IFERROR(1/COUNTIF($I:$I,@$I:$I), 0)</f>
        <v/>
      </c>
    </row>
    <row r="510">
      <c r="A510">
        <f>HYPERLINK("https://drivetime.tpondemand.com/entity/138284", "138284")</f>
        <v/>
      </c>
      <c r="B510" t="inlineStr">
        <is>
          <t>DE Automation to generate audience file</t>
        </is>
      </c>
      <c r="C510" t="inlineStr">
        <is>
          <t>UserStory</t>
        </is>
      </c>
      <c r="D510" t="inlineStr">
        <is>
          <t>BC Digital - Ongoing Fixes and Enhancements</t>
        </is>
      </c>
      <c r="E510" t="inlineStr">
        <is>
          <t>BC Digital Comet</t>
        </is>
      </c>
      <c r="F510" t="inlineStr">
        <is>
          <t>49</t>
        </is>
      </c>
      <c r="G510" t="inlineStr">
        <is>
          <t>Sushma Gurram</t>
        </is>
      </c>
      <c r="H510" t="inlineStr">
        <is>
          <t>[COMMUNICATIONS] CSO Update</t>
        </is>
      </c>
      <c r="I510" t="n">
        <v>36</v>
      </c>
      <c r="J510" t="n">
        <v>44.14770833333333</v>
      </c>
      <c r="K510">
        <f>HYPERLINK("https://drivetime.tpondemand.com/entity/143293", "143293")</f>
        <v/>
      </c>
      <c r="L510" t="inlineStr"/>
      <c r="M510" t="n">
        <v>3</v>
      </c>
      <c r="N510" t="n">
        <v>127328</v>
      </c>
      <c r="O510" t="inlineStr">
        <is>
          <t>Done</t>
        </is>
      </c>
      <c r="P510" t="n">
        <v>0</v>
      </c>
      <c r="Q510" t="inlineStr">
        <is>
          <t>Comet 96</t>
        </is>
      </c>
      <c r="R510" t="inlineStr">
        <is>
          <t>2022-11-03</t>
        </is>
      </c>
      <c r="S510" t="inlineStr">
        <is>
          <t>2022-11-16</t>
        </is>
      </c>
      <c r="T510" t="inlineStr">
        <is>
          <t>Comet 96 : 2022-11-03 - 2022-11-16</t>
        </is>
      </c>
      <c r="U510" t="inlineStr">
        <is>
          <t>2022-12-09T00:00:00-06:00</t>
        </is>
      </c>
      <c r="V510" t="inlineStr">
        <is>
          <t>2022-11-03T00:00:00-05:00</t>
        </is>
      </c>
      <c r="W510" t="inlineStr">
        <is>
          <t>2022-12-09T14:53:13-06:00</t>
        </is>
      </c>
      <c r="X510">
        <f>IFERROR(1/COUNTIF($I:$I,@$I:$I), 0)</f>
        <v/>
      </c>
    </row>
    <row r="511">
      <c r="A511">
        <f>HYPERLINK("https://drivetime.tpondemand.com/entity/138285", "138285")</f>
        <v/>
      </c>
      <c r="B511" t="inlineStr">
        <is>
          <t>Alerts &amp; Analytics</t>
        </is>
      </c>
      <c r="C511" t="inlineStr">
        <is>
          <t>UserStory</t>
        </is>
      </c>
      <c r="D511" t="inlineStr">
        <is>
          <t>BC Digital - Ongoing Fixes and Enhancements</t>
        </is>
      </c>
      <c r="E511" t="inlineStr">
        <is>
          <t>BC Digital Comet</t>
        </is>
      </c>
      <c r="F511" t="inlineStr">
        <is>
          <t>46</t>
        </is>
      </c>
      <c r="G511" t="inlineStr"/>
      <c r="H511" t="inlineStr">
        <is>
          <t>[COMMUNICATIONS] CSO Update</t>
        </is>
      </c>
      <c r="I511" t="n">
        <v>0</v>
      </c>
      <c r="J511" t="n">
        <v>4.629629629629629e-05</v>
      </c>
      <c r="K511" t="inlineStr"/>
      <c r="L511" t="inlineStr"/>
      <c r="M511" t="n">
        <v>3</v>
      </c>
      <c r="N511" t="n">
        <v>127328</v>
      </c>
      <c r="O511" t="inlineStr">
        <is>
          <t>Done</t>
        </is>
      </c>
      <c r="P511" t="n">
        <v>0</v>
      </c>
      <c r="Q511" t="inlineStr">
        <is>
          <t>Comet 96</t>
        </is>
      </c>
      <c r="R511" t="inlineStr">
        <is>
          <t>2022-11-03</t>
        </is>
      </c>
      <c r="S511" t="inlineStr">
        <is>
          <t>2022-11-16</t>
        </is>
      </c>
      <c r="T511" t="inlineStr">
        <is>
          <t>Comet 96 : 2022-11-03 - 2022-11-16</t>
        </is>
      </c>
      <c r="U511" t="inlineStr">
        <is>
          <t>2022-11-17T00:00:00-06:00</t>
        </is>
      </c>
      <c r="V511" t="inlineStr">
        <is>
          <t>2022-11-17T00:00:00-06:00</t>
        </is>
      </c>
      <c r="W511" t="inlineStr">
        <is>
          <t>2022-11-17T11:03:04-06:00</t>
        </is>
      </c>
      <c r="X511">
        <f>IFERROR(1/COUNTIF($I:$I,@$I:$I), 0)</f>
        <v/>
      </c>
    </row>
    <row r="512">
      <c r="A512">
        <f>HYPERLINK("https://drivetime.tpondemand.com/entity/138334", "138334")</f>
        <v/>
      </c>
      <c r="B512" t="inlineStr">
        <is>
          <t>Research Clear Charge Off Campaigns</t>
        </is>
      </c>
      <c r="C512" t="inlineStr">
        <is>
          <t>UserStory</t>
        </is>
      </c>
      <c r="D512" t="inlineStr">
        <is>
          <t>BC Digital - Ongoing Fixes and Enhancements</t>
        </is>
      </c>
      <c r="E512" t="inlineStr">
        <is>
          <t>BC Digital Comet</t>
        </is>
      </c>
      <c r="F512" t="inlineStr">
        <is>
          <t>37</t>
        </is>
      </c>
      <c r="G512" t="inlineStr">
        <is>
          <t>Sushma Gurram</t>
        </is>
      </c>
      <c r="H512" t="inlineStr">
        <is>
          <t>Communications Tech Investment</t>
        </is>
      </c>
      <c r="I512" t="n">
        <v>1</v>
      </c>
      <c r="J512" t="n">
        <v>12.0024537037037</v>
      </c>
      <c r="K512" t="inlineStr"/>
      <c r="L512" t="inlineStr"/>
      <c r="M512" t="n">
        <v>3</v>
      </c>
      <c r="N512" t="n">
        <v>127324</v>
      </c>
      <c r="O512" t="inlineStr">
        <is>
          <t>Done</t>
        </is>
      </c>
      <c r="P512" t="n">
        <v>0</v>
      </c>
      <c r="Q512" t="inlineStr">
        <is>
          <t>Comet 92</t>
        </is>
      </c>
      <c r="R512" t="inlineStr">
        <is>
          <t>2022-09-08</t>
        </is>
      </c>
      <c r="S512" t="inlineStr">
        <is>
          <t>2022-09-21</t>
        </is>
      </c>
      <c r="T512" t="inlineStr">
        <is>
          <t>Comet 92 : 2022-09-08 - 2022-09-21</t>
        </is>
      </c>
      <c r="U512" t="inlineStr">
        <is>
          <t>2022-09-14T00:00:00-05:00</t>
        </is>
      </c>
      <c r="V512" t="inlineStr">
        <is>
          <t>2022-09-13T00:00:00-05:00</t>
        </is>
      </c>
      <c r="W512" t="inlineStr">
        <is>
          <t>2022-09-14T11:23:07-05:00</t>
        </is>
      </c>
      <c r="X512">
        <f>IFERROR(1/COUNTIF($I:$I,@$I:$I), 0)</f>
        <v/>
      </c>
    </row>
    <row r="513">
      <c r="A513">
        <f>HYPERLINK("https://drivetime.tpondemand.com/entity/139498", "139498")</f>
        <v/>
      </c>
      <c r="B513" t="inlineStr">
        <is>
          <t>[Salesforce] Move new version of emails to prod folder</t>
        </is>
      </c>
      <c r="C513" t="inlineStr">
        <is>
          <t>UserStory</t>
        </is>
      </c>
      <c r="D513" t="inlineStr">
        <is>
          <t>BC Digital - Ongoing Fixes and Enhancements</t>
        </is>
      </c>
      <c r="E513" t="inlineStr">
        <is>
          <t>BC Digital Comet</t>
        </is>
      </c>
      <c r="F513" t="inlineStr">
        <is>
          <t>43</t>
        </is>
      </c>
      <c r="G513" t="inlineStr"/>
      <c r="H513" t="inlineStr">
        <is>
          <t>[COMMUNICATIONS] Mini Miranda</t>
        </is>
      </c>
      <c r="I513" t="n">
        <v>0</v>
      </c>
      <c r="J513" t="n">
        <v>1.083969907407407</v>
      </c>
      <c r="K513">
        <f>HYPERLINK("https://drivetime.tpondemand.com/entity/142157", "142157")</f>
        <v/>
      </c>
      <c r="L513" t="inlineStr"/>
      <c r="M513" t="n">
        <v>3</v>
      </c>
      <c r="N513" t="n">
        <v>127327</v>
      </c>
      <c r="O513" t="inlineStr">
        <is>
          <t>Done</t>
        </is>
      </c>
      <c r="P513" t="n">
        <v>0</v>
      </c>
      <c r="Q513" t="inlineStr">
        <is>
          <t>Comet 95</t>
        </is>
      </c>
      <c r="R513" t="inlineStr">
        <is>
          <t>2022-10-20</t>
        </is>
      </c>
      <c r="S513" t="inlineStr">
        <is>
          <t>2022-11-02</t>
        </is>
      </c>
      <c r="T513" t="inlineStr">
        <is>
          <t>Comet 95 : 2022-10-20 - 2022-11-02</t>
        </is>
      </c>
      <c r="U513" t="inlineStr">
        <is>
          <t>2022-10-25T00:00:00-05:00</t>
        </is>
      </c>
      <c r="V513" t="inlineStr">
        <is>
          <t>2022-10-25T00:00:00-05:00</t>
        </is>
      </c>
      <c r="W513" t="inlineStr">
        <is>
          <t>2022-10-25T13:29:15-05:00</t>
        </is>
      </c>
      <c r="X513">
        <f>IFERROR(1/COUNTIF($I:$I,@$I:$I), 0)</f>
        <v/>
      </c>
    </row>
    <row r="514">
      <c r="A514">
        <f>HYPERLINK("https://drivetime.tpondemand.com/entity/144052", "144052")</f>
        <v/>
      </c>
      <c r="B514" t="inlineStr">
        <is>
          <t>Send Annual Privacy Policy Email</t>
        </is>
      </c>
      <c r="C514" t="inlineStr">
        <is>
          <t>UserStory</t>
        </is>
      </c>
      <c r="D514" t="inlineStr">
        <is>
          <t>BC Digital - Ongoing Fixes and Enhancements</t>
        </is>
      </c>
      <c r="E514" t="inlineStr">
        <is>
          <t>BC Digital Comet</t>
        </is>
      </c>
      <c r="F514" t="inlineStr">
        <is>
          <t>51</t>
        </is>
      </c>
      <c r="G514" t="inlineStr">
        <is>
          <t>Sushma Gurram and Marcus Rogers</t>
        </is>
      </c>
      <c r="H514" t="inlineStr">
        <is>
          <t>[COMMUNICATIONS] Privacy Policy</t>
        </is>
      </c>
      <c r="I514" t="n">
        <v>6</v>
      </c>
      <c r="J514" t="n">
        <v>11.68758101851852</v>
      </c>
      <c r="K514">
        <f>HYPERLINK("https://drivetime.tpondemand.com/entity/146428", "146428")</f>
        <v/>
      </c>
      <c r="L514" t="inlineStr"/>
      <c r="M514" t="n">
        <v>3</v>
      </c>
      <c r="N514" t="n">
        <v>127330</v>
      </c>
      <c r="O514" t="inlineStr">
        <is>
          <t>Done</t>
        </is>
      </c>
      <c r="P514" t="n">
        <v>0</v>
      </c>
      <c r="Q514" t="inlineStr">
        <is>
          <t>Comet 98</t>
        </is>
      </c>
      <c r="R514" t="inlineStr">
        <is>
          <t>2022-12-01</t>
        </is>
      </c>
      <c r="S514" t="inlineStr">
        <is>
          <t>2022-12-14</t>
        </is>
      </c>
      <c r="T514" t="inlineStr">
        <is>
          <t>Comet 98 : 2022-12-01 - 2022-12-14</t>
        </is>
      </c>
      <c r="U514" t="inlineStr">
        <is>
          <t>2022-12-19T00:00:00-06:00</t>
        </is>
      </c>
      <c r="V514" t="inlineStr">
        <is>
          <t>2022-12-13T00:00:00-06:00</t>
        </is>
      </c>
      <c r="W514" t="inlineStr">
        <is>
          <t>2022-12-19T10:22:07-06:00</t>
        </is>
      </c>
      <c r="X514">
        <f>IFERROR(1/COUNTIF($I:$I,@$I:$I), 0)</f>
        <v/>
      </c>
    </row>
    <row r="515">
      <c r="A515">
        <f>HYPERLINK("https://drivetime.tpondemand.com/entity/132615", "132615")</f>
        <v/>
      </c>
      <c r="B515" t="inlineStr">
        <is>
          <t>Correct date format of field LDMDate used for the Early Credit Reporting email</t>
        </is>
      </c>
      <c r="C515" t="inlineStr">
        <is>
          <t>UserStory</t>
        </is>
      </c>
      <c r="D515" t="inlineStr">
        <is>
          <t>BC Digital - Ongoing Fixes and Enhancements</t>
        </is>
      </c>
      <c r="E515" t="inlineStr">
        <is>
          <t>BC Digital Comet</t>
        </is>
      </c>
      <c r="F515" t="inlineStr">
        <is>
          <t>24</t>
        </is>
      </c>
      <c r="G515" t="inlineStr">
        <is>
          <t>Akshay Golash</t>
        </is>
      </c>
      <c r="H515" t="inlineStr">
        <is>
          <t>Communications Tech Investment</t>
        </is>
      </c>
      <c r="I515" t="n">
        <v>2</v>
      </c>
      <c r="J515" t="n">
        <v>12.78371527777778</v>
      </c>
      <c r="K515" t="inlineStr"/>
      <c r="L515" t="inlineStr"/>
      <c r="M515" t="n">
        <v>2</v>
      </c>
      <c r="N515" t="n">
        <v>127317</v>
      </c>
      <c r="O515" t="inlineStr">
        <is>
          <t>Done</t>
        </is>
      </c>
      <c r="P515" t="n">
        <v>0</v>
      </c>
      <c r="Q515" t="inlineStr">
        <is>
          <t>Comet 85</t>
        </is>
      </c>
      <c r="R515" t="inlineStr">
        <is>
          <t>2022-06-02</t>
        </is>
      </c>
      <c r="S515" t="inlineStr">
        <is>
          <t>2022-06-15</t>
        </is>
      </c>
      <c r="T515" t="inlineStr">
        <is>
          <t>Comet 85 : 2022-06-02 - 2022-06-15</t>
        </is>
      </c>
      <c r="U515" t="inlineStr">
        <is>
          <t>2022-06-15T00:00:00-05:00</t>
        </is>
      </c>
      <c r="V515" t="inlineStr">
        <is>
          <t>2022-06-13T00:00:00-05:00</t>
        </is>
      </c>
      <c r="W515" t="inlineStr">
        <is>
          <t>2022-06-15T11:17:34-05:00</t>
        </is>
      </c>
      <c r="X515">
        <f>IFERROR(1/COUNTIF($I:$I,@$I:$I), 0)</f>
        <v/>
      </c>
    </row>
    <row r="516">
      <c r="A516">
        <f>HYPERLINK("https://drivetime.tpondemand.com/entity/135650", "135650")</f>
        <v/>
      </c>
      <c r="B516" t="inlineStr">
        <is>
          <t>KM2 PROD Outage Emails and Texts - Round 1</t>
        </is>
      </c>
      <c r="C516" t="inlineStr">
        <is>
          <t>UserStory</t>
        </is>
      </c>
      <c r="D516" t="inlineStr">
        <is>
          <t>BC Digital - Ongoing Fixes and Enhancements</t>
        </is>
      </c>
      <c r="E516" t="inlineStr">
        <is>
          <t>BC Digital Comet</t>
        </is>
      </c>
      <c r="F516" t="inlineStr">
        <is>
          <t>30</t>
        </is>
      </c>
      <c r="G516" t="inlineStr">
        <is>
          <t>Sushma Gurram</t>
        </is>
      </c>
      <c r="H516" t="inlineStr">
        <is>
          <t>KM2Outage</t>
        </is>
      </c>
      <c r="I516" t="n">
        <v>0</v>
      </c>
      <c r="J516" t="n">
        <v>13.73951388888889</v>
      </c>
      <c r="K516" t="inlineStr"/>
      <c r="L516" t="inlineStr"/>
      <c r="M516" t="n">
        <v>2</v>
      </c>
      <c r="N516" t="n">
        <v>127320</v>
      </c>
      <c r="O516" t="inlineStr">
        <is>
          <t>Done</t>
        </is>
      </c>
      <c r="P516" t="n">
        <v>0</v>
      </c>
      <c r="Q516" t="inlineStr">
        <is>
          <t>Comet 88</t>
        </is>
      </c>
      <c r="R516" t="inlineStr">
        <is>
          <t>2022-07-14</t>
        </is>
      </c>
      <c r="S516" t="inlineStr">
        <is>
          <t>2022-07-27</t>
        </is>
      </c>
      <c r="T516" t="inlineStr">
        <is>
          <t>Comet 88 : 2022-07-14 - 2022-07-27</t>
        </is>
      </c>
      <c r="U516" t="inlineStr">
        <is>
          <t>2022-07-28T00:00:00-05:00</t>
        </is>
      </c>
      <c r="V516" t="inlineStr">
        <is>
          <t>2022-07-28T00:00:00-05:00</t>
        </is>
      </c>
      <c r="W516" t="inlineStr">
        <is>
          <t>2022-07-28T10:33:51-05:00</t>
        </is>
      </c>
      <c r="X516">
        <f>IFERROR(1/COUNTIF($I:$I,@$I:$I), 0)</f>
        <v/>
      </c>
    </row>
    <row r="517">
      <c r="A517">
        <f>HYPERLINK("https://drivetime.tpondemand.com/entity/136360", "136360")</f>
        <v/>
      </c>
      <c r="B517" t="inlineStr">
        <is>
          <t>PROD OUTAGE:  Duplicate Payment Email/Text communications</t>
        </is>
      </c>
      <c r="C517" t="inlineStr">
        <is>
          <t>UserStory</t>
        </is>
      </c>
      <c r="D517" t="inlineStr">
        <is>
          <t>BC Digital - Ongoing Fixes and Enhancements</t>
        </is>
      </c>
      <c r="E517" t="inlineStr">
        <is>
          <t>BC Digital Comet</t>
        </is>
      </c>
      <c r="F517" t="inlineStr">
        <is>
          <t>30</t>
        </is>
      </c>
      <c r="G517" t="inlineStr">
        <is>
          <t>Sushma Gurram</t>
        </is>
      </c>
      <c r="H517" t="inlineStr">
        <is>
          <t>Duplicate Payment Outage</t>
        </is>
      </c>
      <c r="I517" t="n">
        <v>0</v>
      </c>
      <c r="J517" t="n">
        <v>5.642569444444444</v>
      </c>
      <c r="K517" t="inlineStr"/>
      <c r="L517" t="inlineStr"/>
      <c r="M517" t="n">
        <v>2</v>
      </c>
      <c r="N517" t="n">
        <v>127320</v>
      </c>
      <c r="O517" t="inlineStr">
        <is>
          <t>Done</t>
        </is>
      </c>
      <c r="P517" t="n">
        <v>0</v>
      </c>
      <c r="Q517" t="inlineStr">
        <is>
          <t>Comet 88</t>
        </is>
      </c>
      <c r="R517" t="inlineStr">
        <is>
          <t>2022-07-14</t>
        </is>
      </c>
      <c r="S517" t="inlineStr">
        <is>
          <t>2022-07-27</t>
        </is>
      </c>
      <c r="T517" t="inlineStr">
        <is>
          <t>Comet 88 : 2022-07-14 - 2022-07-27</t>
        </is>
      </c>
      <c r="U517" t="inlineStr">
        <is>
          <t>2022-07-28T00:00:00-05:00</t>
        </is>
      </c>
      <c r="V517" t="inlineStr">
        <is>
          <t>2022-07-28T00:00:00-05:00</t>
        </is>
      </c>
      <c r="W517" t="inlineStr">
        <is>
          <t>2022-07-28T10:34:14-05:00</t>
        </is>
      </c>
      <c r="X517">
        <f>IFERROR(1/COUNTIF($I:$I,@$I:$I), 0)</f>
        <v/>
      </c>
    </row>
    <row r="518">
      <c r="A518">
        <f>HYPERLINK("https://drivetime.tpondemand.com/entity/138330", "138330")</f>
        <v/>
      </c>
      <c r="B518" t="inlineStr">
        <is>
          <t>Modify existing Clear Repo Text Template</t>
        </is>
      </c>
      <c r="C518" t="inlineStr">
        <is>
          <t>UserStory</t>
        </is>
      </c>
      <c r="D518" t="inlineStr">
        <is>
          <t>BC Digital - Ongoing Fixes and Enhancements</t>
        </is>
      </c>
      <c r="E518" t="inlineStr">
        <is>
          <t>BC Digital Comet</t>
        </is>
      </c>
      <c r="F518" t="inlineStr">
        <is>
          <t>38</t>
        </is>
      </c>
      <c r="G518" t="inlineStr">
        <is>
          <t>Sushma Gurram</t>
        </is>
      </c>
      <c r="H518" t="inlineStr">
        <is>
          <t>[COMMUNICATIONS] Update Assigned for Repo Texts</t>
        </is>
      </c>
      <c r="I518" t="n">
        <v>3</v>
      </c>
      <c r="J518" t="n">
        <v>5.776412037037037</v>
      </c>
      <c r="K518">
        <f>HYPERLINK("https://drivetime.tpondemand.com/entity/139740", "139740")</f>
        <v/>
      </c>
      <c r="L518" t="inlineStr"/>
      <c r="M518" t="n">
        <v>2</v>
      </c>
      <c r="N518" t="n">
        <v>127324</v>
      </c>
      <c r="O518" t="inlineStr">
        <is>
          <t>Done</t>
        </is>
      </c>
      <c r="P518" t="n">
        <v>0</v>
      </c>
      <c r="Q518" t="inlineStr">
        <is>
          <t>Comet 92</t>
        </is>
      </c>
      <c r="R518" t="inlineStr">
        <is>
          <t>2022-09-08</t>
        </is>
      </c>
      <c r="S518" t="inlineStr">
        <is>
          <t>2022-09-21</t>
        </is>
      </c>
      <c r="T518" t="inlineStr">
        <is>
          <t>Comet 92 : 2022-09-08 - 2022-09-21</t>
        </is>
      </c>
      <c r="U518" t="inlineStr">
        <is>
          <t>2022-09-19T00:00:00-05:00</t>
        </is>
      </c>
      <c r="V518" t="inlineStr">
        <is>
          <t>2022-09-16T00:00:00-05:00</t>
        </is>
      </c>
      <c r="W518" t="inlineStr">
        <is>
          <t>2022-09-19T11:20:22-05:00</t>
        </is>
      </c>
      <c r="X518">
        <f>IFERROR(1/COUNTIF($I:$I,@$I:$I), 0)</f>
        <v/>
      </c>
    </row>
    <row r="519">
      <c r="A519">
        <f>HYPERLINK("https://drivetime.tpondemand.com/entity/139685", "139685")</f>
        <v/>
      </c>
      <c r="B519" t="inlineStr">
        <is>
          <t>Update CACS comments for CSO manual Test</t>
        </is>
      </c>
      <c r="C519" t="inlineStr">
        <is>
          <t>UserStory</t>
        </is>
      </c>
      <c r="D519" t="inlineStr">
        <is>
          <t>BC Digital - Ongoing Fixes and Enhancements</t>
        </is>
      </c>
      <c r="E519" t="inlineStr">
        <is>
          <t>BC Digital Comet</t>
        </is>
      </c>
      <c r="F519" t="inlineStr">
        <is>
          <t>39</t>
        </is>
      </c>
      <c r="G519" t="inlineStr">
        <is>
          <t>Sushma Gurram</t>
        </is>
      </c>
      <c r="H519" t="inlineStr">
        <is>
          <t>null</t>
        </is>
      </c>
      <c r="I519" t="n">
        <v>7</v>
      </c>
      <c r="J519" t="n">
        <v>11.75204861111111</v>
      </c>
      <c r="K519">
        <f>HYPERLINK("https://drivetime.tpondemand.com/entity/139874", "139874")</f>
        <v/>
      </c>
      <c r="L519" t="inlineStr"/>
      <c r="M519" t="n">
        <v>2</v>
      </c>
      <c r="N519" t="n">
        <v>127324</v>
      </c>
      <c r="O519" t="inlineStr">
        <is>
          <t>Done</t>
        </is>
      </c>
      <c r="P519" t="n">
        <v>0</v>
      </c>
      <c r="Q519" t="inlineStr">
        <is>
          <t>Comet 92</t>
        </is>
      </c>
      <c r="R519" t="inlineStr">
        <is>
          <t>2022-09-08</t>
        </is>
      </c>
      <c r="S519" t="inlineStr">
        <is>
          <t>2022-09-21</t>
        </is>
      </c>
      <c r="T519" t="inlineStr">
        <is>
          <t>Comet 92 : 2022-09-08 - 2022-09-21</t>
        </is>
      </c>
      <c r="U519" t="inlineStr">
        <is>
          <t>2022-09-26T00:00:00-05:00</t>
        </is>
      </c>
      <c r="V519" t="inlineStr">
        <is>
          <t>2022-09-19T00:00:00-05:00</t>
        </is>
      </c>
      <c r="W519" t="inlineStr">
        <is>
          <t>2022-09-26T11:02:13-05:00</t>
        </is>
      </c>
      <c r="X519">
        <f>IFERROR(1/COUNTIF($I:$I,@$I:$I), 0)</f>
        <v/>
      </c>
    </row>
    <row r="520">
      <c r="A520">
        <f>HYPERLINK("https://drivetime.tpondemand.com/entity/143669", "143669")</f>
        <v/>
      </c>
      <c r="B520" t="inlineStr">
        <is>
          <t>Add new templates for CSO texts to be sent on December 26 and Jan 2</t>
        </is>
      </c>
      <c r="C520" t="inlineStr">
        <is>
          <t>UserStory</t>
        </is>
      </c>
      <c r="D520" t="inlineStr">
        <is>
          <t>BC Digital - Ongoing Fixes and Enhancements</t>
        </is>
      </c>
      <c r="E520" t="inlineStr">
        <is>
          <t>BC Digital Comet</t>
        </is>
      </c>
      <c r="F520" t="inlineStr">
        <is>
          <t>50</t>
        </is>
      </c>
      <c r="G520" t="inlineStr">
        <is>
          <t>Sushma Gurram</t>
        </is>
      </c>
      <c r="H520" t="inlineStr">
        <is>
          <t>[COMMUNICATIONS] CSO Update</t>
        </is>
      </c>
      <c r="I520" t="n">
        <v>0</v>
      </c>
      <c r="J520" t="n">
        <v>6.927928240740741</v>
      </c>
      <c r="K520" t="inlineStr"/>
      <c r="L520" t="inlineStr"/>
      <c r="M520" t="n">
        <v>2</v>
      </c>
      <c r="N520" t="n">
        <v>127330</v>
      </c>
      <c r="O520" t="inlineStr">
        <is>
          <t>Done</t>
        </is>
      </c>
      <c r="P520" t="n">
        <v>0</v>
      </c>
      <c r="Q520" t="inlineStr">
        <is>
          <t>Comet 98</t>
        </is>
      </c>
      <c r="R520" t="inlineStr">
        <is>
          <t>2022-12-01</t>
        </is>
      </c>
      <c r="S520" t="inlineStr">
        <is>
          <t>2022-12-14</t>
        </is>
      </c>
      <c r="T520" t="inlineStr">
        <is>
          <t>Comet 98 : 2022-12-01 - 2022-12-14</t>
        </is>
      </c>
      <c r="U520" t="inlineStr">
        <is>
          <t>2022-12-12T00:00:00-06:00</t>
        </is>
      </c>
      <c r="V520" t="inlineStr">
        <is>
          <t>2022-12-12T00:00:00-06:00</t>
        </is>
      </c>
      <c r="W520" t="inlineStr">
        <is>
          <t>2022-12-12T12:01:17-06:00</t>
        </is>
      </c>
      <c r="X520">
        <f>IFERROR(1/COUNTIF($I:$I,@$I:$I), 0)</f>
        <v/>
      </c>
    </row>
    <row r="521">
      <c r="A521">
        <f>HYPERLINK("https://drivetime.tpondemand.com/entity/143759", "143759")</f>
        <v/>
      </c>
      <c r="B521" t="inlineStr">
        <is>
          <t>[Database] Add Post Repo Template &amp; Update template descriptions for template ids 56, 57 &amp; 58</t>
        </is>
      </c>
      <c r="C521" t="inlineStr">
        <is>
          <t>UserStory</t>
        </is>
      </c>
      <c r="D521" t="inlineStr">
        <is>
          <t>BC Digital - Ongoing Fixes and Enhancements</t>
        </is>
      </c>
      <c r="E521" t="inlineStr">
        <is>
          <t>BC Digital Comet</t>
        </is>
      </c>
      <c r="F521" t="inlineStr">
        <is>
          <t>46</t>
        </is>
      </c>
      <c r="G521" t="inlineStr">
        <is>
          <t>Sushma Gurram and Aditi Sharma</t>
        </is>
      </c>
      <c r="H521" t="inlineStr">
        <is>
          <t>[COMMUNICATIONS] Update Assigned for Repo Texts</t>
        </is>
      </c>
      <c r="I521" t="n">
        <v>1</v>
      </c>
      <c r="J521" t="n">
        <v>7.024305555555555</v>
      </c>
      <c r="K521">
        <f>HYPERLINK("https://drivetime.tpondemand.com/entity/144719", "144719")</f>
        <v/>
      </c>
      <c r="L521" t="inlineStr"/>
      <c r="M521" t="n">
        <v>2</v>
      </c>
      <c r="N521" t="n">
        <v>127328</v>
      </c>
      <c r="O521" t="inlineStr">
        <is>
          <t>Done</t>
        </is>
      </c>
      <c r="P521" t="n">
        <v>0</v>
      </c>
      <c r="Q521" t="inlineStr">
        <is>
          <t>Comet 96</t>
        </is>
      </c>
      <c r="R521" t="inlineStr">
        <is>
          <t>2022-11-03</t>
        </is>
      </c>
      <c r="S521" t="inlineStr">
        <is>
          <t>2022-11-16</t>
        </is>
      </c>
      <c r="T521" t="inlineStr">
        <is>
          <t>Comet 96 : 2022-11-03 - 2022-11-16</t>
        </is>
      </c>
      <c r="U521" t="inlineStr">
        <is>
          <t>2022-11-18T00:00:00-06:00</t>
        </is>
      </c>
      <c r="V521" t="inlineStr">
        <is>
          <t>2022-11-17T00:00:00-06:00</t>
        </is>
      </c>
      <c r="W521" t="inlineStr">
        <is>
          <t>2022-11-18T10:19:15-06:00</t>
        </is>
      </c>
      <c r="X521">
        <f>IFERROR(1/COUNTIF($I:$I,@$I:$I), 0)</f>
        <v/>
      </c>
    </row>
    <row r="522">
      <c r="A522">
        <f>HYPERLINK("https://drivetime.tpondemand.com/entity/132970", "132970")</f>
        <v/>
      </c>
      <c r="B522" t="inlineStr">
        <is>
          <t>Update NueStar logic in DNC sproc</t>
        </is>
      </c>
      <c r="C522" t="inlineStr">
        <is>
          <t>UserStory</t>
        </is>
      </c>
      <c r="D522" t="inlineStr">
        <is>
          <t>BC Digital - Ongoing Fixes and Enhancements</t>
        </is>
      </c>
      <c r="E522" t="inlineStr">
        <is>
          <t>BC Digital Comet</t>
        </is>
      </c>
      <c r="F522" t="inlineStr">
        <is>
          <t>22</t>
        </is>
      </c>
      <c r="G522" t="inlineStr">
        <is>
          <t>Sushma Gurram</t>
        </is>
      </c>
      <c r="H522" t="inlineStr">
        <is>
          <t>Communications Tech Investment</t>
        </is>
      </c>
      <c r="I522" t="n">
        <v>2</v>
      </c>
      <c r="J522" t="n">
        <v>1.826597222222222</v>
      </c>
      <c r="K522" t="inlineStr"/>
      <c r="L522" t="inlineStr"/>
      <c r="M522" t="n">
        <v>1</v>
      </c>
      <c r="N522" t="n">
        <v>127316</v>
      </c>
      <c r="O522" t="inlineStr">
        <is>
          <t>Done</t>
        </is>
      </c>
      <c r="P522" t="n">
        <v>0</v>
      </c>
      <c r="Q522" t="inlineStr">
        <is>
          <t>Comet 84</t>
        </is>
      </c>
      <c r="R522" t="inlineStr">
        <is>
          <t>2022-05-19</t>
        </is>
      </c>
      <c r="S522" t="inlineStr">
        <is>
          <t>2022-06-01</t>
        </is>
      </c>
      <c r="T522" t="inlineStr">
        <is>
          <t>Comet 84 : 2022-05-19 - 2022-06-01</t>
        </is>
      </c>
      <c r="U522" t="inlineStr">
        <is>
          <t>2022-06-02T00:00:00-05:00</t>
        </is>
      </c>
      <c r="V522" t="inlineStr">
        <is>
          <t>2022-05-31T00:00:00-05:00</t>
        </is>
      </c>
      <c r="W522" t="inlineStr">
        <is>
          <t>2022-06-02T13:59:08-05:00</t>
        </is>
      </c>
      <c r="X522">
        <f>IFERROR(1/COUNTIF($I:$I,@$I:$I), 0)</f>
        <v/>
      </c>
    </row>
    <row r="523">
      <c r="A523">
        <f>HYPERLINK("https://drivetime.tpondemand.com/entity/137690", "137690")</f>
        <v/>
      </c>
      <c r="B523" t="inlineStr">
        <is>
          <t>Update Privacy notice PDF copy</t>
        </is>
      </c>
      <c r="C523" t="inlineStr">
        <is>
          <t>UserStory</t>
        </is>
      </c>
      <c r="D523" t="inlineStr">
        <is>
          <t>BC Digital - Ongoing Fixes and Enhancements</t>
        </is>
      </c>
      <c r="E523" t="inlineStr">
        <is>
          <t>BC Digital Comet</t>
        </is>
      </c>
      <c r="F523" t="inlineStr">
        <is>
          <t>33</t>
        </is>
      </c>
      <c r="G523" t="inlineStr">
        <is>
          <t>Akshay Golash</t>
        </is>
      </c>
      <c r="H523" t="inlineStr">
        <is>
          <t>null</t>
        </is>
      </c>
      <c r="I523" t="n">
        <v>0</v>
      </c>
      <c r="J523" t="n">
        <v>0.04759259259259259</v>
      </c>
      <c r="K523">
        <f>HYPERLINK("https://drivetime.tpondemand.com/entity/137691", "137691")</f>
        <v/>
      </c>
      <c r="L523" t="inlineStr"/>
      <c r="M523" t="n">
        <v>1</v>
      </c>
      <c r="N523" t="n">
        <v>127322</v>
      </c>
      <c r="O523" t="inlineStr">
        <is>
          <t>Done</t>
        </is>
      </c>
      <c r="P523" t="n">
        <v>0</v>
      </c>
      <c r="Q523" t="inlineStr">
        <is>
          <t>Comet 90</t>
        </is>
      </c>
      <c r="R523" t="inlineStr">
        <is>
          <t>2022-08-11</t>
        </is>
      </c>
      <c r="S523" t="inlineStr">
        <is>
          <t>2022-08-24</t>
        </is>
      </c>
      <c r="T523" t="inlineStr">
        <is>
          <t>Comet 90 : 2022-08-11 - 2022-08-24</t>
        </is>
      </c>
      <c r="U523" t="inlineStr">
        <is>
          <t>2022-08-15T00:00:00-05:00</t>
        </is>
      </c>
      <c r="V523" t="inlineStr">
        <is>
          <t>2022-08-15T00:00:00-05:00</t>
        </is>
      </c>
      <c r="W523" t="inlineStr">
        <is>
          <t>2022-08-15T13:08:20-05:00</t>
        </is>
      </c>
      <c r="X523">
        <f>IFERROR(1/COUNTIF($I:$I,@$I:$I), 0)</f>
        <v/>
      </c>
    </row>
    <row r="524">
      <c r="A524">
        <f>HYPERLINK("https://drivetime.tpondemand.com/entity/139967", "139967")</f>
        <v/>
      </c>
      <c r="B524" t="inlineStr">
        <is>
          <t>[Function] Chore - Disable AI Sampling &amp; add exception logging</t>
        </is>
      </c>
      <c r="C524" t="inlineStr">
        <is>
          <t>UserStory</t>
        </is>
      </c>
      <c r="D524" t="inlineStr">
        <is>
          <t>BC Digital - Ongoing Fixes and Enhancements</t>
        </is>
      </c>
      <c r="E524" t="inlineStr">
        <is>
          <t>BC Digital Comet</t>
        </is>
      </c>
      <c r="F524" t="inlineStr">
        <is>
          <t>38</t>
        </is>
      </c>
      <c r="G524" t="inlineStr">
        <is>
          <t>Aditi Sharma</t>
        </is>
      </c>
      <c r="H524" t="inlineStr">
        <is>
          <t>null</t>
        </is>
      </c>
      <c r="I524" t="n">
        <v>1</v>
      </c>
      <c r="J524" t="n">
        <v>1.750891203703704</v>
      </c>
      <c r="K524">
        <f>HYPERLINK("https://drivetime.tpondemand.com/entity/139969", "139969")</f>
        <v/>
      </c>
      <c r="L524" t="inlineStr"/>
      <c r="M524" t="n">
        <v>1</v>
      </c>
      <c r="N524" t="n">
        <v>127324</v>
      </c>
      <c r="O524" t="inlineStr">
        <is>
          <t>Done</t>
        </is>
      </c>
      <c r="P524" t="n">
        <v>0</v>
      </c>
      <c r="Q524" t="inlineStr">
        <is>
          <t>Comet 92</t>
        </is>
      </c>
      <c r="R524" t="inlineStr">
        <is>
          <t>2022-09-08</t>
        </is>
      </c>
      <c r="S524" t="inlineStr">
        <is>
          <t>2022-09-21</t>
        </is>
      </c>
      <c r="T524" t="inlineStr">
        <is>
          <t>Comet 92 : 2022-09-08 - 2022-09-21</t>
        </is>
      </c>
      <c r="U524" t="inlineStr">
        <is>
          <t>2022-09-21T00:00:00-05:00</t>
        </is>
      </c>
      <c r="V524" t="inlineStr">
        <is>
          <t>2022-09-20T00:00:00-05:00</t>
        </is>
      </c>
      <c r="W524" t="inlineStr">
        <is>
          <t>2022-09-21T11:17:17-05:00</t>
        </is>
      </c>
      <c r="X524">
        <f>IFERROR(1/COUNTIF($I:$I,@$I:$I), 0)</f>
        <v/>
      </c>
    </row>
    <row r="525">
      <c r="A525">
        <f>HYPERLINK("https://drivetime.tpondemand.com/entity/140067", "140067")</f>
        <v/>
      </c>
      <c r="B525" t="inlineStr">
        <is>
          <t>OUTAGE: Identify @privaterelay.appleid.com impacts</t>
        </is>
      </c>
      <c r="C525" t="inlineStr">
        <is>
          <t>UserStory</t>
        </is>
      </c>
      <c r="D525" t="inlineStr">
        <is>
          <t>BC Digital - Ongoing Fixes and Enhancements</t>
        </is>
      </c>
      <c r="E525" t="inlineStr">
        <is>
          <t>BC Digital Comet</t>
        </is>
      </c>
      <c r="F525" t="inlineStr">
        <is>
          <t>38</t>
        </is>
      </c>
      <c r="G525" t="inlineStr"/>
      <c r="H525" t="inlineStr">
        <is>
          <t>null</t>
        </is>
      </c>
      <c r="I525" t="n">
        <v>0</v>
      </c>
      <c r="J525" t="n">
        <v>0.0001273148148148148</v>
      </c>
      <c r="K525" t="inlineStr"/>
      <c r="L525" t="inlineStr"/>
      <c r="M525" t="n">
        <v>1</v>
      </c>
      <c r="N525" t="inlineStr"/>
      <c r="O525" t="inlineStr">
        <is>
          <t>Done</t>
        </is>
      </c>
      <c r="P525" t="n">
        <v>0</v>
      </c>
      <c r="Q525" t="inlineStr"/>
      <c r="R525" t="inlineStr"/>
      <c r="S525" t="inlineStr"/>
      <c r="T525" t="inlineStr"/>
      <c r="U525" t="inlineStr">
        <is>
          <t>2022-09-21T00:00:00-05:00</t>
        </is>
      </c>
      <c r="V525" t="inlineStr">
        <is>
          <t>2022-09-21T00:00:00-05:00</t>
        </is>
      </c>
      <c r="W525" t="inlineStr">
        <is>
          <t>2022-09-21T19:02:55-05:00</t>
        </is>
      </c>
      <c r="X525">
        <f>IFERROR(1/COUNTIF($I:$I,@$I:$I), 0)</f>
        <v/>
      </c>
    </row>
    <row r="526">
      <c r="A526">
        <f>HYPERLINK("https://drivetime.tpondemand.com/entity/147097", "147097")</f>
        <v/>
      </c>
      <c r="B526" t="inlineStr">
        <is>
          <t>Hard code disclaimer to payoff quote email template in order to meet 1/1/23 deadline</t>
        </is>
      </c>
      <c r="C526" t="inlineStr">
        <is>
          <t>UserStory</t>
        </is>
      </c>
      <c r="D526" t="inlineStr">
        <is>
          <t>BC Digital - Ongoing Fixes and Enhancements</t>
        </is>
      </c>
      <c r="E526" t="inlineStr">
        <is>
          <t>BC Digital Comet</t>
        </is>
      </c>
      <c r="F526" t="inlineStr"/>
      <c r="G526" t="inlineStr"/>
      <c r="H526" t="inlineStr">
        <is>
          <t>[COMMUNICATIONS] Update Payoff Quote with California disclaimer</t>
        </is>
      </c>
      <c r="I526" t="inlineStr"/>
      <c r="K526">
        <f>HYPERLINK("https://drivetime.tpondemand.com/entity/147161", "147161")</f>
        <v/>
      </c>
      <c r="L526" t="inlineStr"/>
      <c r="M526" t="n">
        <v>0</v>
      </c>
      <c r="N526" t="inlineStr"/>
      <c r="O526" t="inlineStr">
        <is>
          <t>Committed</t>
        </is>
      </c>
      <c r="P526" t="n">
        <v>0</v>
      </c>
      <c r="Q526" t="inlineStr"/>
      <c r="R526" t="inlineStr"/>
      <c r="S526" t="inlineStr"/>
      <c r="T526" t="inlineStr"/>
      <c r="U526" t="inlineStr"/>
      <c r="V526" t="inlineStr"/>
      <c r="X526">
        <f>IFERROR(1/COUNTIF($I:$I,@$I:$I), 0)</f>
        <v/>
      </c>
    </row>
    <row r="527">
      <c r="A527">
        <f>HYPERLINK("https://drivetime.tpondemand.com/entity/147098", "147098")</f>
        <v/>
      </c>
      <c r="B527" t="inlineStr">
        <is>
          <t>Dynamically add disclaimer to payoff quote for CA residents and include the administrator information</t>
        </is>
      </c>
      <c r="C527" t="inlineStr">
        <is>
          <t>UserStory</t>
        </is>
      </c>
      <c r="D527" t="inlineStr">
        <is>
          <t>BC Digital - Ongoing Fixes and Enhancements</t>
        </is>
      </c>
      <c r="E527" t="inlineStr">
        <is>
          <t>BC Digital Comet</t>
        </is>
      </c>
      <c r="F527" t="inlineStr"/>
      <c r="G527" t="inlineStr"/>
      <c r="H527" t="inlineStr">
        <is>
          <t>[COMMUNICATIONS] Update Payoff Quote with California disclaimer</t>
        </is>
      </c>
      <c r="I527" t="inlineStr"/>
      <c r="K527" t="inlineStr"/>
      <c r="L527" t="inlineStr"/>
      <c r="M527" t="n">
        <v>0</v>
      </c>
      <c r="N527" t="inlineStr"/>
      <c r="O527" t="inlineStr">
        <is>
          <t>Backlog</t>
        </is>
      </c>
      <c r="P527" t="n">
        <v>0</v>
      </c>
      <c r="Q527" t="inlineStr"/>
      <c r="R527" t="inlineStr"/>
      <c r="S527" t="inlineStr"/>
      <c r="T527" t="inlineStr"/>
      <c r="U527" t="inlineStr"/>
      <c r="V527" t="inlineStr"/>
      <c r="X527">
        <f>IFERROR(1/COUNTIF($I:$I,@$I:$I), 0)</f>
        <v/>
      </c>
    </row>
    <row r="528">
      <c r="A528">
        <f>HYPERLINK("https://drivetime.tpondemand.com/entity/147114", "147114")</f>
        <v/>
      </c>
      <c r="B528" t="inlineStr">
        <is>
          <t>2023 Tax Communication Emails</t>
        </is>
      </c>
      <c r="C528" t="inlineStr">
        <is>
          <t>UserStory</t>
        </is>
      </c>
      <c r="D528" t="inlineStr">
        <is>
          <t>BC Digital - Ongoing Fixes and Enhancements</t>
        </is>
      </c>
      <c r="E528" t="inlineStr">
        <is>
          <t>BC Digital Comet</t>
        </is>
      </c>
      <c r="F528" t="inlineStr"/>
      <c r="G528" t="inlineStr"/>
      <c r="H528" t="inlineStr">
        <is>
          <t>[COMMUNICATIONS] 2023 Tax Communications</t>
        </is>
      </c>
      <c r="I528" t="inlineStr"/>
      <c r="K528" t="inlineStr"/>
      <c r="L528" t="inlineStr"/>
      <c r="M528" t="n">
        <v>0</v>
      </c>
      <c r="N528" t="inlineStr"/>
      <c r="O528" t="inlineStr">
        <is>
          <t>Backlog</t>
        </is>
      </c>
      <c r="P528" t="n">
        <v>0</v>
      </c>
      <c r="Q528" t="inlineStr"/>
      <c r="R528" t="inlineStr"/>
      <c r="S528" t="inlineStr"/>
      <c r="T528" t="inlineStr"/>
      <c r="U528" t="inlineStr"/>
      <c r="V528" t="inlineStr"/>
      <c r="X528">
        <f>IFERROR(1/COUNTIF($I:$I,@$I:$I), 0)</f>
        <v/>
      </c>
    </row>
    <row r="529">
      <c r="A529">
        <f>HYPERLINK("https://drivetime.tpondemand.com/entity/147115", "147115")</f>
        <v/>
      </c>
      <c r="B529" t="inlineStr">
        <is>
          <t>2023 Tax Communication Texts</t>
        </is>
      </c>
      <c r="C529" t="inlineStr">
        <is>
          <t>UserStory</t>
        </is>
      </c>
      <c r="D529" t="inlineStr">
        <is>
          <t>BC Digital - Ongoing Fixes and Enhancements</t>
        </is>
      </c>
      <c r="E529" t="inlineStr">
        <is>
          <t>BC Digital Comet</t>
        </is>
      </c>
      <c r="F529" t="inlineStr"/>
      <c r="G529" t="inlineStr"/>
      <c r="H529" t="inlineStr">
        <is>
          <t>[COMMUNICATIONS] 2023 Tax Communications</t>
        </is>
      </c>
      <c r="I529" t="inlineStr"/>
      <c r="K529" t="inlineStr"/>
      <c r="L529" t="inlineStr"/>
      <c r="M529" t="n">
        <v>0</v>
      </c>
      <c r="N529" t="inlineStr"/>
      <c r="O529" t="inlineStr">
        <is>
          <t>Backlog</t>
        </is>
      </c>
      <c r="P529" t="n">
        <v>0</v>
      </c>
      <c r="Q529" t="inlineStr"/>
      <c r="R529" t="inlineStr"/>
      <c r="S529" t="inlineStr"/>
      <c r="T529" t="inlineStr"/>
      <c r="U529" t="inlineStr"/>
      <c r="V529" t="inlineStr"/>
      <c r="X529">
        <f>IFERROR(1/COUNTIF($I:$I,@$I:$I), 0)</f>
        <v/>
      </c>
    </row>
    <row r="530">
      <c r="A530">
        <f>HYPERLINK("https://drivetime.tpondemand.com/entity/147116", "147116")</f>
        <v/>
      </c>
      <c r="B530" t="inlineStr">
        <is>
          <t>2023 Tax Communication Modal and Banner</t>
        </is>
      </c>
      <c r="C530" t="inlineStr">
        <is>
          <t>UserStory</t>
        </is>
      </c>
      <c r="D530" t="inlineStr">
        <is>
          <t>BC Digital - Ongoing Fixes and Enhancements</t>
        </is>
      </c>
      <c r="E530" t="inlineStr">
        <is>
          <t>BC Digital Comet</t>
        </is>
      </c>
      <c r="F530" t="inlineStr"/>
      <c r="G530" t="inlineStr"/>
      <c r="H530" t="inlineStr">
        <is>
          <t>[COMMUNICATIONS] 2023 Tax Communications</t>
        </is>
      </c>
      <c r="I530" t="inlineStr"/>
      <c r="K530" t="inlineStr"/>
      <c r="L530" t="inlineStr"/>
      <c r="M530" t="n">
        <v>0</v>
      </c>
      <c r="N530" t="inlineStr"/>
      <c r="O530" t="inlineStr">
        <is>
          <t>Backlog</t>
        </is>
      </c>
      <c r="P530" t="n">
        <v>0</v>
      </c>
      <c r="Q530" t="inlineStr"/>
      <c r="R530" t="inlineStr"/>
      <c r="S530" t="inlineStr"/>
      <c r="T530" t="inlineStr"/>
      <c r="U530" t="inlineStr"/>
      <c r="V530" t="inlineStr"/>
      <c r="X530">
        <f>IFERROR(1/COUNTIF($I:$I,@$I:$I), 0)</f>
        <v/>
      </c>
    </row>
    <row r="531">
      <c r="A531">
        <f>HYPERLINK("https://drivetime.tpondemand.com/entity/147158", "147158")</f>
        <v/>
      </c>
      <c r="B531" t="inlineStr">
        <is>
          <t>Suppress Batch Emails</t>
        </is>
      </c>
      <c r="C531" t="inlineStr">
        <is>
          <t>UserStory</t>
        </is>
      </c>
      <c r="D531" t="inlineStr">
        <is>
          <t>BC Digital - Ongoing Fixes and Enhancements</t>
        </is>
      </c>
      <c r="E531" t="inlineStr">
        <is>
          <t>BC Digital Comet</t>
        </is>
      </c>
      <c r="F531" t="inlineStr"/>
      <c r="G531" t="inlineStr"/>
      <c r="H531" t="inlineStr">
        <is>
          <t>[COMMUNICATIONS] DC 5 in 7 Regulation</t>
        </is>
      </c>
      <c r="I531" t="inlineStr"/>
      <c r="K531" t="inlineStr"/>
      <c r="L531" t="inlineStr"/>
      <c r="M531" t="n">
        <v>0</v>
      </c>
      <c r="N531" t="inlineStr"/>
      <c r="O531" t="inlineStr">
        <is>
          <t>Committed</t>
        </is>
      </c>
      <c r="P531" t="n">
        <v>0</v>
      </c>
      <c r="Q531" t="inlineStr"/>
      <c r="R531" t="inlineStr"/>
      <c r="S531" t="inlineStr"/>
      <c r="T531" t="inlineStr"/>
      <c r="U531" t="inlineStr"/>
      <c r="V531" t="inlineStr"/>
      <c r="X531">
        <f>IFERROR(1/COUNTIF($I:$I,@$I:$I), 0)</f>
        <v/>
      </c>
    </row>
    <row r="532">
      <c r="A532">
        <f>HYPERLINK("https://drivetime.tpondemand.com/entity/147159", "147159")</f>
        <v/>
      </c>
      <c r="B532" t="inlineStr">
        <is>
          <t>Replace Batch DC Email Suppression and suppress (batch &amp; triggered) non critical emails</t>
        </is>
      </c>
      <c r="C532" t="inlineStr">
        <is>
          <t>UserStory</t>
        </is>
      </c>
      <c r="D532" t="inlineStr">
        <is>
          <t>BC Digital - Ongoing Fixes and Enhancements</t>
        </is>
      </c>
      <c r="E532" t="inlineStr">
        <is>
          <t>BC Digital Comet</t>
        </is>
      </c>
      <c r="F532" t="inlineStr"/>
      <c r="G532" t="inlineStr"/>
      <c r="H532" t="inlineStr">
        <is>
          <t>[COMMUNICATIONS] DC 5 in 7 Regulation</t>
        </is>
      </c>
      <c r="I532" t="inlineStr"/>
      <c r="K532" t="inlineStr"/>
      <c r="L532" t="inlineStr"/>
      <c r="M532" t="n">
        <v>0</v>
      </c>
      <c r="N532" t="inlineStr"/>
      <c r="O532" t="inlineStr">
        <is>
          <t>Backlog</t>
        </is>
      </c>
      <c r="P532" t="n">
        <v>0</v>
      </c>
      <c r="Q532" t="inlineStr"/>
      <c r="R532" t="inlineStr"/>
      <c r="S532" t="inlineStr"/>
      <c r="T532" t="inlineStr"/>
      <c r="U532" t="inlineStr"/>
      <c r="V532" t="inlineStr"/>
      <c r="X532">
        <f>IFERROR(1/COUNTIF($I:$I,@$I:$I), 0)</f>
        <v/>
      </c>
    </row>
    <row r="533">
      <c r="A533">
        <f>HYPERLINK("https://drivetime.tpondemand.com/entity/147376", "147376")</f>
        <v/>
      </c>
      <c r="B533" t="inlineStr">
        <is>
          <t>[Communication pipeline] Improve database interactions for data attributes</t>
        </is>
      </c>
      <c r="C533" t="inlineStr">
        <is>
          <t>UserStory</t>
        </is>
      </c>
      <c r="D533" t="inlineStr">
        <is>
          <t>BC Digital - Ongoing Fixes and Enhancements</t>
        </is>
      </c>
      <c r="E533" t="inlineStr">
        <is>
          <t>BC Digital Comet</t>
        </is>
      </c>
      <c r="F533" t="inlineStr"/>
      <c r="G533" t="inlineStr">
        <is>
          <t>Aditi Sharma</t>
        </is>
      </c>
      <c r="H533" t="inlineStr">
        <is>
          <t>null</t>
        </is>
      </c>
      <c r="I533" t="inlineStr"/>
      <c r="J533" t="n">
        <v>4.88047112283449</v>
      </c>
      <c r="K533" t="inlineStr"/>
      <c r="L533" t="inlineStr"/>
      <c r="M533" t="n">
        <v>0</v>
      </c>
      <c r="N533" t="inlineStr"/>
      <c r="O533" t="inlineStr">
        <is>
          <t>In Progress</t>
        </is>
      </c>
      <c r="P533" t="n">
        <v>0</v>
      </c>
      <c r="Q533" t="inlineStr"/>
      <c r="R533" t="inlineStr"/>
      <c r="S533" t="inlineStr"/>
      <c r="T533" t="inlineStr"/>
      <c r="U533" t="inlineStr"/>
      <c r="V533" t="inlineStr"/>
      <c r="X533">
        <f>IFERROR(1/COUNTIF($I:$I,@$I:$I), 0)</f>
        <v/>
      </c>
    </row>
    <row r="534">
      <c r="A534">
        <f>HYPERLINK("https://drivetime.tpondemand.com/entity/140924", "140924")</f>
        <v/>
      </c>
      <c r="B534" t="inlineStr">
        <is>
          <t>Research Fullstory vs. Datadog</t>
        </is>
      </c>
      <c r="C534" t="inlineStr">
        <is>
          <t>UserStory</t>
        </is>
      </c>
      <c r="D534" t="inlineStr">
        <is>
          <t>BC Digital - Ongoing Fixes and Enhancements</t>
        </is>
      </c>
      <c r="E534" t="inlineStr">
        <is>
          <t>BC Digital Wyvern</t>
        </is>
      </c>
      <c r="F534" t="inlineStr">
        <is>
          <t>44</t>
        </is>
      </c>
      <c r="G534" t="inlineStr">
        <is>
          <t>Isaac Ng</t>
        </is>
      </c>
      <c r="H534" t="inlineStr">
        <is>
          <t>[PLATFORM] Research Fullstory vs. Datadog</t>
        </is>
      </c>
      <c r="I534" t="n">
        <v>3</v>
      </c>
      <c r="J534" t="n">
        <v>8.992835648148148</v>
      </c>
      <c r="K534" t="inlineStr"/>
      <c r="L534" t="inlineStr"/>
      <c r="M534" t="n">
        <v>5</v>
      </c>
      <c r="N534" t="n">
        <v>127351</v>
      </c>
      <c r="O534" t="inlineStr">
        <is>
          <t>Done</t>
        </is>
      </c>
      <c r="P534" t="n">
        <v>0</v>
      </c>
      <c r="Q534" t="inlineStr">
        <is>
          <t>Wyvern 33</t>
        </is>
      </c>
      <c r="R534" t="inlineStr">
        <is>
          <t>2022-10-20</t>
        </is>
      </c>
      <c r="S534" t="inlineStr">
        <is>
          <t>2022-11-02</t>
        </is>
      </c>
      <c r="T534" t="inlineStr">
        <is>
          <t>Wyvern 33 : 2022-10-20 - 2022-11-02</t>
        </is>
      </c>
      <c r="U534" t="inlineStr">
        <is>
          <t>2022-11-03T00:00:00-05:00</t>
        </is>
      </c>
      <c r="V534" t="inlineStr">
        <is>
          <t>2022-10-31T00:00:00-05:00</t>
        </is>
      </c>
      <c r="W534" t="inlineStr">
        <is>
          <t>2022-11-03T10:54:58-05:00</t>
        </is>
      </c>
      <c r="X534">
        <f>IFERROR(1/COUNTIF($I:$I,@$I:$I), 0)</f>
        <v/>
      </c>
    </row>
    <row r="535">
      <c r="A535">
        <f>HYPERLINK("https://drivetime.tpondemand.com/entity/141621", "141621")</f>
        <v/>
      </c>
      <c r="B535" t="inlineStr">
        <is>
          <t>Fullstory: Integrate SDK into BC-Next</t>
        </is>
      </c>
      <c r="C535" t="inlineStr">
        <is>
          <t>UserStory</t>
        </is>
      </c>
      <c r="D535" t="inlineStr">
        <is>
          <t>BC Digital - Ongoing Fixes and Enhancements</t>
        </is>
      </c>
      <c r="E535" t="inlineStr">
        <is>
          <t>BC Digital Wyvern</t>
        </is>
      </c>
      <c r="F535" t="inlineStr">
        <is>
          <t>49</t>
        </is>
      </c>
      <c r="G535" t="inlineStr">
        <is>
          <t>Isaac Ng</t>
        </is>
      </c>
      <c r="H535" t="inlineStr">
        <is>
          <t>[PLATFORM] Implement Fullstory</t>
        </is>
      </c>
      <c r="I535" t="n">
        <v>3</v>
      </c>
      <c r="J535" t="n">
        <v>32.18297453703703</v>
      </c>
      <c r="K535">
        <f>HYPERLINK("https://drivetime.tpondemand.com/entity/145789", "145789")</f>
        <v/>
      </c>
      <c r="L535" t="inlineStr"/>
      <c r="M535" t="n">
        <v>5</v>
      </c>
      <c r="N535" t="n">
        <v>127354</v>
      </c>
      <c r="O535" t="inlineStr">
        <is>
          <t>Done</t>
        </is>
      </c>
      <c r="P535" t="n">
        <v>0</v>
      </c>
      <c r="Q535" t="inlineStr">
        <is>
          <t>Wyvern 36</t>
        </is>
      </c>
      <c r="R535" t="inlineStr">
        <is>
          <t>2022-12-01</t>
        </is>
      </c>
      <c r="S535" t="inlineStr">
        <is>
          <t>2022-12-14</t>
        </is>
      </c>
      <c r="T535" t="inlineStr">
        <is>
          <t>Wyvern 36 : 2022-12-01 - 2022-12-14</t>
        </is>
      </c>
      <c r="U535" t="inlineStr">
        <is>
          <t>2022-12-05T00:00:00-06:00</t>
        </is>
      </c>
      <c r="V535" t="inlineStr">
        <is>
          <t>2022-12-02T00:00:00-06:00</t>
        </is>
      </c>
      <c r="W535" t="inlineStr">
        <is>
          <t>2022-12-05T15:57:17-06:00</t>
        </is>
      </c>
      <c r="X535">
        <f>IFERROR(1/COUNTIF($I:$I,@$I:$I), 0)</f>
        <v/>
      </c>
    </row>
    <row r="536">
      <c r="A536">
        <f>HYPERLINK("https://drivetime.tpondemand.com/entity/145173", "145173")</f>
        <v/>
      </c>
      <c r="B536" t="inlineStr">
        <is>
          <t>Asset Uploader</t>
        </is>
      </c>
      <c r="C536" t="inlineStr">
        <is>
          <t>UserStory</t>
        </is>
      </c>
      <c r="D536" t="inlineStr">
        <is>
          <t>BC Digital - Ongoing Fixes and Enhancements</t>
        </is>
      </c>
      <c r="E536" t="inlineStr">
        <is>
          <t>BC Digital Wyvern</t>
        </is>
      </c>
      <c r="F536" t="inlineStr"/>
      <c r="G536" t="inlineStr">
        <is>
          <t>Isaac Ng</t>
        </is>
      </c>
      <c r="H536" t="inlineStr">
        <is>
          <t>[PLATFORM] Implement Fullstory</t>
        </is>
      </c>
      <c r="I536" t="inlineStr"/>
      <c r="J536" t="n">
        <v>34.6818027876088</v>
      </c>
      <c r="K536">
        <f>HYPERLINK("https://drivetime.tpondemand.com/entity/147079", "147079")</f>
        <v/>
      </c>
      <c r="L536" t="inlineStr"/>
      <c r="M536" t="n">
        <v>5</v>
      </c>
      <c r="N536" t="n">
        <v>127354</v>
      </c>
      <c r="O536" t="inlineStr">
        <is>
          <t>Ready for Deploy</t>
        </is>
      </c>
      <c r="P536" t="n">
        <v>0</v>
      </c>
      <c r="Q536" t="inlineStr">
        <is>
          <t>Wyvern 36</t>
        </is>
      </c>
      <c r="R536" t="inlineStr">
        <is>
          <t>2022-12-01</t>
        </is>
      </c>
      <c r="S536" t="inlineStr">
        <is>
          <t>2022-12-14</t>
        </is>
      </c>
      <c r="T536" t="inlineStr">
        <is>
          <t>Wyvern 36 : 2022-12-01 - 2022-12-14</t>
        </is>
      </c>
      <c r="U536" t="inlineStr"/>
      <c r="V536" t="inlineStr">
        <is>
          <t>2022-12-12T00:00:00-06:00</t>
        </is>
      </c>
      <c r="X536">
        <f>IFERROR(1/COUNTIF($I:$I,@$I:$I), 0)</f>
        <v/>
      </c>
    </row>
    <row r="537">
      <c r="A537">
        <f>HYPERLINK("https://drivetime.tpondemand.com/entity/136960", "136960")</f>
        <v/>
      </c>
      <c r="B537" t="inlineStr">
        <is>
          <t>PROD BUG:  Health Check Enhancements</t>
        </is>
      </c>
      <c r="C537" t="inlineStr">
        <is>
          <t>UserStory</t>
        </is>
      </c>
      <c r="D537" t="inlineStr">
        <is>
          <t>BC Digital - Ongoing Fixes and Enhancements</t>
        </is>
      </c>
      <c r="E537" t="inlineStr">
        <is>
          <t>BC Digital Wyvern</t>
        </is>
      </c>
      <c r="F537" t="inlineStr">
        <is>
          <t>31</t>
        </is>
      </c>
      <c r="G537" t="inlineStr">
        <is>
          <t>Venkatmahesh Polur</t>
        </is>
      </c>
      <c r="H537" t="inlineStr">
        <is>
          <t>Platform Tech Investment</t>
        </is>
      </c>
      <c r="I537" t="n">
        <v>1</v>
      </c>
      <c r="J537" t="n">
        <v>4.188124999999999</v>
      </c>
      <c r="K537">
        <f>HYPERLINK("https://drivetime.tpondemand.com/entity/137313", "137313")</f>
        <v/>
      </c>
      <c r="L537" t="inlineStr"/>
      <c r="M537" t="n">
        <v>3</v>
      </c>
      <c r="N537" t="n">
        <v>127345</v>
      </c>
      <c r="O537" t="inlineStr">
        <is>
          <t>Done</t>
        </is>
      </c>
      <c r="P537" t="n">
        <v>0</v>
      </c>
      <c r="Q537" t="inlineStr">
        <is>
          <t>Wyvern 27</t>
        </is>
      </c>
      <c r="R537" t="inlineStr">
        <is>
          <t>2022-07-28</t>
        </is>
      </c>
      <c r="S537" t="inlineStr">
        <is>
          <t>2022-08-10</t>
        </is>
      </c>
      <c r="T537" t="inlineStr">
        <is>
          <t>Wyvern 27 : 2022-07-28 - 2022-08-10</t>
        </is>
      </c>
      <c r="U537" t="inlineStr">
        <is>
          <t>2022-08-05T00:00:00-05:00</t>
        </is>
      </c>
      <c r="V537" t="inlineStr">
        <is>
          <t>2022-08-04T00:00:00-05:00</t>
        </is>
      </c>
      <c r="W537" t="inlineStr">
        <is>
          <t>2022-08-05T17:28:26-05:00</t>
        </is>
      </c>
      <c r="X537">
        <f>IFERROR(1/COUNTIF($I:$I,@$I:$I), 0)</f>
        <v/>
      </c>
    </row>
    <row r="538">
      <c r="A538">
        <f>HYPERLINK("https://drivetime.tpondemand.com/entity/139327", "139327")</f>
        <v/>
      </c>
      <c r="B538" t="inlineStr">
        <is>
          <t>[synthetic Tests] BC Next Login Module</t>
        </is>
      </c>
      <c r="C538" t="inlineStr">
        <is>
          <t>UserStory</t>
        </is>
      </c>
      <c r="D538" t="inlineStr">
        <is>
          <t>BC Digital - Ongoing Fixes and Enhancements</t>
        </is>
      </c>
      <c r="E538" t="inlineStr">
        <is>
          <t>BC Digital Wyvern</t>
        </is>
      </c>
      <c r="F538" t="inlineStr">
        <is>
          <t>38</t>
        </is>
      </c>
      <c r="G538" t="inlineStr">
        <is>
          <t>Venkatmahesh Polur</t>
        </is>
      </c>
      <c r="H538" t="inlineStr">
        <is>
          <t>Platform Tech Investment</t>
        </is>
      </c>
      <c r="I538" t="n">
        <v>0</v>
      </c>
      <c r="J538" t="n">
        <v>11.09640046296296</v>
      </c>
      <c r="K538" t="inlineStr"/>
      <c r="L538" t="inlineStr"/>
      <c r="M538" t="n">
        <v>3</v>
      </c>
      <c r="N538" t="n">
        <v>127348</v>
      </c>
      <c r="O538" t="inlineStr">
        <is>
          <t>Done</t>
        </is>
      </c>
      <c r="P538" t="n">
        <v>0</v>
      </c>
      <c r="Q538" t="inlineStr">
        <is>
          <t>Wyvern 30</t>
        </is>
      </c>
      <c r="R538" t="inlineStr">
        <is>
          <t>2022-09-08</t>
        </is>
      </c>
      <c r="S538" t="inlineStr">
        <is>
          <t>2022-09-21</t>
        </is>
      </c>
      <c r="T538" t="inlineStr">
        <is>
          <t>Wyvern 30 : 2022-09-08 - 2022-09-21</t>
        </is>
      </c>
      <c r="U538" t="inlineStr">
        <is>
          <t>2022-09-19T00:00:00-05:00</t>
        </is>
      </c>
      <c r="V538" t="inlineStr">
        <is>
          <t>2022-09-19T00:00:00-05:00</t>
        </is>
      </c>
      <c r="W538" t="inlineStr">
        <is>
          <t>2022-09-19T17:55:02-05:00</t>
        </is>
      </c>
      <c r="X538">
        <f>IFERROR(1/COUNTIF($I:$I,@$I:$I), 0)</f>
        <v/>
      </c>
    </row>
    <row r="539">
      <c r="A539">
        <f>HYPERLINK("https://drivetime.tpondemand.com/entity/144088", "144088")</f>
        <v/>
      </c>
      <c r="B539" t="inlineStr">
        <is>
          <t>Hide only PII data</t>
        </is>
      </c>
      <c r="C539" t="inlineStr">
        <is>
          <t>UserStory</t>
        </is>
      </c>
      <c r="D539" t="inlineStr">
        <is>
          <t>BC Digital - Ongoing Fixes and Enhancements</t>
        </is>
      </c>
      <c r="E539" t="inlineStr">
        <is>
          <t>BC Digital Wyvern</t>
        </is>
      </c>
      <c r="F539" t="inlineStr">
        <is>
          <t>49</t>
        </is>
      </c>
      <c r="G539" t="inlineStr">
        <is>
          <t>Isaac Ng</t>
        </is>
      </c>
      <c r="H539" t="inlineStr">
        <is>
          <t>[PLATFORM] Implement Fullstory</t>
        </is>
      </c>
      <c r="I539" t="n">
        <v>3</v>
      </c>
      <c r="J539" t="n">
        <v>14.21982638888889</v>
      </c>
      <c r="K539">
        <f>HYPERLINK("https://drivetime.tpondemand.com/entity/145789", "145789")</f>
        <v/>
      </c>
      <c r="L539" t="inlineStr"/>
      <c r="M539" t="n">
        <v>3</v>
      </c>
      <c r="N539" t="n">
        <v>127354</v>
      </c>
      <c r="O539" t="inlineStr">
        <is>
          <t>Done</t>
        </is>
      </c>
      <c r="P539" t="n">
        <v>0</v>
      </c>
      <c r="Q539" t="inlineStr">
        <is>
          <t>Wyvern 36</t>
        </is>
      </c>
      <c r="R539" t="inlineStr">
        <is>
          <t>2022-12-01</t>
        </is>
      </c>
      <c r="S539" t="inlineStr">
        <is>
          <t>2022-12-14</t>
        </is>
      </c>
      <c r="T539" t="inlineStr">
        <is>
          <t>Wyvern 36 : 2022-12-01 - 2022-12-14</t>
        </is>
      </c>
      <c r="U539" t="inlineStr">
        <is>
          <t>2022-12-05T00:00:00-06:00</t>
        </is>
      </c>
      <c r="V539" t="inlineStr">
        <is>
          <t>2022-12-02T00:00:00-06:00</t>
        </is>
      </c>
      <c r="W539" t="inlineStr">
        <is>
          <t>2022-12-05T15:57:23-06:00</t>
        </is>
      </c>
      <c r="X539">
        <f>IFERROR(1/COUNTIF($I:$I,@$I:$I), 0)</f>
        <v/>
      </c>
    </row>
    <row r="540">
      <c r="A540">
        <f>HYPERLINK("https://drivetime.tpondemand.com/entity/127918", "127918")</f>
        <v/>
      </c>
      <c r="B540" t="inlineStr">
        <is>
          <t>[BC NEXT][CLEAN UP] Mock Capacitor core plugin</t>
        </is>
      </c>
      <c r="C540" t="inlineStr">
        <is>
          <t>UserStory</t>
        </is>
      </c>
      <c r="D540" t="inlineStr">
        <is>
          <t>BC Digital - Ongoing Fixes and Enhancements</t>
        </is>
      </c>
      <c r="E540" t="inlineStr">
        <is>
          <t>BC Digital Wyvern</t>
        </is>
      </c>
      <c r="F540" t="inlineStr">
        <is>
          <t>24</t>
        </is>
      </c>
      <c r="G540" t="inlineStr">
        <is>
          <t>Andrew Vu</t>
        </is>
      </c>
      <c r="H540" t="inlineStr">
        <is>
          <t>Platform Tech Investment</t>
        </is>
      </c>
      <c r="I540" t="n">
        <v>0</v>
      </c>
      <c r="J540" t="n">
        <v>5.032627314814815</v>
      </c>
      <c r="K540" t="inlineStr"/>
      <c r="L540" t="inlineStr"/>
      <c r="M540" t="n">
        <v>2</v>
      </c>
      <c r="N540" t="inlineStr"/>
      <c r="O540" t="inlineStr">
        <is>
          <t>Done</t>
        </is>
      </c>
      <c r="P540" t="n">
        <v>0</v>
      </c>
      <c r="Q540" t="inlineStr"/>
      <c r="R540" t="inlineStr"/>
      <c r="S540" t="inlineStr"/>
      <c r="T540" t="inlineStr"/>
      <c r="U540" t="inlineStr">
        <is>
          <t>2022-06-13T00:00:00-05:00</t>
        </is>
      </c>
      <c r="V540" t="inlineStr">
        <is>
          <t>2022-06-13T00:00:00-05:00</t>
        </is>
      </c>
      <c r="W540" t="inlineStr">
        <is>
          <t>2022-06-13T11:40:15-05:00</t>
        </is>
      </c>
      <c r="X540">
        <f>IFERROR(1/COUNTIF($I:$I,@$I:$I), 0)</f>
        <v/>
      </c>
    </row>
    <row r="541">
      <c r="A541">
        <f>HYPERLINK("https://drivetime.tpondemand.com/entity/136111", "136111")</f>
        <v/>
      </c>
      <c r="B541" t="inlineStr">
        <is>
          <t>PROD BUG:  Issues logging into Customer Admin Portal</t>
        </is>
      </c>
      <c r="C541" t="inlineStr">
        <is>
          <t>UserStory</t>
        </is>
      </c>
      <c r="D541" t="inlineStr">
        <is>
          <t>BC Digital - Ongoing Fixes and Enhancements</t>
        </is>
      </c>
      <c r="E541" t="inlineStr">
        <is>
          <t>BC Digital Wyvern</t>
        </is>
      </c>
      <c r="F541" t="inlineStr">
        <is>
          <t>32</t>
        </is>
      </c>
      <c r="G541" t="inlineStr">
        <is>
          <t>Jonathan Escamilla</t>
        </is>
      </c>
      <c r="H541" t="inlineStr">
        <is>
          <t>Platform Tech Investment</t>
        </is>
      </c>
      <c r="I541" t="n">
        <v>5</v>
      </c>
      <c r="J541" t="n">
        <v>13.88211805555556</v>
      </c>
      <c r="K541">
        <f>HYPERLINK("https://drivetime.tpondemand.com/entity/136956", "136956")</f>
        <v/>
      </c>
      <c r="L541" t="inlineStr"/>
      <c r="M541" t="n">
        <v>2</v>
      </c>
      <c r="N541" t="n">
        <v>127345</v>
      </c>
      <c r="O541" t="inlineStr">
        <is>
          <t>Done</t>
        </is>
      </c>
      <c r="P541" t="n">
        <v>0</v>
      </c>
      <c r="Q541" t="inlineStr">
        <is>
          <t>Wyvern 27</t>
        </is>
      </c>
      <c r="R541" t="inlineStr">
        <is>
          <t>2022-07-28</t>
        </is>
      </c>
      <c r="S541" t="inlineStr">
        <is>
          <t>2022-08-10</t>
        </is>
      </c>
      <c r="T541" t="inlineStr">
        <is>
          <t>Wyvern 27 : 2022-07-28 - 2022-08-10</t>
        </is>
      </c>
      <c r="U541" t="inlineStr">
        <is>
          <t>2022-08-08T00:00:00-05:00</t>
        </is>
      </c>
      <c r="V541" t="inlineStr">
        <is>
          <t>2022-08-03T00:00:00-05:00</t>
        </is>
      </c>
      <c r="W541" t="inlineStr">
        <is>
          <t>2022-08-08T12:37:49-05:00</t>
        </is>
      </c>
      <c r="X541">
        <f>IFERROR(1/COUNTIF($I:$I,@$I:$I), 0)</f>
        <v/>
      </c>
    </row>
    <row r="542">
      <c r="A542">
        <f>HYPERLINK("https://drivetime.tpondemand.com/entity/140475", "140475")</f>
        <v/>
      </c>
      <c r="B542" t="inlineStr">
        <is>
          <t>Integrate Datadog into new GraphQL applications</t>
        </is>
      </c>
      <c r="C542" t="inlineStr">
        <is>
          <t>UserStory</t>
        </is>
      </c>
      <c r="D542" t="inlineStr">
        <is>
          <t>BC Digital - Ongoing Fixes and Enhancements</t>
        </is>
      </c>
      <c r="E542" t="inlineStr">
        <is>
          <t>BC Digital Wyvern</t>
        </is>
      </c>
      <c r="F542" t="inlineStr">
        <is>
          <t>43</t>
        </is>
      </c>
      <c r="G542" t="inlineStr">
        <is>
          <t>Jajati Routray</t>
        </is>
      </c>
      <c r="H542" t="inlineStr">
        <is>
          <t>Platform Tech Investment</t>
        </is>
      </c>
      <c r="I542" t="n">
        <v>4</v>
      </c>
      <c r="J542" t="n">
        <v>24.94700231481481</v>
      </c>
      <c r="K542">
        <f>HYPERLINK("https://drivetime.tpondemand.com/entity/142193", "142193")</f>
        <v/>
      </c>
      <c r="L542" t="inlineStr"/>
      <c r="M542" t="n">
        <v>2</v>
      </c>
      <c r="N542" t="n">
        <v>127351</v>
      </c>
      <c r="O542" t="inlineStr">
        <is>
          <t>Done</t>
        </is>
      </c>
      <c r="P542" t="n">
        <v>0</v>
      </c>
      <c r="Q542" t="inlineStr">
        <is>
          <t>Wyvern 33</t>
        </is>
      </c>
      <c r="R542" t="inlineStr">
        <is>
          <t>2022-10-20</t>
        </is>
      </c>
      <c r="S542" t="inlineStr">
        <is>
          <t>2022-11-02</t>
        </is>
      </c>
      <c r="T542" t="inlineStr">
        <is>
          <t>Wyvern 33 : 2022-10-20 - 2022-11-02</t>
        </is>
      </c>
      <c r="U542" t="inlineStr">
        <is>
          <t>2022-10-25T00:00:00-05:00</t>
        </is>
      </c>
      <c r="V542" t="inlineStr">
        <is>
          <t>2022-10-21T00:00:00-05:00</t>
        </is>
      </c>
      <c r="W542" t="inlineStr">
        <is>
          <t>2022-10-25T13:13:32-05:00</t>
        </is>
      </c>
      <c r="X542">
        <f>IFERROR(1/COUNTIF($I:$I,@$I:$I), 0)</f>
        <v/>
      </c>
    </row>
    <row r="543">
      <c r="A543">
        <f>HYPERLINK("https://drivetime.tpondemand.com/entity/145174", "145174")</f>
        <v/>
      </c>
      <c r="B543" t="inlineStr">
        <is>
          <t>Extend Feature Flag for each platform</t>
        </is>
      </c>
      <c r="C543" t="inlineStr">
        <is>
          <t>UserStory</t>
        </is>
      </c>
      <c r="D543" t="inlineStr">
        <is>
          <t>BC Digital - Ongoing Fixes and Enhancements</t>
        </is>
      </c>
      <c r="E543" t="inlineStr">
        <is>
          <t>BC Digital Wyvern</t>
        </is>
      </c>
      <c r="F543" t="inlineStr"/>
      <c r="G543" t="inlineStr">
        <is>
          <t>Sri Charan Simha Velpur</t>
        </is>
      </c>
      <c r="H543" t="inlineStr">
        <is>
          <t>[PLATFORM] Implement Fullstory</t>
        </is>
      </c>
      <c r="I543" t="inlineStr"/>
      <c r="J543" t="n">
        <v>27.70011297279398</v>
      </c>
      <c r="K543">
        <f>HYPERLINK("https://drivetime.tpondemand.com/entity/147079", "147079")</f>
        <v/>
      </c>
      <c r="L543" t="inlineStr"/>
      <c r="M543" t="n">
        <v>2</v>
      </c>
      <c r="N543" t="n">
        <v>127354</v>
      </c>
      <c r="O543" t="inlineStr">
        <is>
          <t>Ready for Deploy</t>
        </is>
      </c>
      <c r="P543" t="n">
        <v>1</v>
      </c>
      <c r="Q543" t="inlineStr">
        <is>
          <t>Wyvern 36</t>
        </is>
      </c>
      <c r="R543" t="inlineStr">
        <is>
          <t>2022-12-01</t>
        </is>
      </c>
      <c r="S543" t="inlineStr">
        <is>
          <t>2022-12-14</t>
        </is>
      </c>
      <c r="T543" t="inlineStr">
        <is>
          <t>Wyvern 36 : 2022-12-01 - 2022-12-14</t>
        </is>
      </c>
      <c r="U543" t="inlineStr"/>
      <c r="V543" t="inlineStr">
        <is>
          <t>2022-12-13T00:00:00-06:00</t>
        </is>
      </c>
      <c r="X543">
        <f>IFERROR(1/COUNTIF($I:$I,@$I:$I), 0)</f>
        <v/>
      </c>
    </row>
    <row r="544">
      <c r="A544">
        <f>HYPERLINK("https://drivetime.tpondemand.com/entity/133782", "133782")</f>
        <v/>
      </c>
      <c r="B544" t="inlineStr">
        <is>
          <t>Production Bug: Ability to search for any email address without any case sensitivity restrictions</t>
        </is>
      </c>
      <c r="C544" t="inlineStr">
        <is>
          <t>UserStory</t>
        </is>
      </c>
      <c r="D544" t="inlineStr">
        <is>
          <t>BC Digital - Ongoing Fixes and Enhancements</t>
        </is>
      </c>
      <c r="E544" t="inlineStr">
        <is>
          <t>BC Digital Wyvern</t>
        </is>
      </c>
      <c r="F544" t="inlineStr">
        <is>
          <t>24</t>
        </is>
      </c>
      <c r="G544" t="inlineStr">
        <is>
          <t>Jajati Routray</t>
        </is>
      </c>
      <c r="H544" t="inlineStr">
        <is>
          <t>Platform Tech Investment</t>
        </is>
      </c>
      <c r="I544" t="n">
        <v>3</v>
      </c>
      <c r="J544" t="n">
        <v>3.895173611111111</v>
      </c>
      <c r="K544" t="inlineStr"/>
      <c r="L544" t="inlineStr"/>
      <c r="M544" t="n">
        <v>1</v>
      </c>
      <c r="N544" t="n">
        <v>127341</v>
      </c>
      <c r="O544" t="inlineStr">
        <is>
          <t>Done</t>
        </is>
      </c>
      <c r="P544" t="n">
        <v>0</v>
      </c>
      <c r="Q544" t="inlineStr">
        <is>
          <t>Wyvern 23</t>
        </is>
      </c>
      <c r="R544" t="inlineStr">
        <is>
          <t>2022-06-02</t>
        </is>
      </c>
      <c r="S544" t="inlineStr">
        <is>
          <t>2022-06-15</t>
        </is>
      </c>
      <c r="T544" t="inlineStr">
        <is>
          <t>Wyvern 23 : 2022-06-02 - 2022-06-15</t>
        </is>
      </c>
      <c r="U544" t="inlineStr">
        <is>
          <t>2022-06-13T00:00:00-05:00</t>
        </is>
      </c>
      <c r="V544" t="inlineStr">
        <is>
          <t>2022-06-10T00:00:00-05:00</t>
        </is>
      </c>
      <c r="W544" t="inlineStr">
        <is>
          <t>2022-06-13T13:23:18-05:00</t>
        </is>
      </c>
      <c r="X544">
        <f>IFERROR(1/COUNTIF($I:$I,@$I:$I), 0)</f>
        <v/>
      </c>
    </row>
    <row r="545">
      <c r="A545">
        <f>HYPERLINK("https://drivetime.tpondemand.com/entity/138359", "138359")</f>
        <v/>
      </c>
      <c r="B545" t="inlineStr">
        <is>
          <t>[MFA FIX] Skip MFA for Roxanne's account in production due to App store review</t>
        </is>
      </c>
      <c r="C545" t="inlineStr">
        <is>
          <t>UserStory</t>
        </is>
      </c>
      <c r="D545" t="inlineStr">
        <is>
          <t>BC Digital - Ongoing Fixes and Enhancements</t>
        </is>
      </c>
      <c r="E545" t="inlineStr">
        <is>
          <t>BC Digital Wyvern</t>
        </is>
      </c>
      <c r="F545" t="inlineStr">
        <is>
          <t>34</t>
        </is>
      </c>
      <c r="G545" t="inlineStr">
        <is>
          <t>Jajati Routray</t>
        </is>
      </c>
      <c r="H545" t="inlineStr">
        <is>
          <t>null</t>
        </is>
      </c>
      <c r="I545" t="n">
        <v>0</v>
      </c>
      <c r="J545" t="n">
        <v>0.07422453703703703</v>
      </c>
      <c r="K545">
        <f>HYPERLINK("https://drivetime.tpondemand.com/entity/138360", "138360")</f>
        <v/>
      </c>
      <c r="L545" t="inlineStr"/>
      <c r="M545" t="n">
        <v>1</v>
      </c>
      <c r="N545" t="inlineStr"/>
      <c r="O545" t="inlineStr">
        <is>
          <t>Done</t>
        </is>
      </c>
      <c r="P545" t="n">
        <v>0</v>
      </c>
      <c r="Q545" t="inlineStr"/>
      <c r="R545" t="inlineStr"/>
      <c r="S545" t="inlineStr"/>
      <c r="T545" t="inlineStr"/>
      <c r="U545" t="inlineStr">
        <is>
          <t>2022-08-24T00:00:00-05:00</t>
        </is>
      </c>
      <c r="V545" t="inlineStr">
        <is>
          <t>2022-08-24T00:00:00-05:00</t>
        </is>
      </c>
      <c r="W545" t="inlineStr">
        <is>
          <t>2022-08-24T13:44:26-05:00</t>
        </is>
      </c>
      <c r="X545">
        <f>IFERROR(1/COUNTIF($I:$I,@$I:$I), 0)</f>
        <v/>
      </c>
    </row>
    <row r="546">
      <c r="A546">
        <f>HYPERLINK("https://drivetime.tpondemand.com/entity/139294", "139294")</f>
        <v/>
      </c>
      <c r="B546" t="inlineStr">
        <is>
          <t>Introduce authentication in BC Apollo Federation Gateway</t>
        </is>
      </c>
      <c r="C546" t="inlineStr">
        <is>
          <t>UserStory</t>
        </is>
      </c>
      <c r="D546" t="inlineStr">
        <is>
          <t>BC Digital - Ongoing Fixes and Enhancements</t>
        </is>
      </c>
      <c r="E546" t="inlineStr">
        <is>
          <t>BC Digital Wyvern</t>
        </is>
      </c>
      <c r="F546" t="inlineStr">
        <is>
          <t>37</t>
        </is>
      </c>
      <c r="G546" t="inlineStr">
        <is>
          <t>Jajati Routray</t>
        </is>
      </c>
      <c r="H546" t="inlineStr">
        <is>
          <t>null</t>
        </is>
      </c>
      <c r="I546" t="n">
        <v>2</v>
      </c>
      <c r="J546" t="n">
        <v>5.968935185185185</v>
      </c>
      <c r="K546">
        <f>HYPERLINK("https://drivetime.tpondemand.com/entity/139623", "139623")</f>
        <v/>
      </c>
      <c r="L546" t="inlineStr"/>
      <c r="M546" t="n">
        <v>1</v>
      </c>
      <c r="N546" t="n">
        <v>127348</v>
      </c>
      <c r="O546" t="inlineStr">
        <is>
          <t>Done</t>
        </is>
      </c>
      <c r="P546" t="n">
        <v>0</v>
      </c>
      <c r="Q546" t="inlineStr">
        <is>
          <t>Wyvern 30</t>
        </is>
      </c>
      <c r="R546" t="inlineStr">
        <is>
          <t>2022-09-08</t>
        </is>
      </c>
      <c r="S546" t="inlineStr">
        <is>
          <t>2022-09-21</t>
        </is>
      </c>
      <c r="T546" t="inlineStr">
        <is>
          <t>Wyvern 30 : 2022-09-08 - 2022-09-21</t>
        </is>
      </c>
      <c r="U546" t="inlineStr">
        <is>
          <t>2022-09-14T00:00:00-05:00</t>
        </is>
      </c>
      <c r="V546" t="inlineStr">
        <is>
          <t>2022-09-12T00:00:00-05:00</t>
        </is>
      </c>
      <c r="W546" t="inlineStr">
        <is>
          <t>2022-09-14T13:34:05-05:00</t>
        </is>
      </c>
      <c r="X546">
        <f>IFERROR(1/COUNTIF($I:$I,@$I:$I), 0)</f>
        <v/>
      </c>
    </row>
    <row r="547">
      <c r="A547">
        <f>HYPERLINK("https://drivetime.tpondemand.com/entity/146180", "146180")</f>
        <v/>
      </c>
      <c r="B547" t="inlineStr">
        <is>
          <t>Update FullStory Org ID in BC Next application</t>
        </is>
      </c>
      <c r="C547" t="inlineStr">
        <is>
          <t>UserStory</t>
        </is>
      </c>
      <c r="D547" t="inlineStr">
        <is>
          <t>BC Digital - Ongoing Fixes and Enhancements</t>
        </is>
      </c>
      <c r="E547" t="inlineStr">
        <is>
          <t>BC Digital Wyvern</t>
        </is>
      </c>
      <c r="F547" t="inlineStr"/>
      <c r="G547" t="inlineStr"/>
      <c r="H547" t="inlineStr">
        <is>
          <t>[PLATFORM] Implement Fullstory</t>
        </is>
      </c>
      <c r="I547" t="inlineStr"/>
      <c r="K547" t="inlineStr"/>
      <c r="L547" t="inlineStr"/>
      <c r="M547" t="n">
        <v>1</v>
      </c>
      <c r="N547" t="inlineStr"/>
      <c r="O547" t="inlineStr">
        <is>
          <t>Backlog</t>
        </is>
      </c>
      <c r="P547" t="n">
        <v>0</v>
      </c>
      <c r="Q547" t="inlineStr"/>
      <c r="R547" t="inlineStr"/>
      <c r="S547" t="inlineStr"/>
      <c r="T547" t="inlineStr"/>
      <c r="U547" t="inlineStr"/>
      <c r="V547" t="inlineStr"/>
      <c r="X547">
        <f>IFERROR(1/COUNTIF($I:$I,@$I:$I), 0)</f>
        <v/>
      </c>
    </row>
    <row r="548">
      <c r="A548">
        <f>HYPERLINK("https://drivetime.tpondemand.com/entity/146984", "146984")</f>
        <v/>
      </c>
      <c r="B548" t="inlineStr">
        <is>
          <t>Android &amp; iOS dropdown for Bank Account is not masked</t>
        </is>
      </c>
      <c r="C548" t="inlineStr">
        <is>
          <t>UserStory</t>
        </is>
      </c>
      <c r="D548" t="inlineStr">
        <is>
          <t>BC Digital - Ongoing Fixes and Enhancements</t>
        </is>
      </c>
      <c r="E548" t="inlineStr">
        <is>
          <t>BC Digital Wyvern</t>
        </is>
      </c>
      <c r="F548" t="inlineStr"/>
      <c r="G548" t="inlineStr">
        <is>
          <t>Isaac Ng</t>
        </is>
      </c>
      <c r="H548" t="inlineStr">
        <is>
          <t>[PLATFORM] Implement Fullstory</t>
        </is>
      </c>
      <c r="I548" t="inlineStr"/>
      <c r="K548" t="inlineStr"/>
      <c r="L548" t="inlineStr"/>
      <c r="M548" t="n">
        <v>0</v>
      </c>
      <c r="N548" t="n">
        <v>127354</v>
      </c>
      <c r="O548" t="inlineStr">
        <is>
          <t>Icebox</t>
        </is>
      </c>
      <c r="P548" t="n">
        <v>0</v>
      </c>
      <c r="Q548" t="inlineStr">
        <is>
          <t>Wyvern 36</t>
        </is>
      </c>
      <c r="R548" t="inlineStr">
        <is>
          <t>2022-12-01</t>
        </is>
      </c>
      <c r="S548" t="inlineStr">
        <is>
          <t>2022-12-14</t>
        </is>
      </c>
      <c r="T548" t="inlineStr">
        <is>
          <t>Wyvern 36 : 2022-12-01 - 2022-12-14</t>
        </is>
      </c>
      <c r="U548" t="inlineStr"/>
      <c r="V548" t="inlineStr"/>
      <c r="X548">
        <f>IFERROR(1/COUNTIF($I:$I,@$I:$I), 0)</f>
        <v/>
      </c>
    </row>
    <row r="549">
      <c r="A549">
        <f>HYPERLINK("https://drivetime.tpondemand.com/entity/125183", "125183")</f>
        <v/>
      </c>
      <c r="B549" t="inlineStr">
        <is>
          <t>[BC NEXT] App Pilot - SSP Banner: The banner icon on Mobile does not match the comps</t>
        </is>
      </c>
      <c r="C549" t="inlineStr">
        <is>
          <t>Bug</t>
        </is>
      </c>
      <c r="D549" t="inlineStr">
        <is>
          <t>Servicing: BC Next</t>
        </is>
      </c>
      <c r="E549" t="inlineStr">
        <is>
          <t>BC Digital Drakon</t>
        </is>
      </c>
      <c r="F549" t="inlineStr">
        <is>
          <t>02</t>
        </is>
      </c>
      <c r="G549" t="inlineStr">
        <is>
          <t>Pete Wesselius</t>
        </is>
      </c>
      <c r="H549" t="inlineStr">
        <is>
          <t>[BC NEXT] Mobile App Pilot - App Dev</t>
        </is>
      </c>
      <c r="I549" t="inlineStr"/>
      <c r="J549" t="n">
        <v>5.156793981481481</v>
      </c>
      <c r="K549">
        <f>HYPERLINK("https://drivetime.tpondemand.com/entity/124683", "124683")</f>
        <v/>
      </c>
      <c r="L549">
        <f>HYPERLINK("https://drivetime.tpondemand.com/entity/122762", "122762")</f>
        <v/>
      </c>
      <c r="M549" t="n">
        <v>0</v>
      </c>
      <c r="N549" t="n">
        <v>121857</v>
      </c>
      <c r="O549" t="inlineStr">
        <is>
          <t>Done</t>
        </is>
      </c>
      <c r="P549" t="n">
        <v>1</v>
      </c>
      <c r="Q549" t="inlineStr">
        <is>
          <t>Kraken 49</t>
        </is>
      </c>
      <c r="R549" t="inlineStr">
        <is>
          <t>2021-12-16</t>
        </is>
      </c>
      <c r="S549" t="inlineStr">
        <is>
          <t>2022-01-12</t>
        </is>
      </c>
      <c r="T549" t="inlineStr">
        <is>
          <t>Kraken 49 : 2021-12-16 - 2022-01-12</t>
        </is>
      </c>
      <c r="U549" t="inlineStr"/>
      <c r="V549" t="inlineStr"/>
      <c r="W549" t="inlineStr">
        <is>
          <t>2022-01-10T15:12:38-06:00</t>
        </is>
      </c>
      <c r="X549">
        <f>IFERROR(1/COUNTIF($I:$I,@$I:$I), 0)</f>
        <v/>
      </c>
    </row>
    <row r="550">
      <c r="A550">
        <f>HYPERLINK("https://drivetime.tpondemand.com/entity/125184", "125184")</f>
        <v/>
      </c>
      <c r="B550" t="inlineStr">
        <is>
          <t>[BC NEXT] App Pilot - SSP Banner: The background color of the banner does not match the comps</t>
        </is>
      </c>
      <c r="C550" t="inlineStr">
        <is>
          <t>Bug</t>
        </is>
      </c>
      <c r="D550" t="inlineStr">
        <is>
          <t>Servicing: BC Next</t>
        </is>
      </c>
      <c r="E550" t="inlineStr">
        <is>
          <t>BC Digital Drakon</t>
        </is>
      </c>
      <c r="F550" t="inlineStr">
        <is>
          <t>02</t>
        </is>
      </c>
      <c r="G550" t="inlineStr">
        <is>
          <t>Pete Wesselius</t>
        </is>
      </c>
      <c r="H550" t="inlineStr">
        <is>
          <t>[BC NEXT] Mobile App Pilot - App Dev</t>
        </is>
      </c>
      <c r="I550" t="inlineStr"/>
      <c r="J550" t="n">
        <v>5.122442129629629</v>
      </c>
      <c r="K550">
        <f>HYPERLINK("https://drivetime.tpondemand.com/entity/124683", "124683")</f>
        <v/>
      </c>
      <c r="L550">
        <f>HYPERLINK("https://drivetime.tpondemand.com/entity/122762", "122762")</f>
        <v/>
      </c>
      <c r="M550" t="n">
        <v>0</v>
      </c>
      <c r="N550" t="n">
        <v>121857</v>
      </c>
      <c r="O550" t="inlineStr">
        <is>
          <t>Done</t>
        </is>
      </c>
      <c r="P550" t="n">
        <v>1</v>
      </c>
      <c r="Q550" t="inlineStr">
        <is>
          <t>Kraken 49</t>
        </is>
      </c>
      <c r="R550" t="inlineStr">
        <is>
          <t>2021-12-16</t>
        </is>
      </c>
      <c r="S550" t="inlineStr">
        <is>
          <t>2022-01-12</t>
        </is>
      </c>
      <c r="T550" t="inlineStr">
        <is>
          <t>Kraken 49 : 2021-12-16 - 2022-01-12</t>
        </is>
      </c>
      <c r="U550" t="inlineStr"/>
      <c r="V550" t="inlineStr"/>
      <c r="W550" t="inlineStr">
        <is>
          <t>2022-01-10T14:23:10-06:00</t>
        </is>
      </c>
      <c r="X550">
        <f>IFERROR(1/COUNTIF($I:$I,@$I:$I), 0)</f>
        <v/>
      </c>
    </row>
    <row r="551">
      <c r="A551">
        <f>HYPERLINK("https://drivetime.tpondemand.com/entity/125189", "125189")</f>
        <v/>
      </c>
      <c r="B551" t="inlineStr">
        <is>
          <t>[BC NEXT] App Pilot - SSP Banner: The banner text styling does not match the comps</t>
        </is>
      </c>
      <c r="C551" t="inlineStr">
        <is>
          <t>Bug</t>
        </is>
      </c>
      <c r="D551" t="inlineStr">
        <is>
          <t>Servicing: BC Next</t>
        </is>
      </c>
      <c r="E551" t="inlineStr">
        <is>
          <t>BC Digital Drakon</t>
        </is>
      </c>
      <c r="F551" t="inlineStr">
        <is>
          <t>02</t>
        </is>
      </c>
      <c r="G551" t="inlineStr">
        <is>
          <t>Pete Wesselius</t>
        </is>
      </c>
      <c r="H551" t="inlineStr">
        <is>
          <t>[BC NEXT] Mobile App Pilot - App Dev</t>
        </is>
      </c>
      <c r="I551" t="inlineStr"/>
      <c r="J551" t="n">
        <v>5.122650462962962</v>
      </c>
      <c r="K551">
        <f>HYPERLINK("https://drivetime.tpondemand.com/entity/124683", "124683")</f>
        <v/>
      </c>
      <c r="L551">
        <f>HYPERLINK("https://drivetime.tpondemand.com/entity/122762", "122762")</f>
        <v/>
      </c>
      <c r="M551" t="n">
        <v>0</v>
      </c>
      <c r="N551" t="n">
        <v>121857</v>
      </c>
      <c r="O551" t="inlineStr">
        <is>
          <t>Done</t>
        </is>
      </c>
      <c r="P551" t="n">
        <v>1</v>
      </c>
      <c r="Q551" t="inlineStr">
        <is>
          <t>Kraken 49</t>
        </is>
      </c>
      <c r="R551" t="inlineStr">
        <is>
          <t>2021-12-16</t>
        </is>
      </c>
      <c r="S551" t="inlineStr">
        <is>
          <t>2022-01-12</t>
        </is>
      </c>
      <c r="T551" t="inlineStr">
        <is>
          <t>Kraken 49 : 2021-12-16 - 2022-01-12</t>
        </is>
      </c>
      <c r="U551" t="inlineStr"/>
      <c r="V551" t="inlineStr"/>
      <c r="W551" t="inlineStr">
        <is>
          <t>2022-01-10T14:23:28-06:00</t>
        </is>
      </c>
      <c r="X551">
        <f>IFERROR(1/COUNTIF($I:$I,@$I:$I), 0)</f>
        <v/>
      </c>
    </row>
    <row r="552">
      <c r="A552">
        <f>HYPERLINK("https://drivetime.tpondemand.com/entity/125255", "125255")</f>
        <v/>
      </c>
      <c r="B552" t="inlineStr">
        <is>
          <t>[BC NEXT] [PROD BUG] Paymentus: The email on the Paymentus is not coming correctly</t>
        </is>
      </c>
      <c r="C552" t="inlineStr">
        <is>
          <t>Bug</t>
        </is>
      </c>
      <c r="D552" t="inlineStr">
        <is>
          <t>Servicing: BC Next</t>
        </is>
      </c>
      <c r="E552" t="inlineStr">
        <is>
          <t>BC Digital Drakon</t>
        </is>
      </c>
      <c r="F552" t="inlineStr">
        <is>
          <t>01</t>
        </is>
      </c>
      <c r="G552" t="inlineStr">
        <is>
          <t>Antonio Posada</t>
        </is>
      </c>
      <c r="H552" t="inlineStr">
        <is>
          <t>[BC NEXT] Prior to Launch Tech Investment</t>
        </is>
      </c>
      <c r="I552" t="inlineStr"/>
      <c r="J552" t="n">
        <v>0.940162037037037</v>
      </c>
      <c r="K552" t="inlineStr"/>
      <c r="L552">
        <f>HYPERLINK("https://drivetime.tpondemand.com/entity/123940", "123940")</f>
        <v/>
      </c>
      <c r="M552" t="n">
        <v>0</v>
      </c>
      <c r="N552" t="n">
        <v>121857</v>
      </c>
      <c r="O552" t="inlineStr">
        <is>
          <t>Done</t>
        </is>
      </c>
      <c r="P552" t="n">
        <v>1</v>
      </c>
      <c r="Q552" t="inlineStr">
        <is>
          <t>Kraken 49</t>
        </is>
      </c>
      <c r="R552" t="inlineStr">
        <is>
          <t>2021-12-16</t>
        </is>
      </c>
      <c r="S552" t="inlineStr">
        <is>
          <t>2022-01-12</t>
        </is>
      </c>
      <c r="T552" t="inlineStr">
        <is>
          <t>Kraken 49 : 2021-12-16 - 2022-01-12</t>
        </is>
      </c>
      <c r="U552" t="inlineStr"/>
      <c r="V552" t="inlineStr"/>
      <c r="W552" t="inlineStr">
        <is>
          <t>2022-01-06T10:00:50-06:00</t>
        </is>
      </c>
      <c r="X552">
        <f>IFERROR(1/COUNTIF($I:$I,@$I:$I), 0)</f>
        <v/>
      </c>
    </row>
    <row r="553">
      <c r="A553">
        <f>HYPERLINK("https://drivetime.tpondemand.com/entity/125264", "125264")</f>
        <v/>
      </c>
      <c r="B553" t="inlineStr">
        <is>
          <t>[BC NEXT] Homepage Routes &amp; Metadata - Top Nav Text</t>
        </is>
      </c>
      <c r="C553" t="inlineStr">
        <is>
          <t>Bug</t>
        </is>
      </c>
      <c r="D553" t="inlineStr">
        <is>
          <t>Servicing: BC Next</t>
        </is>
      </c>
      <c r="E553" t="inlineStr">
        <is>
          <t>BC Digital Drakon</t>
        </is>
      </c>
      <c r="F553" t="inlineStr">
        <is>
          <t>02</t>
        </is>
      </c>
      <c r="G553" t="inlineStr">
        <is>
          <t>Abbas Shamshi</t>
        </is>
      </c>
      <c r="H553" t="inlineStr">
        <is>
          <t>[BC NEXT][WEB] Phase 3: Homepage</t>
        </is>
      </c>
      <c r="I553" t="inlineStr"/>
      <c r="J553" t="n">
        <v>6.00037037037037</v>
      </c>
      <c r="K553">
        <f>HYPERLINK("https://drivetime.tpondemand.com/entity/125535", "125535")</f>
        <v/>
      </c>
      <c r="L553">
        <f>HYPERLINK("https://drivetime.tpondemand.com/entity/124829", "124829")</f>
        <v/>
      </c>
      <c r="M553" t="n">
        <v>0</v>
      </c>
      <c r="N553" t="inlineStr"/>
      <c r="O553" t="inlineStr">
        <is>
          <t>Done</t>
        </is>
      </c>
      <c r="P553" t="n">
        <v>1</v>
      </c>
      <c r="Q553" t="inlineStr"/>
      <c r="R553" t="inlineStr"/>
      <c r="S553" t="inlineStr"/>
      <c r="T553" t="inlineStr"/>
      <c r="U553" t="inlineStr"/>
      <c r="V553" t="inlineStr"/>
      <c r="W553" t="inlineStr">
        <is>
          <t>2022-01-12T10:02:43-06:00</t>
        </is>
      </c>
      <c r="X553">
        <f>IFERROR(1/COUNTIF($I:$I,@$I:$I), 0)</f>
        <v/>
      </c>
    </row>
    <row r="554">
      <c r="A554">
        <f>HYPERLINK("https://drivetime.tpondemand.com/entity/125265", "125265")</f>
        <v/>
      </c>
      <c r="B554" t="inlineStr">
        <is>
          <t>[BC NEXT] Dashboard: Amount Due Popover for Fees-  The popover should not show the regular payment amount unless the entire fees is paid</t>
        </is>
      </c>
      <c r="C554" t="inlineStr">
        <is>
          <t>Bug</t>
        </is>
      </c>
      <c r="D554" t="inlineStr">
        <is>
          <t>Servicing: BC Next</t>
        </is>
      </c>
      <c r="E554" t="inlineStr">
        <is>
          <t>BC Digital Drakon</t>
        </is>
      </c>
      <c r="F554" t="inlineStr">
        <is>
          <t>02</t>
        </is>
      </c>
      <c r="G554" t="inlineStr">
        <is>
          <t>Yokeshwaran Lokanathan</t>
        </is>
      </c>
      <c r="H554" t="inlineStr">
        <is>
          <t>[BC NEXT] Prior to Launch Tech Investment</t>
        </is>
      </c>
      <c r="I554" t="inlineStr"/>
      <c r="J554" t="n">
        <v>5.087962962962963</v>
      </c>
      <c r="K554">
        <f>HYPERLINK("https://drivetime.tpondemand.com/entity/125462", "125462")</f>
        <v/>
      </c>
      <c r="L554">
        <f>HYPERLINK("https://drivetime.tpondemand.com/entity/124508", "124508")</f>
        <v/>
      </c>
      <c r="M554" t="n">
        <v>0</v>
      </c>
      <c r="N554" t="n">
        <v>121857</v>
      </c>
      <c r="O554" t="inlineStr">
        <is>
          <t>Done</t>
        </is>
      </c>
      <c r="P554" t="n">
        <v>1</v>
      </c>
      <c r="Q554" t="inlineStr">
        <is>
          <t>Kraken 49</t>
        </is>
      </c>
      <c r="R554" t="inlineStr">
        <is>
          <t>2021-12-16</t>
        </is>
      </c>
      <c r="S554" t="inlineStr">
        <is>
          <t>2022-01-12</t>
        </is>
      </c>
      <c r="T554" t="inlineStr">
        <is>
          <t>Kraken 49 : 2021-12-16 - 2022-01-12</t>
        </is>
      </c>
      <c r="U554" t="inlineStr"/>
      <c r="V554" t="inlineStr"/>
      <c r="W554" t="inlineStr">
        <is>
          <t>2022-01-11T12:25:43-06:00</t>
        </is>
      </c>
      <c r="X554">
        <f>IFERROR(1/COUNTIF($I:$I,@$I:$I), 0)</f>
        <v/>
      </c>
    </row>
    <row r="555">
      <c r="A555">
        <f>HYPERLINK("https://drivetime.tpondemand.com/entity/125266", "125266")</f>
        <v/>
      </c>
      <c r="B555" t="inlineStr">
        <is>
          <t>[BC NEXT] Homepage - Routing</t>
        </is>
      </c>
      <c r="C555" t="inlineStr">
        <is>
          <t>Bug</t>
        </is>
      </c>
      <c r="D555" t="inlineStr">
        <is>
          <t>Servicing: BC Next</t>
        </is>
      </c>
      <c r="E555" t="inlineStr">
        <is>
          <t>BC Digital Drakon</t>
        </is>
      </c>
      <c r="F555" t="inlineStr">
        <is>
          <t>02</t>
        </is>
      </c>
      <c r="G555" t="inlineStr">
        <is>
          <t>Abbas Shamshi</t>
        </is>
      </c>
      <c r="H555" t="inlineStr">
        <is>
          <t>[BC NEXT][WEB] Phase 3: Homepage</t>
        </is>
      </c>
      <c r="I555" t="inlineStr"/>
      <c r="J555" t="n">
        <v>6.000486111111111</v>
      </c>
      <c r="K555">
        <f>HYPERLINK("https://drivetime.tpondemand.com/entity/125535", "125535")</f>
        <v/>
      </c>
      <c r="L555">
        <f>HYPERLINK("https://drivetime.tpondemand.com/entity/124829", "124829")</f>
        <v/>
      </c>
      <c r="M555" t="n">
        <v>0</v>
      </c>
      <c r="N555" t="inlineStr"/>
      <c r="O555" t="inlineStr">
        <is>
          <t>Done</t>
        </is>
      </c>
      <c r="P555" t="n">
        <v>1</v>
      </c>
      <c r="Q555" t="inlineStr"/>
      <c r="R555" t="inlineStr"/>
      <c r="S555" t="inlineStr"/>
      <c r="T555" t="inlineStr"/>
      <c r="U555" t="inlineStr"/>
      <c r="V555" t="inlineStr"/>
      <c r="W555" t="inlineStr">
        <is>
          <t>2022-01-12T10:02:56-06:00</t>
        </is>
      </c>
      <c r="X555">
        <f>IFERROR(1/COUNTIF($I:$I,@$I:$I), 0)</f>
        <v/>
      </c>
    </row>
    <row r="556">
      <c r="A556">
        <f>HYPERLINK("https://drivetime.tpondemand.com/entity/125466", "125466")</f>
        <v/>
      </c>
      <c r="B556" t="inlineStr">
        <is>
          <t>[BC NEXT] Update Buttons Font Size- the button size of the logout button on the popover is not as expected which is 16px</t>
        </is>
      </c>
      <c r="C556" t="inlineStr">
        <is>
          <t>Bug</t>
        </is>
      </c>
      <c r="D556" t="inlineStr">
        <is>
          <t>Servicing: BC Next</t>
        </is>
      </c>
      <c r="E556" t="inlineStr">
        <is>
          <t>BC Digital Drakon</t>
        </is>
      </c>
      <c r="F556" t="inlineStr">
        <is>
          <t>02</t>
        </is>
      </c>
      <c r="G556" t="inlineStr">
        <is>
          <t>Antonio Posada</t>
        </is>
      </c>
      <c r="H556" t="inlineStr">
        <is>
          <t>[BC NEXT] Prior to Launch Tech Investment</t>
        </is>
      </c>
      <c r="I556" t="inlineStr"/>
      <c r="J556" t="n">
        <v>3.236377314814815</v>
      </c>
      <c r="K556">
        <f>HYPERLINK("https://drivetime.tpondemand.com/entity/125462", "125462")</f>
        <v/>
      </c>
      <c r="L556" t="inlineStr"/>
      <c r="M556" t="n">
        <v>0</v>
      </c>
      <c r="N556" t="n">
        <v>125717</v>
      </c>
      <c r="O556" t="inlineStr">
        <is>
          <t>Done</t>
        </is>
      </c>
      <c r="P556" t="n">
        <v>1</v>
      </c>
      <c r="Q556" t="inlineStr">
        <is>
          <t>Kraken 50</t>
        </is>
      </c>
      <c r="R556" t="inlineStr">
        <is>
          <t>2022-01-13</t>
        </is>
      </c>
      <c r="S556" t="inlineStr">
        <is>
          <t>2022-01-26</t>
        </is>
      </c>
      <c r="T556" t="inlineStr">
        <is>
          <t>Kraken 50 : 2022-01-13 - 2022-01-26</t>
        </is>
      </c>
      <c r="U556" t="inlineStr"/>
      <c r="V556" t="inlineStr"/>
      <c r="W556" t="inlineStr">
        <is>
          <t>2022-01-13T18:02:30-06:00</t>
        </is>
      </c>
      <c r="X556">
        <f>IFERROR(1/COUNTIF($I:$I,@$I:$I), 0)</f>
        <v/>
      </c>
    </row>
    <row r="557">
      <c r="A557">
        <f>HYPERLINK("https://drivetime.tpondemand.com/entity/125581", "125581")</f>
        <v/>
      </c>
      <c r="B557" t="inlineStr">
        <is>
          <t>[BC NEXT] OTP Success Page - AutoPay CTA not displayed when customer is eligible for autopay but needs to make a payment first</t>
        </is>
      </c>
      <c r="C557" t="inlineStr">
        <is>
          <t>Bug</t>
        </is>
      </c>
      <c r="D557" t="inlineStr">
        <is>
          <t>Servicing: BC Next</t>
        </is>
      </c>
      <c r="E557" t="inlineStr">
        <is>
          <t>BC Digital Drakon</t>
        </is>
      </c>
      <c r="F557" t="inlineStr">
        <is>
          <t>02</t>
        </is>
      </c>
      <c r="G557" t="inlineStr">
        <is>
          <t>Antonio Posada</t>
        </is>
      </c>
      <c r="H557" t="inlineStr">
        <is>
          <t>[BC NEXT] Prior to Launch Tech Investment</t>
        </is>
      </c>
      <c r="I557" t="inlineStr"/>
      <c r="J557" t="n">
        <v>1.873958333333333</v>
      </c>
      <c r="K557">
        <f>HYPERLINK("https://drivetime.tpondemand.com/entity/125463", "125463")</f>
        <v/>
      </c>
      <c r="L557">
        <f>HYPERLINK("https://drivetime.tpondemand.com/entity/124648", "124648")</f>
        <v/>
      </c>
      <c r="M557" t="n">
        <v>0</v>
      </c>
      <c r="N557" t="n">
        <v>125717</v>
      </c>
      <c r="O557" t="inlineStr">
        <is>
          <t>Done</t>
        </is>
      </c>
      <c r="P557" t="n">
        <v>1</v>
      </c>
      <c r="Q557" t="inlineStr">
        <is>
          <t>Kraken 50</t>
        </is>
      </c>
      <c r="R557" t="inlineStr">
        <is>
          <t>2022-01-13</t>
        </is>
      </c>
      <c r="S557" t="inlineStr">
        <is>
          <t>2022-01-26</t>
        </is>
      </c>
      <c r="T557" t="inlineStr">
        <is>
          <t>Kraken 50 : 2022-01-13 - 2022-01-26</t>
        </is>
      </c>
      <c r="U557" t="inlineStr"/>
      <c r="V557" t="inlineStr"/>
      <c r="W557" t="inlineStr">
        <is>
          <t>2022-01-13T11:29:00-06:00</t>
        </is>
      </c>
      <c r="X557">
        <f>IFERROR(1/COUNTIF($I:$I,@$I:$I), 0)</f>
        <v/>
      </c>
    </row>
    <row r="558">
      <c r="A558">
        <f>HYPERLINK("https://drivetime.tpondemand.com/entity/125604", "125604")</f>
        <v/>
      </c>
      <c r="B558" t="inlineStr">
        <is>
          <t>[BC NEXT] Dashboard - Remove Date from Payment Alert</t>
        </is>
      </c>
      <c r="C558" t="inlineStr">
        <is>
          <t>Bug</t>
        </is>
      </c>
      <c r="D558" t="inlineStr">
        <is>
          <t>Servicing: BC Next</t>
        </is>
      </c>
      <c r="E558" t="inlineStr">
        <is>
          <t>BC Digital Drakon</t>
        </is>
      </c>
      <c r="F558" t="inlineStr">
        <is>
          <t>02</t>
        </is>
      </c>
      <c r="G558" t="inlineStr">
        <is>
          <t>Pete Wesselius</t>
        </is>
      </c>
      <c r="H558" t="inlineStr">
        <is>
          <t>[BC NEXT] Prior to Launch Tech Investment</t>
        </is>
      </c>
      <c r="I558" t="inlineStr"/>
      <c r="J558" t="n">
        <v>2.040798611111111</v>
      </c>
      <c r="K558">
        <f>HYPERLINK("https://drivetime.tpondemand.com/entity/125462", "125462")</f>
        <v/>
      </c>
      <c r="L558">
        <f>HYPERLINK("https://drivetime.tpondemand.com/entity/125530", "125530")</f>
        <v/>
      </c>
      <c r="M558" t="n">
        <v>0</v>
      </c>
      <c r="N558" t="n">
        <v>125717</v>
      </c>
      <c r="O558" t="inlineStr">
        <is>
          <t>Done</t>
        </is>
      </c>
      <c r="P558" t="n">
        <v>1</v>
      </c>
      <c r="Q558" t="inlineStr">
        <is>
          <t>Kraken 50</t>
        </is>
      </c>
      <c r="R558" t="inlineStr">
        <is>
          <t>2022-01-13</t>
        </is>
      </c>
      <c r="S558" t="inlineStr">
        <is>
          <t>2022-01-26</t>
        </is>
      </c>
      <c r="T558" t="inlineStr">
        <is>
          <t>Kraken 50 : 2022-01-13 - 2022-01-26</t>
        </is>
      </c>
      <c r="U558" t="inlineStr"/>
      <c r="V558" t="inlineStr"/>
      <c r="W558" t="inlineStr">
        <is>
          <t>2022-01-13T17:47:13-06:00</t>
        </is>
      </c>
      <c r="X558">
        <f>IFERROR(1/COUNTIF($I:$I,@$I:$I), 0)</f>
        <v/>
      </c>
    </row>
    <row r="559">
      <c r="A559">
        <f>HYPERLINK("https://drivetime.tpondemand.com/entity/125710", "125710")</f>
        <v/>
      </c>
      <c r="B559" t="inlineStr">
        <is>
          <t>Dashboard - Fees Paid in Full: Payment breakdown not calculating correctly.</t>
        </is>
      </c>
      <c r="C559" t="inlineStr">
        <is>
          <t>Bug</t>
        </is>
      </c>
      <c r="D559" t="inlineStr">
        <is>
          <t>Servicing: BC Next</t>
        </is>
      </c>
      <c r="E559" t="inlineStr">
        <is>
          <t>BC Digital Drakon</t>
        </is>
      </c>
      <c r="F559" t="inlineStr">
        <is>
          <t>02</t>
        </is>
      </c>
      <c r="G559" t="inlineStr">
        <is>
          <t>Yokeshwaran Lokanathan</t>
        </is>
      </c>
      <c r="H559" t="inlineStr">
        <is>
          <t>[BC NEXT] Prior to Launch Tech Investment</t>
        </is>
      </c>
      <c r="I559" t="inlineStr"/>
      <c r="J559" t="n">
        <v>0.8656828703703703</v>
      </c>
      <c r="K559">
        <f>HYPERLINK("https://drivetime.tpondemand.com/entity/125462", "125462")</f>
        <v/>
      </c>
      <c r="L559">
        <f>HYPERLINK("https://drivetime.tpondemand.com/entity/125530", "125530")</f>
        <v/>
      </c>
      <c r="M559" t="n">
        <v>0</v>
      </c>
      <c r="N559" t="n">
        <v>125717</v>
      </c>
      <c r="O559" t="inlineStr">
        <is>
          <t>Done</t>
        </is>
      </c>
      <c r="P559" t="n">
        <v>1</v>
      </c>
      <c r="Q559" t="inlineStr">
        <is>
          <t>Kraken 50</t>
        </is>
      </c>
      <c r="R559" t="inlineStr">
        <is>
          <t>2022-01-13</t>
        </is>
      </c>
      <c r="S559" t="inlineStr">
        <is>
          <t>2022-01-26</t>
        </is>
      </c>
      <c r="T559" t="inlineStr">
        <is>
          <t>Kraken 50 : 2022-01-13 - 2022-01-26</t>
        </is>
      </c>
      <c r="U559" t="inlineStr"/>
      <c r="V559" t="inlineStr"/>
      <c r="W559" t="inlineStr">
        <is>
          <t>2022-01-14T12:26:55-06:00</t>
        </is>
      </c>
      <c r="X559">
        <f>IFERROR(1/COUNTIF($I:$I,@$I:$I), 0)</f>
        <v/>
      </c>
    </row>
    <row r="560">
      <c r="A560">
        <f>HYPERLINK("https://drivetime.tpondemand.com/entity/125766", "125766")</f>
        <v/>
      </c>
      <c r="B560" t="inlineStr">
        <is>
          <t>FF not working to remove Add Debit Card CTA</t>
        </is>
      </c>
      <c r="C560" t="inlineStr">
        <is>
          <t>Bug</t>
        </is>
      </c>
      <c r="D560" t="inlineStr">
        <is>
          <t>Servicing: BC Next</t>
        </is>
      </c>
      <c r="E560" t="inlineStr">
        <is>
          <t>BC Digital Drakon</t>
        </is>
      </c>
      <c r="F560" t="inlineStr">
        <is>
          <t>02</t>
        </is>
      </c>
      <c r="G560" t="inlineStr">
        <is>
          <t>Pete Wesselius</t>
        </is>
      </c>
      <c r="H560" t="inlineStr">
        <is>
          <t>[BC NEXT] Prior to Launch Tech Investment</t>
        </is>
      </c>
      <c r="I560" t="inlineStr"/>
      <c r="J560" t="n">
        <v>0.7725810185185185</v>
      </c>
      <c r="K560">
        <f>HYPERLINK("https://drivetime.tpondemand.com/entity/125745", "125745")</f>
        <v/>
      </c>
      <c r="L560">
        <f>HYPERLINK("https://drivetime.tpondemand.com/entity/124995", "124995")</f>
        <v/>
      </c>
      <c r="M560" t="n">
        <v>0</v>
      </c>
      <c r="N560" t="n">
        <v>125717</v>
      </c>
      <c r="O560" t="inlineStr">
        <is>
          <t>Done</t>
        </is>
      </c>
      <c r="P560" t="n">
        <v>1</v>
      </c>
      <c r="Q560" t="inlineStr">
        <is>
          <t>Kraken 50</t>
        </is>
      </c>
      <c r="R560" t="inlineStr">
        <is>
          <t>2022-01-13</t>
        </is>
      </c>
      <c r="S560" t="inlineStr">
        <is>
          <t>2022-01-26</t>
        </is>
      </c>
      <c r="T560" t="inlineStr">
        <is>
          <t>Kraken 50 : 2022-01-13 - 2022-01-26</t>
        </is>
      </c>
      <c r="U560" t="inlineStr"/>
      <c r="V560" t="inlineStr"/>
      <c r="W560" t="inlineStr">
        <is>
          <t>2022-01-14T12:28:22-06:00</t>
        </is>
      </c>
      <c r="X560">
        <f>IFERROR(1/COUNTIF($I:$I,@$I:$I), 0)</f>
        <v/>
      </c>
    </row>
    <row r="561">
      <c r="A561">
        <f>HYPERLINK("https://drivetime.tpondemand.com/entity/126507", "126507")</f>
        <v/>
      </c>
      <c r="B561" t="inlineStr">
        <is>
          <t>Homepage - Register Link Account Hover State</t>
        </is>
      </c>
      <c r="C561" t="inlineStr">
        <is>
          <t>Bug</t>
        </is>
      </c>
      <c r="D561" t="inlineStr">
        <is>
          <t>Servicing: BC Next</t>
        </is>
      </c>
      <c r="E561" t="inlineStr">
        <is>
          <t>BC Digital Drakon</t>
        </is>
      </c>
      <c r="F561" t="inlineStr">
        <is>
          <t>04</t>
        </is>
      </c>
      <c r="G561" t="inlineStr">
        <is>
          <t>Chirag Khandhar</t>
        </is>
      </c>
      <c r="H561" t="inlineStr">
        <is>
          <t>[BC NEXT][WEB] Phase 3: Homepage</t>
        </is>
      </c>
      <c r="I561" t="inlineStr"/>
      <c r="J561" t="n">
        <v>1.01693287037037</v>
      </c>
      <c r="K561" t="inlineStr"/>
      <c r="L561">
        <f>HYPERLINK("https://drivetime.tpondemand.com/entity/125068", "125068")</f>
        <v/>
      </c>
      <c r="M561" t="n">
        <v>0</v>
      </c>
      <c r="N561" t="inlineStr"/>
      <c r="O561" t="inlineStr">
        <is>
          <t>Done</t>
        </is>
      </c>
      <c r="P561" t="n">
        <v>1</v>
      </c>
      <c r="Q561" t="inlineStr"/>
      <c r="R561" t="inlineStr"/>
      <c r="S561" t="inlineStr"/>
      <c r="T561" t="inlineStr"/>
      <c r="U561" t="inlineStr"/>
      <c r="V561" t="inlineStr"/>
      <c r="W561" t="inlineStr">
        <is>
          <t>2022-01-27T11:59:35-06:00</t>
        </is>
      </c>
      <c r="X561">
        <f>IFERROR(1/COUNTIF($I:$I,@$I:$I), 0)</f>
        <v/>
      </c>
    </row>
    <row r="562">
      <c r="A562">
        <f>HYPERLINK("https://drivetime.tpondemand.com/entity/126545", "126545")</f>
        <v/>
      </c>
      <c r="B562" t="inlineStr">
        <is>
          <t>[BC NEXT] Dashboard: 90% Paid Ahead: Due today and Regular payment are listed in the popover</t>
        </is>
      </c>
      <c r="C562" t="inlineStr">
        <is>
          <t>Bug</t>
        </is>
      </c>
      <c r="D562" t="inlineStr">
        <is>
          <t>Servicing: BC Next</t>
        </is>
      </c>
      <c r="E562" t="inlineStr">
        <is>
          <t>BC Digital Drakon</t>
        </is>
      </c>
      <c r="F562" t="inlineStr">
        <is>
          <t>05</t>
        </is>
      </c>
      <c r="G562" t="inlineStr">
        <is>
          <t>Pete Wesselius</t>
        </is>
      </c>
      <c r="H562" t="inlineStr">
        <is>
          <t>[BC Next] 90% Rule Implementation</t>
        </is>
      </c>
      <c r="I562" t="inlineStr"/>
      <c r="J562" t="n">
        <v>4.278402777777778</v>
      </c>
      <c r="K562">
        <f>HYPERLINK("https://drivetime.tpondemand.com/entity/126506", "126506")</f>
        <v/>
      </c>
      <c r="L562">
        <f>HYPERLINK("https://drivetime.tpondemand.com/entity/126339", "126339")</f>
        <v/>
      </c>
      <c r="M562" t="n">
        <v>0</v>
      </c>
      <c r="N562" t="n">
        <v>126418</v>
      </c>
      <c r="O562" t="inlineStr">
        <is>
          <t>Done</t>
        </is>
      </c>
      <c r="P562" t="n">
        <v>1</v>
      </c>
      <c r="Q562" t="inlineStr">
        <is>
          <t>Kraken 51</t>
        </is>
      </c>
      <c r="R562" t="inlineStr">
        <is>
          <t>2022-01-27</t>
        </is>
      </c>
      <c r="S562" t="inlineStr">
        <is>
          <t>2022-02-09</t>
        </is>
      </c>
      <c r="T562" t="inlineStr">
        <is>
          <t>Kraken 51 : 2022-01-27 - 2022-02-09</t>
        </is>
      </c>
      <c r="U562" t="inlineStr"/>
      <c r="V562" t="inlineStr"/>
      <c r="W562" t="inlineStr">
        <is>
          <t>2022-01-31T17:02:51-06:00</t>
        </is>
      </c>
      <c r="X562">
        <f>IFERROR(1/COUNTIF($I:$I,@$I:$I), 0)</f>
        <v/>
      </c>
    </row>
    <row r="563">
      <c r="A563">
        <f>HYPERLINK("https://drivetime.tpondemand.com/entity/126591", "126591")</f>
        <v/>
      </c>
      <c r="B563" t="inlineStr">
        <is>
          <t>[BC NEXT] Dashboard: Popover updates for 90% paid ahead accounts</t>
        </is>
      </c>
      <c r="C563" t="inlineStr">
        <is>
          <t>Bug</t>
        </is>
      </c>
      <c r="D563" t="inlineStr">
        <is>
          <t>Servicing: BC Next</t>
        </is>
      </c>
      <c r="E563" t="inlineStr">
        <is>
          <t>BC Digital Drakon</t>
        </is>
      </c>
      <c r="F563" t="inlineStr">
        <is>
          <t>05</t>
        </is>
      </c>
      <c r="G563" t="inlineStr"/>
      <c r="H563" t="inlineStr">
        <is>
          <t>[BC Next] 90% Rule Implementation</t>
        </is>
      </c>
      <c r="I563" t="inlineStr"/>
      <c r="J563" t="n">
        <v>4.1565625</v>
      </c>
      <c r="K563">
        <f>HYPERLINK("https://drivetime.tpondemand.com/entity/126506", "126506")</f>
        <v/>
      </c>
      <c r="L563">
        <f>HYPERLINK("https://drivetime.tpondemand.com/entity/126339", "126339")</f>
        <v/>
      </c>
      <c r="M563" t="n">
        <v>0</v>
      </c>
      <c r="N563" t="n">
        <v>126418</v>
      </c>
      <c r="O563" t="inlineStr">
        <is>
          <t>Done</t>
        </is>
      </c>
      <c r="P563" t="n">
        <v>1</v>
      </c>
      <c r="Q563" t="inlineStr">
        <is>
          <t>Kraken 51</t>
        </is>
      </c>
      <c r="R563" t="inlineStr">
        <is>
          <t>2022-01-27</t>
        </is>
      </c>
      <c r="S563" t="inlineStr">
        <is>
          <t>2022-02-09</t>
        </is>
      </c>
      <c r="T563" t="inlineStr">
        <is>
          <t>Kraken 51 : 2022-01-27 - 2022-02-09</t>
        </is>
      </c>
      <c r="U563" t="inlineStr"/>
      <c r="V563" t="inlineStr"/>
      <c r="W563" t="inlineStr">
        <is>
          <t>2022-01-31T17:17:09-06:00</t>
        </is>
      </c>
      <c r="X563">
        <f>IFERROR(1/COUNTIF($I:$I,@$I:$I), 0)</f>
        <v/>
      </c>
    </row>
    <row r="564">
      <c r="A564">
        <f>HYPERLINK("https://drivetime.tpondemand.com/entity/126601", "126601")</f>
        <v/>
      </c>
      <c r="B564" t="inlineStr">
        <is>
          <t>[BC NEXT[Web] Learn More CTAs - Header Padding</t>
        </is>
      </c>
      <c r="C564" t="inlineStr">
        <is>
          <t>Bug</t>
        </is>
      </c>
      <c r="D564" t="inlineStr">
        <is>
          <t>Servicing: BC Next</t>
        </is>
      </c>
      <c r="E564" t="inlineStr">
        <is>
          <t>BC Digital Drakon</t>
        </is>
      </c>
      <c r="F564" t="inlineStr">
        <is>
          <t>04</t>
        </is>
      </c>
      <c r="G564" t="inlineStr">
        <is>
          <t>Abbas Shamshi</t>
        </is>
      </c>
      <c r="H564" t="inlineStr">
        <is>
          <t>[BC NEXT][WEB] Phase 3: Homepage</t>
        </is>
      </c>
      <c r="I564" t="inlineStr"/>
      <c r="J564" t="n">
        <v>1.0578125</v>
      </c>
      <c r="K564" t="inlineStr"/>
      <c r="L564">
        <f>HYPERLINK("https://drivetime.tpondemand.com/entity/125180", "125180")</f>
        <v/>
      </c>
      <c r="M564" t="n">
        <v>0</v>
      </c>
      <c r="N564" t="inlineStr"/>
      <c r="O564" t="inlineStr">
        <is>
          <t>Done</t>
        </is>
      </c>
      <c r="P564" t="n">
        <v>1</v>
      </c>
      <c r="Q564" t="inlineStr"/>
      <c r="R564" t="inlineStr"/>
      <c r="S564" t="inlineStr"/>
      <c r="T564" t="inlineStr"/>
      <c r="U564" t="inlineStr"/>
      <c r="V564" t="inlineStr"/>
      <c r="W564" t="inlineStr">
        <is>
          <t>2022-01-28T16:35:50-06:00</t>
        </is>
      </c>
      <c r="X564">
        <f>IFERROR(1/COUNTIF($I:$I,@$I:$I), 0)</f>
        <v/>
      </c>
    </row>
    <row r="565">
      <c r="A565">
        <f>HYPERLINK("https://drivetime.tpondemand.com/entity/126621", "126621")</f>
        <v/>
      </c>
      <c r="B565" t="inlineStr">
        <is>
          <t>[BC NEXT] Dashboard: 90% Paid Ahead: The Remaining balance is still showing when the payment is made with the exact amount that is reaming</t>
        </is>
      </c>
      <c r="C565" t="inlineStr">
        <is>
          <t>Bug</t>
        </is>
      </c>
      <c r="D565" t="inlineStr">
        <is>
          <t>Servicing: BC Next</t>
        </is>
      </c>
      <c r="E565" t="inlineStr">
        <is>
          <t>BC Digital Drakon</t>
        </is>
      </c>
      <c r="F565" t="inlineStr">
        <is>
          <t>05</t>
        </is>
      </c>
      <c r="G565" t="inlineStr"/>
      <c r="H565" t="inlineStr">
        <is>
          <t>[BC Next] 90% Rule Implementation</t>
        </is>
      </c>
      <c r="I565" t="inlineStr"/>
      <c r="J565" t="n">
        <v>3.293171296296296</v>
      </c>
      <c r="K565">
        <f>HYPERLINK("https://drivetime.tpondemand.com/entity/126506", "126506")</f>
        <v/>
      </c>
      <c r="L565">
        <f>HYPERLINK("https://drivetime.tpondemand.com/entity/126339", "126339")</f>
        <v/>
      </c>
      <c r="M565" t="n">
        <v>0</v>
      </c>
      <c r="N565" t="n">
        <v>126418</v>
      </c>
      <c r="O565" t="inlineStr">
        <is>
          <t>Done</t>
        </is>
      </c>
      <c r="P565" t="n">
        <v>1</v>
      </c>
      <c r="Q565" t="inlineStr">
        <is>
          <t>Kraken 51</t>
        </is>
      </c>
      <c r="R565" t="inlineStr">
        <is>
          <t>2022-01-27</t>
        </is>
      </c>
      <c r="S565" t="inlineStr">
        <is>
          <t>2022-02-09</t>
        </is>
      </c>
      <c r="T565" t="inlineStr">
        <is>
          <t>Kraken 51 : 2022-01-27 - 2022-02-09</t>
        </is>
      </c>
      <c r="U565" t="inlineStr"/>
      <c r="V565" t="inlineStr"/>
      <c r="W565" t="inlineStr">
        <is>
          <t>2022-01-31T17:23:06-06:00</t>
        </is>
      </c>
      <c r="X565">
        <f>IFERROR(1/COUNTIF($I:$I,@$I:$I), 0)</f>
        <v/>
      </c>
    </row>
    <row r="566">
      <c r="A566">
        <f>HYPERLINK("https://drivetime.tpondemand.com/entity/126674", "126674")</f>
        <v/>
      </c>
      <c r="B566" t="inlineStr">
        <is>
          <t>[BC NEXT] Homepage - Top Nav Analytics Category</t>
        </is>
      </c>
      <c r="C566" t="inlineStr">
        <is>
          <t>Bug</t>
        </is>
      </c>
      <c r="D566" t="inlineStr">
        <is>
          <t>Servicing: BC Next</t>
        </is>
      </c>
      <c r="E566" t="inlineStr">
        <is>
          <t>BC Digital Drakon</t>
        </is>
      </c>
      <c r="F566" t="inlineStr">
        <is>
          <t>04</t>
        </is>
      </c>
      <c r="G566" t="inlineStr">
        <is>
          <t>Joseph Kranak</t>
        </is>
      </c>
      <c r="H566" t="inlineStr">
        <is>
          <t>[BC NEXT][WEB] Phase 3: Homepage</t>
        </is>
      </c>
      <c r="I566" t="inlineStr"/>
      <c r="J566" t="n">
        <v>0.01496527777777778</v>
      </c>
      <c r="K566" t="inlineStr"/>
      <c r="L566">
        <f>HYPERLINK("https://drivetime.tpondemand.com/entity/124834", "124834")</f>
        <v/>
      </c>
      <c r="M566" t="n">
        <v>0</v>
      </c>
      <c r="N566" t="inlineStr"/>
      <c r="O566" t="inlineStr">
        <is>
          <t>Done</t>
        </is>
      </c>
      <c r="P566" t="n">
        <v>1</v>
      </c>
      <c r="Q566" t="inlineStr"/>
      <c r="R566" t="inlineStr"/>
      <c r="S566" t="inlineStr"/>
      <c r="T566" t="inlineStr"/>
      <c r="U566" t="inlineStr"/>
      <c r="V566" t="inlineStr"/>
      <c r="W566" t="inlineStr">
        <is>
          <t>2022-01-28T16:28:19-06:00</t>
        </is>
      </c>
      <c r="X566">
        <f>IFERROR(1/COUNTIF($I:$I,@$I:$I), 0)</f>
        <v/>
      </c>
    </row>
    <row r="567">
      <c r="A567">
        <f>HYPERLINK("https://drivetime.tpondemand.com/entity/126684", "126684")</f>
        <v/>
      </c>
      <c r="B567" t="inlineStr">
        <is>
          <t>[BC NEXT] Logout Analytic -The Log out analytic is not fired when the user is logged out</t>
        </is>
      </c>
      <c r="C567" t="inlineStr">
        <is>
          <t>Bug</t>
        </is>
      </c>
      <c r="D567" t="inlineStr">
        <is>
          <t>Servicing: BC Next</t>
        </is>
      </c>
      <c r="E567" t="inlineStr">
        <is>
          <t>BC Digital Drakon</t>
        </is>
      </c>
      <c r="F567" t="inlineStr">
        <is>
          <t>07</t>
        </is>
      </c>
      <c r="G567" t="inlineStr">
        <is>
          <t>Antonio Posada</t>
        </is>
      </c>
      <c r="H567" t="inlineStr">
        <is>
          <t>[BC NEXT] Prior to Launch Tech Investment</t>
        </is>
      </c>
      <c r="I567" t="inlineStr"/>
      <c r="J567" t="n">
        <v>14.2675462962963</v>
      </c>
      <c r="K567" t="inlineStr"/>
      <c r="L567">
        <f>HYPERLINK("https://drivetime.tpondemand.com/entity/123780", "123780")</f>
        <v/>
      </c>
      <c r="M567" t="n">
        <v>0</v>
      </c>
      <c r="N567" t="n">
        <v>126419</v>
      </c>
      <c r="O567" t="inlineStr">
        <is>
          <t>Done</t>
        </is>
      </c>
      <c r="P567" t="n">
        <v>1</v>
      </c>
      <c r="Q567" t="inlineStr">
        <is>
          <t>Kraken 52</t>
        </is>
      </c>
      <c r="R567" t="inlineStr">
        <is>
          <t>2022-02-10</t>
        </is>
      </c>
      <c r="S567" t="inlineStr">
        <is>
          <t>2022-02-23</t>
        </is>
      </c>
      <c r="T567" t="inlineStr">
        <is>
          <t>Kraken 52 : 2022-02-10 - 2022-02-23</t>
        </is>
      </c>
      <c r="U567" t="inlineStr"/>
      <c r="V567" t="inlineStr"/>
      <c r="W567" t="inlineStr">
        <is>
          <t>2022-02-15T16:18:18-06:00</t>
        </is>
      </c>
      <c r="X567">
        <f>IFERROR(1/COUNTIF($I:$I,@$I:$I), 0)</f>
        <v/>
      </c>
    </row>
    <row r="568">
      <c r="A568">
        <f>HYPERLINK("https://drivetime.tpondemand.com/entity/126709", "126709")</f>
        <v/>
      </c>
      <c r="B568" t="inlineStr">
        <is>
          <t>Analytic is is not fired when the session time out modal logs out the customer</t>
        </is>
      </c>
      <c r="C568" t="inlineStr">
        <is>
          <t>Bug</t>
        </is>
      </c>
      <c r="D568" t="inlineStr">
        <is>
          <t>Servicing: BC Next</t>
        </is>
      </c>
      <c r="E568" t="inlineStr">
        <is>
          <t>BC Digital Drakon</t>
        </is>
      </c>
      <c r="F568" t="inlineStr">
        <is>
          <t>07</t>
        </is>
      </c>
      <c r="G568" t="inlineStr">
        <is>
          <t>Antonio Posada</t>
        </is>
      </c>
      <c r="H568" t="inlineStr">
        <is>
          <t>[BC NEXT] Prior to Launch Tech Investment</t>
        </is>
      </c>
      <c r="I568" t="inlineStr"/>
      <c r="J568" t="n">
        <v>14.2771875</v>
      </c>
      <c r="K568" t="inlineStr"/>
      <c r="L568">
        <f>HYPERLINK("https://drivetime.tpondemand.com/entity/123780", "123780")</f>
        <v/>
      </c>
      <c r="M568" t="n">
        <v>0</v>
      </c>
      <c r="N568" t="n">
        <v>126419</v>
      </c>
      <c r="O568" t="inlineStr">
        <is>
          <t>Done</t>
        </is>
      </c>
      <c r="P568" t="n">
        <v>1</v>
      </c>
      <c r="Q568" t="inlineStr">
        <is>
          <t>Kraken 52</t>
        </is>
      </c>
      <c r="R568" t="inlineStr">
        <is>
          <t>2022-02-10</t>
        </is>
      </c>
      <c r="S568" t="inlineStr">
        <is>
          <t>2022-02-23</t>
        </is>
      </c>
      <c r="T568" t="inlineStr">
        <is>
          <t>Kraken 52 : 2022-02-10 - 2022-02-23</t>
        </is>
      </c>
      <c r="U568" t="inlineStr"/>
      <c r="V568" t="inlineStr"/>
      <c r="W568" t="inlineStr">
        <is>
          <t>2022-02-15T16:32:09-06:00</t>
        </is>
      </c>
      <c r="X568">
        <f>IFERROR(1/COUNTIF($I:$I,@$I:$I), 0)</f>
        <v/>
      </c>
    </row>
    <row r="569">
      <c r="A569">
        <f>HYPERLINK("https://drivetime.tpondemand.com/entity/126927", "126927")</f>
        <v/>
      </c>
      <c r="B569" t="inlineStr">
        <is>
          <t>[BC NEXT] Dashboard: Should not be showing the remaining balance for the following condition: when its 90% scenario, and the customer is not due today and customer is not due within 3 days</t>
        </is>
      </c>
      <c r="C569" t="inlineStr">
        <is>
          <t>Bug</t>
        </is>
      </c>
      <c r="D569" t="inlineStr">
        <is>
          <t>Servicing: BC Next</t>
        </is>
      </c>
      <c r="E569" t="inlineStr">
        <is>
          <t>BC Digital Drakon</t>
        </is>
      </c>
      <c r="F569" t="inlineStr">
        <is>
          <t>06</t>
        </is>
      </c>
      <c r="G569" t="inlineStr">
        <is>
          <t>Yokeshwaran Lokanathan</t>
        </is>
      </c>
      <c r="H569" t="inlineStr">
        <is>
          <t>[BC NEXT] Prior to Launch Tech Investment</t>
        </is>
      </c>
      <c r="I569" t="inlineStr"/>
      <c r="J569" t="n">
        <v>2.793125</v>
      </c>
      <c r="K569">
        <f>HYPERLINK("https://drivetime.tpondemand.com/entity/126506", "126506")</f>
        <v/>
      </c>
      <c r="L569">
        <f>HYPERLINK("https://drivetime.tpondemand.com/entity/126557", "126557")</f>
        <v/>
      </c>
      <c r="M569" t="n">
        <v>0</v>
      </c>
      <c r="N569" t="n">
        <v>126418</v>
      </c>
      <c r="O569" t="inlineStr">
        <is>
          <t>Done</t>
        </is>
      </c>
      <c r="P569" t="n">
        <v>1</v>
      </c>
      <c r="Q569" t="inlineStr">
        <is>
          <t>Kraken 51</t>
        </is>
      </c>
      <c r="R569" t="inlineStr">
        <is>
          <t>2022-01-27</t>
        </is>
      </c>
      <c r="S569" t="inlineStr">
        <is>
          <t>2022-02-09</t>
        </is>
      </c>
      <c r="T569" t="inlineStr">
        <is>
          <t>Kraken 51 : 2022-01-27 - 2022-02-09</t>
        </is>
      </c>
      <c r="U569" t="inlineStr"/>
      <c r="V569" t="inlineStr"/>
      <c r="W569" t="inlineStr">
        <is>
          <t>2022-02-07T11:21:21-06:00</t>
        </is>
      </c>
      <c r="X569">
        <f>IFERROR(1/COUNTIF($I:$I,@$I:$I), 0)</f>
        <v/>
      </c>
    </row>
    <row r="570">
      <c r="A570">
        <f>HYPERLINK("https://drivetime.tpondemand.com/entity/127082", "127082")</f>
        <v/>
      </c>
      <c r="B570" t="inlineStr">
        <is>
          <t>[BC NEXT] Dashboard: the Popover should only show Past due, should not show due today</t>
        </is>
      </c>
      <c r="C570" t="inlineStr">
        <is>
          <t>Bug</t>
        </is>
      </c>
      <c r="D570" t="inlineStr">
        <is>
          <t>Servicing: BC Next</t>
        </is>
      </c>
      <c r="E570" t="inlineStr">
        <is>
          <t>BC Digital Drakon</t>
        </is>
      </c>
      <c r="F570" t="inlineStr">
        <is>
          <t>06</t>
        </is>
      </c>
      <c r="G570" t="inlineStr">
        <is>
          <t>Yokeshwaran Lokanathan</t>
        </is>
      </c>
      <c r="H570" t="inlineStr">
        <is>
          <t>[BC NEXT] Prior to Launch Tech Investment</t>
        </is>
      </c>
      <c r="I570" t="inlineStr"/>
      <c r="J570" t="n">
        <v>1.508877314814815</v>
      </c>
      <c r="K570">
        <f>HYPERLINK("https://drivetime.tpondemand.com/entity/126506", "126506")</f>
        <v/>
      </c>
      <c r="L570">
        <f>HYPERLINK("https://drivetime.tpondemand.com/entity/126557", "126557")</f>
        <v/>
      </c>
      <c r="M570" t="n">
        <v>0</v>
      </c>
      <c r="N570" t="n">
        <v>126418</v>
      </c>
      <c r="O570" t="inlineStr">
        <is>
          <t>Done</t>
        </is>
      </c>
      <c r="P570" t="n">
        <v>1</v>
      </c>
      <c r="Q570" t="inlineStr">
        <is>
          <t>Kraken 51</t>
        </is>
      </c>
      <c r="R570" t="inlineStr">
        <is>
          <t>2022-01-27</t>
        </is>
      </c>
      <c r="S570" t="inlineStr">
        <is>
          <t>2022-02-09</t>
        </is>
      </c>
      <c r="T570" t="inlineStr">
        <is>
          <t>Kraken 51 : 2022-01-27 - 2022-02-09</t>
        </is>
      </c>
      <c r="U570" t="inlineStr"/>
      <c r="V570" t="inlineStr"/>
      <c r="W570" t="inlineStr">
        <is>
          <t>2022-02-09T22:32:07-06:00</t>
        </is>
      </c>
      <c r="X570">
        <f>IFERROR(1/COUNTIF($I:$I,@$I:$I), 0)</f>
        <v/>
      </c>
    </row>
    <row r="571">
      <c r="A571">
        <f>HYPERLINK("https://drivetime.tpondemand.com/entity/127107", "127107")</f>
        <v/>
      </c>
      <c r="B571" t="inlineStr">
        <is>
          <t>[BC NEXT] Homepage - Image Slideshow - Preferences button always links to prod route</t>
        </is>
      </c>
      <c r="C571" t="inlineStr">
        <is>
          <t>Bug</t>
        </is>
      </c>
      <c r="D571" t="inlineStr">
        <is>
          <t>Servicing: BC Next</t>
        </is>
      </c>
      <c r="E571" t="inlineStr">
        <is>
          <t>BC Digital Drakon</t>
        </is>
      </c>
      <c r="F571" t="inlineStr">
        <is>
          <t>06</t>
        </is>
      </c>
      <c r="G571" t="inlineStr">
        <is>
          <t>Shyam Senthil Nathan</t>
        </is>
      </c>
      <c r="H571" t="inlineStr">
        <is>
          <t>[BC NEXT][WEB] Phase 3: Homepage</t>
        </is>
      </c>
      <c r="I571" t="inlineStr"/>
      <c r="J571" t="n">
        <v>0.9607870370370371</v>
      </c>
      <c r="K571">
        <f>HYPERLINK("https://drivetime.tpondemand.com/entity/127093", "127093")</f>
        <v/>
      </c>
      <c r="L571">
        <f>HYPERLINK("https://drivetime.tpondemand.com/entity/124839", "124839")</f>
        <v/>
      </c>
      <c r="M571" t="n">
        <v>0</v>
      </c>
      <c r="N571" t="inlineStr"/>
      <c r="O571" t="inlineStr">
        <is>
          <t>Done</t>
        </is>
      </c>
      <c r="P571" t="n">
        <v>1</v>
      </c>
      <c r="Q571" t="inlineStr"/>
      <c r="R571" t="inlineStr"/>
      <c r="S571" t="inlineStr"/>
      <c r="T571" t="inlineStr"/>
      <c r="U571" t="inlineStr"/>
      <c r="V571" t="inlineStr"/>
      <c r="W571" t="inlineStr">
        <is>
          <t>2022-02-09T09:57:23-06:00</t>
        </is>
      </c>
      <c r="X571">
        <f>IFERROR(1/COUNTIF($I:$I,@$I:$I), 0)</f>
        <v/>
      </c>
    </row>
    <row r="572">
      <c r="A572">
        <f>HYPERLINK("https://drivetime.tpondemand.com/entity/127291", "127291")</f>
        <v/>
      </c>
      <c r="B572" t="inlineStr">
        <is>
          <t>[BC NEXT] Dashboard: Incorrect popover breakdown for current customer with fees and pending reversal</t>
        </is>
      </c>
      <c r="C572" t="inlineStr">
        <is>
          <t>Bug</t>
        </is>
      </c>
      <c r="D572" t="inlineStr">
        <is>
          <t>Servicing: BC Next</t>
        </is>
      </c>
      <c r="E572" t="inlineStr">
        <is>
          <t>BC Digital Drakon</t>
        </is>
      </c>
      <c r="F572" t="inlineStr">
        <is>
          <t>06</t>
        </is>
      </c>
      <c r="G572" t="inlineStr">
        <is>
          <t>Yokeshwaran Lokanathan</t>
        </is>
      </c>
      <c r="H572" t="inlineStr">
        <is>
          <t>[BC NEXT] Prior to Launch Tech Investment</t>
        </is>
      </c>
      <c r="I572" t="inlineStr"/>
      <c r="J572" t="n">
        <v>0.1666666666666667</v>
      </c>
      <c r="K572">
        <f>HYPERLINK("https://drivetime.tpondemand.com/entity/126506", "126506")</f>
        <v/>
      </c>
      <c r="L572">
        <f>HYPERLINK("https://drivetime.tpondemand.com/entity/126557", "126557")</f>
        <v/>
      </c>
      <c r="M572" t="n">
        <v>0</v>
      </c>
      <c r="N572" t="n">
        <v>126418</v>
      </c>
      <c r="O572" t="inlineStr">
        <is>
          <t>Done</t>
        </is>
      </c>
      <c r="P572" t="n">
        <v>1</v>
      </c>
      <c r="Q572" t="inlineStr">
        <is>
          <t>Kraken 51</t>
        </is>
      </c>
      <c r="R572" t="inlineStr">
        <is>
          <t>2022-01-27</t>
        </is>
      </c>
      <c r="S572" t="inlineStr">
        <is>
          <t>2022-02-09</t>
        </is>
      </c>
      <c r="T572" t="inlineStr">
        <is>
          <t>Kraken 51 : 2022-01-27 - 2022-02-09</t>
        </is>
      </c>
      <c r="U572" t="inlineStr"/>
      <c r="V572" t="inlineStr"/>
      <c r="W572" t="inlineStr">
        <is>
          <t>2022-02-10T15:38:54-06:00</t>
        </is>
      </c>
      <c r="X572">
        <f>IFERROR(1/COUNTIF($I:$I,@$I:$I), 0)</f>
        <v/>
      </c>
    </row>
    <row r="573">
      <c r="A573">
        <f>HYPERLINK("https://drivetime.tpondemand.com/entity/127292", "127292")</f>
        <v/>
      </c>
      <c r="B573" t="inlineStr">
        <is>
          <t>[BC NEXT] DASHBOARD: Incorrect amount due, due date and popover showing for current customer, no fees with pending reversal</t>
        </is>
      </c>
      <c r="C573" t="inlineStr">
        <is>
          <t>Bug</t>
        </is>
      </c>
      <c r="D573" t="inlineStr">
        <is>
          <t>Servicing: BC Next</t>
        </is>
      </c>
      <c r="E573" t="inlineStr">
        <is>
          <t>BC Digital Drakon</t>
        </is>
      </c>
      <c r="F573" t="inlineStr">
        <is>
          <t>07</t>
        </is>
      </c>
      <c r="G573" t="inlineStr">
        <is>
          <t>Yokeshwaran Lokanathan</t>
        </is>
      </c>
      <c r="H573" t="inlineStr">
        <is>
          <t>[BC NEXT] Prior to Launch Tech Investment</t>
        </is>
      </c>
      <c r="I573" t="inlineStr"/>
      <c r="J573" t="n">
        <v>4.031481481481482</v>
      </c>
      <c r="K573">
        <f>HYPERLINK("https://drivetime.tpondemand.com/entity/126506", "126506")</f>
        <v/>
      </c>
      <c r="L573">
        <f>HYPERLINK("https://drivetime.tpondemand.com/entity/126557", "126557")</f>
        <v/>
      </c>
      <c r="M573" t="n">
        <v>0</v>
      </c>
      <c r="N573" t="n">
        <v>126419</v>
      </c>
      <c r="O573" t="inlineStr">
        <is>
          <t>Done</t>
        </is>
      </c>
      <c r="P573" t="n">
        <v>1</v>
      </c>
      <c r="Q573" t="inlineStr">
        <is>
          <t>Kraken 52</t>
        </is>
      </c>
      <c r="R573" t="inlineStr">
        <is>
          <t>2022-02-10</t>
        </is>
      </c>
      <c r="S573" t="inlineStr">
        <is>
          <t>2022-02-23</t>
        </is>
      </c>
      <c r="T573" t="inlineStr">
        <is>
          <t>Kraken 52 : 2022-02-10 - 2022-02-23</t>
        </is>
      </c>
      <c r="U573" t="inlineStr"/>
      <c r="V573" t="inlineStr"/>
      <c r="W573" t="inlineStr">
        <is>
          <t>2022-02-14T12:21:21-06:00</t>
        </is>
      </c>
      <c r="X573">
        <f>IFERROR(1/COUNTIF($I:$I,@$I:$I), 0)</f>
        <v/>
      </c>
    </row>
    <row r="574">
      <c r="A574">
        <f>HYPERLINK("https://drivetime.tpondemand.com/entity/127299", "127299")</f>
        <v/>
      </c>
      <c r="B574" t="inlineStr">
        <is>
          <t>[BC NEXT][DASHBOARD]Current customer with past due (90% rule) no fees with pending reversal- The Payment breakdown is not correct</t>
        </is>
      </c>
      <c r="C574" t="inlineStr">
        <is>
          <t>Bug</t>
        </is>
      </c>
      <c r="D574" t="inlineStr">
        <is>
          <t>Servicing: BC Next</t>
        </is>
      </c>
      <c r="E574" t="inlineStr">
        <is>
          <t>BC Digital Drakon</t>
        </is>
      </c>
      <c r="F574" t="inlineStr">
        <is>
          <t>07</t>
        </is>
      </c>
      <c r="G574" t="inlineStr">
        <is>
          <t>Yokeshwaran Lokanathan</t>
        </is>
      </c>
      <c r="H574" t="inlineStr">
        <is>
          <t>[BC Next] 90% Rule Implementation</t>
        </is>
      </c>
      <c r="I574" t="inlineStr"/>
      <c r="J574" t="n">
        <v>4.015729166666667</v>
      </c>
      <c r="K574">
        <f>HYPERLINK("https://drivetime.tpondemand.com/entity/126506", "126506")</f>
        <v/>
      </c>
      <c r="L574">
        <f>HYPERLINK("https://drivetime.tpondemand.com/entity/126339", "126339")</f>
        <v/>
      </c>
      <c r="M574" t="n">
        <v>0</v>
      </c>
      <c r="N574" t="n">
        <v>126419</v>
      </c>
      <c r="O574" t="inlineStr">
        <is>
          <t>Done</t>
        </is>
      </c>
      <c r="P574" t="n">
        <v>1</v>
      </c>
      <c r="Q574" t="inlineStr">
        <is>
          <t>Kraken 52</t>
        </is>
      </c>
      <c r="R574" t="inlineStr">
        <is>
          <t>2022-02-10</t>
        </is>
      </c>
      <c r="S574" t="inlineStr">
        <is>
          <t>2022-02-23</t>
        </is>
      </c>
      <c r="T574" t="inlineStr">
        <is>
          <t>Kraken 52 : 2022-02-10 - 2022-02-23</t>
        </is>
      </c>
      <c r="U574" t="inlineStr"/>
      <c r="V574" t="inlineStr"/>
      <c r="W574" t="inlineStr">
        <is>
          <t>2022-02-14T12:21:22-06:00</t>
        </is>
      </c>
      <c r="X574">
        <f>IFERROR(1/COUNTIF($I:$I,@$I:$I), 0)</f>
        <v/>
      </c>
    </row>
    <row r="575">
      <c r="A575">
        <f>HYPERLINK("https://drivetime.tpondemand.com/entity/127300", "127300")</f>
        <v/>
      </c>
      <c r="B575" t="inlineStr">
        <is>
          <t>[BC NEXT] OTP: We are not able to make a One Time payment using amount due selection in the OTP flow</t>
        </is>
      </c>
      <c r="C575" t="inlineStr">
        <is>
          <t>Bug</t>
        </is>
      </c>
      <c r="D575" t="inlineStr">
        <is>
          <t>Servicing: BC Next</t>
        </is>
      </c>
      <c r="E575" t="inlineStr">
        <is>
          <t>BC Digital Drakon</t>
        </is>
      </c>
      <c r="F575" t="inlineStr">
        <is>
          <t>06</t>
        </is>
      </c>
      <c r="G575" t="inlineStr">
        <is>
          <t>Connor Golobich</t>
        </is>
      </c>
      <c r="H575" t="inlineStr">
        <is>
          <t>[BC Next] 90% Rule Implementation</t>
        </is>
      </c>
      <c r="I575" t="inlineStr"/>
      <c r="J575" t="n">
        <v>0.153912037037037</v>
      </c>
      <c r="K575">
        <f>HYPERLINK("https://drivetime.tpondemand.com/entity/126506", "126506")</f>
        <v/>
      </c>
      <c r="L575">
        <f>HYPERLINK("https://drivetime.tpondemand.com/entity/126954", "126954")</f>
        <v/>
      </c>
      <c r="M575" t="n">
        <v>0</v>
      </c>
      <c r="N575" t="n">
        <v>126419</v>
      </c>
      <c r="O575" t="inlineStr">
        <is>
          <t>Done</t>
        </is>
      </c>
      <c r="P575" t="n">
        <v>1</v>
      </c>
      <c r="Q575" t="inlineStr">
        <is>
          <t>Kraken 52</t>
        </is>
      </c>
      <c r="R575" t="inlineStr">
        <is>
          <t>2022-02-10</t>
        </is>
      </c>
      <c r="S575" t="inlineStr">
        <is>
          <t>2022-02-23</t>
        </is>
      </c>
      <c r="T575" t="inlineStr">
        <is>
          <t>Kraken 52 : 2022-02-10 - 2022-02-23</t>
        </is>
      </c>
      <c r="U575" t="inlineStr"/>
      <c r="V575" t="inlineStr"/>
      <c r="W575" t="inlineStr">
        <is>
          <t>2022-02-10T15:42:40-06:00</t>
        </is>
      </c>
      <c r="X575">
        <f>IFERROR(1/COUNTIF($I:$I,@$I:$I), 0)</f>
        <v/>
      </c>
    </row>
    <row r="576">
      <c r="A576">
        <f>HYPERLINK("https://drivetime.tpondemand.com/entity/127301", "127301")</f>
        <v/>
      </c>
      <c r="B576" t="inlineStr">
        <is>
          <t>[BC NEXT] Dashboard: For Past Due customer, account should not show the regular payment in the popover</t>
        </is>
      </c>
      <c r="C576" t="inlineStr">
        <is>
          <t>Bug</t>
        </is>
      </c>
      <c r="D576" t="inlineStr">
        <is>
          <t>Servicing: BC Next</t>
        </is>
      </c>
      <c r="E576" t="inlineStr">
        <is>
          <t>BC Digital Drakon</t>
        </is>
      </c>
      <c r="F576" t="inlineStr">
        <is>
          <t>07</t>
        </is>
      </c>
      <c r="G576" t="inlineStr">
        <is>
          <t>Yokeshwaran Lokanathan</t>
        </is>
      </c>
      <c r="H576" t="inlineStr">
        <is>
          <t>[BC NEXT] Prior to Launch Tech Investment</t>
        </is>
      </c>
      <c r="I576" t="inlineStr"/>
      <c r="J576" t="n">
        <v>4.012523148148148</v>
      </c>
      <c r="K576">
        <f>HYPERLINK("https://drivetime.tpondemand.com/entity/126506", "126506")</f>
        <v/>
      </c>
      <c r="L576">
        <f>HYPERLINK("https://drivetime.tpondemand.com/entity/126557", "126557")</f>
        <v/>
      </c>
      <c r="M576" t="n">
        <v>0</v>
      </c>
      <c r="N576" t="n">
        <v>126419</v>
      </c>
      <c r="O576" t="inlineStr">
        <is>
          <t>Done</t>
        </is>
      </c>
      <c r="P576" t="n">
        <v>1</v>
      </c>
      <c r="Q576" t="inlineStr">
        <is>
          <t>Kraken 52</t>
        </is>
      </c>
      <c r="R576" t="inlineStr">
        <is>
          <t>2022-02-10</t>
        </is>
      </c>
      <c r="S576" t="inlineStr">
        <is>
          <t>2022-02-23</t>
        </is>
      </c>
      <c r="T576" t="inlineStr">
        <is>
          <t>Kraken 52 : 2022-02-10 - 2022-02-23</t>
        </is>
      </c>
      <c r="U576" t="inlineStr"/>
      <c r="V576" t="inlineStr"/>
      <c r="W576" t="inlineStr">
        <is>
          <t>2022-02-14T12:21:22-06:00</t>
        </is>
      </c>
      <c r="X576">
        <f>IFERROR(1/COUNTIF($I:$I,@$I:$I), 0)</f>
        <v/>
      </c>
    </row>
    <row r="577">
      <c r="A577">
        <f>HYPERLINK("https://drivetime.tpondemand.com/entity/127332", "127332")</f>
        <v/>
      </c>
      <c r="B577" t="inlineStr">
        <is>
          <t>[BC NEXT][Web] Dashboard - Top Nav Bridgecrest logo not refreshing page on click</t>
        </is>
      </c>
      <c r="C577" t="inlineStr">
        <is>
          <t>Bug</t>
        </is>
      </c>
      <c r="D577" t="inlineStr">
        <is>
          <t>Servicing: BC Next</t>
        </is>
      </c>
      <c r="E577" t="inlineStr">
        <is>
          <t>BC Digital Drakon</t>
        </is>
      </c>
      <c r="F577" t="inlineStr">
        <is>
          <t>06</t>
        </is>
      </c>
      <c r="G577" t="inlineStr">
        <is>
          <t>Joseph Kranak</t>
        </is>
      </c>
      <c r="H577" t="inlineStr">
        <is>
          <t>[BC NEXT][WEB] Phase 3: Dashboard</t>
        </is>
      </c>
      <c r="I577" t="inlineStr"/>
      <c r="J577" t="n">
        <v>0.1015972222222222</v>
      </c>
      <c r="K577" t="inlineStr"/>
      <c r="L577">
        <f>HYPERLINK("https://drivetime.tpondemand.com/entity/126371", "126371")</f>
        <v/>
      </c>
      <c r="M577" t="n">
        <v>0</v>
      </c>
      <c r="N577" t="inlineStr"/>
      <c r="O577" t="inlineStr">
        <is>
          <t>Done</t>
        </is>
      </c>
      <c r="P577" t="n">
        <v>1</v>
      </c>
      <c r="Q577" t="inlineStr"/>
      <c r="R577" t="inlineStr"/>
      <c r="S577" t="inlineStr"/>
      <c r="T577" t="inlineStr"/>
      <c r="U577" t="inlineStr"/>
      <c r="V577" t="inlineStr"/>
      <c r="W577" t="inlineStr">
        <is>
          <t>2022-02-10T15:39:46-06:00</t>
        </is>
      </c>
      <c r="X577">
        <f>IFERROR(1/COUNTIF($I:$I,@$I:$I), 0)</f>
        <v/>
      </c>
    </row>
    <row r="578">
      <c r="A578">
        <f>HYPERLINK("https://drivetime.tpondemand.com/entity/127367", "127367")</f>
        <v/>
      </c>
      <c r="B578" t="inlineStr">
        <is>
          <t>[BC NEXT][Web] Dashboard - Top Nav - Cursor not changing to pointer when hovering over bridgecrest logo</t>
        </is>
      </c>
      <c r="C578" t="inlineStr">
        <is>
          <t>Bug</t>
        </is>
      </c>
      <c r="D578" t="inlineStr">
        <is>
          <t>Servicing: BC Next</t>
        </is>
      </c>
      <c r="E578" t="inlineStr">
        <is>
          <t>BC Digital Drakon</t>
        </is>
      </c>
      <c r="F578" t="inlineStr">
        <is>
          <t>06</t>
        </is>
      </c>
      <c r="G578" t="inlineStr">
        <is>
          <t>Joseph Kranak</t>
        </is>
      </c>
      <c r="H578" t="inlineStr">
        <is>
          <t>[BC NEXT][WEB] Phase 3: Dashboard</t>
        </is>
      </c>
      <c r="I578" t="inlineStr"/>
      <c r="J578" t="n">
        <v>0.04347222222222222</v>
      </c>
      <c r="K578" t="inlineStr"/>
      <c r="L578">
        <f>HYPERLINK("https://drivetime.tpondemand.com/entity/126371", "126371")</f>
        <v/>
      </c>
      <c r="M578" t="n">
        <v>0</v>
      </c>
      <c r="N578" t="inlineStr"/>
      <c r="O578" t="inlineStr">
        <is>
          <t>Done</t>
        </is>
      </c>
      <c r="P578" t="n">
        <v>1</v>
      </c>
      <c r="Q578" t="inlineStr"/>
      <c r="R578" t="inlineStr"/>
      <c r="S578" t="inlineStr"/>
      <c r="T578" t="inlineStr"/>
      <c r="U578" t="inlineStr"/>
      <c r="V578" t="inlineStr"/>
      <c r="W578" t="inlineStr">
        <is>
          <t>2022-02-10T16:43:25-06:00</t>
        </is>
      </c>
      <c r="X578">
        <f>IFERROR(1/COUNTIF($I:$I,@$I:$I), 0)</f>
        <v/>
      </c>
    </row>
    <row r="579">
      <c r="A579">
        <f>HYPERLINK("https://drivetime.tpondemand.com/entity/127400", "127400")</f>
        <v/>
      </c>
      <c r="B579" t="inlineStr">
        <is>
          <t>[BC NEXT][Web] Dashboard - Top Nav - Links not staying underlined when active</t>
        </is>
      </c>
      <c r="C579" t="inlineStr">
        <is>
          <t>Bug</t>
        </is>
      </c>
      <c r="D579" t="inlineStr">
        <is>
          <t>Servicing: BC Next</t>
        </is>
      </c>
      <c r="E579" t="inlineStr">
        <is>
          <t>BC Digital Drakon</t>
        </is>
      </c>
      <c r="F579" t="inlineStr">
        <is>
          <t>07</t>
        </is>
      </c>
      <c r="G579" t="inlineStr">
        <is>
          <t>Joseph Kranak</t>
        </is>
      </c>
      <c r="H579" t="inlineStr">
        <is>
          <t>[BC NEXT][WEB] Phase 3: Dashboard</t>
        </is>
      </c>
      <c r="I579" t="inlineStr"/>
      <c r="J579" t="n">
        <v>2.974953703703703</v>
      </c>
      <c r="K579">
        <f>HYPERLINK("https://drivetime.tpondemand.com/entity/127093", "127093")</f>
        <v/>
      </c>
      <c r="L579">
        <f>HYPERLINK("https://drivetime.tpondemand.com/entity/126371", "126371")</f>
        <v/>
      </c>
      <c r="M579" t="n">
        <v>0</v>
      </c>
      <c r="N579" t="inlineStr"/>
      <c r="O579" t="inlineStr">
        <is>
          <t>Done</t>
        </is>
      </c>
      <c r="P579" t="n">
        <v>1</v>
      </c>
      <c r="Q579" t="inlineStr"/>
      <c r="R579" t="inlineStr"/>
      <c r="S579" t="inlineStr"/>
      <c r="T579" t="inlineStr"/>
      <c r="U579" t="inlineStr"/>
      <c r="V579" t="inlineStr"/>
      <c r="W579" t="inlineStr">
        <is>
          <t>2022-02-14T12:20:08-06:00</t>
        </is>
      </c>
      <c r="X579">
        <f>IFERROR(1/COUNTIF($I:$I,@$I:$I), 0)</f>
        <v/>
      </c>
    </row>
    <row r="580">
      <c r="A580">
        <f>HYPERLINK("https://drivetime.tpondemand.com/entity/127449", "127449")</f>
        <v/>
      </c>
      <c r="B580" t="inlineStr">
        <is>
          <t>[BC NEXT] AutoPay: Pending Modal showing on select an account page</t>
        </is>
      </c>
      <c r="C580" t="inlineStr">
        <is>
          <t>Bug</t>
        </is>
      </c>
      <c r="D580" t="inlineStr">
        <is>
          <t>Servicing: BC Next</t>
        </is>
      </c>
      <c r="E580" t="inlineStr">
        <is>
          <t>BC Digital Drakon</t>
        </is>
      </c>
      <c r="F580" t="inlineStr">
        <is>
          <t>07</t>
        </is>
      </c>
      <c r="G580" t="inlineStr">
        <is>
          <t>Antonio Posada</t>
        </is>
      </c>
      <c r="H580" t="inlineStr">
        <is>
          <t>[BC NEXT] Prior to Launch Tech Investment</t>
        </is>
      </c>
      <c r="I580" t="inlineStr"/>
      <c r="J580" t="n">
        <v>3.955856481481481</v>
      </c>
      <c r="K580" t="inlineStr"/>
      <c r="L580">
        <f>HYPERLINK("https://drivetime.tpondemand.com/entity/125686", "125686")</f>
        <v/>
      </c>
      <c r="M580" t="n">
        <v>0</v>
      </c>
      <c r="N580" t="n">
        <v>126419</v>
      </c>
      <c r="O580" t="inlineStr">
        <is>
          <t>Done</t>
        </is>
      </c>
      <c r="P580" t="n">
        <v>1</v>
      </c>
      <c r="Q580" t="inlineStr">
        <is>
          <t>Kraken 52</t>
        </is>
      </c>
      <c r="R580" t="inlineStr">
        <is>
          <t>2022-02-10</t>
        </is>
      </c>
      <c r="S580" t="inlineStr">
        <is>
          <t>2022-02-23</t>
        </is>
      </c>
      <c r="T580" t="inlineStr">
        <is>
          <t>Kraken 52 : 2022-02-10 - 2022-02-23</t>
        </is>
      </c>
      <c r="U580" t="inlineStr"/>
      <c r="V580" t="inlineStr"/>
      <c r="W580" t="inlineStr">
        <is>
          <t>2022-02-18T14:26:42-06:00</t>
        </is>
      </c>
      <c r="X580">
        <f>IFERROR(1/COUNTIF($I:$I,@$I:$I), 0)</f>
        <v/>
      </c>
    </row>
    <row r="581">
      <c r="A581">
        <f>HYPERLINK("https://drivetime.tpondemand.com/entity/127451", "127451")</f>
        <v/>
      </c>
      <c r="B581" t="inlineStr">
        <is>
          <t>[BC NEXT] AutoPay: Header(Bridgecrest) is cutting off</t>
        </is>
      </c>
      <c r="C581" t="inlineStr">
        <is>
          <t>Bug</t>
        </is>
      </c>
      <c r="D581" t="inlineStr">
        <is>
          <t>Servicing: BC Next</t>
        </is>
      </c>
      <c r="E581" t="inlineStr">
        <is>
          <t>BC Digital Drakon</t>
        </is>
      </c>
      <c r="F581" t="inlineStr">
        <is>
          <t>07</t>
        </is>
      </c>
      <c r="G581" t="inlineStr"/>
      <c r="H581" t="inlineStr">
        <is>
          <t>[BC NEXT] Prior to Launch Tech Investment</t>
        </is>
      </c>
      <c r="I581" t="inlineStr"/>
      <c r="J581" t="n">
        <v>0</v>
      </c>
      <c r="K581" t="inlineStr"/>
      <c r="L581">
        <f>HYPERLINK("https://drivetime.tpondemand.com/entity/125686", "125686")</f>
        <v/>
      </c>
      <c r="M581" t="n">
        <v>0</v>
      </c>
      <c r="N581" t="n">
        <v>126419</v>
      </c>
      <c r="O581" t="inlineStr">
        <is>
          <t>Done</t>
        </is>
      </c>
      <c r="P581" t="n">
        <v>1</v>
      </c>
      <c r="Q581" t="inlineStr">
        <is>
          <t>Kraken 52</t>
        </is>
      </c>
      <c r="R581" t="inlineStr">
        <is>
          <t>2022-02-10</t>
        </is>
      </c>
      <c r="S581" t="inlineStr">
        <is>
          <t>2022-02-23</t>
        </is>
      </c>
      <c r="T581" t="inlineStr">
        <is>
          <t>Kraken 52 : 2022-02-10 - 2022-02-23</t>
        </is>
      </c>
      <c r="U581" t="inlineStr"/>
      <c r="V581" t="inlineStr"/>
      <c r="W581" t="inlineStr">
        <is>
          <t>2022-02-17T10:07:55-06:00</t>
        </is>
      </c>
      <c r="X581">
        <f>IFERROR(1/COUNTIF($I:$I,@$I:$I), 0)</f>
        <v/>
      </c>
    </row>
    <row r="582">
      <c r="A582">
        <f>HYPERLINK("https://drivetime.tpondemand.com/entity/127483", "127483")</f>
        <v/>
      </c>
      <c r="B582" t="inlineStr">
        <is>
          <t>[BC NEXT][Web] Dashboard - Banners UI Banner width not aligning on larger screens</t>
        </is>
      </c>
      <c r="C582" t="inlineStr">
        <is>
          <t>Bug</t>
        </is>
      </c>
      <c r="D582" t="inlineStr">
        <is>
          <t>Servicing: BC Next</t>
        </is>
      </c>
      <c r="E582" t="inlineStr">
        <is>
          <t>BC Digital Drakon</t>
        </is>
      </c>
      <c r="F582" t="inlineStr">
        <is>
          <t>07</t>
        </is>
      </c>
      <c r="G582" t="inlineStr">
        <is>
          <t>Chirag Khandhar</t>
        </is>
      </c>
      <c r="H582" t="inlineStr">
        <is>
          <t>[BC NEXT][WEB] Phase 3: Dashboard</t>
        </is>
      </c>
      <c r="I582" t="inlineStr"/>
      <c r="J582" t="n">
        <v>1.707743055555556</v>
      </c>
      <c r="K582" t="inlineStr"/>
      <c r="L582">
        <f>HYPERLINK("https://drivetime.tpondemand.com/entity/126380", "126380")</f>
        <v/>
      </c>
      <c r="M582" t="n">
        <v>0</v>
      </c>
      <c r="N582" t="inlineStr"/>
      <c r="O582" t="inlineStr">
        <is>
          <t>Done</t>
        </is>
      </c>
      <c r="P582" t="n">
        <v>1</v>
      </c>
      <c r="Q582" t="inlineStr"/>
      <c r="R582" t="inlineStr"/>
      <c r="S582" t="inlineStr"/>
      <c r="T582" t="inlineStr"/>
      <c r="U582" t="inlineStr"/>
      <c r="V582" t="inlineStr"/>
      <c r="W582" t="inlineStr">
        <is>
          <t>2022-02-17T09:33:41-06:00</t>
        </is>
      </c>
      <c r="X582">
        <f>IFERROR(1/COUNTIF($I:$I,@$I:$I), 0)</f>
        <v/>
      </c>
    </row>
    <row r="583">
      <c r="A583">
        <f>HYPERLINK("https://drivetime.tpondemand.com/entity/127607", "127607")</f>
        <v/>
      </c>
      <c r="B583" t="inlineStr">
        <is>
          <t>[BC NEXT] AutoPay - Pending Payment Modal: On AP past due flow, the pen modal is not displayed on step 1</t>
        </is>
      </c>
      <c r="C583" t="inlineStr">
        <is>
          <t>Bug</t>
        </is>
      </c>
      <c r="D583" t="inlineStr">
        <is>
          <t>Servicing: BC Next</t>
        </is>
      </c>
      <c r="E583" t="inlineStr">
        <is>
          <t>BC Digital Drakon</t>
        </is>
      </c>
      <c r="F583" t="inlineStr">
        <is>
          <t>07</t>
        </is>
      </c>
      <c r="G583" t="inlineStr">
        <is>
          <t>Antonio Posada</t>
        </is>
      </c>
      <c r="H583" t="inlineStr">
        <is>
          <t>[BC NEXT] Prior to Launch Tech Investment</t>
        </is>
      </c>
      <c r="I583" t="inlineStr"/>
      <c r="J583" t="n">
        <v>1.090115740740741</v>
      </c>
      <c r="K583" t="inlineStr"/>
      <c r="L583">
        <f>HYPERLINK("https://drivetime.tpondemand.com/entity/125686", "125686")</f>
        <v/>
      </c>
      <c r="M583" t="n">
        <v>0</v>
      </c>
      <c r="N583" t="n">
        <v>126419</v>
      </c>
      <c r="O583" t="inlineStr">
        <is>
          <t>Done</t>
        </is>
      </c>
      <c r="P583" t="n">
        <v>1</v>
      </c>
      <c r="Q583" t="inlineStr">
        <is>
          <t>Kraken 52</t>
        </is>
      </c>
      <c r="R583" t="inlineStr">
        <is>
          <t>2022-02-10</t>
        </is>
      </c>
      <c r="S583" t="inlineStr">
        <is>
          <t>2022-02-23</t>
        </is>
      </c>
      <c r="T583" t="inlineStr">
        <is>
          <t>Kraken 52 : 2022-02-10 - 2022-02-23</t>
        </is>
      </c>
      <c r="U583" t="inlineStr"/>
      <c r="V583" t="inlineStr"/>
      <c r="W583" t="inlineStr">
        <is>
          <t>2022-02-18T14:26:53-06:00</t>
        </is>
      </c>
      <c r="X583">
        <f>IFERROR(1/COUNTIF($I:$I,@$I:$I), 0)</f>
        <v/>
      </c>
    </row>
    <row r="584">
      <c r="A584">
        <f>HYPERLINK("https://drivetime.tpondemand.com/entity/127628", "127628")</f>
        <v/>
      </c>
      <c r="B584" t="inlineStr">
        <is>
          <t>Customer service/payoff quote alignment differing from comps</t>
        </is>
      </c>
      <c r="C584" t="inlineStr">
        <is>
          <t>Bug</t>
        </is>
      </c>
      <c r="D584" t="inlineStr">
        <is>
          <t>Servicing: BC Next</t>
        </is>
      </c>
      <c r="E584" t="inlineStr">
        <is>
          <t>BC Digital Drakon</t>
        </is>
      </c>
      <c r="F584" t="inlineStr">
        <is>
          <t>07</t>
        </is>
      </c>
      <c r="G584" t="inlineStr">
        <is>
          <t>Namratha Chilukuri</t>
        </is>
      </c>
      <c r="H584" t="inlineStr">
        <is>
          <t>[BC NEXT][WEB] Phase 3: Dashboard</t>
        </is>
      </c>
      <c r="I584" t="inlineStr"/>
      <c r="J584" t="n">
        <v>1.072083333333333</v>
      </c>
      <c r="K584" t="inlineStr"/>
      <c r="L584">
        <f>HYPERLINK("https://drivetime.tpondemand.com/entity/126376", "126376")</f>
        <v/>
      </c>
      <c r="M584" t="n">
        <v>0</v>
      </c>
      <c r="N584" t="inlineStr"/>
      <c r="O584" t="inlineStr">
        <is>
          <t>Done</t>
        </is>
      </c>
      <c r="P584" t="n">
        <v>1</v>
      </c>
      <c r="Q584" t="inlineStr"/>
      <c r="R584" t="inlineStr"/>
      <c r="S584" t="inlineStr"/>
      <c r="T584" t="inlineStr"/>
      <c r="U584" t="inlineStr"/>
      <c r="V584" t="inlineStr"/>
      <c r="W584" t="inlineStr">
        <is>
          <t>2022-02-18T15:34:03-06:00</t>
        </is>
      </c>
      <c r="X584">
        <f>IFERROR(1/COUNTIF($I:$I,@$I:$I), 0)</f>
        <v/>
      </c>
    </row>
    <row r="585">
      <c r="A585">
        <f>HYPERLINK("https://drivetime.tpondemand.com/entity/127828", "127828")</f>
        <v/>
      </c>
      <c r="B585" t="inlineStr">
        <is>
          <t>[BC NEXT][Web] Dashboard - Recent Activity - ADA elements not being selected when hitting 'enter'</t>
        </is>
      </c>
      <c r="C585" t="inlineStr">
        <is>
          <t>Bug</t>
        </is>
      </c>
      <c r="D585" t="inlineStr">
        <is>
          <t>Servicing: BC Next</t>
        </is>
      </c>
      <c r="E585" t="inlineStr">
        <is>
          <t>BC Digital Drakon</t>
        </is>
      </c>
      <c r="F585" t="inlineStr">
        <is>
          <t>09</t>
        </is>
      </c>
      <c r="G585" t="inlineStr">
        <is>
          <t>Joseph Kranak</t>
        </is>
      </c>
      <c r="H585" t="inlineStr">
        <is>
          <t>[BC NEXT][WEB] Phase 3: Dashboard</t>
        </is>
      </c>
      <c r="I585" t="inlineStr"/>
      <c r="J585" t="n">
        <v>4.983668981481482</v>
      </c>
      <c r="K585" t="inlineStr"/>
      <c r="L585">
        <f>HYPERLINK("https://drivetime.tpondemand.com/entity/126386", "126386")</f>
        <v/>
      </c>
      <c r="M585" t="n">
        <v>0</v>
      </c>
      <c r="N585" t="n">
        <v>126420</v>
      </c>
      <c r="O585" t="inlineStr">
        <is>
          <t>Done</t>
        </is>
      </c>
      <c r="P585" t="n">
        <v>1</v>
      </c>
      <c r="Q585" t="inlineStr">
        <is>
          <t>Drakon 1</t>
        </is>
      </c>
      <c r="R585" t="inlineStr">
        <is>
          <t>2022-02-24</t>
        </is>
      </c>
      <c r="S585" t="inlineStr">
        <is>
          <t>2022-03-09</t>
        </is>
      </c>
      <c r="T585" t="inlineStr">
        <is>
          <t>Drakon 1 : 2022-02-24 - 2022-03-09</t>
        </is>
      </c>
      <c r="U585" t="inlineStr"/>
      <c r="V585" t="inlineStr"/>
      <c r="W585" t="inlineStr">
        <is>
          <t>2022-03-01T10:54:54-06:00</t>
        </is>
      </c>
      <c r="X585">
        <f>IFERROR(1/COUNTIF($I:$I,@$I:$I), 0)</f>
        <v/>
      </c>
    </row>
    <row r="586">
      <c r="A586">
        <f>HYPERLINK("https://drivetime.tpondemand.com/entity/127919", "127919")</f>
        <v/>
      </c>
      <c r="B586" t="inlineStr">
        <is>
          <t>[BC NEXT][Web] Dashboard - Recent Activity - Stepper in AP flows not tabbing correctly</t>
        </is>
      </c>
      <c r="C586" t="inlineStr">
        <is>
          <t>Bug</t>
        </is>
      </c>
      <c r="D586" t="inlineStr">
        <is>
          <t>Servicing: BC Next</t>
        </is>
      </c>
      <c r="E586" t="inlineStr">
        <is>
          <t>BC Digital Drakon</t>
        </is>
      </c>
      <c r="F586" t="inlineStr">
        <is>
          <t>09</t>
        </is>
      </c>
      <c r="G586" t="inlineStr">
        <is>
          <t>Joseph Kranak</t>
        </is>
      </c>
      <c r="H586" t="inlineStr">
        <is>
          <t>[BC NEXT][WEB] Phase 3: Dashboard</t>
        </is>
      </c>
      <c r="I586" t="inlineStr"/>
      <c r="J586" t="n">
        <v>1.041597222222222</v>
      </c>
      <c r="K586" t="inlineStr"/>
      <c r="L586">
        <f>HYPERLINK("https://drivetime.tpondemand.com/entity/126386", "126386")</f>
        <v/>
      </c>
      <c r="M586" t="n">
        <v>0</v>
      </c>
      <c r="N586" t="n">
        <v>126420</v>
      </c>
      <c r="O586" t="inlineStr">
        <is>
          <t>Done</t>
        </is>
      </c>
      <c r="P586" t="n">
        <v>1</v>
      </c>
      <c r="Q586" t="inlineStr">
        <is>
          <t>Drakon 1</t>
        </is>
      </c>
      <c r="R586" t="inlineStr">
        <is>
          <t>2022-02-24</t>
        </is>
      </c>
      <c r="S586" t="inlineStr">
        <is>
          <t>2022-03-09</t>
        </is>
      </c>
      <c r="T586" t="inlineStr">
        <is>
          <t>Drakon 1 : 2022-02-24 - 2022-03-09</t>
        </is>
      </c>
      <c r="U586" t="inlineStr"/>
      <c r="V586" t="inlineStr"/>
      <c r="W586" t="inlineStr">
        <is>
          <t>2022-03-01T10:56:48-06:00</t>
        </is>
      </c>
      <c r="X586">
        <f>IFERROR(1/COUNTIF($I:$I,@$I:$I), 0)</f>
        <v/>
      </c>
    </row>
    <row r="587">
      <c r="A587">
        <f>HYPERLINK("https://drivetime.tpondemand.com/entity/128005", "128005")</f>
        <v/>
      </c>
      <c r="B587" t="inlineStr">
        <is>
          <t>[BC NEXT][Web] Dashboard - Side Nav: Fixing Footer Margin</t>
        </is>
      </c>
      <c r="C587" t="inlineStr">
        <is>
          <t>Bug</t>
        </is>
      </c>
      <c r="D587" t="inlineStr">
        <is>
          <t>Servicing: BC Next</t>
        </is>
      </c>
      <c r="E587" t="inlineStr">
        <is>
          <t>BC Digital Drakon</t>
        </is>
      </c>
      <c r="F587" t="inlineStr">
        <is>
          <t>09</t>
        </is>
      </c>
      <c r="G587" t="inlineStr">
        <is>
          <t>Abbas Shamshi</t>
        </is>
      </c>
      <c r="H587" t="inlineStr">
        <is>
          <t>[BC NEXT][WEB] Phase 3: Dashboard</t>
        </is>
      </c>
      <c r="I587" t="inlineStr"/>
      <c r="J587" t="n">
        <v>0.953761574074074</v>
      </c>
      <c r="K587">
        <f>HYPERLINK("https://drivetime.tpondemand.com/entity/128241", "128241")</f>
        <v/>
      </c>
      <c r="L587">
        <f>HYPERLINK("https://drivetime.tpondemand.com/entity/127001", "127001")</f>
        <v/>
      </c>
      <c r="M587" t="n">
        <v>0</v>
      </c>
      <c r="N587" t="n">
        <v>126420</v>
      </c>
      <c r="O587" t="inlineStr">
        <is>
          <t>Done</t>
        </is>
      </c>
      <c r="P587" t="n">
        <v>1</v>
      </c>
      <c r="Q587" t="inlineStr">
        <is>
          <t>Drakon 1</t>
        </is>
      </c>
      <c r="R587" t="inlineStr">
        <is>
          <t>2022-02-24</t>
        </is>
      </c>
      <c r="S587" t="inlineStr">
        <is>
          <t>2022-03-09</t>
        </is>
      </c>
      <c r="T587" t="inlineStr">
        <is>
          <t>Drakon 1 : 2022-02-24 - 2022-03-09</t>
        </is>
      </c>
      <c r="U587" t="inlineStr"/>
      <c r="V587" t="inlineStr"/>
      <c r="W587" t="inlineStr">
        <is>
          <t>2022-03-02T14:57:43-06:00</t>
        </is>
      </c>
      <c r="X587">
        <f>IFERROR(1/COUNTIF($I:$I,@$I:$I), 0)</f>
        <v/>
      </c>
    </row>
    <row r="588">
      <c r="A588">
        <f>HYPERLINK("https://drivetime.tpondemand.com/entity/128026", "128026")</f>
        <v/>
      </c>
      <c r="B588" t="inlineStr">
        <is>
          <t>[BC NEXT][WEB] Dashboard - Side Nav: Missing ARIA labels</t>
        </is>
      </c>
      <c r="C588" t="inlineStr">
        <is>
          <t>Bug</t>
        </is>
      </c>
      <c r="D588" t="inlineStr">
        <is>
          <t>Servicing: BC Next</t>
        </is>
      </c>
      <c r="E588" t="inlineStr">
        <is>
          <t>BC Digital Drakon</t>
        </is>
      </c>
      <c r="F588" t="inlineStr">
        <is>
          <t>10</t>
        </is>
      </c>
      <c r="G588" t="inlineStr">
        <is>
          <t>Abbas Shamshi</t>
        </is>
      </c>
      <c r="H588" t="inlineStr">
        <is>
          <t>[BC NEXT][WEB] Phase 3: Dashboard</t>
        </is>
      </c>
      <c r="I588" t="inlineStr"/>
      <c r="J588" t="n">
        <v>5.019155092592593</v>
      </c>
      <c r="K588">
        <f>HYPERLINK("https://drivetime.tpondemand.com/entity/128241", "128241")</f>
        <v/>
      </c>
      <c r="L588">
        <f>HYPERLINK("https://drivetime.tpondemand.com/entity/127001", "127001")</f>
        <v/>
      </c>
      <c r="M588" t="n">
        <v>0</v>
      </c>
      <c r="N588" t="n">
        <v>126420</v>
      </c>
      <c r="O588" t="inlineStr">
        <is>
          <t>Done</t>
        </is>
      </c>
      <c r="P588" t="n">
        <v>1</v>
      </c>
      <c r="Q588" t="inlineStr">
        <is>
          <t>Drakon 1</t>
        </is>
      </c>
      <c r="R588" t="inlineStr">
        <is>
          <t>2022-02-24</t>
        </is>
      </c>
      <c r="S588" t="inlineStr">
        <is>
          <t>2022-03-09</t>
        </is>
      </c>
      <c r="T588" t="inlineStr">
        <is>
          <t>Drakon 1 : 2022-02-24 - 2022-03-09</t>
        </is>
      </c>
      <c r="U588" t="inlineStr"/>
      <c r="V588" t="inlineStr"/>
      <c r="W588" t="inlineStr">
        <is>
          <t>2022-03-07T12:07:56-06:00</t>
        </is>
      </c>
      <c r="X588">
        <f>IFERROR(1/COUNTIF($I:$I,@$I:$I), 0)</f>
        <v/>
      </c>
    </row>
    <row r="589">
      <c r="A589">
        <f>HYPERLINK("https://drivetime.tpondemand.com/entity/128028", "128028")</f>
        <v/>
      </c>
      <c r="B589" t="inlineStr">
        <is>
          <t>[BC NEXT][WEB] Dashboard - Side Nav/Footer: App bottom nav not hidden</t>
        </is>
      </c>
      <c r="C589" t="inlineStr">
        <is>
          <t>Bug</t>
        </is>
      </c>
      <c r="D589" t="inlineStr">
        <is>
          <t>Servicing: BC Next</t>
        </is>
      </c>
      <c r="E589" t="inlineStr">
        <is>
          <t>BC Digital Drakon</t>
        </is>
      </c>
      <c r="F589" t="inlineStr">
        <is>
          <t>10</t>
        </is>
      </c>
      <c r="G589" t="inlineStr">
        <is>
          <t>Abbas Shamshi</t>
        </is>
      </c>
      <c r="H589" t="inlineStr">
        <is>
          <t>[BC NEXT][WEB] Phase 3: Dashboard</t>
        </is>
      </c>
      <c r="I589" t="inlineStr"/>
      <c r="J589" t="n">
        <v>5.010347222222222</v>
      </c>
      <c r="K589">
        <f>HYPERLINK("https://drivetime.tpondemand.com/entity/128241", "128241")</f>
        <v/>
      </c>
      <c r="L589">
        <f>HYPERLINK("https://drivetime.tpondemand.com/entity/127001", "127001")</f>
        <v/>
      </c>
      <c r="M589" t="n">
        <v>0</v>
      </c>
      <c r="N589" t="n">
        <v>126420</v>
      </c>
      <c r="O589" t="inlineStr">
        <is>
          <t>Done</t>
        </is>
      </c>
      <c r="P589" t="n">
        <v>1</v>
      </c>
      <c r="Q589" t="inlineStr">
        <is>
          <t>Drakon 1</t>
        </is>
      </c>
      <c r="R589" t="inlineStr">
        <is>
          <t>2022-02-24</t>
        </is>
      </c>
      <c r="S589" t="inlineStr">
        <is>
          <t>2022-03-09</t>
        </is>
      </c>
      <c r="T589" t="inlineStr">
        <is>
          <t>Drakon 1 : 2022-02-24 - 2022-03-09</t>
        </is>
      </c>
      <c r="U589" t="inlineStr"/>
      <c r="V589" t="inlineStr"/>
      <c r="W589" t="inlineStr">
        <is>
          <t>2022-03-07T12:06:05-06:00</t>
        </is>
      </c>
      <c r="X589">
        <f>IFERROR(1/COUNTIF($I:$I,@$I:$I), 0)</f>
        <v/>
      </c>
    </row>
    <row r="590">
      <c r="A590">
        <f>HYPERLINK("https://drivetime.tpondemand.com/entity/128031", "128031")</f>
        <v/>
      </c>
      <c r="B590" t="inlineStr">
        <is>
          <t>Footer white background not extending till screen's bottom</t>
        </is>
      </c>
      <c r="C590" t="inlineStr">
        <is>
          <t>Bug</t>
        </is>
      </c>
      <c r="D590" t="inlineStr">
        <is>
          <t>Servicing: BC Next</t>
        </is>
      </c>
      <c r="E590" t="inlineStr">
        <is>
          <t>BC Digital Drakon</t>
        </is>
      </c>
      <c r="F590" t="inlineStr">
        <is>
          <t>09</t>
        </is>
      </c>
      <c r="G590" t="inlineStr">
        <is>
          <t>Jesse McMahon</t>
        </is>
      </c>
      <c r="H590" t="inlineStr">
        <is>
          <t>[BC NEXT][WEB] Phase 3: Homepage</t>
        </is>
      </c>
      <c r="I590" t="inlineStr"/>
      <c r="J590" t="n">
        <v>1.103553240740741</v>
      </c>
      <c r="K590" t="inlineStr"/>
      <c r="L590" t="inlineStr"/>
      <c r="M590" t="n">
        <v>0</v>
      </c>
      <c r="N590" t="n">
        <v>126420</v>
      </c>
      <c r="O590" t="inlineStr">
        <is>
          <t>Done</t>
        </is>
      </c>
      <c r="P590" t="n">
        <v>1</v>
      </c>
      <c r="Q590" t="inlineStr">
        <is>
          <t>Drakon 1</t>
        </is>
      </c>
      <c r="R590" t="inlineStr">
        <is>
          <t>2022-02-24</t>
        </is>
      </c>
      <c r="S590" t="inlineStr">
        <is>
          <t>2022-03-09</t>
        </is>
      </c>
      <c r="T590" t="inlineStr">
        <is>
          <t>Drakon 1 : 2022-02-24 - 2022-03-09</t>
        </is>
      </c>
      <c r="U590" t="inlineStr"/>
      <c r="V590" t="inlineStr"/>
      <c r="W590" t="inlineStr">
        <is>
          <t>2022-03-03T12:23:20-06:00</t>
        </is>
      </c>
      <c r="X590">
        <f>IFERROR(1/COUNTIF($I:$I,@$I:$I), 0)</f>
        <v/>
      </c>
    </row>
    <row r="591">
      <c r="A591">
        <f>HYPERLINK("https://drivetime.tpondemand.com/entity/128070", "128070")</f>
        <v/>
      </c>
      <c r="B591" t="inlineStr">
        <is>
          <t>[BC NEXT][OBSERVATIONS][2] Email Verify Page Spacing Fix</t>
        </is>
      </c>
      <c r="C591" t="inlineStr">
        <is>
          <t>Bug</t>
        </is>
      </c>
      <c r="D591" t="inlineStr">
        <is>
          <t>Servicing: BC Next</t>
        </is>
      </c>
      <c r="E591" t="inlineStr">
        <is>
          <t>BC Digital Drakon</t>
        </is>
      </c>
      <c r="F591" t="inlineStr">
        <is>
          <t>09</t>
        </is>
      </c>
      <c r="G591" t="inlineStr">
        <is>
          <t>Antonio Posada</t>
        </is>
      </c>
      <c r="H591" t="inlineStr">
        <is>
          <t>[BC NEXT] Regression Testing &amp; App Bug Fixes</t>
        </is>
      </c>
      <c r="I591" t="inlineStr"/>
      <c r="J591" t="n">
        <v>0.8927777777777778</v>
      </c>
      <c r="K591">
        <f>HYPERLINK("https://drivetime.tpondemand.com/entity/128241", "128241")</f>
        <v/>
      </c>
      <c r="L591">
        <f>HYPERLINK("https://drivetime.tpondemand.com/entity/126910", "126910")</f>
        <v/>
      </c>
      <c r="M591" t="n">
        <v>0</v>
      </c>
      <c r="N591" t="n">
        <v>126420</v>
      </c>
      <c r="O591" t="inlineStr">
        <is>
          <t>Done</t>
        </is>
      </c>
      <c r="P591" t="n">
        <v>1</v>
      </c>
      <c r="Q591" t="inlineStr">
        <is>
          <t>Drakon 1</t>
        </is>
      </c>
      <c r="R591" t="inlineStr">
        <is>
          <t>2022-02-24</t>
        </is>
      </c>
      <c r="S591" t="inlineStr">
        <is>
          <t>2022-03-09</t>
        </is>
      </c>
      <c r="T591" t="inlineStr">
        <is>
          <t>Drakon 1 : 2022-02-24 - 2022-03-09</t>
        </is>
      </c>
      <c r="U591" t="inlineStr"/>
      <c r="V591" t="inlineStr"/>
      <c r="W591" t="inlineStr">
        <is>
          <t>2022-03-03T16:01:51-06:00</t>
        </is>
      </c>
      <c r="X591">
        <f>IFERROR(1/COUNTIF($I:$I,@$I:$I), 0)</f>
        <v/>
      </c>
    </row>
    <row r="592">
      <c r="A592">
        <f>HYPERLINK("https://drivetime.tpondemand.com/entity/128072", "128072")</f>
        <v/>
      </c>
      <c r="B592" t="inlineStr">
        <is>
          <t>[BC NEXT][OBSERVATIONS][2] Account Lookup Page : Error message fix</t>
        </is>
      </c>
      <c r="C592" t="inlineStr">
        <is>
          <t>Bug</t>
        </is>
      </c>
      <c r="D592" t="inlineStr">
        <is>
          <t>Servicing: BC Next</t>
        </is>
      </c>
      <c r="E592" t="inlineStr">
        <is>
          <t>BC Digital Drakon</t>
        </is>
      </c>
      <c r="F592" t="inlineStr">
        <is>
          <t>09</t>
        </is>
      </c>
      <c r="G592" t="inlineStr">
        <is>
          <t>Antonio Posada</t>
        </is>
      </c>
      <c r="H592" t="inlineStr">
        <is>
          <t>[BC NEXT] Regression Testing &amp; App Bug Fixes</t>
        </is>
      </c>
      <c r="I592" t="inlineStr"/>
      <c r="J592" t="n">
        <v>0.8932523148148148</v>
      </c>
      <c r="K592">
        <f>HYPERLINK("https://drivetime.tpondemand.com/entity/128241", "128241")</f>
        <v/>
      </c>
      <c r="L592">
        <f>HYPERLINK("https://drivetime.tpondemand.com/entity/126910", "126910")</f>
        <v/>
      </c>
      <c r="M592" t="n">
        <v>0</v>
      </c>
      <c r="N592" t="n">
        <v>126420</v>
      </c>
      <c r="O592" t="inlineStr">
        <is>
          <t>Done</t>
        </is>
      </c>
      <c r="P592" t="n">
        <v>1</v>
      </c>
      <c r="Q592" t="inlineStr">
        <is>
          <t>Drakon 1</t>
        </is>
      </c>
      <c r="R592" t="inlineStr">
        <is>
          <t>2022-02-24</t>
        </is>
      </c>
      <c r="S592" t="inlineStr">
        <is>
          <t>2022-03-09</t>
        </is>
      </c>
      <c r="T592" t="inlineStr">
        <is>
          <t>Drakon 1 : 2022-02-24 - 2022-03-09</t>
        </is>
      </c>
      <c r="U592" t="inlineStr"/>
      <c r="V592" t="inlineStr"/>
      <c r="W592" t="inlineStr">
        <is>
          <t>2022-03-03T16:02:06-06:00</t>
        </is>
      </c>
      <c r="X592">
        <f>IFERROR(1/COUNTIF($I:$I,@$I:$I), 0)</f>
        <v/>
      </c>
    </row>
    <row r="593">
      <c r="A593">
        <f>HYPERLINK("https://drivetime.tpondemand.com/entity/128091", "128091")</f>
        <v/>
      </c>
      <c r="B593" t="inlineStr">
        <is>
          <t>[BC NEXT][WEB] Dashboard - Replace app menu with side nav on mobile browser view</t>
        </is>
      </c>
      <c r="C593" t="inlineStr">
        <is>
          <t>Bug</t>
        </is>
      </c>
      <c r="D593" t="inlineStr">
        <is>
          <t>Servicing: BC Next</t>
        </is>
      </c>
      <c r="E593" t="inlineStr">
        <is>
          <t>BC Digital Drakon</t>
        </is>
      </c>
      <c r="F593" t="inlineStr">
        <is>
          <t>10</t>
        </is>
      </c>
      <c r="G593" t="inlineStr">
        <is>
          <t>Abbas Shamshi</t>
        </is>
      </c>
      <c r="H593" t="inlineStr">
        <is>
          <t>[BC NEXT][WEB] Phase 3: Dashboard</t>
        </is>
      </c>
      <c r="I593" t="inlineStr"/>
      <c r="J593" t="n">
        <v>0.8801273148148148</v>
      </c>
      <c r="K593">
        <f>HYPERLINK("https://drivetime.tpondemand.com/entity/128241", "128241")</f>
        <v/>
      </c>
      <c r="L593">
        <f>HYPERLINK("https://drivetime.tpondemand.com/entity/127001", "127001")</f>
        <v/>
      </c>
      <c r="M593" t="n">
        <v>0</v>
      </c>
      <c r="N593" t="n">
        <v>126420</v>
      </c>
      <c r="O593" t="inlineStr">
        <is>
          <t>Done</t>
        </is>
      </c>
      <c r="P593" t="n">
        <v>1</v>
      </c>
      <c r="Q593" t="inlineStr">
        <is>
          <t>Drakon 1</t>
        </is>
      </c>
      <c r="R593" t="inlineStr">
        <is>
          <t>2022-02-24</t>
        </is>
      </c>
      <c r="S593" t="inlineStr">
        <is>
          <t>2022-03-09</t>
        </is>
      </c>
      <c r="T593" t="inlineStr">
        <is>
          <t>Drakon 1 : 2022-02-24 - 2022-03-09</t>
        </is>
      </c>
      <c r="U593" t="inlineStr"/>
      <c r="V593" t="inlineStr"/>
      <c r="W593" t="inlineStr">
        <is>
          <t>2022-03-08T08:36:41-06:00</t>
        </is>
      </c>
      <c r="X593">
        <f>IFERROR(1/COUNTIF($I:$I,@$I:$I), 0)</f>
        <v/>
      </c>
    </row>
    <row r="594">
      <c r="A594">
        <f>HYPERLINK("https://drivetime.tpondemand.com/entity/128105", "128105")</f>
        <v/>
      </c>
      <c r="B594" t="inlineStr">
        <is>
          <t>[BC NEXT][OBSERVATIONS][2] Email registration page</t>
        </is>
      </c>
      <c r="C594" t="inlineStr">
        <is>
          <t>Bug</t>
        </is>
      </c>
      <c r="D594" t="inlineStr">
        <is>
          <t>Servicing: BC Next</t>
        </is>
      </c>
      <c r="E594" t="inlineStr">
        <is>
          <t>BC Digital Drakon</t>
        </is>
      </c>
      <c r="F594" t="inlineStr">
        <is>
          <t>10</t>
        </is>
      </c>
      <c r="G594" t="inlineStr">
        <is>
          <t>Antonio Posada</t>
        </is>
      </c>
      <c r="H594" t="inlineStr">
        <is>
          <t>[BC NEXT] Regression Testing &amp; App Bug Fixes</t>
        </is>
      </c>
      <c r="I594" t="inlineStr"/>
      <c r="J594" t="n">
        <v>3.703599537037037</v>
      </c>
      <c r="K594">
        <f>HYPERLINK("https://drivetime.tpondemand.com/entity/128241", "128241")</f>
        <v/>
      </c>
      <c r="L594">
        <f>HYPERLINK("https://drivetime.tpondemand.com/entity/126910", "126910")</f>
        <v/>
      </c>
      <c r="M594" t="n">
        <v>0</v>
      </c>
      <c r="N594" t="n">
        <v>126420</v>
      </c>
      <c r="O594" t="inlineStr">
        <is>
          <t>Done</t>
        </is>
      </c>
      <c r="P594" t="n">
        <v>1</v>
      </c>
      <c r="Q594" t="inlineStr">
        <is>
          <t>Drakon 1</t>
        </is>
      </c>
      <c r="R594" t="inlineStr">
        <is>
          <t>2022-02-24</t>
        </is>
      </c>
      <c r="S594" t="inlineStr">
        <is>
          <t>2022-03-09</t>
        </is>
      </c>
      <c r="T594" t="inlineStr">
        <is>
          <t>Drakon 1 : 2022-02-24 - 2022-03-09</t>
        </is>
      </c>
      <c r="U594" t="inlineStr"/>
      <c r="V594" t="inlineStr"/>
      <c r="W594" t="inlineStr">
        <is>
          <t>2022-03-07T10:51:02-06:00</t>
        </is>
      </c>
      <c r="X594">
        <f>IFERROR(1/COUNTIF($I:$I,@$I:$I), 0)</f>
        <v/>
      </c>
    </row>
    <row r="595">
      <c r="A595">
        <f>HYPERLINK("https://drivetime.tpondemand.com/entity/128159", "128159")</f>
        <v/>
      </c>
      <c r="B595" t="inlineStr">
        <is>
          <t>[BC NEXT][OBSERVATIONS] Bridgecrest logo &amp; Dashboard title overlapping on web mobile view</t>
        </is>
      </c>
      <c r="C595" t="inlineStr">
        <is>
          <t>Bug</t>
        </is>
      </c>
      <c r="D595" t="inlineStr">
        <is>
          <t>Servicing: BC Next</t>
        </is>
      </c>
      <c r="E595" t="inlineStr">
        <is>
          <t>BC Digital Drakon</t>
        </is>
      </c>
      <c r="F595" t="inlineStr">
        <is>
          <t>10</t>
        </is>
      </c>
      <c r="G595" t="inlineStr">
        <is>
          <t>Yokeshwaran Lokanathan</t>
        </is>
      </c>
      <c r="H595" t="inlineStr">
        <is>
          <t>[BC NEXT][WEB] Phase 3: Homepage</t>
        </is>
      </c>
      <c r="I595" t="inlineStr"/>
      <c r="J595" t="n">
        <v>0.04079861111111111</v>
      </c>
      <c r="K595">
        <f>HYPERLINK("https://drivetime.tpondemand.com/entity/128241", "128241")</f>
        <v/>
      </c>
      <c r="L595">
        <f>HYPERLINK("https://drivetime.tpondemand.com/entity/127170", "127170")</f>
        <v/>
      </c>
      <c r="M595" t="n">
        <v>0</v>
      </c>
      <c r="N595" t="n">
        <v>126420</v>
      </c>
      <c r="O595" t="inlineStr">
        <is>
          <t>Done</t>
        </is>
      </c>
      <c r="P595" t="n">
        <v>1</v>
      </c>
      <c r="Q595" t="inlineStr">
        <is>
          <t>Drakon 1</t>
        </is>
      </c>
      <c r="R595" t="inlineStr">
        <is>
          <t>2022-02-24</t>
        </is>
      </c>
      <c r="S595" t="inlineStr">
        <is>
          <t>2022-03-09</t>
        </is>
      </c>
      <c r="T595" t="inlineStr">
        <is>
          <t>Drakon 1 : 2022-02-24 - 2022-03-09</t>
        </is>
      </c>
      <c r="U595" t="inlineStr"/>
      <c r="V595" t="inlineStr"/>
      <c r="W595" t="inlineStr">
        <is>
          <t>2022-03-07T12:06:02-06:00</t>
        </is>
      </c>
      <c r="X595">
        <f>IFERROR(1/COUNTIF($I:$I,@$I:$I), 0)</f>
        <v/>
      </c>
    </row>
    <row r="596">
      <c r="A596">
        <f>HYPERLINK("https://drivetime.tpondemand.com/entity/128182", "128182")</f>
        <v/>
      </c>
      <c r="B596" t="inlineStr">
        <is>
          <t>Homepage Pixel Perfect - UAT Feedback from UX</t>
        </is>
      </c>
      <c r="C596" t="inlineStr">
        <is>
          <t>Bug</t>
        </is>
      </c>
      <c r="D596" t="inlineStr">
        <is>
          <t>Servicing: BC Next</t>
        </is>
      </c>
      <c r="E596" t="inlineStr">
        <is>
          <t>BC Digital Drakon</t>
        </is>
      </c>
      <c r="F596" t="inlineStr">
        <is>
          <t>10</t>
        </is>
      </c>
      <c r="G596" t="inlineStr">
        <is>
          <t>Shyam Senthil Nathan</t>
        </is>
      </c>
      <c r="H596" t="inlineStr">
        <is>
          <t>[BC NEXT][WEB] Phase 3: Homepage</t>
        </is>
      </c>
      <c r="I596" t="inlineStr"/>
      <c r="J596" t="n">
        <v>0.9108564814814815</v>
      </c>
      <c r="K596">
        <f>HYPERLINK("https://drivetime.tpondemand.com/entity/128278", "128278")</f>
        <v/>
      </c>
      <c r="L596">
        <f>HYPERLINK("https://drivetime.tpondemand.com/entity/127564", "127564")</f>
        <v/>
      </c>
      <c r="M596" t="n">
        <v>0</v>
      </c>
      <c r="N596" t="n">
        <v>126420</v>
      </c>
      <c r="O596" t="inlineStr">
        <is>
          <t>Done</t>
        </is>
      </c>
      <c r="P596" t="n">
        <v>1</v>
      </c>
      <c r="Q596" t="inlineStr">
        <is>
          <t>Drakon 1</t>
        </is>
      </c>
      <c r="R596" t="inlineStr">
        <is>
          <t>2022-02-24</t>
        </is>
      </c>
      <c r="S596" t="inlineStr">
        <is>
          <t>2022-03-09</t>
        </is>
      </c>
      <c r="T596" t="inlineStr">
        <is>
          <t>Drakon 1 : 2022-02-24 - 2022-03-09</t>
        </is>
      </c>
      <c r="U596" t="inlineStr"/>
      <c r="V596" t="inlineStr"/>
      <c r="W596" t="inlineStr">
        <is>
          <t>2022-03-08T14:30:40-06:00</t>
        </is>
      </c>
      <c r="X596">
        <f>IFERROR(1/COUNTIF($I:$I,@$I:$I), 0)</f>
        <v/>
      </c>
    </row>
    <row r="597">
      <c r="A597">
        <f>HYPERLINK("https://drivetime.tpondemand.com/entity/128220", "128220")</f>
        <v/>
      </c>
      <c r="B597" t="inlineStr">
        <is>
          <t>Update Registration Page - Line not breaking to 2 when text too long</t>
        </is>
      </c>
      <c r="C597" t="inlineStr">
        <is>
          <t>Bug</t>
        </is>
      </c>
      <c r="D597" t="inlineStr">
        <is>
          <t>Servicing: BC Next</t>
        </is>
      </c>
      <c r="E597" t="inlineStr">
        <is>
          <t>BC Digital Drakon</t>
        </is>
      </c>
      <c r="F597" t="inlineStr">
        <is>
          <t>10</t>
        </is>
      </c>
      <c r="G597" t="inlineStr"/>
      <c r="H597" t="inlineStr">
        <is>
          <t>[BC NEXT] Regression Testing &amp; App Bug Fixes</t>
        </is>
      </c>
      <c r="I597" t="inlineStr"/>
      <c r="J597" t="n">
        <v>0.008379629629629629</v>
      </c>
      <c r="K597">
        <f>HYPERLINK("https://drivetime.tpondemand.com/entity/128241", "128241")</f>
        <v/>
      </c>
      <c r="L597">
        <f>HYPERLINK("https://drivetime.tpondemand.com/entity/126910", "126910")</f>
        <v/>
      </c>
      <c r="M597" t="n">
        <v>0</v>
      </c>
      <c r="N597" t="n">
        <v>126420</v>
      </c>
      <c r="O597" t="inlineStr">
        <is>
          <t>Done</t>
        </is>
      </c>
      <c r="P597" t="n">
        <v>1</v>
      </c>
      <c r="Q597" t="inlineStr">
        <is>
          <t>Drakon 1</t>
        </is>
      </c>
      <c r="R597" t="inlineStr">
        <is>
          <t>2022-02-24</t>
        </is>
      </c>
      <c r="S597" t="inlineStr">
        <is>
          <t>2022-03-09</t>
        </is>
      </c>
      <c r="T597" t="inlineStr">
        <is>
          <t>Drakon 1 : 2022-02-24 - 2022-03-09</t>
        </is>
      </c>
      <c r="U597" t="inlineStr"/>
      <c r="V597" t="inlineStr"/>
      <c r="W597" t="inlineStr">
        <is>
          <t>2022-03-08T09:13:50-06:00</t>
        </is>
      </c>
      <c r="X597">
        <f>IFERROR(1/COUNTIF($I:$I,@$I:$I), 0)</f>
        <v/>
      </c>
    </row>
    <row r="598">
      <c r="A598">
        <f>HYPERLINK("https://drivetime.tpondemand.com/entity/128387", "128387")</f>
        <v/>
      </c>
      <c r="B598" t="inlineStr">
        <is>
          <t>[BC NEXT][WEB] Dashboard - Top and bottom padding on Account Summary Card off from comps</t>
        </is>
      </c>
      <c r="C598" t="inlineStr">
        <is>
          <t>Bug</t>
        </is>
      </c>
      <c r="D598" t="inlineStr">
        <is>
          <t>Servicing: BC Next</t>
        </is>
      </c>
      <c r="E598" t="inlineStr">
        <is>
          <t>BC Digital Drakon</t>
        </is>
      </c>
      <c r="F598" t="inlineStr">
        <is>
          <t>10</t>
        </is>
      </c>
      <c r="G598" t="inlineStr">
        <is>
          <t>Chirag Khandhar</t>
        </is>
      </c>
      <c r="H598" t="inlineStr">
        <is>
          <t>[BC NEXT][WEB] Phase 3: Dashboard</t>
        </is>
      </c>
      <c r="I598" t="inlineStr"/>
      <c r="J598" t="n">
        <v>0</v>
      </c>
      <c r="K598" t="inlineStr"/>
      <c r="L598">
        <f>HYPERLINK("https://drivetime.tpondemand.com/entity/126374", "126374")</f>
        <v/>
      </c>
      <c r="M598" t="n">
        <v>0</v>
      </c>
      <c r="N598" t="n">
        <v>126421</v>
      </c>
      <c r="O598" t="inlineStr">
        <is>
          <t>Done</t>
        </is>
      </c>
      <c r="P598" t="n">
        <v>1</v>
      </c>
      <c r="Q598" t="inlineStr">
        <is>
          <t>Drakon 2</t>
        </is>
      </c>
      <c r="R598" t="inlineStr">
        <is>
          <t>2022-03-10</t>
        </is>
      </c>
      <c r="S598" t="inlineStr">
        <is>
          <t>2022-03-23</t>
        </is>
      </c>
      <c r="T598" t="inlineStr">
        <is>
          <t>Drakon 2 : 2022-03-10 - 2022-03-23</t>
        </is>
      </c>
      <c r="U598" t="inlineStr"/>
      <c r="V598" t="inlineStr"/>
      <c r="W598" t="inlineStr">
        <is>
          <t>2022-03-11T14:39:28-06:00</t>
        </is>
      </c>
      <c r="X598">
        <f>IFERROR(1/COUNTIF($I:$I,@$I:$I), 0)</f>
        <v/>
      </c>
    </row>
    <row r="599">
      <c r="A599">
        <f>HYPERLINK("https://drivetime.tpondemand.com/entity/128397", "128397")</f>
        <v/>
      </c>
      <c r="B599" t="inlineStr">
        <is>
          <t>#128264 [BC NEXT][WEB] Analytic label</t>
        </is>
      </c>
      <c r="C599" t="inlineStr">
        <is>
          <t>Bug</t>
        </is>
      </c>
      <c r="D599" t="inlineStr">
        <is>
          <t>Servicing: BC Next</t>
        </is>
      </c>
      <c r="E599" t="inlineStr">
        <is>
          <t>BC Digital Drakon</t>
        </is>
      </c>
      <c r="F599" t="inlineStr">
        <is>
          <t>11</t>
        </is>
      </c>
      <c r="G599" t="inlineStr">
        <is>
          <t>Chirag Khandhar</t>
        </is>
      </c>
      <c r="H599" t="inlineStr">
        <is>
          <t>[BC NEXT][WEB] Phase 3: Dashboard</t>
        </is>
      </c>
      <c r="I599" t="inlineStr"/>
      <c r="J599" t="n">
        <v>1.228333333333333</v>
      </c>
      <c r="K599" t="inlineStr"/>
      <c r="L599">
        <f>HYPERLINK("https://drivetime.tpondemand.com/entity/128264", "128264")</f>
        <v/>
      </c>
      <c r="M599" t="n">
        <v>0</v>
      </c>
      <c r="N599" t="n">
        <v>126421</v>
      </c>
      <c r="O599" t="inlineStr">
        <is>
          <t>Done</t>
        </is>
      </c>
      <c r="P599" t="n">
        <v>1</v>
      </c>
      <c r="Q599" t="inlineStr">
        <is>
          <t>Drakon 2</t>
        </is>
      </c>
      <c r="R599" t="inlineStr">
        <is>
          <t>2022-03-10</t>
        </is>
      </c>
      <c r="S599" t="inlineStr">
        <is>
          <t>2022-03-23</t>
        </is>
      </c>
      <c r="T599" t="inlineStr">
        <is>
          <t>Drakon 2 : 2022-03-10 - 2022-03-23</t>
        </is>
      </c>
      <c r="U599" t="inlineStr"/>
      <c r="V599" t="inlineStr"/>
      <c r="W599" t="inlineStr">
        <is>
          <t>2022-03-17T16:25:57-05:00</t>
        </is>
      </c>
      <c r="X599">
        <f>IFERROR(1/COUNTIF($I:$I,@$I:$I), 0)</f>
        <v/>
      </c>
    </row>
    <row r="600">
      <c r="A600">
        <f>HYPERLINK("https://drivetime.tpondemand.com/entity/128455", "128455")</f>
        <v/>
      </c>
      <c r="B600" t="inlineStr">
        <is>
          <t>[BC NEXT][WEB] Modals - Scrollbar appearing when not needed</t>
        </is>
      </c>
      <c r="C600" t="inlineStr">
        <is>
          <t>Bug</t>
        </is>
      </c>
      <c r="D600" t="inlineStr">
        <is>
          <t>Servicing: BC Next</t>
        </is>
      </c>
      <c r="E600" t="inlineStr">
        <is>
          <t>BC Digital Drakon</t>
        </is>
      </c>
      <c r="F600" t="inlineStr">
        <is>
          <t>11</t>
        </is>
      </c>
      <c r="G600" t="inlineStr">
        <is>
          <t>Abbas Shamshi</t>
        </is>
      </c>
      <c r="H600" t="inlineStr">
        <is>
          <t>[BC NEXT][WEB] Phase 3: ACH One Time Payment</t>
        </is>
      </c>
      <c r="I600" t="inlineStr"/>
      <c r="J600" t="n">
        <v>0.1360763888888889</v>
      </c>
      <c r="K600">
        <f>HYPERLINK("https://drivetime.tpondemand.com/entity/128571", "128571")</f>
        <v/>
      </c>
      <c r="L600">
        <f>HYPERLINK("https://drivetime.tpondemand.com/entity/127931", "127931")</f>
        <v/>
      </c>
      <c r="M600" t="n">
        <v>0</v>
      </c>
      <c r="N600" t="n">
        <v>126421</v>
      </c>
      <c r="O600" t="inlineStr">
        <is>
          <t>Done</t>
        </is>
      </c>
      <c r="P600" t="n">
        <v>1</v>
      </c>
      <c r="Q600" t="inlineStr">
        <is>
          <t>Drakon 2</t>
        </is>
      </c>
      <c r="R600" t="inlineStr">
        <is>
          <t>2022-03-10</t>
        </is>
      </c>
      <c r="S600" t="inlineStr">
        <is>
          <t>2022-03-23</t>
        </is>
      </c>
      <c r="T600" t="inlineStr">
        <is>
          <t>Drakon 2 : 2022-03-10 - 2022-03-23</t>
        </is>
      </c>
      <c r="U600" t="inlineStr"/>
      <c r="V600" t="inlineStr"/>
      <c r="W600" t="inlineStr">
        <is>
          <t>2022-03-14T14:15:22-05:00</t>
        </is>
      </c>
      <c r="X600">
        <f>IFERROR(1/COUNTIF($I:$I,@$I:$I), 0)</f>
        <v/>
      </c>
    </row>
    <row r="601">
      <c r="A601">
        <f>HYPERLINK("https://drivetime.tpondemand.com/entity/128604", "128604")</f>
        <v/>
      </c>
      <c r="B601" t="inlineStr">
        <is>
          <t>OTP step 2 responsiveness off</t>
        </is>
      </c>
      <c r="C601" t="inlineStr">
        <is>
          <t>Bug</t>
        </is>
      </c>
      <c r="D601" t="inlineStr">
        <is>
          <t>Servicing: BC Next</t>
        </is>
      </c>
      <c r="E601" t="inlineStr">
        <is>
          <t>BC Digital Drakon</t>
        </is>
      </c>
      <c r="F601" t="inlineStr">
        <is>
          <t>11</t>
        </is>
      </c>
      <c r="G601" t="inlineStr">
        <is>
          <t>Chirag Khandhar</t>
        </is>
      </c>
      <c r="H601" t="inlineStr">
        <is>
          <t>[BC NEXT][WEB] Phase 3: ACH One Time Payment</t>
        </is>
      </c>
      <c r="I601" t="inlineStr"/>
      <c r="J601" t="n">
        <v>3.003356481481481</v>
      </c>
      <c r="K601">
        <f>HYPERLINK("https://drivetime.tpondemand.com/entity/129428", "129428")</f>
        <v/>
      </c>
      <c r="L601">
        <f>HYPERLINK("https://drivetime.tpondemand.com/entity/127710", "127710")</f>
        <v/>
      </c>
      <c r="M601" t="n">
        <v>0</v>
      </c>
      <c r="N601" t="n">
        <v>126422</v>
      </c>
      <c r="O601" t="inlineStr">
        <is>
          <t>Done</t>
        </is>
      </c>
      <c r="P601" t="n">
        <v>1</v>
      </c>
      <c r="Q601" t="inlineStr">
        <is>
          <t>Drakon 3</t>
        </is>
      </c>
      <c r="R601" t="inlineStr">
        <is>
          <t>2022-03-24</t>
        </is>
      </c>
      <c r="S601" t="inlineStr">
        <is>
          <t>2022-04-06</t>
        </is>
      </c>
      <c r="T601" t="inlineStr">
        <is>
          <t>Drakon 3 : 2022-03-24 - 2022-04-06</t>
        </is>
      </c>
      <c r="U601" t="inlineStr"/>
      <c r="V601" t="inlineStr"/>
      <c r="W601" t="inlineStr">
        <is>
          <t>2022-03-18T10:30:51-05:00</t>
        </is>
      </c>
      <c r="X601">
        <f>IFERROR(1/COUNTIF($I:$I,@$I:$I), 0)</f>
        <v/>
      </c>
    </row>
    <row r="602">
      <c r="A602">
        <f>HYPERLINK("https://drivetime.tpondemand.com/entity/128829", "128829")</f>
        <v/>
      </c>
      <c r="B602" t="inlineStr">
        <is>
          <t>OTP Swirly Visibility and Appearance</t>
        </is>
      </c>
      <c r="C602" t="inlineStr">
        <is>
          <t>Bug</t>
        </is>
      </c>
      <c r="D602" t="inlineStr">
        <is>
          <t>Servicing: BC Next</t>
        </is>
      </c>
      <c r="E602" t="inlineStr">
        <is>
          <t>BC Digital Drakon</t>
        </is>
      </c>
      <c r="F602" t="inlineStr">
        <is>
          <t>12</t>
        </is>
      </c>
      <c r="G602" t="inlineStr">
        <is>
          <t>Joseph Kranak</t>
        </is>
      </c>
      <c r="H602" t="inlineStr">
        <is>
          <t>[BC NEXT][WEB] Phase 3: ACH One Time Payment</t>
        </is>
      </c>
      <c r="I602" t="inlineStr"/>
      <c r="J602" t="n">
        <v>4.937719907407407</v>
      </c>
      <c r="K602">
        <f>HYPERLINK("https://drivetime.tpondemand.com/entity/129428", "129428")</f>
        <v/>
      </c>
      <c r="L602">
        <f>HYPERLINK("https://drivetime.tpondemand.com/entity/127921", "127921")</f>
        <v/>
      </c>
      <c r="M602" t="n">
        <v>0</v>
      </c>
      <c r="N602" t="n">
        <v>126421</v>
      </c>
      <c r="O602" t="inlineStr">
        <is>
          <t>Done</t>
        </is>
      </c>
      <c r="P602" t="n">
        <v>1</v>
      </c>
      <c r="Q602" t="inlineStr">
        <is>
          <t>Drakon 2</t>
        </is>
      </c>
      <c r="R602" t="inlineStr">
        <is>
          <t>2022-03-10</t>
        </is>
      </c>
      <c r="S602" t="inlineStr">
        <is>
          <t>2022-03-23</t>
        </is>
      </c>
      <c r="T602" t="inlineStr">
        <is>
          <t>Drakon 2 : 2022-03-10 - 2022-03-23</t>
        </is>
      </c>
      <c r="U602" t="inlineStr"/>
      <c r="V602" t="inlineStr"/>
      <c r="W602" t="inlineStr">
        <is>
          <t>2022-03-23T09:35:35-05:00</t>
        </is>
      </c>
      <c r="X602">
        <f>IFERROR(1/COUNTIF($I:$I,@$I:$I), 0)</f>
        <v/>
      </c>
    </row>
    <row r="603">
      <c r="A603">
        <f>HYPERLINK("https://drivetime.tpondemand.com/entity/128833", "128833")</f>
        <v/>
      </c>
      <c r="B603" t="inlineStr">
        <is>
          <t>Select a vehicle should be action sheet in app, not popover</t>
        </is>
      </c>
      <c r="C603" t="inlineStr">
        <is>
          <t>Bug</t>
        </is>
      </c>
      <c r="D603" t="inlineStr">
        <is>
          <t>Servicing: BC Next</t>
        </is>
      </c>
      <c r="E603" t="inlineStr">
        <is>
          <t>BC Digital Drakon</t>
        </is>
      </c>
      <c r="F603" t="inlineStr">
        <is>
          <t>12</t>
        </is>
      </c>
      <c r="G603" t="inlineStr">
        <is>
          <t>Jesse McMahon</t>
        </is>
      </c>
      <c r="H603" t="inlineStr">
        <is>
          <t>[BC NEXT][WEB] Phase 3: Dashboard</t>
        </is>
      </c>
      <c r="I603" t="inlineStr"/>
      <c r="J603" t="n">
        <v>4.018472222222222</v>
      </c>
      <c r="K603" t="inlineStr"/>
      <c r="L603">
        <f>HYPERLINK("https://drivetime.tpondemand.com/entity/126530", "126530")</f>
        <v/>
      </c>
      <c r="M603" t="n">
        <v>0</v>
      </c>
      <c r="N603" t="n">
        <v>126421</v>
      </c>
      <c r="O603" t="inlineStr">
        <is>
          <t>Done</t>
        </is>
      </c>
      <c r="P603" t="n">
        <v>1</v>
      </c>
      <c r="Q603" t="inlineStr">
        <is>
          <t>Drakon 2</t>
        </is>
      </c>
      <c r="R603" t="inlineStr">
        <is>
          <t>2022-03-10</t>
        </is>
      </c>
      <c r="S603" t="inlineStr">
        <is>
          <t>2022-03-23</t>
        </is>
      </c>
      <c r="T603" t="inlineStr">
        <is>
          <t>Drakon 2 : 2022-03-10 - 2022-03-23</t>
        </is>
      </c>
      <c r="U603" t="inlineStr"/>
      <c r="V603" t="inlineStr"/>
      <c r="W603" t="inlineStr">
        <is>
          <t>2022-03-25T11:02:42-05:00</t>
        </is>
      </c>
      <c r="X603">
        <f>IFERROR(1/COUNTIF($I:$I,@$I:$I), 0)</f>
        <v/>
      </c>
    </row>
    <row r="604">
      <c r="A604">
        <f>HYPERLINK("https://drivetime.tpondemand.com/entity/128894", "128894")</f>
        <v/>
      </c>
      <c r="B604" t="inlineStr">
        <is>
          <t>[BC NEXT][WEB] No Accounts Found - Customer Service link pointing to wrong environment</t>
        </is>
      </c>
      <c r="C604" t="inlineStr">
        <is>
          <t>Bug</t>
        </is>
      </c>
      <c r="D604" t="inlineStr">
        <is>
          <t>Servicing: BC Next</t>
        </is>
      </c>
      <c r="E604" t="inlineStr">
        <is>
          <t>BC Digital Drakon</t>
        </is>
      </c>
      <c r="F604" t="inlineStr">
        <is>
          <t>12</t>
        </is>
      </c>
      <c r="G604" t="inlineStr">
        <is>
          <t>Chirag Khandhar</t>
        </is>
      </c>
      <c r="H604" t="inlineStr">
        <is>
          <t>[BC NEXT][WEB] Phase 3: Dashboard</t>
        </is>
      </c>
      <c r="I604" t="inlineStr"/>
      <c r="J604" t="n">
        <v>0.9296412037037036</v>
      </c>
      <c r="K604" t="inlineStr"/>
      <c r="L604">
        <f>HYPERLINK("https://drivetime.tpondemand.com/entity/128264", "128264")</f>
        <v/>
      </c>
      <c r="M604" t="n">
        <v>0</v>
      </c>
      <c r="N604" t="n">
        <v>126421</v>
      </c>
      <c r="O604" t="inlineStr">
        <is>
          <t>Done</t>
        </is>
      </c>
      <c r="P604" t="n">
        <v>1</v>
      </c>
      <c r="Q604" t="inlineStr">
        <is>
          <t>Drakon 2</t>
        </is>
      </c>
      <c r="R604" t="inlineStr">
        <is>
          <t>2022-03-10</t>
        </is>
      </c>
      <c r="S604" t="inlineStr">
        <is>
          <t>2022-03-23</t>
        </is>
      </c>
      <c r="T604" t="inlineStr">
        <is>
          <t>Drakon 2 : 2022-03-10 - 2022-03-23</t>
        </is>
      </c>
      <c r="U604" t="inlineStr"/>
      <c r="V604" t="inlineStr"/>
      <c r="W604" t="inlineStr">
        <is>
          <t>2022-03-22T09:50:16-05:00</t>
        </is>
      </c>
      <c r="X604">
        <f>IFERROR(1/COUNTIF($I:$I,@$I:$I), 0)</f>
        <v/>
      </c>
    </row>
    <row r="605">
      <c r="A605">
        <f>HYPERLINK("https://drivetime.tpondemand.com/entity/128962", "128962")</f>
        <v/>
      </c>
      <c r="B605" t="inlineStr">
        <is>
          <t>[BC NEXT][WEB] Update action sheet/dropdown border colors to match comps</t>
        </is>
      </c>
      <c r="C605" t="inlineStr">
        <is>
          <t>Bug</t>
        </is>
      </c>
      <c r="D605" t="inlineStr">
        <is>
          <t>Servicing: BC Next</t>
        </is>
      </c>
      <c r="E605" t="inlineStr">
        <is>
          <t>BC Digital Drakon</t>
        </is>
      </c>
      <c r="F605" t="inlineStr">
        <is>
          <t>12</t>
        </is>
      </c>
      <c r="G605" t="inlineStr">
        <is>
          <t>Shyam Senthil Nathan</t>
        </is>
      </c>
      <c r="H605" t="inlineStr">
        <is>
          <t>[BC NEXT][WEB] Phase 3: Dashboard</t>
        </is>
      </c>
      <c r="I605" t="inlineStr"/>
      <c r="J605" t="n">
        <v>3.034918981481481</v>
      </c>
      <c r="K605" t="inlineStr"/>
      <c r="L605">
        <f>HYPERLINK("https://drivetime.tpondemand.com/entity/126834", "126834")</f>
        <v/>
      </c>
      <c r="M605" t="n">
        <v>0</v>
      </c>
      <c r="N605" t="n">
        <v>126421</v>
      </c>
      <c r="O605" t="inlineStr">
        <is>
          <t>Done</t>
        </is>
      </c>
      <c r="P605" t="n">
        <v>1</v>
      </c>
      <c r="Q605" t="inlineStr">
        <is>
          <t>Drakon 2</t>
        </is>
      </c>
      <c r="R605" t="inlineStr">
        <is>
          <t>2022-03-10</t>
        </is>
      </c>
      <c r="S605" t="inlineStr">
        <is>
          <t>2022-03-23</t>
        </is>
      </c>
      <c r="T605" t="inlineStr">
        <is>
          <t>Drakon 2 : 2022-03-10 - 2022-03-23</t>
        </is>
      </c>
      <c r="U605" t="inlineStr"/>
      <c r="V605" t="inlineStr"/>
      <c r="W605" t="inlineStr">
        <is>
          <t>2022-03-25T12:30:49-05:00</t>
        </is>
      </c>
      <c r="X605">
        <f>IFERROR(1/COUNTIF($I:$I,@$I:$I), 0)</f>
        <v/>
      </c>
    </row>
    <row r="606">
      <c r="A606">
        <f>HYPERLINK("https://drivetime.tpondemand.com/entity/128992", "128992")</f>
        <v/>
      </c>
      <c r="B606" t="inlineStr">
        <is>
          <t>Account Summary Slides size not equal on vehicle change</t>
        </is>
      </c>
      <c r="C606" t="inlineStr">
        <is>
          <t>Bug</t>
        </is>
      </c>
      <c r="D606" t="inlineStr">
        <is>
          <t>Servicing: BC Next</t>
        </is>
      </c>
      <c r="E606" t="inlineStr">
        <is>
          <t>BC Digital Drakon</t>
        </is>
      </c>
      <c r="F606" t="inlineStr">
        <is>
          <t>12</t>
        </is>
      </c>
      <c r="G606" t="inlineStr">
        <is>
          <t>Chirag Khandhar</t>
        </is>
      </c>
      <c r="H606" t="inlineStr">
        <is>
          <t>[BC NEXT][WEB] Phase 3: Dashboard</t>
        </is>
      </c>
      <c r="I606" t="inlineStr"/>
      <c r="J606" t="n">
        <v>1.880729166666667</v>
      </c>
      <c r="K606" t="inlineStr"/>
      <c r="L606">
        <f>HYPERLINK("https://drivetime.tpondemand.com/entity/126530", "126530")</f>
        <v/>
      </c>
      <c r="M606" t="n">
        <v>0</v>
      </c>
      <c r="N606" t="n">
        <v>126421</v>
      </c>
      <c r="O606" t="inlineStr">
        <is>
          <t>Done</t>
        </is>
      </c>
      <c r="P606" t="n">
        <v>1</v>
      </c>
      <c r="Q606" t="inlineStr">
        <is>
          <t>Drakon 2</t>
        </is>
      </c>
      <c r="R606" t="inlineStr">
        <is>
          <t>2022-03-10</t>
        </is>
      </c>
      <c r="S606" t="inlineStr">
        <is>
          <t>2022-03-23</t>
        </is>
      </c>
      <c r="T606" t="inlineStr">
        <is>
          <t>Drakon 2 : 2022-03-10 - 2022-03-23</t>
        </is>
      </c>
      <c r="U606" t="inlineStr"/>
      <c r="V606" t="inlineStr"/>
      <c r="W606" t="inlineStr">
        <is>
          <t>2022-03-25T10:54:45-05:00</t>
        </is>
      </c>
      <c r="X606">
        <f>IFERROR(1/COUNTIF($I:$I,@$I:$I), 0)</f>
        <v/>
      </c>
    </row>
    <row r="607">
      <c r="A607">
        <f>HYPERLINK("https://drivetime.tpondemand.com/entity/129080", "129080")</f>
        <v/>
      </c>
      <c r="B607" t="inlineStr">
        <is>
          <t>[BC NEXT][WEB] Incorrect analytic event on dropdown</t>
        </is>
      </c>
      <c r="C607" t="inlineStr">
        <is>
          <t>Bug</t>
        </is>
      </c>
      <c r="D607" t="inlineStr">
        <is>
          <t>Servicing: BC Next</t>
        </is>
      </c>
      <c r="E607" t="inlineStr">
        <is>
          <t>BC Digital Drakon</t>
        </is>
      </c>
      <c r="F607" t="inlineStr">
        <is>
          <t>12</t>
        </is>
      </c>
      <c r="G607" t="inlineStr">
        <is>
          <t>Jesse McMahon</t>
        </is>
      </c>
      <c r="H607" t="inlineStr">
        <is>
          <t>[BC NEXT][WEB] Phase 3: Dashboard</t>
        </is>
      </c>
      <c r="I607" t="inlineStr"/>
      <c r="J607" t="n">
        <v>1.183611111111111</v>
      </c>
      <c r="K607" t="inlineStr"/>
      <c r="L607">
        <f>HYPERLINK("https://drivetime.tpondemand.com/entity/126530", "126530")</f>
        <v/>
      </c>
      <c r="M607" t="n">
        <v>0</v>
      </c>
      <c r="N607" t="n">
        <v>126421</v>
      </c>
      <c r="O607" t="inlineStr">
        <is>
          <t>Done</t>
        </is>
      </c>
      <c r="P607" t="n">
        <v>1</v>
      </c>
      <c r="Q607" t="inlineStr">
        <is>
          <t>Drakon 2</t>
        </is>
      </c>
      <c r="R607" t="inlineStr">
        <is>
          <t>2022-03-10</t>
        </is>
      </c>
      <c r="S607" t="inlineStr">
        <is>
          <t>2022-03-23</t>
        </is>
      </c>
      <c r="T607" t="inlineStr">
        <is>
          <t>Drakon 2 : 2022-03-10 - 2022-03-23</t>
        </is>
      </c>
      <c r="U607" t="inlineStr"/>
      <c r="V607" t="inlineStr"/>
      <c r="W607" t="inlineStr">
        <is>
          <t>2022-03-25T15:19:27-05:00</t>
        </is>
      </c>
      <c r="X607">
        <f>IFERROR(1/COUNTIF($I:$I,@$I:$I), 0)</f>
        <v/>
      </c>
    </row>
    <row r="608">
      <c r="A608">
        <f>HYPERLINK("https://drivetime.tpondemand.com/entity/129192", "129192")</f>
        <v/>
      </c>
      <c r="B608" t="inlineStr">
        <is>
          <t>[BC NEXT][WEB] OTP - Success Page - Image and text not aligning with comps</t>
        </is>
      </c>
      <c r="C608" t="inlineStr">
        <is>
          <t>Bug</t>
        </is>
      </c>
      <c r="D608" t="inlineStr">
        <is>
          <t>Servicing: BC Next</t>
        </is>
      </c>
      <c r="E608" t="inlineStr">
        <is>
          <t>BC Digital Drakon</t>
        </is>
      </c>
      <c r="F608" t="inlineStr">
        <is>
          <t>13</t>
        </is>
      </c>
      <c r="G608" t="inlineStr">
        <is>
          <t>Shyam Senthil Nathan</t>
        </is>
      </c>
      <c r="H608" t="inlineStr">
        <is>
          <t>[BC NEXT][WEB] Phase 3: ACH One Time Payment</t>
        </is>
      </c>
      <c r="I608" t="inlineStr"/>
      <c r="J608" t="n">
        <v>1.031539351851852</v>
      </c>
      <c r="K608">
        <f>HYPERLINK("https://drivetime.tpondemand.com/entity/129428", "129428")</f>
        <v/>
      </c>
      <c r="L608">
        <f>HYPERLINK("https://drivetime.tpondemand.com/entity/127930", "127930")</f>
        <v/>
      </c>
      <c r="M608" t="n">
        <v>0</v>
      </c>
      <c r="N608" t="n">
        <v>126422</v>
      </c>
      <c r="O608" t="inlineStr">
        <is>
          <t>Done</t>
        </is>
      </c>
      <c r="P608" t="n">
        <v>1</v>
      </c>
      <c r="Q608" t="inlineStr">
        <is>
          <t>Drakon 3</t>
        </is>
      </c>
      <c r="R608" t="inlineStr">
        <is>
          <t>2022-03-24</t>
        </is>
      </c>
      <c r="S608" t="inlineStr">
        <is>
          <t>2022-04-06</t>
        </is>
      </c>
      <c r="T608" t="inlineStr">
        <is>
          <t>Drakon 3 : 2022-03-24 - 2022-04-06</t>
        </is>
      </c>
      <c r="U608" t="inlineStr"/>
      <c r="V608" t="inlineStr"/>
      <c r="W608" t="inlineStr">
        <is>
          <t>2022-03-29T10:53:34-05:00</t>
        </is>
      </c>
      <c r="X608">
        <f>IFERROR(1/COUNTIF($I:$I,@$I:$I), 0)</f>
        <v/>
      </c>
    </row>
    <row r="609">
      <c r="A609">
        <f>HYPERLINK("https://drivetime.tpondemand.com/entity/129244", "129244")</f>
        <v/>
      </c>
      <c r="B609" t="inlineStr">
        <is>
          <t>[BC NEXT] [WEB] Footer not showing in OTP Success Page</t>
        </is>
      </c>
      <c r="C609" t="inlineStr">
        <is>
          <t>Bug</t>
        </is>
      </c>
      <c r="D609" t="inlineStr">
        <is>
          <t>Servicing: BC Next</t>
        </is>
      </c>
      <c r="E609" t="inlineStr">
        <is>
          <t>BC Digital Drakon</t>
        </is>
      </c>
      <c r="F609" t="inlineStr">
        <is>
          <t>13</t>
        </is>
      </c>
      <c r="G609" t="inlineStr">
        <is>
          <t>Joseph Kranak</t>
        </is>
      </c>
      <c r="H609" t="inlineStr">
        <is>
          <t>[BC NEXT][WEB] Phase 3: ACH One Time Payment</t>
        </is>
      </c>
      <c r="I609" t="inlineStr"/>
      <c r="J609" t="n">
        <v>0.06863425925925926</v>
      </c>
      <c r="K609">
        <f>HYPERLINK("https://drivetime.tpondemand.com/entity/129428", "129428")</f>
        <v/>
      </c>
      <c r="L609">
        <f>HYPERLINK("https://drivetime.tpondemand.com/entity/127921", "127921")</f>
        <v/>
      </c>
      <c r="M609" t="n">
        <v>0</v>
      </c>
      <c r="N609" t="n">
        <v>126422</v>
      </c>
      <c r="O609" t="inlineStr">
        <is>
          <t>Done</t>
        </is>
      </c>
      <c r="P609" t="n">
        <v>1</v>
      </c>
      <c r="Q609" t="inlineStr">
        <is>
          <t>Drakon 3</t>
        </is>
      </c>
      <c r="R609" t="inlineStr">
        <is>
          <t>2022-03-24</t>
        </is>
      </c>
      <c r="S609" t="inlineStr">
        <is>
          <t>2022-04-06</t>
        </is>
      </c>
      <c r="T609" t="inlineStr">
        <is>
          <t>Drakon 3 : 2022-03-24 - 2022-04-06</t>
        </is>
      </c>
      <c r="U609" t="inlineStr"/>
      <c r="V609" t="inlineStr"/>
      <c r="W609" t="inlineStr">
        <is>
          <t>2022-03-29T15:30:18-05:00</t>
        </is>
      </c>
      <c r="X609">
        <f>IFERROR(1/COUNTIF($I:$I,@$I:$I), 0)</f>
        <v/>
      </c>
    </row>
    <row r="610">
      <c r="A610">
        <f>HYPERLINK("https://drivetime.tpondemand.com/entity/129293", "129293")</f>
        <v/>
      </c>
      <c r="B610" t="inlineStr">
        <is>
          <t>[BC NEXT][WEB] Button size does not match comps</t>
        </is>
      </c>
      <c r="C610" t="inlineStr">
        <is>
          <t>Bug</t>
        </is>
      </c>
      <c r="D610" t="inlineStr">
        <is>
          <t>Servicing: BC Next</t>
        </is>
      </c>
      <c r="E610" t="inlineStr">
        <is>
          <t>BC Digital Drakon</t>
        </is>
      </c>
      <c r="F610" t="inlineStr">
        <is>
          <t>13</t>
        </is>
      </c>
      <c r="G610" t="inlineStr">
        <is>
          <t>Chirag Khandhar</t>
        </is>
      </c>
      <c r="H610" t="inlineStr">
        <is>
          <t>[BC NEXT][WEB] Phase 3: ACH One Time Payment</t>
        </is>
      </c>
      <c r="I610" t="inlineStr"/>
      <c r="J610" t="n">
        <v>1.611921296296296</v>
      </c>
      <c r="K610">
        <f>HYPERLINK("https://drivetime.tpondemand.com/entity/129428", "129428")</f>
        <v/>
      </c>
      <c r="L610">
        <f>HYPERLINK("https://drivetime.tpondemand.com/entity/127710", "127710")</f>
        <v/>
      </c>
      <c r="M610" t="n">
        <v>0</v>
      </c>
      <c r="N610" t="n">
        <v>126422</v>
      </c>
      <c r="O610" t="inlineStr">
        <is>
          <t>Done</t>
        </is>
      </c>
      <c r="P610" t="n">
        <v>1</v>
      </c>
      <c r="Q610" t="inlineStr">
        <is>
          <t>Drakon 3</t>
        </is>
      </c>
      <c r="R610" t="inlineStr">
        <is>
          <t>2022-03-24</t>
        </is>
      </c>
      <c r="S610" t="inlineStr">
        <is>
          <t>2022-04-06</t>
        </is>
      </c>
      <c r="T610" t="inlineStr">
        <is>
          <t>Drakon 3 : 2022-03-24 - 2022-04-06</t>
        </is>
      </c>
      <c r="U610" t="inlineStr"/>
      <c r="V610" t="inlineStr"/>
      <c r="W610" t="inlineStr">
        <is>
          <t>2022-03-31T07:23:28-05:00</t>
        </is>
      </c>
      <c r="X610">
        <f>IFERROR(1/COUNTIF($I:$I,@$I:$I), 0)</f>
        <v/>
      </c>
    </row>
    <row r="611">
      <c r="A611">
        <f>HYPERLINK("https://drivetime.tpondemand.com/entity/129375", "129375")</f>
        <v/>
      </c>
      <c r="B611" t="inlineStr">
        <is>
          <t>[BC NEXT][WEB] Banners and vehicle dropdown not aligned with card</t>
        </is>
      </c>
      <c r="C611" t="inlineStr">
        <is>
          <t>Bug</t>
        </is>
      </c>
      <c r="D611" t="inlineStr">
        <is>
          <t>Servicing: BC Next</t>
        </is>
      </c>
      <c r="E611" t="inlineStr">
        <is>
          <t>BC Digital Drakon</t>
        </is>
      </c>
      <c r="F611" t="inlineStr">
        <is>
          <t>13</t>
        </is>
      </c>
      <c r="G611" t="inlineStr">
        <is>
          <t>Joseph Kranak</t>
        </is>
      </c>
      <c r="H611" t="inlineStr">
        <is>
          <t>[BC NEXT][WEB] Phase 3: Dashboard</t>
        </is>
      </c>
      <c r="I611" t="inlineStr"/>
      <c r="J611" t="n">
        <v>1.203576388888889</v>
      </c>
      <c r="K611">
        <f>HYPERLINK("https://drivetime.tpondemand.com/entity/129522", "129522")</f>
        <v/>
      </c>
      <c r="L611">
        <f>HYPERLINK("https://drivetime.tpondemand.com/entity/127574", "127574")</f>
        <v/>
      </c>
      <c r="M611" t="n">
        <v>0</v>
      </c>
      <c r="N611" t="n">
        <v>126422</v>
      </c>
      <c r="O611" t="inlineStr">
        <is>
          <t>Done</t>
        </is>
      </c>
      <c r="P611" t="n">
        <v>1</v>
      </c>
      <c r="Q611" t="inlineStr">
        <is>
          <t>Drakon 3</t>
        </is>
      </c>
      <c r="R611" t="inlineStr">
        <is>
          <t>2022-03-24</t>
        </is>
      </c>
      <c r="S611" t="inlineStr">
        <is>
          <t>2022-04-06</t>
        </is>
      </c>
      <c r="T611" t="inlineStr">
        <is>
          <t>Drakon 3 : 2022-03-24 - 2022-04-06</t>
        </is>
      </c>
      <c r="U611" t="inlineStr"/>
      <c r="V611" t="inlineStr"/>
      <c r="W611" t="inlineStr">
        <is>
          <t>2022-04-01T12:47:44-05:00</t>
        </is>
      </c>
      <c r="X611">
        <f>IFERROR(1/COUNTIF($I:$I,@$I:$I), 0)</f>
        <v/>
      </c>
    </row>
    <row r="612">
      <c r="A612">
        <f>HYPERLINK("https://drivetime.tpondemand.com/entity/129376", "129376")</f>
        <v/>
      </c>
      <c r="B612" t="inlineStr">
        <is>
          <t>[BC NEXT][WEB] Alignment off on second account summary card</t>
        </is>
      </c>
      <c r="C612" t="inlineStr">
        <is>
          <t>Bug</t>
        </is>
      </c>
      <c r="D612" t="inlineStr">
        <is>
          <t>Servicing: BC Next</t>
        </is>
      </c>
      <c r="E612" t="inlineStr">
        <is>
          <t>BC Digital Drakon</t>
        </is>
      </c>
      <c r="F612" t="inlineStr">
        <is>
          <t>13</t>
        </is>
      </c>
      <c r="G612" t="inlineStr">
        <is>
          <t>Joseph Kranak</t>
        </is>
      </c>
      <c r="H612" t="inlineStr">
        <is>
          <t>[BC NEXT][WEB] Phase 3: Dashboard</t>
        </is>
      </c>
      <c r="I612" t="inlineStr"/>
      <c r="J612" t="n">
        <v>1.203668981481481</v>
      </c>
      <c r="K612">
        <f>HYPERLINK("https://drivetime.tpondemand.com/entity/129522", "129522")</f>
        <v/>
      </c>
      <c r="L612">
        <f>HYPERLINK("https://drivetime.tpondemand.com/entity/127574", "127574")</f>
        <v/>
      </c>
      <c r="M612" t="n">
        <v>0</v>
      </c>
      <c r="N612" t="n">
        <v>126422</v>
      </c>
      <c r="O612" t="inlineStr">
        <is>
          <t>Done</t>
        </is>
      </c>
      <c r="P612" t="n">
        <v>1</v>
      </c>
      <c r="Q612" t="inlineStr">
        <is>
          <t>Drakon 3</t>
        </is>
      </c>
      <c r="R612" t="inlineStr">
        <is>
          <t>2022-03-24</t>
        </is>
      </c>
      <c r="S612" t="inlineStr">
        <is>
          <t>2022-04-06</t>
        </is>
      </c>
      <c r="T612" t="inlineStr">
        <is>
          <t>Drakon 3 : 2022-03-24 - 2022-04-06</t>
        </is>
      </c>
      <c r="U612" t="inlineStr"/>
      <c r="V612" t="inlineStr"/>
      <c r="W612" t="inlineStr">
        <is>
          <t>2022-04-01T12:47:50-05:00</t>
        </is>
      </c>
      <c r="X612">
        <f>IFERROR(1/COUNTIF($I:$I,@$I:$I), 0)</f>
        <v/>
      </c>
    </row>
    <row r="613">
      <c r="A613">
        <f>HYPERLINK("https://drivetime.tpondemand.com/entity/129568", "129568")</f>
        <v/>
      </c>
      <c r="B613" t="inlineStr">
        <is>
          <t>Dashboard - Hide links in Top/Side Nav</t>
        </is>
      </c>
      <c r="C613" t="inlineStr">
        <is>
          <t>Bug</t>
        </is>
      </c>
      <c r="D613" t="inlineStr">
        <is>
          <t>Servicing: BC Next</t>
        </is>
      </c>
      <c r="E613" t="inlineStr">
        <is>
          <t>BC Digital Drakon</t>
        </is>
      </c>
      <c r="F613" t="inlineStr">
        <is>
          <t>15</t>
        </is>
      </c>
      <c r="G613" t="inlineStr">
        <is>
          <t>Abbas Shamshi</t>
        </is>
      </c>
      <c r="H613" t="inlineStr">
        <is>
          <t>[BC NEXT][WEB] Phase 3: Dashboard</t>
        </is>
      </c>
      <c r="I613" t="inlineStr"/>
      <c r="J613" t="n">
        <v>9.116990740740741</v>
      </c>
      <c r="K613" t="inlineStr"/>
      <c r="L613">
        <f>HYPERLINK("https://drivetime.tpondemand.com/entity/128314", "128314")</f>
        <v/>
      </c>
      <c r="M613" t="n">
        <v>0</v>
      </c>
      <c r="N613" t="n">
        <v>129063</v>
      </c>
      <c r="O613" t="inlineStr">
        <is>
          <t>Done</t>
        </is>
      </c>
      <c r="P613" t="n">
        <v>1</v>
      </c>
      <c r="Q613" t="inlineStr">
        <is>
          <t>Drakon 4</t>
        </is>
      </c>
      <c r="R613" t="inlineStr">
        <is>
          <t>2022-04-07</t>
        </is>
      </c>
      <c r="S613" t="inlineStr">
        <is>
          <t>2022-04-20</t>
        </is>
      </c>
      <c r="T613" t="inlineStr">
        <is>
          <t>Drakon 4 : 2022-04-07 - 2022-04-20</t>
        </is>
      </c>
      <c r="U613" t="inlineStr"/>
      <c r="V613" t="inlineStr"/>
      <c r="W613" t="inlineStr">
        <is>
          <t>2022-04-14T16:59:47-05:00</t>
        </is>
      </c>
      <c r="X613">
        <f>IFERROR(1/COUNTIF($I:$I,@$I:$I), 0)</f>
        <v/>
      </c>
    </row>
    <row r="614">
      <c r="A614">
        <f>HYPERLINK("https://drivetime.tpondemand.com/entity/129743", "129743")</f>
        <v/>
      </c>
      <c r="B614" t="inlineStr">
        <is>
          <t>Incorrect Swirly Position in the mobile view</t>
        </is>
      </c>
      <c r="C614" t="inlineStr">
        <is>
          <t>Bug</t>
        </is>
      </c>
      <c r="D614" t="inlineStr">
        <is>
          <t>Servicing: BC Next</t>
        </is>
      </c>
      <c r="E614" t="inlineStr">
        <is>
          <t>BC Digital Drakon</t>
        </is>
      </c>
      <c r="F614" t="inlineStr">
        <is>
          <t>15</t>
        </is>
      </c>
      <c r="G614" t="inlineStr">
        <is>
          <t>Connor Golobich</t>
        </is>
      </c>
      <c r="H614" t="inlineStr">
        <is>
          <t>[BC NEXT][WEB] Phase 3: AutoPay Enrollment</t>
        </is>
      </c>
      <c r="I614" t="inlineStr"/>
      <c r="J614" t="n">
        <v>4.928425925925926</v>
      </c>
      <c r="K614">
        <f>HYPERLINK("https://drivetime.tpondemand.com/entity/131354", "131354")</f>
        <v/>
      </c>
      <c r="L614">
        <f>HYPERLINK("https://drivetime.tpondemand.com/entity/128051", "128051")</f>
        <v/>
      </c>
      <c r="M614" t="n">
        <v>0</v>
      </c>
      <c r="N614" t="n">
        <v>129063</v>
      </c>
      <c r="O614" t="inlineStr">
        <is>
          <t>Done</t>
        </is>
      </c>
      <c r="P614" t="n">
        <v>1</v>
      </c>
      <c r="Q614" t="inlineStr">
        <is>
          <t>Drakon 4</t>
        </is>
      </c>
      <c r="R614" t="inlineStr">
        <is>
          <t>2022-04-07</t>
        </is>
      </c>
      <c r="S614" t="inlineStr">
        <is>
          <t>2022-04-20</t>
        </is>
      </c>
      <c r="T614" t="inlineStr">
        <is>
          <t>Drakon 4 : 2022-04-07 - 2022-04-20</t>
        </is>
      </c>
      <c r="U614" t="inlineStr"/>
      <c r="V614" t="inlineStr"/>
      <c r="W614" t="inlineStr">
        <is>
          <t>2022-04-13T09:09:53-05:00</t>
        </is>
      </c>
      <c r="X614">
        <f>IFERROR(1/COUNTIF($I:$I,@$I:$I), 0)</f>
        <v/>
      </c>
    </row>
    <row r="615">
      <c r="A615">
        <f>HYPERLINK("https://drivetime.tpondemand.com/entity/129747", "129747")</f>
        <v/>
      </c>
      <c r="B615" t="inlineStr">
        <is>
          <t>Pending payments modal buttons spacing off</t>
        </is>
      </c>
      <c r="C615" t="inlineStr">
        <is>
          <t>Bug</t>
        </is>
      </c>
      <c r="D615" t="inlineStr">
        <is>
          <t>Servicing: BC Next</t>
        </is>
      </c>
      <c r="E615" t="inlineStr">
        <is>
          <t>BC Digital Drakon</t>
        </is>
      </c>
      <c r="F615" t="inlineStr">
        <is>
          <t>15</t>
        </is>
      </c>
      <c r="G615" t="inlineStr">
        <is>
          <t>Abbas Shamshi</t>
        </is>
      </c>
      <c r="H615" t="inlineStr">
        <is>
          <t>[BC NEXT][WEB] Phase 3: AutoPay Enrollment</t>
        </is>
      </c>
      <c r="I615" t="inlineStr"/>
      <c r="J615" t="n">
        <v>3.163553240740741</v>
      </c>
      <c r="K615">
        <f>HYPERLINK("https://drivetime.tpondemand.com/entity/131354", "131354")</f>
        <v/>
      </c>
      <c r="L615">
        <f>HYPERLINK("https://drivetime.tpondemand.com/entity/128048", "128048")</f>
        <v/>
      </c>
      <c r="M615" t="n">
        <v>0</v>
      </c>
      <c r="N615" t="n">
        <v>129063</v>
      </c>
      <c r="O615" t="inlineStr">
        <is>
          <t>Done</t>
        </is>
      </c>
      <c r="P615" t="n">
        <v>1</v>
      </c>
      <c r="Q615" t="inlineStr">
        <is>
          <t>Drakon 4</t>
        </is>
      </c>
      <c r="R615" t="inlineStr">
        <is>
          <t>2022-04-07</t>
        </is>
      </c>
      <c r="S615" t="inlineStr">
        <is>
          <t>2022-04-20</t>
        </is>
      </c>
      <c r="T615" t="inlineStr">
        <is>
          <t>Drakon 4 : 2022-04-07 - 2022-04-20</t>
        </is>
      </c>
      <c r="U615" t="inlineStr"/>
      <c r="V615" t="inlineStr"/>
      <c r="W615" t="inlineStr">
        <is>
          <t>2022-04-14T13:39:08-05:00</t>
        </is>
      </c>
      <c r="X615">
        <f>IFERROR(1/COUNTIF($I:$I,@$I:$I), 0)</f>
        <v/>
      </c>
    </row>
    <row r="616">
      <c r="A616">
        <f>HYPERLINK("https://drivetime.tpondemand.com/entity/129869", "129869")</f>
        <v/>
      </c>
      <c r="B616" t="inlineStr">
        <is>
          <t>#127960 [BC NEXT][WEB] AutoPay - Step 1: Bug: aria-label, Swirl not expanding, Aria label on checkbox</t>
        </is>
      </c>
      <c r="C616" t="inlineStr">
        <is>
          <t>Bug</t>
        </is>
      </c>
      <c r="D616" t="inlineStr">
        <is>
          <t>Servicing: BC Next</t>
        </is>
      </c>
      <c r="E616" t="inlineStr">
        <is>
          <t>BC Digital Drakon</t>
        </is>
      </c>
      <c r="F616" t="inlineStr">
        <is>
          <t>15</t>
        </is>
      </c>
      <c r="G616" t="inlineStr">
        <is>
          <t>Chirag Khandhar</t>
        </is>
      </c>
      <c r="H616" t="inlineStr">
        <is>
          <t>[BC NEXT][WEB] Phase 3: AutoPay Enrollment</t>
        </is>
      </c>
      <c r="I616" t="inlineStr"/>
      <c r="J616" t="n">
        <v>1.106504629629629</v>
      </c>
      <c r="K616">
        <f>HYPERLINK("https://drivetime.tpondemand.com/entity/131354", "131354")</f>
        <v/>
      </c>
      <c r="L616">
        <f>HYPERLINK("https://drivetime.tpondemand.com/entity/127960", "127960")</f>
        <v/>
      </c>
      <c r="M616" t="n">
        <v>0</v>
      </c>
      <c r="N616" t="n">
        <v>129063</v>
      </c>
      <c r="O616" t="inlineStr">
        <is>
          <t>Done</t>
        </is>
      </c>
      <c r="P616" t="n">
        <v>1</v>
      </c>
      <c r="Q616" t="inlineStr">
        <is>
          <t>Drakon 4</t>
        </is>
      </c>
      <c r="R616" t="inlineStr">
        <is>
          <t>2022-04-07</t>
        </is>
      </c>
      <c r="S616" t="inlineStr">
        <is>
          <t>2022-04-20</t>
        </is>
      </c>
      <c r="T616" t="inlineStr">
        <is>
          <t>Drakon 4 : 2022-04-07 - 2022-04-20</t>
        </is>
      </c>
      <c r="U616" t="inlineStr"/>
      <c r="V616" t="inlineStr"/>
      <c r="W616" t="inlineStr">
        <is>
          <t>2022-04-14T15:52:04-05:00</t>
        </is>
      </c>
      <c r="X616">
        <f>IFERROR(1/COUNTIF($I:$I,@$I:$I), 0)</f>
        <v/>
      </c>
    </row>
    <row r="617">
      <c r="A617">
        <f>HYPERLINK("https://drivetime.tpondemand.com/entity/129897", "129897")</f>
        <v/>
      </c>
      <c r="B617" t="inlineStr">
        <is>
          <t>Fix spinners and fix ADA</t>
        </is>
      </c>
      <c r="C617" t="inlineStr">
        <is>
          <t>Bug</t>
        </is>
      </c>
      <c r="D617" t="inlineStr">
        <is>
          <t>Servicing: BC Next</t>
        </is>
      </c>
      <c r="E617" t="inlineStr">
        <is>
          <t>BC Digital Drakon</t>
        </is>
      </c>
      <c r="F617" t="inlineStr">
        <is>
          <t>16</t>
        </is>
      </c>
      <c r="G617" t="inlineStr">
        <is>
          <t>Yokeshwaran Lokanathan</t>
        </is>
      </c>
      <c r="H617" t="inlineStr">
        <is>
          <t>[BC NEXT][WEB] Phase 3: AutoPay Enrollment</t>
        </is>
      </c>
      <c r="I617" t="inlineStr"/>
      <c r="J617" t="n">
        <v>7.758437499999999</v>
      </c>
      <c r="K617">
        <f>HYPERLINK("https://drivetime.tpondemand.com/entity/131354", "131354")</f>
        <v/>
      </c>
      <c r="L617">
        <f>HYPERLINK("https://drivetime.tpondemand.com/entity/127945", "127945")</f>
        <v/>
      </c>
      <c r="M617" t="n">
        <v>0</v>
      </c>
      <c r="N617" t="n">
        <v>129063</v>
      </c>
      <c r="O617" t="inlineStr">
        <is>
          <t>Done</t>
        </is>
      </c>
      <c r="P617" t="n">
        <v>1</v>
      </c>
      <c r="Q617" t="inlineStr">
        <is>
          <t>Drakon 4</t>
        </is>
      </c>
      <c r="R617" t="inlineStr">
        <is>
          <t>2022-04-07</t>
        </is>
      </c>
      <c r="S617" t="inlineStr">
        <is>
          <t>2022-04-20</t>
        </is>
      </c>
      <c r="T617" t="inlineStr">
        <is>
          <t>Drakon 4 : 2022-04-07 - 2022-04-20</t>
        </is>
      </c>
      <c r="U617" t="inlineStr"/>
      <c r="V617" t="inlineStr"/>
      <c r="W617" t="inlineStr">
        <is>
          <t>2022-04-19T11:16:43-05:00</t>
        </is>
      </c>
      <c r="X617">
        <f>IFERROR(1/COUNTIF($I:$I,@$I:$I), 0)</f>
        <v/>
      </c>
    </row>
    <row r="618">
      <c r="A618">
        <f>HYPERLINK("https://drivetime.tpondemand.com/entity/129948", "129948")</f>
        <v/>
      </c>
      <c r="B618" t="inlineStr">
        <is>
          <t>Incorrect screen reader behavior for SSL icon and Submit button</t>
        </is>
      </c>
      <c r="C618" t="inlineStr">
        <is>
          <t>Bug</t>
        </is>
      </c>
      <c r="D618" t="inlineStr">
        <is>
          <t>Servicing: BC Next</t>
        </is>
      </c>
      <c r="E618" t="inlineStr">
        <is>
          <t>BC Digital Drakon</t>
        </is>
      </c>
      <c r="F618" t="inlineStr">
        <is>
          <t>15</t>
        </is>
      </c>
      <c r="G618" t="inlineStr">
        <is>
          <t>Chirag Khandhar</t>
        </is>
      </c>
      <c r="H618" t="inlineStr">
        <is>
          <t>[BC NEXT][WEB] Phase 3: AutoPay Enrollment</t>
        </is>
      </c>
      <c r="I618" t="inlineStr"/>
      <c r="J618" t="n">
        <v>0.1317708333333333</v>
      </c>
      <c r="K618">
        <f>HYPERLINK("https://drivetime.tpondemand.com/entity/131354", "131354")</f>
        <v/>
      </c>
      <c r="L618">
        <f>HYPERLINK("https://drivetime.tpondemand.com/entity/127963", "127963")</f>
        <v/>
      </c>
      <c r="M618" t="n">
        <v>0</v>
      </c>
      <c r="N618" t="n">
        <v>129063</v>
      </c>
      <c r="O618" t="inlineStr">
        <is>
          <t>Done</t>
        </is>
      </c>
      <c r="P618" t="n">
        <v>1</v>
      </c>
      <c r="Q618" t="inlineStr">
        <is>
          <t>Drakon 4</t>
        </is>
      </c>
      <c r="R618" t="inlineStr">
        <is>
          <t>2022-04-07</t>
        </is>
      </c>
      <c r="S618" t="inlineStr">
        <is>
          <t>2022-04-20</t>
        </is>
      </c>
      <c r="T618" t="inlineStr">
        <is>
          <t>Drakon 4 : 2022-04-07 - 2022-04-20</t>
        </is>
      </c>
      <c r="U618" t="inlineStr"/>
      <c r="V618" t="inlineStr"/>
      <c r="W618" t="inlineStr">
        <is>
          <t>2022-04-14T12:58:39-05:00</t>
        </is>
      </c>
      <c r="X618">
        <f>IFERROR(1/COUNTIF($I:$I,@$I:$I), 0)</f>
        <v/>
      </c>
    </row>
    <row r="619">
      <c r="A619">
        <f>HYPERLINK("https://drivetime.tpondemand.com/entity/130083", "130083")</f>
        <v/>
      </c>
      <c r="B619" t="inlineStr">
        <is>
          <t>#127960 [BC NEXT][WEB] AutoPay - Step 1: Bug: Incorrect Aria label for Step indicators</t>
        </is>
      </c>
      <c r="C619" t="inlineStr">
        <is>
          <t>Bug</t>
        </is>
      </c>
      <c r="D619" t="inlineStr">
        <is>
          <t>Servicing: BC Next</t>
        </is>
      </c>
      <c r="E619" t="inlineStr">
        <is>
          <t>BC Digital Drakon</t>
        </is>
      </c>
      <c r="F619" t="inlineStr">
        <is>
          <t>16</t>
        </is>
      </c>
      <c r="G619" t="inlineStr">
        <is>
          <t>Chirag Khandhar</t>
        </is>
      </c>
      <c r="H619" t="inlineStr">
        <is>
          <t>[BC NEXT][WEB] Phase 3: AutoPay Enrollment</t>
        </is>
      </c>
      <c r="I619" t="inlineStr"/>
      <c r="J619" t="n">
        <v>4.766956018518519</v>
      </c>
      <c r="K619">
        <f>HYPERLINK("https://drivetime.tpondemand.com/entity/131354", "131354")</f>
        <v/>
      </c>
      <c r="L619">
        <f>HYPERLINK("https://drivetime.tpondemand.com/entity/127960", "127960")</f>
        <v/>
      </c>
      <c r="M619" t="n">
        <v>0</v>
      </c>
      <c r="N619" t="n">
        <v>129063</v>
      </c>
      <c r="O619" t="inlineStr">
        <is>
          <t>Done</t>
        </is>
      </c>
      <c r="P619" t="n">
        <v>1</v>
      </c>
      <c r="Q619" t="inlineStr">
        <is>
          <t>Drakon 4</t>
        </is>
      </c>
      <c r="R619" t="inlineStr">
        <is>
          <t>2022-04-07</t>
        </is>
      </c>
      <c r="S619" t="inlineStr">
        <is>
          <t>2022-04-20</t>
        </is>
      </c>
      <c r="T619" t="inlineStr">
        <is>
          <t>Drakon 4 : 2022-04-07 - 2022-04-20</t>
        </is>
      </c>
      <c r="U619" t="inlineStr"/>
      <c r="V619" t="inlineStr"/>
      <c r="W619" t="inlineStr">
        <is>
          <t>2022-04-19T11:13:48-05:00</t>
        </is>
      </c>
      <c r="X619">
        <f>IFERROR(1/COUNTIF($I:$I,@$I:$I), 0)</f>
        <v/>
      </c>
    </row>
    <row r="620">
      <c r="A620">
        <f>HYPERLINK("https://drivetime.tpondemand.com/entity/130095", "130095")</f>
        <v/>
      </c>
      <c r="B620" t="inlineStr">
        <is>
          <t>SSL image cut off when resizing</t>
        </is>
      </c>
      <c r="C620" t="inlineStr">
        <is>
          <t>Bug</t>
        </is>
      </c>
      <c r="D620" t="inlineStr">
        <is>
          <t>Servicing: BC Next</t>
        </is>
      </c>
      <c r="E620" t="inlineStr">
        <is>
          <t>BC Digital Drakon</t>
        </is>
      </c>
      <c r="F620" t="inlineStr">
        <is>
          <t>16</t>
        </is>
      </c>
      <c r="G620" t="inlineStr">
        <is>
          <t>Joseph Kranak</t>
        </is>
      </c>
      <c r="H620" t="inlineStr">
        <is>
          <t>[BC NEXT][WEB] Phase 3: AutoPay Enrollment</t>
        </is>
      </c>
      <c r="I620" t="inlineStr"/>
      <c r="J620" t="n">
        <v>4.286643518518519</v>
      </c>
      <c r="K620">
        <f>HYPERLINK("https://drivetime.tpondemand.com/entity/131354", "131354")</f>
        <v/>
      </c>
      <c r="L620">
        <f>HYPERLINK("https://drivetime.tpondemand.com/entity/127947", "127947")</f>
        <v/>
      </c>
      <c r="M620" t="n">
        <v>0</v>
      </c>
      <c r="N620" t="n">
        <v>129063</v>
      </c>
      <c r="O620" t="inlineStr">
        <is>
          <t>Done</t>
        </is>
      </c>
      <c r="P620" t="n">
        <v>1</v>
      </c>
      <c r="Q620" t="inlineStr">
        <is>
          <t>Drakon 4</t>
        </is>
      </c>
      <c r="R620" t="inlineStr">
        <is>
          <t>2022-04-07</t>
        </is>
      </c>
      <c r="S620" t="inlineStr">
        <is>
          <t>2022-04-20</t>
        </is>
      </c>
      <c r="T620" t="inlineStr">
        <is>
          <t>Drakon 4 : 2022-04-07 - 2022-04-20</t>
        </is>
      </c>
      <c r="U620" t="inlineStr"/>
      <c r="V620" t="inlineStr"/>
      <c r="W620" t="inlineStr">
        <is>
          <t>2022-04-19T17:56:00-05:00</t>
        </is>
      </c>
      <c r="X620">
        <f>IFERROR(1/COUNTIF($I:$I,@$I:$I), 0)</f>
        <v/>
      </c>
    </row>
    <row r="621">
      <c r="A621">
        <f>HYPERLINK("https://drivetime.tpondemand.com/entity/130149", "130149")</f>
        <v/>
      </c>
      <c r="B621" t="inlineStr">
        <is>
          <t>Fix success page footer</t>
        </is>
      </c>
      <c r="C621" t="inlineStr">
        <is>
          <t>Bug</t>
        </is>
      </c>
      <c r="D621" t="inlineStr">
        <is>
          <t>Servicing: BC Next</t>
        </is>
      </c>
      <c r="E621" t="inlineStr">
        <is>
          <t>BC Digital Drakon</t>
        </is>
      </c>
      <c r="F621" t="inlineStr">
        <is>
          <t>16</t>
        </is>
      </c>
      <c r="G621" t="inlineStr">
        <is>
          <t>Yokeshwaran Lokanathan</t>
        </is>
      </c>
      <c r="H621" t="inlineStr">
        <is>
          <t>[BC NEXT][WEB] Phase 3: AutoPay Enrollment</t>
        </is>
      </c>
      <c r="I621" t="inlineStr"/>
      <c r="J621" t="n">
        <v>1.097488425925926</v>
      </c>
      <c r="K621">
        <f>HYPERLINK("https://drivetime.tpondemand.com/entity/131354", "131354")</f>
        <v/>
      </c>
      <c r="L621">
        <f>HYPERLINK("https://drivetime.tpondemand.com/entity/127945", "127945")</f>
        <v/>
      </c>
      <c r="M621" t="n">
        <v>0</v>
      </c>
      <c r="N621" t="n">
        <v>129063</v>
      </c>
      <c r="O621" t="inlineStr">
        <is>
          <t>Done</t>
        </is>
      </c>
      <c r="P621" t="n">
        <v>1</v>
      </c>
      <c r="Q621" t="inlineStr">
        <is>
          <t>Drakon 4</t>
        </is>
      </c>
      <c r="R621" t="inlineStr">
        <is>
          <t>2022-04-07</t>
        </is>
      </c>
      <c r="S621" t="inlineStr">
        <is>
          <t>2022-04-20</t>
        </is>
      </c>
      <c r="T621" t="inlineStr">
        <is>
          <t>Drakon 4 : 2022-04-07 - 2022-04-20</t>
        </is>
      </c>
      <c r="U621" t="inlineStr"/>
      <c r="V621" t="inlineStr"/>
      <c r="W621" t="inlineStr">
        <is>
          <t>2022-04-19T11:53:15-05:00</t>
        </is>
      </c>
      <c r="X621">
        <f>IFERROR(1/COUNTIF($I:$I,@$I:$I), 0)</f>
        <v/>
      </c>
    </row>
    <row r="622">
      <c r="A622">
        <f>HYPERLINK("https://drivetime.tpondemand.com/entity/130150", "130150")</f>
        <v/>
      </c>
      <c r="B622" t="inlineStr">
        <is>
          <t>Error messages are not displayed properly</t>
        </is>
      </c>
      <c r="C622" t="inlineStr">
        <is>
          <t>Bug</t>
        </is>
      </c>
      <c r="D622" t="inlineStr">
        <is>
          <t>Servicing: BC Next</t>
        </is>
      </c>
      <c r="E622" t="inlineStr">
        <is>
          <t>BC Digital Drakon</t>
        </is>
      </c>
      <c r="F622" t="inlineStr">
        <is>
          <t>16</t>
        </is>
      </c>
      <c r="G622" t="inlineStr">
        <is>
          <t>Joseph Kranak</t>
        </is>
      </c>
      <c r="H622" t="inlineStr">
        <is>
          <t>[BC NEXT][WEB] Phase 3: AutoPay Enrollment</t>
        </is>
      </c>
      <c r="I622" t="inlineStr"/>
      <c r="J622" t="n">
        <v>1.309814814814815</v>
      </c>
      <c r="K622">
        <f>HYPERLINK("https://drivetime.tpondemand.com/entity/131354", "131354")</f>
        <v/>
      </c>
      <c r="L622">
        <f>HYPERLINK("https://drivetime.tpondemand.com/entity/127947", "127947")</f>
        <v/>
      </c>
      <c r="M622" t="n">
        <v>0</v>
      </c>
      <c r="N622" t="n">
        <v>129063</v>
      </c>
      <c r="O622" t="inlineStr">
        <is>
          <t>Done</t>
        </is>
      </c>
      <c r="P622" t="n">
        <v>1</v>
      </c>
      <c r="Q622" t="inlineStr">
        <is>
          <t>Drakon 4</t>
        </is>
      </c>
      <c r="R622" t="inlineStr">
        <is>
          <t>2022-04-07</t>
        </is>
      </c>
      <c r="S622" t="inlineStr">
        <is>
          <t>2022-04-20</t>
        </is>
      </c>
      <c r="T622" t="inlineStr">
        <is>
          <t>Drakon 4 : 2022-04-07 - 2022-04-20</t>
        </is>
      </c>
      <c r="U622" t="inlineStr"/>
      <c r="V622" t="inlineStr"/>
      <c r="W622" t="inlineStr">
        <is>
          <t>2022-04-19T17:56:15-05:00</t>
        </is>
      </c>
      <c r="X622">
        <f>IFERROR(1/COUNTIF($I:$I,@$I:$I), 0)</f>
        <v/>
      </c>
    </row>
    <row r="623">
      <c r="A623">
        <f>HYPERLINK("https://drivetime.tpondemand.com/entity/130241", "130241")</f>
        <v/>
      </c>
      <c r="B623" t="inlineStr">
        <is>
          <t>Remove %AccountNumber% from Label in analytic event</t>
        </is>
      </c>
      <c r="C623" t="inlineStr">
        <is>
          <t>Bug</t>
        </is>
      </c>
      <c r="D623" t="inlineStr">
        <is>
          <t>Servicing: BC Next</t>
        </is>
      </c>
      <c r="E623" t="inlineStr">
        <is>
          <t>BC Digital Drakon</t>
        </is>
      </c>
      <c r="F623" t="inlineStr">
        <is>
          <t>16</t>
        </is>
      </c>
      <c r="G623" t="inlineStr">
        <is>
          <t>Yokeshwaran Lokanathan</t>
        </is>
      </c>
      <c r="H623" t="inlineStr">
        <is>
          <t>[BC NEXT][WEB] Phase 3: AutoPay Enrollment</t>
        </is>
      </c>
      <c r="I623" t="inlineStr"/>
      <c r="J623" t="n">
        <v>0.1160648148148148</v>
      </c>
      <c r="K623">
        <f>HYPERLINK("https://drivetime.tpondemand.com/entity/131354", "131354")</f>
        <v/>
      </c>
      <c r="L623">
        <f>HYPERLINK("https://drivetime.tpondemand.com/entity/127945", "127945")</f>
        <v/>
      </c>
      <c r="M623" t="n">
        <v>0</v>
      </c>
      <c r="N623" t="n">
        <v>129063</v>
      </c>
      <c r="O623" t="inlineStr">
        <is>
          <t>Done</t>
        </is>
      </c>
      <c r="P623" t="n">
        <v>1</v>
      </c>
      <c r="Q623" t="inlineStr">
        <is>
          <t>Drakon 4</t>
        </is>
      </c>
      <c r="R623" t="inlineStr">
        <is>
          <t>2022-04-07</t>
        </is>
      </c>
      <c r="S623" t="inlineStr">
        <is>
          <t>2022-04-20</t>
        </is>
      </c>
      <c r="T623" t="inlineStr">
        <is>
          <t>Drakon 4 : 2022-04-07 - 2022-04-20</t>
        </is>
      </c>
      <c r="U623" t="inlineStr"/>
      <c r="V623" t="inlineStr"/>
      <c r="W623" t="inlineStr">
        <is>
          <t>2022-04-20T12:34:37-05:00</t>
        </is>
      </c>
      <c r="X623">
        <f>IFERROR(1/COUNTIF($I:$I,@$I:$I), 0)</f>
        <v/>
      </c>
    </row>
    <row r="624">
      <c r="A624">
        <f>HYPERLINK("https://drivetime.tpondemand.com/entity/130243", "130243")</f>
        <v/>
      </c>
      <c r="B624" t="inlineStr">
        <is>
          <t>New analytics missing</t>
        </is>
      </c>
      <c r="C624" t="inlineStr">
        <is>
          <t>Bug</t>
        </is>
      </c>
      <c r="D624" t="inlineStr">
        <is>
          <t>Servicing: BC Next</t>
        </is>
      </c>
      <c r="E624" t="inlineStr">
        <is>
          <t>BC Digital Drakon</t>
        </is>
      </c>
      <c r="F624" t="inlineStr">
        <is>
          <t>16</t>
        </is>
      </c>
      <c r="G624" t="inlineStr">
        <is>
          <t>Joseph Kranak</t>
        </is>
      </c>
      <c r="H624" t="inlineStr">
        <is>
          <t>[BC NEXT][WEB] Phase 3: AutoPay Enrollment</t>
        </is>
      </c>
      <c r="I624" t="inlineStr"/>
      <c r="J624" t="n">
        <v>1.31287037037037</v>
      </c>
      <c r="K624">
        <f>HYPERLINK("https://drivetime.tpondemand.com/entity/131354", "131354")</f>
        <v/>
      </c>
      <c r="L624">
        <f>HYPERLINK("https://drivetime.tpondemand.com/entity/127947", "127947")</f>
        <v/>
      </c>
      <c r="M624" t="n">
        <v>0</v>
      </c>
      <c r="N624" t="n">
        <v>129064</v>
      </c>
      <c r="O624" t="inlineStr">
        <is>
          <t>Done</t>
        </is>
      </c>
      <c r="P624" t="n">
        <v>1</v>
      </c>
      <c r="Q624" t="inlineStr">
        <is>
          <t>Drakon 5</t>
        </is>
      </c>
      <c r="R624" t="inlineStr">
        <is>
          <t>2022-04-21</t>
        </is>
      </c>
      <c r="S624" t="inlineStr">
        <is>
          <t>2022-05-04</t>
        </is>
      </c>
      <c r="T624" t="inlineStr">
        <is>
          <t>Drakon 5 : 2022-04-21 - 2022-05-04</t>
        </is>
      </c>
      <c r="U624" t="inlineStr"/>
      <c r="V624" t="inlineStr"/>
      <c r="W624" t="inlineStr">
        <is>
          <t>2022-04-21T16:13:39-05:00</t>
        </is>
      </c>
      <c r="X624">
        <f>IFERROR(1/COUNTIF($I:$I,@$I:$I), 0)</f>
        <v/>
      </c>
    </row>
    <row r="625">
      <c r="A625">
        <f>HYPERLINK("https://drivetime.tpondemand.com/entity/130287", "130287")</f>
        <v/>
      </c>
      <c r="B625" t="inlineStr">
        <is>
          <t>Fix spinner footer</t>
        </is>
      </c>
      <c r="C625" t="inlineStr">
        <is>
          <t>Bug</t>
        </is>
      </c>
      <c r="D625" t="inlineStr">
        <is>
          <t>Servicing: BC Next</t>
        </is>
      </c>
      <c r="E625" t="inlineStr">
        <is>
          <t>BC Digital Drakon</t>
        </is>
      </c>
      <c r="F625" t="inlineStr">
        <is>
          <t>16</t>
        </is>
      </c>
      <c r="G625" t="inlineStr"/>
      <c r="H625" t="inlineStr">
        <is>
          <t>[BC NEXT][WEB] Phase 3: AutoPay Enrollment</t>
        </is>
      </c>
      <c r="I625" t="inlineStr"/>
      <c r="J625" t="n">
        <v>0.235474537037037</v>
      </c>
      <c r="K625">
        <f>HYPERLINK("https://drivetime.tpondemand.com/entity/131354", "131354")</f>
        <v/>
      </c>
      <c r="L625">
        <f>HYPERLINK("https://drivetime.tpondemand.com/entity/127945", "127945")</f>
        <v/>
      </c>
      <c r="M625" t="n">
        <v>0</v>
      </c>
      <c r="N625" t="n">
        <v>129063</v>
      </c>
      <c r="O625" t="inlineStr">
        <is>
          <t>Done</t>
        </is>
      </c>
      <c r="P625" t="n">
        <v>1</v>
      </c>
      <c r="Q625" t="inlineStr">
        <is>
          <t>Drakon 4</t>
        </is>
      </c>
      <c r="R625" t="inlineStr">
        <is>
          <t>2022-04-07</t>
        </is>
      </c>
      <c r="S625" t="inlineStr">
        <is>
          <t>2022-04-20</t>
        </is>
      </c>
      <c r="T625" t="inlineStr">
        <is>
          <t>Drakon 4 : 2022-04-07 - 2022-04-20</t>
        </is>
      </c>
      <c r="U625" t="inlineStr"/>
      <c r="V625" t="inlineStr"/>
      <c r="W625" t="inlineStr">
        <is>
          <t>2022-04-20T18:17:49-05:00</t>
        </is>
      </c>
      <c r="X625">
        <f>IFERROR(1/COUNTIF($I:$I,@$I:$I), 0)</f>
        <v/>
      </c>
    </row>
    <row r="626">
      <c r="A626">
        <f>HYPERLINK("https://drivetime.tpondemand.com/entity/130324", "130324")</f>
        <v/>
      </c>
      <c r="B626" t="inlineStr">
        <is>
          <t>#128672 [BC NEXT][WEB] APPD - Step 3: Review - Missing Analytics</t>
        </is>
      </c>
      <c r="C626" t="inlineStr">
        <is>
          <t>Bug</t>
        </is>
      </c>
      <c r="D626" t="inlineStr">
        <is>
          <t>Servicing: BC Next</t>
        </is>
      </c>
      <c r="E626" t="inlineStr">
        <is>
          <t>BC Digital Drakon</t>
        </is>
      </c>
      <c r="F626" t="inlineStr">
        <is>
          <t>16</t>
        </is>
      </c>
      <c r="G626" t="inlineStr">
        <is>
          <t>Chirag Khandhar</t>
        </is>
      </c>
      <c r="H626" t="inlineStr">
        <is>
          <t>[BC NEXT] Phase 3: Web - AP Past Due</t>
        </is>
      </c>
      <c r="I626" t="inlineStr"/>
      <c r="J626" t="n">
        <v>1.023321759259259</v>
      </c>
      <c r="K626" t="inlineStr"/>
      <c r="L626">
        <f>HYPERLINK("https://drivetime.tpondemand.com/entity/128672", "128672")</f>
        <v/>
      </c>
      <c r="M626" t="n">
        <v>0</v>
      </c>
      <c r="N626" t="n">
        <v>129064</v>
      </c>
      <c r="O626" t="inlineStr">
        <is>
          <t>Done</t>
        </is>
      </c>
      <c r="P626" t="n">
        <v>1</v>
      </c>
      <c r="Q626" t="inlineStr">
        <is>
          <t>Drakon 5</t>
        </is>
      </c>
      <c r="R626" t="inlineStr">
        <is>
          <t>2022-04-21</t>
        </is>
      </c>
      <c r="S626" t="inlineStr">
        <is>
          <t>2022-05-04</t>
        </is>
      </c>
      <c r="T626" t="inlineStr">
        <is>
          <t>Drakon 5 : 2022-04-21 - 2022-05-04</t>
        </is>
      </c>
      <c r="U626" t="inlineStr"/>
      <c r="V626" t="inlineStr"/>
      <c r="W626" t="inlineStr">
        <is>
          <t>2022-04-22T11:42:45-05:00</t>
        </is>
      </c>
      <c r="X626">
        <f>IFERROR(1/COUNTIF($I:$I,@$I:$I), 0)</f>
        <v/>
      </c>
    </row>
    <row r="627">
      <c r="A627">
        <f>HYPERLINK("https://drivetime.tpondemand.com/entity/130341", "130341")</f>
        <v/>
      </c>
      <c r="B627" t="inlineStr">
        <is>
          <t>Analytics &amp; SSL Icon</t>
        </is>
      </c>
      <c r="C627" t="inlineStr">
        <is>
          <t>Bug</t>
        </is>
      </c>
      <c r="D627" t="inlineStr">
        <is>
          <t>Servicing: BC Next</t>
        </is>
      </c>
      <c r="E627" t="inlineStr">
        <is>
          <t>BC Digital Drakon</t>
        </is>
      </c>
      <c r="F627" t="inlineStr">
        <is>
          <t>16</t>
        </is>
      </c>
      <c r="G627" t="inlineStr">
        <is>
          <t>Antonio Posada</t>
        </is>
      </c>
      <c r="H627" t="inlineStr">
        <is>
          <t>[BC NEXT][WEB] Phase 3: ACH One Time Payment</t>
        </is>
      </c>
      <c r="I627" t="inlineStr"/>
      <c r="J627" t="n">
        <v>0.9260185185185185</v>
      </c>
      <c r="K627">
        <f>HYPERLINK("https://drivetime.tpondemand.com/entity/130431", "130431")</f>
        <v/>
      </c>
      <c r="L627">
        <f>HYPERLINK("https://drivetime.tpondemand.com/entity/127701", "127701")</f>
        <v/>
      </c>
      <c r="M627" t="n">
        <v>0</v>
      </c>
      <c r="N627" t="n">
        <v>129064</v>
      </c>
      <c r="O627" t="inlineStr">
        <is>
          <t>Done</t>
        </is>
      </c>
      <c r="P627" t="n">
        <v>1</v>
      </c>
      <c r="Q627" t="inlineStr">
        <is>
          <t>Drakon 5</t>
        </is>
      </c>
      <c r="R627" t="inlineStr">
        <is>
          <t>2022-04-21</t>
        </is>
      </c>
      <c r="S627" t="inlineStr">
        <is>
          <t>2022-05-04</t>
        </is>
      </c>
      <c r="T627" t="inlineStr">
        <is>
          <t>Drakon 5 : 2022-04-21 - 2022-05-04</t>
        </is>
      </c>
      <c r="U627" t="inlineStr"/>
      <c r="V627" t="inlineStr"/>
      <c r="W627" t="inlineStr">
        <is>
          <t>2022-04-22T13:19:03-05:00</t>
        </is>
      </c>
      <c r="X627">
        <f>IFERROR(1/COUNTIF($I:$I,@$I:$I), 0)</f>
        <v/>
      </c>
    </row>
    <row r="628">
      <c r="A628">
        <f>HYPERLINK("https://drivetime.tpondemand.com/entity/130385", "130385")</f>
        <v/>
      </c>
      <c r="B628" t="inlineStr">
        <is>
          <t>New SSL Icon</t>
        </is>
      </c>
      <c r="C628" t="inlineStr">
        <is>
          <t>Bug</t>
        </is>
      </c>
      <c r="D628" t="inlineStr">
        <is>
          <t>Servicing: BC Next</t>
        </is>
      </c>
      <c r="E628" t="inlineStr">
        <is>
          <t>BC Digital Drakon</t>
        </is>
      </c>
      <c r="F628" t="inlineStr">
        <is>
          <t>16</t>
        </is>
      </c>
      <c r="G628" t="inlineStr">
        <is>
          <t>Antonio Posada</t>
        </is>
      </c>
      <c r="H628" t="inlineStr">
        <is>
          <t>[BC NEXT][WEB] Phase 3: ACH One Time Payment</t>
        </is>
      </c>
      <c r="I628" t="inlineStr"/>
      <c r="J628" t="n">
        <v>0.0761111111111111</v>
      </c>
      <c r="K628">
        <f>HYPERLINK("https://drivetime.tpondemand.com/entity/130431", "130431")</f>
        <v/>
      </c>
      <c r="L628">
        <f>HYPERLINK("https://drivetime.tpondemand.com/entity/127701", "127701")</f>
        <v/>
      </c>
      <c r="M628" t="n">
        <v>0</v>
      </c>
      <c r="N628" t="n">
        <v>129064</v>
      </c>
      <c r="O628" t="inlineStr">
        <is>
          <t>Done</t>
        </is>
      </c>
      <c r="P628" t="n">
        <v>1</v>
      </c>
      <c r="Q628" t="inlineStr">
        <is>
          <t>Drakon 5</t>
        </is>
      </c>
      <c r="R628" t="inlineStr">
        <is>
          <t>2022-04-21</t>
        </is>
      </c>
      <c r="S628" t="inlineStr">
        <is>
          <t>2022-05-04</t>
        </is>
      </c>
      <c r="T628" t="inlineStr">
        <is>
          <t>Drakon 5 : 2022-04-21 - 2022-05-04</t>
        </is>
      </c>
      <c r="U628" t="inlineStr"/>
      <c r="V628" t="inlineStr"/>
      <c r="W628" t="inlineStr">
        <is>
          <t>2022-04-22T15:07:45-05:00</t>
        </is>
      </c>
      <c r="X628">
        <f>IFERROR(1/COUNTIF($I:$I,@$I:$I), 0)</f>
        <v/>
      </c>
    </row>
    <row r="629">
      <c r="A629">
        <f>HYPERLINK("https://drivetime.tpondemand.com/entity/130411", "130411")</f>
        <v/>
      </c>
      <c r="B629" t="inlineStr">
        <is>
          <t>Pixel Perfect bugs</t>
        </is>
      </c>
      <c r="C629" t="inlineStr">
        <is>
          <t>Bug</t>
        </is>
      </c>
      <c r="D629" t="inlineStr">
        <is>
          <t>Servicing: BC Next</t>
        </is>
      </c>
      <c r="E629" t="inlineStr">
        <is>
          <t>BC Digital Drakon</t>
        </is>
      </c>
      <c r="F629" t="inlineStr">
        <is>
          <t>17</t>
        </is>
      </c>
      <c r="G629" t="inlineStr">
        <is>
          <t>Connor Golobich</t>
        </is>
      </c>
      <c r="H629" t="inlineStr">
        <is>
          <t>[BC NEXT] Phase 3: Web - AP Past Due</t>
        </is>
      </c>
      <c r="I629" t="inlineStr"/>
      <c r="J629" t="n">
        <v>1.801030092592593</v>
      </c>
      <c r="K629" t="inlineStr"/>
      <c r="L629">
        <f>HYPERLINK("https://drivetime.tpondemand.com/entity/128674", "128674")</f>
        <v/>
      </c>
      <c r="M629" t="n">
        <v>0</v>
      </c>
      <c r="N629" t="n">
        <v>129064</v>
      </c>
      <c r="O629" t="inlineStr">
        <is>
          <t>Done</t>
        </is>
      </c>
      <c r="P629" t="n">
        <v>1</v>
      </c>
      <c r="Q629" t="inlineStr">
        <is>
          <t>Drakon 5</t>
        </is>
      </c>
      <c r="R629" t="inlineStr">
        <is>
          <t>2022-04-21</t>
        </is>
      </c>
      <c r="S629" t="inlineStr">
        <is>
          <t>2022-05-04</t>
        </is>
      </c>
      <c r="T629" t="inlineStr">
        <is>
          <t>Drakon 5 : 2022-04-21 - 2022-05-04</t>
        </is>
      </c>
      <c r="U629" t="inlineStr"/>
      <c r="V629" t="inlineStr"/>
      <c r="W629" t="inlineStr">
        <is>
          <t>2022-04-28T08:58:43-05:00</t>
        </is>
      </c>
      <c r="X629">
        <f>IFERROR(1/COUNTIF($I:$I,@$I:$I), 0)</f>
        <v/>
      </c>
    </row>
    <row r="630">
      <c r="A630">
        <f>HYPERLINK("https://drivetime.tpondemand.com/entity/130524", "130524")</f>
        <v/>
      </c>
      <c r="B630" t="inlineStr">
        <is>
          <t>Line after header not as comps</t>
        </is>
      </c>
      <c r="C630" t="inlineStr">
        <is>
          <t>Bug</t>
        </is>
      </c>
      <c r="D630" t="inlineStr">
        <is>
          <t>Servicing: BC Next</t>
        </is>
      </c>
      <c r="E630" t="inlineStr">
        <is>
          <t>BC Digital Drakon</t>
        </is>
      </c>
      <c r="F630" t="inlineStr">
        <is>
          <t>17</t>
        </is>
      </c>
      <c r="G630" t="inlineStr">
        <is>
          <t>Abbas Shamshi</t>
        </is>
      </c>
      <c r="H630" t="inlineStr">
        <is>
          <t>[BC NEXT] Phase 3: Web - AP Past Due</t>
        </is>
      </c>
      <c r="I630" t="inlineStr"/>
      <c r="J630" t="n">
        <v>0.216099537037037</v>
      </c>
      <c r="K630" t="inlineStr"/>
      <c r="L630">
        <f>HYPERLINK("https://drivetime.tpondemand.com/entity/128593", "128593")</f>
        <v/>
      </c>
      <c r="M630" t="n">
        <v>0</v>
      </c>
      <c r="N630" t="n">
        <v>129064</v>
      </c>
      <c r="O630" t="inlineStr">
        <is>
          <t>Done</t>
        </is>
      </c>
      <c r="P630" t="n">
        <v>1</v>
      </c>
      <c r="Q630" t="inlineStr">
        <is>
          <t>Drakon 5</t>
        </is>
      </c>
      <c r="R630" t="inlineStr">
        <is>
          <t>2022-04-21</t>
        </is>
      </c>
      <c r="S630" t="inlineStr">
        <is>
          <t>2022-05-04</t>
        </is>
      </c>
      <c r="T630" t="inlineStr">
        <is>
          <t>Drakon 5 : 2022-04-21 - 2022-05-04</t>
        </is>
      </c>
      <c r="U630" t="inlineStr"/>
      <c r="V630" t="inlineStr"/>
      <c r="W630" t="inlineStr">
        <is>
          <t>2022-04-27T15:44:06-05:00</t>
        </is>
      </c>
      <c r="X630">
        <f>IFERROR(1/COUNTIF($I:$I,@$I:$I), 0)</f>
        <v/>
      </c>
    </row>
    <row r="631">
      <c r="A631">
        <f>HYPERLINK("https://drivetime.tpondemand.com/entity/130527", "130527")</f>
        <v/>
      </c>
      <c r="B631" t="inlineStr">
        <is>
          <t>Old SSL icon on mobile</t>
        </is>
      </c>
      <c r="C631" t="inlineStr">
        <is>
          <t>Bug</t>
        </is>
      </c>
      <c r="D631" t="inlineStr">
        <is>
          <t>Servicing: BC Next</t>
        </is>
      </c>
      <c r="E631" t="inlineStr">
        <is>
          <t>BC Digital Drakon</t>
        </is>
      </c>
      <c r="F631" t="inlineStr">
        <is>
          <t>17</t>
        </is>
      </c>
      <c r="G631" t="inlineStr">
        <is>
          <t>Abbas Shamshi</t>
        </is>
      </c>
      <c r="H631" t="inlineStr">
        <is>
          <t>[BC NEXT] Phase 3: Web - AP Past Due</t>
        </is>
      </c>
      <c r="I631" t="inlineStr"/>
      <c r="J631" t="n">
        <v>2.092824074074074</v>
      </c>
      <c r="K631" t="inlineStr"/>
      <c r="L631">
        <f>HYPERLINK("https://drivetime.tpondemand.com/entity/128593", "128593")</f>
        <v/>
      </c>
      <c r="M631" t="n">
        <v>0</v>
      </c>
      <c r="N631" t="n">
        <v>129064</v>
      </c>
      <c r="O631" t="inlineStr">
        <is>
          <t>Done</t>
        </is>
      </c>
      <c r="P631" t="n">
        <v>1</v>
      </c>
      <c r="Q631" t="inlineStr">
        <is>
          <t>Drakon 5</t>
        </is>
      </c>
      <c r="R631" t="inlineStr">
        <is>
          <t>2022-04-21</t>
        </is>
      </c>
      <c r="S631" t="inlineStr">
        <is>
          <t>2022-05-04</t>
        </is>
      </c>
      <c r="T631" t="inlineStr">
        <is>
          <t>Drakon 5 : 2022-04-21 - 2022-05-04</t>
        </is>
      </c>
      <c r="U631" t="inlineStr"/>
      <c r="V631" t="inlineStr"/>
      <c r="W631" t="inlineStr">
        <is>
          <t>2022-04-29T12:10:20-05:00</t>
        </is>
      </c>
      <c r="X631">
        <f>IFERROR(1/COUNTIF($I:$I,@$I:$I), 0)</f>
        <v/>
      </c>
    </row>
    <row r="632">
      <c r="A632">
        <f>HYPERLINK("https://drivetime.tpondemand.com/entity/130528", "130528")</f>
        <v/>
      </c>
      <c r="B632" t="inlineStr">
        <is>
          <t>Focus Ring without styling on Payment Breakdown CTA</t>
        </is>
      </c>
      <c r="C632" t="inlineStr">
        <is>
          <t>Bug</t>
        </is>
      </c>
      <c r="D632" t="inlineStr">
        <is>
          <t>Servicing: BC Next</t>
        </is>
      </c>
      <c r="E632" t="inlineStr">
        <is>
          <t>BC Digital Drakon</t>
        </is>
      </c>
      <c r="F632" t="inlineStr">
        <is>
          <t>17</t>
        </is>
      </c>
      <c r="G632" t="inlineStr">
        <is>
          <t>Abbas Shamshi</t>
        </is>
      </c>
      <c r="H632" t="inlineStr">
        <is>
          <t>[BC NEXT] Phase 3: Web - AP Past Due</t>
        </is>
      </c>
      <c r="I632" t="inlineStr"/>
      <c r="J632" t="n">
        <v>2.077824074074074</v>
      </c>
      <c r="K632" t="inlineStr"/>
      <c r="L632">
        <f>HYPERLINK("https://drivetime.tpondemand.com/entity/128593", "128593")</f>
        <v/>
      </c>
      <c r="M632" t="n">
        <v>0</v>
      </c>
      <c r="N632" t="n">
        <v>129064</v>
      </c>
      <c r="O632" t="inlineStr">
        <is>
          <t>Done</t>
        </is>
      </c>
      <c r="P632" t="n">
        <v>1</v>
      </c>
      <c r="Q632" t="inlineStr">
        <is>
          <t>Drakon 5</t>
        </is>
      </c>
      <c r="R632" t="inlineStr">
        <is>
          <t>2022-04-21</t>
        </is>
      </c>
      <c r="S632" t="inlineStr">
        <is>
          <t>2022-05-04</t>
        </is>
      </c>
      <c r="T632" t="inlineStr">
        <is>
          <t>Drakon 5 : 2022-04-21 - 2022-05-04</t>
        </is>
      </c>
      <c r="U632" t="inlineStr"/>
      <c r="V632" t="inlineStr"/>
      <c r="W632" t="inlineStr">
        <is>
          <t>2022-04-29T12:10:13-05:00</t>
        </is>
      </c>
      <c r="X632">
        <f>IFERROR(1/COUNTIF($I:$I,@$I:$I), 0)</f>
        <v/>
      </c>
    </row>
    <row r="633">
      <c r="A633">
        <f>HYPERLINK("https://drivetime.tpondemand.com/entity/130770", "130770")</f>
        <v/>
      </c>
      <c r="B633" t="inlineStr">
        <is>
          <t>Footer not sticking to the bottom of manage bank accounts page</t>
        </is>
      </c>
      <c r="C633" t="inlineStr">
        <is>
          <t>Bug</t>
        </is>
      </c>
      <c r="D633" t="inlineStr">
        <is>
          <t>Servicing: BC Next</t>
        </is>
      </c>
      <c r="E633" t="inlineStr">
        <is>
          <t>BC Digital Drakon</t>
        </is>
      </c>
      <c r="F633" t="inlineStr">
        <is>
          <t>18</t>
        </is>
      </c>
      <c r="G633" t="inlineStr">
        <is>
          <t>Antonio Posada</t>
        </is>
      </c>
      <c r="H633" t="inlineStr">
        <is>
          <t>null</t>
        </is>
      </c>
      <c r="I633" t="inlineStr"/>
      <c r="J633" t="n">
        <v>6.969004629629629</v>
      </c>
      <c r="K633" t="inlineStr"/>
      <c r="L633" t="inlineStr"/>
      <c r="M633" t="n">
        <v>0</v>
      </c>
      <c r="N633" t="n">
        <v>130166</v>
      </c>
      <c r="O633" t="inlineStr">
        <is>
          <t>Done</t>
        </is>
      </c>
      <c r="P633" t="n">
        <v>1</v>
      </c>
      <c r="Q633" t="inlineStr">
        <is>
          <t>Drakon 6</t>
        </is>
      </c>
      <c r="R633" t="inlineStr">
        <is>
          <t>2022-05-05</t>
        </is>
      </c>
      <c r="S633" t="inlineStr">
        <is>
          <t>2022-05-18</t>
        </is>
      </c>
      <c r="T633" t="inlineStr">
        <is>
          <t>Drakon 6 : 2022-05-05 - 2022-05-18</t>
        </is>
      </c>
      <c r="U633" t="inlineStr"/>
      <c r="V633" t="inlineStr"/>
      <c r="W633" t="inlineStr">
        <is>
          <t>2022-05-06T08:27:47-05:00</t>
        </is>
      </c>
      <c r="X633">
        <f>IFERROR(1/COUNTIF($I:$I,@$I:$I), 0)</f>
        <v/>
      </c>
    </row>
    <row r="634">
      <c r="A634">
        <f>HYPERLINK("https://drivetime.tpondemand.com/entity/130771", "130771")</f>
        <v/>
      </c>
      <c r="B634" t="inlineStr">
        <is>
          <t>Confirm delete bank account popup opening twice if opened with keyboard</t>
        </is>
      </c>
      <c r="C634" t="inlineStr">
        <is>
          <t>Bug</t>
        </is>
      </c>
      <c r="D634" t="inlineStr">
        <is>
          <t>Servicing: BC Next</t>
        </is>
      </c>
      <c r="E634" t="inlineStr">
        <is>
          <t>BC Digital Drakon</t>
        </is>
      </c>
      <c r="F634" t="inlineStr">
        <is>
          <t>18</t>
        </is>
      </c>
      <c r="G634" t="inlineStr">
        <is>
          <t>Antonio Posada</t>
        </is>
      </c>
      <c r="H634" t="inlineStr">
        <is>
          <t>null</t>
        </is>
      </c>
      <c r="I634" t="inlineStr"/>
      <c r="J634" t="n">
        <v>3.061967592592592</v>
      </c>
      <c r="K634" t="inlineStr"/>
      <c r="L634" t="inlineStr"/>
      <c r="M634" t="n">
        <v>0</v>
      </c>
      <c r="N634" t="n">
        <v>129064</v>
      </c>
      <c r="O634" t="inlineStr">
        <is>
          <t>Done</t>
        </is>
      </c>
      <c r="P634" t="n">
        <v>1</v>
      </c>
      <c r="Q634" t="inlineStr">
        <is>
          <t>Drakon 5</t>
        </is>
      </c>
      <c r="R634" t="inlineStr">
        <is>
          <t>2022-04-21</t>
        </is>
      </c>
      <c r="S634" t="inlineStr">
        <is>
          <t>2022-05-04</t>
        </is>
      </c>
      <c r="T634" t="inlineStr">
        <is>
          <t>Drakon 5 : 2022-04-21 - 2022-05-04</t>
        </is>
      </c>
      <c r="U634" t="inlineStr"/>
      <c r="V634" t="inlineStr"/>
      <c r="W634" t="inlineStr">
        <is>
          <t>2022-05-02T10:41:35-05:00</t>
        </is>
      </c>
      <c r="X634">
        <f>IFERROR(1/COUNTIF($I:$I,@$I:$I), 0)</f>
        <v/>
      </c>
    </row>
    <row r="635">
      <c r="A635">
        <f>HYPERLINK("https://drivetime.tpondemand.com/entity/130806", "130806")</f>
        <v/>
      </c>
      <c r="B635" t="inlineStr">
        <is>
          <t>APPD - Step 2: AutoPay Enrollment outline on ssl icon</t>
        </is>
      </c>
      <c r="C635" t="inlineStr">
        <is>
          <t>Bug</t>
        </is>
      </c>
      <c r="D635" t="inlineStr">
        <is>
          <t>Servicing: BC Next</t>
        </is>
      </c>
      <c r="E635" t="inlineStr">
        <is>
          <t>BC Digital Drakon</t>
        </is>
      </c>
      <c r="F635" t="inlineStr">
        <is>
          <t>18</t>
        </is>
      </c>
      <c r="G635" t="inlineStr">
        <is>
          <t>Joseph Kranak</t>
        </is>
      </c>
      <c r="H635" t="inlineStr">
        <is>
          <t>[BC NEXT] Phase 3: Web - AP Past Due</t>
        </is>
      </c>
      <c r="I635" t="inlineStr"/>
      <c r="J635" t="n">
        <v>4.891435185185185</v>
      </c>
      <c r="K635" t="inlineStr"/>
      <c r="L635">
        <f>HYPERLINK("https://drivetime.tpondemand.com/entity/128613", "128613")</f>
        <v/>
      </c>
      <c r="M635" t="n">
        <v>0</v>
      </c>
      <c r="N635" t="n">
        <v>129064</v>
      </c>
      <c r="O635" t="inlineStr">
        <is>
          <t>Done</t>
        </is>
      </c>
      <c r="P635" t="n">
        <v>1</v>
      </c>
      <c r="Q635" t="inlineStr">
        <is>
          <t>Drakon 5</t>
        </is>
      </c>
      <c r="R635" t="inlineStr">
        <is>
          <t>2022-04-21</t>
        </is>
      </c>
      <c r="S635" t="inlineStr">
        <is>
          <t>2022-05-04</t>
        </is>
      </c>
      <c r="T635" t="inlineStr">
        <is>
          <t>Drakon 5 : 2022-04-21 - 2022-05-04</t>
        </is>
      </c>
      <c r="U635" t="inlineStr"/>
      <c r="V635" t="inlineStr"/>
      <c r="W635" t="inlineStr">
        <is>
          <t>2022-05-03T13:27:47-05:00</t>
        </is>
      </c>
      <c r="X635">
        <f>IFERROR(1/COUNTIF($I:$I,@$I:$I), 0)</f>
        <v/>
      </c>
    </row>
    <row r="636">
      <c r="A636">
        <f>HYPERLINK("https://drivetime.tpondemand.com/entity/130808", "130808")</f>
        <v/>
      </c>
      <c r="B636" t="inlineStr">
        <is>
          <t>APPD - Step 2: AutoPay Enrollment: Tabbing Order</t>
        </is>
      </c>
      <c r="C636" t="inlineStr">
        <is>
          <t>Bug</t>
        </is>
      </c>
      <c r="D636" t="inlineStr">
        <is>
          <t>Servicing: BC Next</t>
        </is>
      </c>
      <c r="E636" t="inlineStr">
        <is>
          <t>BC Digital Drakon</t>
        </is>
      </c>
      <c r="F636" t="inlineStr">
        <is>
          <t>18</t>
        </is>
      </c>
      <c r="G636" t="inlineStr">
        <is>
          <t>Joseph Kranak</t>
        </is>
      </c>
      <c r="H636" t="inlineStr">
        <is>
          <t>[BC NEXT] Phase 3: Web - AP Past Due</t>
        </is>
      </c>
      <c r="I636" t="inlineStr"/>
      <c r="J636" t="n">
        <v>3.942326388888889</v>
      </c>
      <c r="K636" t="inlineStr"/>
      <c r="L636">
        <f>HYPERLINK("https://drivetime.tpondemand.com/entity/128613", "128613")</f>
        <v/>
      </c>
      <c r="M636" t="n">
        <v>0</v>
      </c>
      <c r="N636" t="n">
        <v>129064</v>
      </c>
      <c r="O636" t="inlineStr">
        <is>
          <t>Done</t>
        </is>
      </c>
      <c r="P636" t="n">
        <v>1</v>
      </c>
      <c r="Q636" t="inlineStr">
        <is>
          <t>Drakon 5</t>
        </is>
      </c>
      <c r="R636" t="inlineStr">
        <is>
          <t>2022-04-21</t>
        </is>
      </c>
      <c r="S636" t="inlineStr">
        <is>
          <t>2022-05-04</t>
        </is>
      </c>
      <c r="T636" t="inlineStr">
        <is>
          <t>Drakon 5 : 2022-04-21 - 2022-05-04</t>
        </is>
      </c>
      <c r="U636" t="inlineStr"/>
      <c r="V636" t="inlineStr"/>
      <c r="W636" t="inlineStr">
        <is>
          <t>2022-05-02T14:41:02-05:00</t>
        </is>
      </c>
      <c r="X636">
        <f>IFERROR(1/COUNTIF($I:$I,@$I:$I), 0)</f>
        <v/>
      </c>
    </row>
    <row r="637">
      <c r="A637">
        <f>HYPERLINK("https://drivetime.tpondemand.com/entity/130842", "130842")</f>
        <v/>
      </c>
      <c r="B637" t="inlineStr">
        <is>
          <t>APPD Step 2: UI not matching with comps</t>
        </is>
      </c>
      <c r="C637" t="inlineStr">
        <is>
          <t>Bug</t>
        </is>
      </c>
      <c r="D637" t="inlineStr">
        <is>
          <t>Servicing: BC Next</t>
        </is>
      </c>
      <c r="E637" t="inlineStr">
        <is>
          <t>BC Digital Drakon</t>
        </is>
      </c>
      <c r="F637" t="inlineStr">
        <is>
          <t>18</t>
        </is>
      </c>
      <c r="G637" t="inlineStr">
        <is>
          <t>Joseph Kranak</t>
        </is>
      </c>
      <c r="H637" t="inlineStr">
        <is>
          <t>[BC NEXT] Phase 3: Web - AP Past Due</t>
        </is>
      </c>
      <c r="I637" t="inlineStr"/>
      <c r="J637" t="n">
        <v>4.227002314814815</v>
      </c>
      <c r="K637" t="inlineStr"/>
      <c r="L637">
        <f>HYPERLINK("https://drivetime.tpondemand.com/entity/128613", "128613")</f>
        <v/>
      </c>
      <c r="M637" t="n">
        <v>0</v>
      </c>
      <c r="N637" t="n">
        <v>129064</v>
      </c>
      <c r="O637" t="inlineStr">
        <is>
          <t>Done</t>
        </is>
      </c>
      <c r="P637" t="n">
        <v>1</v>
      </c>
      <c r="Q637" t="inlineStr">
        <is>
          <t>Drakon 5</t>
        </is>
      </c>
      <c r="R637" t="inlineStr">
        <is>
          <t>2022-04-21</t>
        </is>
      </c>
      <c r="S637" t="inlineStr">
        <is>
          <t>2022-05-04</t>
        </is>
      </c>
      <c r="T637" t="inlineStr">
        <is>
          <t>Drakon 5 : 2022-04-21 - 2022-05-04</t>
        </is>
      </c>
      <c r="U637" t="inlineStr"/>
      <c r="V637" t="inlineStr"/>
      <c r="W637" t="inlineStr">
        <is>
          <t>2022-05-03T13:31:52-05:00</t>
        </is>
      </c>
      <c r="X637">
        <f>IFERROR(1/COUNTIF($I:$I,@$I:$I), 0)</f>
        <v/>
      </c>
    </row>
    <row r="638">
      <c r="A638">
        <f>HYPERLINK("https://drivetime.tpondemand.com/entity/130971", "130971")</f>
        <v/>
      </c>
      <c r="B638" t="inlineStr">
        <is>
          <t>[BC NEXT][WEB] AutoPay PP - Update padding in footer and dropdown components in step 1</t>
        </is>
      </c>
      <c r="C638" t="inlineStr">
        <is>
          <t>Bug</t>
        </is>
      </c>
      <c r="D638" t="inlineStr">
        <is>
          <t>Servicing: BC Next</t>
        </is>
      </c>
      <c r="E638" t="inlineStr">
        <is>
          <t>BC Digital Drakon</t>
        </is>
      </c>
      <c r="F638" t="inlineStr">
        <is>
          <t>18</t>
        </is>
      </c>
      <c r="G638" t="inlineStr">
        <is>
          <t>Joseph Kranak</t>
        </is>
      </c>
      <c r="H638" t="inlineStr">
        <is>
          <t>[BC NEXT][WEB] Phase 3: AutoPay Enrollment</t>
        </is>
      </c>
      <c r="I638" t="inlineStr"/>
      <c r="J638" t="n">
        <v>0.1988425925925926</v>
      </c>
      <c r="K638">
        <f>HYPERLINK("https://drivetime.tpondemand.com/entity/131354", "131354")</f>
        <v/>
      </c>
      <c r="L638">
        <f>HYPERLINK("https://drivetime.tpondemand.com/entity/130102", "130102")</f>
        <v/>
      </c>
      <c r="M638" t="n">
        <v>0</v>
      </c>
      <c r="N638" t="n">
        <v>129064</v>
      </c>
      <c r="O638" t="inlineStr">
        <is>
          <t>Done</t>
        </is>
      </c>
      <c r="P638" t="n">
        <v>1</v>
      </c>
      <c r="Q638" t="inlineStr">
        <is>
          <t>Drakon 5</t>
        </is>
      </c>
      <c r="R638" t="inlineStr">
        <is>
          <t>2022-04-21</t>
        </is>
      </c>
      <c r="S638" t="inlineStr">
        <is>
          <t>2022-05-04</t>
        </is>
      </c>
      <c r="T638" t="inlineStr">
        <is>
          <t>Drakon 5 : 2022-04-21 - 2022-05-04</t>
        </is>
      </c>
      <c r="U638" t="inlineStr"/>
      <c r="V638" t="inlineStr"/>
      <c r="W638" t="inlineStr">
        <is>
          <t>2022-05-02T12:22:10-05:00</t>
        </is>
      </c>
      <c r="X638">
        <f>IFERROR(1/COUNTIF($I:$I,@$I:$I), 0)</f>
        <v/>
      </c>
    </row>
    <row r="639">
      <c r="A639">
        <f>HYPERLINK("https://drivetime.tpondemand.com/entity/131029", "131029")</f>
        <v/>
      </c>
      <c r="B639" t="inlineStr">
        <is>
          <t>Issue Processing Page</t>
        </is>
      </c>
      <c r="C639" t="inlineStr">
        <is>
          <t>Bug</t>
        </is>
      </c>
      <c r="D639" t="inlineStr">
        <is>
          <t>Servicing: BC Next</t>
        </is>
      </c>
      <c r="E639" t="inlineStr">
        <is>
          <t>BC Digital Drakon</t>
        </is>
      </c>
      <c r="F639" t="inlineStr">
        <is>
          <t>18</t>
        </is>
      </c>
      <c r="G639" t="inlineStr">
        <is>
          <t>Joseph Kranak</t>
        </is>
      </c>
      <c r="H639" t="inlineStr">
        <is>
          <t>[BC NEXT][WEB] Phase 3: Misc Pages</t>
        </is>
      </c>
      <c r="I639" t="inlineStr"/>
      <c r="J639" t="n">
        <v>1.008125</v>
      </c>
      <c r="K639">
        <f>HYPERLINK("https://drivetime.tpondemand.com/entity/131615", "131615")</f>
        <v/>
      </c>
      <c r="L639">
        <f>HYPERLINK("https://drivetime.tpondemand.com/entity/129715", "129715")</f>
        <v/>
      </c>
      <c r="M639" t="n">
        <v>0</v>
      </c>
      <c r="N639" t="n">
        <v>129064</v>
      </c>
      <c r="O639" t="inlineStr">
        <is>
          <t>Done</t>
        </is>
      </c>
      <c r="P639" t="n">
        <v>1</v>
      </c>
      <c r="Q639" t="inlineStr">
        <is>
          <t>Drakon 5</t>
        </is>
      </c>
      <c r="R639" t="inlineStr">
        <is>
          <t>2022-04-21</t>
        </is>
      </c>
      <c r="S639" t="inlineStr">
        <is>
          <t>2022-05-04</t>
        </is>
      </c>
      <c r="T639" t="inlineStr">
        <is>
          <t>Drakon 5 : 2022-04-21 - 2022-05-04</t>
        </is>
      </c>
      <c r="U639" t="inlineStr"/>
      <c r="V639" t="inlineStr"/>
      <c r="W639" t="inlineStr">
        <is>
          <t>2022-05-04T10:07:31-05:00</t>
        </is>
      </c>
      <c r="X639">
        <f>IFERROR(1/COUNTIF($I:$I,@$I:$I), 0)</f>
        <v/>
      </c>
    </row>
    <row r="640">
      <c r="A640">
        <f>HYPERLINK("https://drivetime.tpondemand.com/entity/131197", "131197")</f>
        <v/>
      </c>
      <c r="B640" t="inlineStr">
        <is>
          <t>Pixel-Perfect Bug</t>
        </is>
      </c>
      <c r="C640" t="inlineStr">
        <is>
          <t>Bug</t>
        </is>
      </c>
      <c r="D640" t="inlineStr">
        <is>
          <t>Servicing: BC Next</t>
        </is>
      </c>
      <c r="E640" t="inlineStr">
        <is>
          <t>BC Digital Drakon</t>
        </is>
      </c>
      <c r="F640" t="inlineStr">
        <is>
          <t>18</t>
        </is>
      </c>
      <c r="G640" t="inlineStr">
        <is>
          <t>Abbas Shamshi</t>
        </is>
      </c>
      <c r="H640" t="inlineStr">
        <is>
          <t>[BC NEXT][WEB] Phase 3: Account Settings</t>
        </is>
      </c>
      <c r="I640" t="inlineStr"/>
      <c r="J640" t="n">
        <v>0.9255208333333333</v>
      </c>
      <c r="K640">
        <f>HYPERLINK("https://drivetime.tpondemand.com/entity/131615", "131615")</f>
        <v/>
      </c>
      <c r="L640">
        <f>HYPERLINK("https://drivetime.tpondemand.com/entity/129324", "129324")</f>
        <v/>
      </c>
      <c r="M640" t="n">
        <v>0</v>
      </c>
      <c r="N640" t="n">
        <v>129064</v>
      </c>
      <c r="O640" t="inlineStr">
        <is>
          <t>Done</t>
        </is>
      </c>
      <c r="P640" t="n">
        <v>1</v>
      </c>
      <c r="Q640" t="inlineStr">
        <is>
          <t>Drakon 5</t>
        </is>
      </c>
      <c r="R640" t="inlineStr">
        <is>
          <t>2022-04-21</t>
        </is>
      </c>
      <c r="S640" t="inlineStr">
        <is>
          <t>2022-05-04</t>
        </is>
      </c>
      <c r="T640" t="inlineStr">
        <is>
          <t>Drakon 5 : 2022-04-21 - 2022-05-04</t>
        </is>
      </c>
      <c r="U640" t="inlineStr"/>
      <c r="V640" t="inlineStr"/>
      <c r="W640" t="inlineStr">
        <is>
          <t>2022-05-05T09:19:08-05:00</t>
        </is>
      </c>
      <c r="X640">
        <f>IFERROR(1/COUNTIF($I:$I,@$I:$I), 0)</f>
        <v/>
      </c>
    </row>
    <row r="641">
      <c r="A641">
        <f>HYPERLINK("https://drivetime.tpondemand.com/entity/131236", "131236")</f>
        <v/>
      </c>
      <c r="B641" t="inlineStr">
        <is>
          <t>Spiral Position</t>
        </is>
      </c>
      <c r="C641" t="inlineStr">
        <is>
          <t>Bug</t>
        </is>
      </c>
      <c r="D641" t="inlineStr">
        <is>
          <t>Servicing: BC Next</t>
        </is>
      </c>
      <c r="E641" t="inlineStr">
        <is>
          <t>BC Digital Drakon</t>
        </is>
      </c>
      <c r="F641" t="inlineStr">
        <is>
          <t>18</t>
        </is>
      </c>
      <c r="G641" t="inlineStr">
        <is>
          <t>Joseph Kranak</t>
        </is>
      </c>
      <c r="H641" t="inlineStr">
        <is>
          <t>[BC NEXT][WEB] Phase 3: Misc Pages</t>
        </is>
      </c>
      <c r="I641" t="inlineStr"/>
      <c r="J641" t="n">
        <v>0.13</v>
      </c>
      <c r="K641">
        <f>HYPERLINK("https://drivetime.tpondemand.com/entity/131615", "131615")</f>
        <v/>
      </c>
      <c r="L641">
        <f>HYPERLINK("https://drivetime.tpondemand.com/entity/129715", "129715")</f>
        <v/>
      </c>
      <c r="M641" t="n">
        <v>0</v>
      </c>
      <c r="N641" t="n">
        <v>129064</v>
      </c>
      <c r="O641" t="inlineStr">
        <is>
          <t>Done</t>
        </is>
      </c>
      <c r="P641" t="n">
        <v>1</v>
      </c>
      <c r="Q641" t="inlineStr">
        <is>
          <t>Drakon 5</t>
        </is>
      </c>
      <c r="R641" t="inlineStr">
        <is>
          <t>2022-04-21</t>
        </is>
      </c>
      <c r="S641" t="inlineStr">
        <is>
          <t>2022-05-04</t>
        </is>
      </c>
      <c r="T641" t="inlineStr">
        <is>
          <t>Drakon 5 : 2022-04-21 - 2022-05-04</t>
        </is>
      </c>
      <c r="U641" t="inlineStr"/>
      <c r="V641" t="inlineStr"/>
      <c r="W641" t="inlineStr">
        <is>
          <t>2022-05-04T15:46:06-05:00</t>
        </is>
      </c>
      <c r="X641">
        <f>IFERROR(1/COUNTIF($I:$I,@$I:$I), 0)</f>
        <v/>
      </c>
    </row>
    <row r="642">
      <c r="A642">
        <f>HYPERLINK("https://drivetime.tpondemand.com/entity/131347", "131347")</f>
        <v/>
      </c>
      <c r="B642" t="inlineStr">
        <is>
          <t>Footer Position Issue</t>
        </is>
      </c>
      <c r="C642" t="inlineStr">
        <is>
          <t>Bug</t>
        </is>
      </c>
      <c r="D642" t="inlineStr">
        <is>
          <t>Servicing: BC Next</t>
        </is>
      </c>
      <c r="E642" t="inlineStr">
        <is>
          <t>BC Digital Drakon</t>
        </is>
      </c>
      <c r="F642" t="inlineStr">
        <is>
          <t>18</t>
        </is>
      </c>
      <c r="G642" t="inlineStr">
        <is>
          <t>Abbas Shamshi</t>
        </is>
      </c>
      <c r="H642" t="inlineStr">
        <is>
          <t>[BC NEXT][WEB] Phase 3: Account Settings</t>
        </is>
      </c>
      <c r="I642" t="inlineStr"/>
      <c r="J642" t="n">
        <v>0.06931712962962963</v>
      </c>
      <c r="K642">
        <f>HYPERLINK("https://drivetime.tpondemand.com/entity/131615", "131615")</f>
        <v/>
      </c>
      <c r="L642">
        <f>HYPERLINK("https://drivetime.tpondemand.com/entity/129324", "129324")</f>
        <v/>
      </c>
      <c r="M642" t="n">
        <v>0</v>
      </c>
      <c r="N642" t="n">
        <v>130166</v>
      </c>
      <c r="O642" t="inlineStr">
        <is>
          <t>Done</t>
        </is>
      </c>
      <c r="P642" t="n">
        <v>1</v>
      </c>
      <c r="Q642" t="inlineStr">
        <is>
          <t>Drakon 6</t>
        </is>
      </c>
      <c r="R642" t="inlineStr">
        <is>
          <t>2022-05-05</t>
        </is>
      </c>
      <c r="S642" t="inlineStr">
        <is>
          <t>2022-05-18</t>
        </is>
      </c>
      <c r="T642" t="inlineStr">
        <is>
          <t>Drakon 6 : 2022-05-05 - 2022-05-18</t>
        </is>
      </c>
      <c r="U642" t="inlineStr"/>
      <c r="V642" t="inlineStr"/>
      <c r="W642" t="inlineStr">
        <is>
          <t>2022-05-05T16:34:17-05:00</t>
        </is>
      </c>
      <c r="X642">
        <f>IFERROR(1/COUNTIF($I:$I,@$I:$I), 0)</f>
        <v/>
      </c>
    </row>
    <row r="643">
      <c r="A643">
        <f>HYPERLINK("https://drivetime.tpondemand.com/entity/131381", "131381")</f>
        <v/>
      </c>
      <c r="B643" t="inlineStr">
        <is>
          <t>More payment options title icons are a bit smaller than in the comps</t>
        </is>
      </c>
      <c r="C643" t="inlineStr">
        <is>
          <t>Bug</t>
        </is>
      </c>
      <c r="D643" t="inlineStr">
        <is>
          <t>Servicing: BC Next</t>
        </is>
      </c>
      <c r="E643" t="inlineStr">
        <is>
          <t>BC Digital Drakon</t>
        </is>
      </c>
      <c r="F643" t="inlineStr">
        <is>
          <t>20</t>
        </is>
      </c>
      <c r="G643" t="inlineStr">
        <is>
          <t>Yokeshwaran Lokanathan</t>
        </is>
      </c>
      <c r="H643" t="inlineStr">
        <is>
          <t>[BC NEXT][WEB] Phase 3: Payment Options</t>
        </is>
      </c>
      <c r="I643" t="inlineStr"/>
      <c r="J643" t="n">
        <v>6.974907407407407</v>
      </c>
      <c r="K643" t="inlineStr"/>
      <c r="L643">
        <f>HYPERLINK("https://drivetime.tpondemand.com/entity/126964", "126964")</f>
        <v/>
      </c>
      <c r="M643" t="n">
        <v>0</v>
      </c>
      <c r="N643" t="n">
        <v>130166</v>
      </c>
      <c r="O643" t="inlineStr">
        <is>
          <t>Done</t>
        </is>
      </c>
      <c r="P643" t="n">
        <v>1</v>
      </c>
      <c r="Q643" t="inlineStr">
        <is>
          <t>Drakon 6</t>
        </is>
      </c>
      <c r="R643" t="inlineStr">
        <is>
          <t>2022-05-05</t>
        </is>
      </c>
      <c r="S643" t="inlineStr">
        <is>
          <t>2022-05-18</t>
        </is>
      </c>
      <c r="T643" t="inlineStr">
        <is>
          <t>Drakon 6 : 2022-05-05 - 2022-05-18</t>
        </is>
      </c>
      <c r="U643" t="inlineStr"/>
      <c r="V643" t="inlineStr"/>
      <c r="W643" t="inlineStr">
        <is>
          <t>2022-05-17T09:22:43-05:00</t>
        </is>
      </c>
      <c r="X643">
        <f>IFERROR(1/COUNTIF($I:$I,@$I:$I), 0)</f>
        <v/>
      </c>
    </row>
    <row r="644">
      <c r="A644">
        <f>HYPERLINK("https://drivetime.tpondemand.com/entity/131382", "131382")</f>
        <v/>
      </c>
      <c r="B644" t="inlineStr">
        <is>
          <t>Top edge missing from tab outline of links in first line of more payment options description</t>
        </is>
      </c>
      <c r="C644" t="inlineStr">
        <is>
          <t>Bug</t>
        </is>
      </c>
      <c r="D644" t="inlineStr">
        <is>
          <t>Servicing: BC Next</t>
        </is>
      </c>
      <c r="E644" t="inlineStr">
        <is>
          <t>BC Digital Drakon</t>
        </is>
      </c>
      <c r="F644" t="inlineStr">
        <is>
          <t>20</t>
        </is>
      </c>
      <c r="G644" t="inlineStr">
        <is>
          <t>Yokeshwaran Lokanathan</t>
        </is>
      </c>
      <c r="H644" t="inlineStr">
        <is>
          <t>[BC NEXT][WEB] Phase 3: Payment Options</t>
        </is>
      </c>
      <c r="I644" t="inlineStr"/>
      <c r="J644" t="n">
        <v>6.975023148148148</v>
      </c>
      <c r="K644" t="inlineStr"/>
      <c r="L644">
        <f>HYPERLINK("https://drivetime.tpondemand.com/entity/126964", "126964")</f>
        <v/>
      </c>
      <c r="M644" t="n">
        <v>0</v>
      </c>
      <c r="N644" t="n">
        <v>130166</v>
      </c>
      <c r="O644" t="inlineStr">
        <is>
          <t>Done</t>
        </is>
      </c>
      <c r="P644" t="n">
        <v>1</v>
      </c>
      <c r="Q644" t="inlineStr">
        <is>
          <t>Drakon 6</t>
        </is>
      </c>
      <c r="R644" t="inlineStr">
        <is>
          <t>2022-05-05</t>
        </is>
      </c>
      <c r="S644" t="inlineStr">
        <is>
          <t>2022-05-18</t>
        </is>
      </c>
      <c r="T644" t="inlineStr">
        <is>
          <t>Drakon 6 : 2022-05-05 - 2022-05-18</t>
        </is>
      </c>
      <c r="U644" t="inlineStr"/>
      <c r="V644" t="inlineStr"/>
      <c r="W644" t="inlineStr">
        <is>
          <t>2022-05-17T09:22:56-05:00</t>
        </is>
      </c>
      <c r="X644">
        <f>IFERROR(1/COUNTIF($I:$I,@$I:$I), 0)</f>
        <v/>
      </c>
    </row>
    <row r="645">
      <c r="A645">
        <f>HYPERLINK("https://drivetime.tpondemand.com/entity/131385", "131385")</f>
        <v/>
      </c>
      <c r="B645" t="inlineStr">
        <is>
          <t>[BC NEXT] Manage Debit Cards - Update padding when card has scheduled payment</t>
        </is>
      </c>
      <c r="C645" t="inlineStr">
        <is>
          <t>Bug</t>
        </is>
      </c>
      <c r="D645" t="inlineStr">
        <is>
          <t>Servicing: BC Next</t>
        </is>
      </c>
      <c r="E645" t="inlineStr">
        <is>
          <t>BC Digital Drakon</t>
        </is>
      </c>
      <c r="F645" t="inlineStr">
        <is>
          <t>19</t>
        </is>
      </c>
      <c r="G645" t="inlineStr">
        <is>
          <t>Abbas Shamshi</t>
        </is>
      </c>
      <c r="H645" t="inlineStr">
        <is>
          <t>[BC NEXT][WEB] Phase 3: Account Settings</t>
        </is>
      </c>
      <c r="I645" t="inlineStr"/>
      <c r="J645" t="n">
        <v>3.256377314814815</v>
      </c>
      <c r="K645">
        <f>HYPERLINK("https://drivetime.tpondemand.com/entity/131615", "131615")</f>
        <v/>
      </c>
      <c r="L645">
        <f>HYPERLINK("https://drivetime.tpondemand.com/entity/129324", "129324")</f>
        <v/>
      </c>
      <c r="M645" t="n">
        <v>0</v>
      </c>
      <c r="N645" t="n">
        <v>130166</v>
      </c>
      <c r="O645" t="inlineStr">
        <is>
          <t>Done</t>
        </is>
      </c>
      <c r="P645" t="n">
        <v>1</v>
      </c>
      <c r="Q645" t="inlineStr">
        <is>
          <t>Drakon 6</t>
        </is>
      </c>
      <c r="R645" t="inlineStr">
        <is>
          <t>2022-05-05</t>
        </is>
      </c>
      <c r="S645" t="inlineStr">
        <is>
          <t>2022-05-18</t>
        </is>
      </c>
      <c r="T645" t="inlineStr">
        <is>
          <t>Drakon 6 : 2022-05-05 - 2022-05-18</t>
        </is>
      </c>
      <c r="U645" t="inlineStr"/>
      <c r="V645" t="inlineStr"/>
      <c r="W645" t="inlineStr">
        <is>
          <t>2022-05-09T17:40:35-05:00</t>
        </is>
      </c>
      <c r="X645">
        <f>IFERROR(1/COUNTIF($I:$I,@$I:$I), 0)</f>
        <v/>
      </c>
    </row>
    <row r="646">
      <c r="A646">
        <f>HYPERLINK("https://drivetime.tpondemand.com/entity/131397", "131397")</f>
        <v/>
      </c>
      <c r="B646" t="inlineStr">
        <is>
          <t>OTP Pixel Perfect Misc Alignment Issues</t>
        </is>
      </c>
      <c r="C646" t="inlineStr">
        <is>
          <t>Bug</t>
        </is>
      </c>
      <c r="D646" t="inlineStr">
        <is>
          <t>Servicing: BC Next</t>
        </is>
      </c>
      <c r="E646" t="inlineStr">
        <is>
          <t>BC Digital Drakon</t>
        </is>
      </c>
      <c r="F646" t="inlineStr">
        <is>
          <t>20</t>
        </is>
      </c>
      <c r="G646" t="inlineStr">
        <is>
          <t>Antonio Posada and Abbas Shamshi</t>
        </is>
      </c>
      <c r="H646" t="inlineStr">
        <is>
          <t>[BC NEXT][WEB] Phase 3: ACH One Time Payment</t>
        </is>
      </c>
      <c r="I646" t="inlineStr"/>
      <c r="J646" t="n">
        <v>4.988784722222222</v>
      </c>
      <c r="K646" t="inlineStr"/>
      <c r="L646">
        <f>HYPERLINK("https://drivetime.tpondemand.com/entity/130412", "130412")</f>
        <v/>
      </c>
      <c r="M646" t="n">
        <v>0</v>
      </c>
      <c r="N646" t="n">
        <v>130166</v>
      </c>
      <c r="O646" t="inlineStr">
        <is>
          <t>Done</t>
        </is>
      </c>
      <c r="P646" t="n">
        <v>1</v>
      </c>
      <c r="Q646" t="inlineStr">
        <is>
          <t>Drakon 6</t>
        </is>
      </c>
      <c r="R646" t="inlineStr">
        <is>
          <t>2022-05-05</t>
        </is>
      </c>
      <c r="S646" t="inlineStr">
        <is>
          <t>2022-05-18</t>
        </is>
      </c>
      <c r="T646" t="inlineStr">
        <is>
          <t>Drakon 6 : 2022-05-05 - 2022-05-18</t>
        </is>
      </c>
      <c r="U646" t="inlineStr"/>
      <c r="V646" t="inlineStr"/>
      <c r="W646" t="inlineStr">
        <is>
          <t>2022-05-18T10:47:33-05:00</t>
        </is>
      </c>
      <c r="X646">
        <f>IFERROR(1/COUNTIF($I:$I,@$I:$I), 0)</f>
        <v/>
      </c>
    </row>
    <row r="647">
      <c r="A647">
        <f>HYPERLINK("https://drivetime.tpondemand.com/entity/131821", "131821")</f>
        <v/>
      </c>
      <c r="B647" t="inlineStr">
        <is>
          <t>Having login loop</t>
        </is>
      </c>
      <c r="C647" t="inlineStr">
        <is>
          <t>Bug</t>
        </is>
      </c>
      <c r="D647" t="inlineStr">
        <is>
          <t>Servicing: BC Next</t>
        </is>
      </c>
      <c r="E647" t="inlineStr">
        <is>
          <t>BC Digital Drakon</t>
        </is>
      </c>
      <c r="F647" t="inlineStr">
        <is>
          <t>30</t>
        </is>
      </c>
      <c r="G647" t="inlineStr">
        <is>
          <t>Pete Wesselius</t>
        </is>
      </c>
      <c r="H647" t="inlineStr">
        <is>
          <t>null</t>
        </is>
      </c>
      <c r="I647" t="inlineStr"/>
      <c r="J647" t="n">
        <v>75.99855324074073</v>
      </c>
      <c r="K647" t="inlineStr"/>
      <c r="L647">
        <f>HYPERLINK("https://drivetime.tpondemand.com/entity/129035", "129035")</f>
        <v/>
      </c>
      <c r="M647" t="n">
        <v>0</v>
      </c>
      <c r="N647" t="n">
        <v>130168</v>
      </c>
      <c r="O647" t="inlineStr">
        <is>
          <t>Done</t>
        </is>
      </c>
      <c r="P647" t="n">
        <v>1</v>
      </c>
      <c r="Q647" t="inlineStr">
        <is>
          <t>Drakon 8</t>
        </is>
      </c>
      <c r="R647" t="inlineStr">
        <is>
          <t>2022-06-02</t>
        </is>
      </c>
      <c r="S647" t="inlineStr">
        <is>
          <t>2022-06-15</t>
        </is>
      </c>
      <c r="T647" t="inlineStr">
        <is>
          <t>Drakon 8 : 2022-06-02 - 2022-06-15</t>
        </is>
      </c>
      <c r="U647" t="inlineStr"/>
      <c r="V647" t="inlineStr"/>
      <c r="W647" t="inlineStr">
        <is>
          <t>2022-07-27T10:50:18-05:00</t>
        </is>
      </c>
      <c r="X647">
        <f>IFERROR(1/COUNTIF($I:$I,@$I:$I), 0)</f>
        <v/>
      </c>
    </row>
    <row r="648">
      <c r="A648">
        <f>HYPERLINK("https://drivetime.tpondemand.com/entity/131910", "131910")</f>
        <v/>
      </c>
      <c r="B648" t="inlineStr">
        <is>
          <t>[SSP][EXP] Payoff Quote Survey - Underline too long on mobile view</t>
        </is>
      </c>
      <c r="C648" t="inlineStr">
        <is>
          <t>Bug</t>
        </is>
      </c>
      <c r="D648" t="inlineStr">
        <is>
          <t>Servicing: BC Next</t>
        </is>
      </c>
      <c r="E648" t="inlineStr">
        <is>
          <t>BC Digital Drakon</t>
        </is>
      </c>
      <c r="F648" t="inlineStr">
        <is>
          <t>19</t>
        </is>
      </c>
      <c r="G648" t="inlineStr">
        <is>
          <t>Connor Golobich</t>
        </is>
      </c>
      <c r="H648" t="inlineStr">
        <is>
          <t>[SSP][EXP] Payoff Quote Survey</t>
        </is>
      </c>
      <c r="I648" t="inlineStr"/>
      <c r="J648" t="n">
        <v>1.074884259259259</v>
      </c>
      <c r="K648" t="inlineStr"/>
      <c r="L648">
        <f>HYPERLINK("https://drivetime.tpondemand.com/entity/129667", "129667")</f>
        <v/>
      </c>
      <c r="M648" t="n">
        <v>0</v>
      </c>
      <c r="N648" t="n">
        <v>130166</v>
      </c>
      <c r="O648" t="inlineStr">
        <is>
          <t>Done</t>
        </is>
      </c>
      <c r="P648" t="n">
        <v>1</v>
      </c>
      <c r="Q648" t="inlineStr">
        <is>
          <t>Drakon 6</t>
        </is>
      </c>
      <c r="R648" t="inlineStr">
        <is>
          <t>2022-05-05</t>
        </is>
      </c>
      <c r="S648" t="inlineStr">
        <is>
          <t>2022-05-18</t>
        </is>
      </c>
      <c r="T648" t="inlineStr">
        <is>
          <t>Drakon 6 : 2022-05-05 - 2022-05-18</t>
        </is>
      </c>
      <c r="U648" t="inlineStr"/>
      <c r="V648" t="inlineStr"/>
      <c r="W648" t="inlineStr">
        <is>
          <t>2022-05-13T12:48:06-05:00</t>
        </is>
      </c>
      <c r="X648">
        <f>IFERROR(1/COUNTIF($I:$I,@$I:$I), 0)</f>
        <v/>
      </c>
    </row>
    <row r="649">
      <c r="A649">
        <f>HYPERLINK("https://drivetime.tpondemand.com/entity/132305", "132305")</f>
        <v/>
      </c>
      <c r="B649" t="inlineStr">
        <is>
          <t>[BC NEXT]Manage Payments - lag refreshing the page</t>
        </is>
      </c>
      <c r="C649" t="inlineStr">
        <is>
          <t>Bug</t>
        </is>
      </c>
      <c r="D649" t="inlineStr">
        <is>
          <t>Servicing: BC Next</t>
        </is>
      </c>
      <c r="E649" t="inlineStr">
        <is>
          <t>BC Digital Drakon</t>
        </is>
      </c>
      <c r="F649" t="inlineStr">
        <is>
          <t>21</t>
        </is>
      </c>
      <c r="G649" t="inlineStr">
        <is>
          <t>Yokeshwaran Lokanathan</t>
        </is>
      </c>
      <c r="H649" t="inlineStr">
        <is>
          <t>[BC NEXT] Bug Fixes/Enhancements for June Release</t>
        </is>
      </c>
      <c r="I649" t="inlineStr"/>
      <c r="J649" t="n">
        <v>6.977488425925926</v>
      </c>
      <c r="K649">
        <f>HYPERLINK("https://drivetime.tpondemand.com/entity/133005", "133005")</f>
        <v/>
      </c>
      <c r="L649">
        <f>HYPERLINK("https://drivetime.tpondemand.com/entity/129786", "129786")</f>
        <v/>
      </c>
      <c r="M649" t="n">
        <v>0</v>
      </c>
      <c r="N649" t="n">
        <v>130167</v>
      </c>
      <c r="O649" t="inlineStr">
        <is>
          <t>Done</t>
        </is>
      </c>
      <c r="P649" t="n">
        <v>1</v>
      </c>
      <c r="Q649" t="inlineStr">
        <is>
          <t>Drakon 7</t>
        </is>
      </c>
      <c r="R649" t="inlineStr">
        <is>
          <t>2022-05-19</t>
        </is>
      </c>
      <c r="S649" t="inlineStr">
        <is>
          <t>2022-06-01</t>
        </is>
      </c>
      <c r="T649" t="inlineStr">
        <is>
          <t>Drakon 7 : 2022-05-19 - 2022-06-01</t>
        </is>
      </c>
      <c r="U649" t="inlineStr"/>
      <c r="V649" t="inlineStr"/>
      <c r="W649" t="inlineStr">
        <is>
          <t>2022-05-25T10:45:22-05:00</t>
        </is>
      </c>
      <c r="X649">
        <f>IFERROR(1/COUNTIF($I:$I,@$I:$I), 0)</f>
        <v/>
      </c>
    </row>
    <row r="650">
      <c r="A650">
        <f>HYPERLINK("https://drivetime.tpondemand.com/entity/132306", "132306")</f>
        <v/>
      </c>
      <c r="B650" t="inlineStr">
        <is>
          <t>Mobile view Misc Misalignments</t>
        </is>
      </c>
      <c r="C650" t="inlineStr">
        <is>
          <t>Bug</t>
        </is>
      </c>
      <c r="D650" t="inlineStr">
        <is>
          <t>Servicing: BC Next</t>
        </is>
      </c>
      <c r="E650" t="inlineStr">
        <is>
          <t>BC Digital Drakon</t>
        </is>
      </c>
      <c r="F650" t="inlineStr">
        <is>
          <t>20</t>
        </is>
      </c>
      <c r="G650" t="inlineStr">
        <is>
          <t>Antonio Posada</t>
        </is>
      </c>
      <c r="H650" t="inlineStr">
        <is>
          <t>[BC NEXT][WEB] Phase 3: ACH One Time Payment</t>
        </is>
      </c>
      <c r="I650" t="inlineStr"/>
      <c r="J650" t="n">
        <v>0.03241898148148148</v>
      </c>
      <c r="K650" t="inlineStr"/>
      <c r="L650">
        <f>HYPERLINK("https://drivetime.tpondemand.com/entity/130412", "130412")</f>
        <v/>
      </c>
      <c r="M650" t="n">
        <v>0</v>
      </c>
      <c r="N650" t="n">
        <v>130166</v>
      </c>
      <c r="O650" t="inlineStr">
        <is>
          <t>Done</t>
        </is>
      </c>
      <c r="P650" t="n">
        <v>1</v>
      </c>
      <c r="Q650" t="inlineStr">
        <is>
          <t>Drakon 6</t>
        </is>
      </c>
      <c r="R650" t="inlineStr">
        <is>
          <t>2022-05-05</t>
        </is>
      </c>
      <c r="S650" t="inlineStr">
        <is>
          <t>2022-05-18</t>
        </is>
      </c>
      <c r="T650" t="inlineStr">
        <is>
          <t>Drakon 6 : 2022-05-05 - 2022-05-18</t>
        </is>
      </c>
      <c r="U650" t="inlineStr"/>
      <c r="V650" t="inlineStr"/>
      <c r="W650" t="inlineStr">
        <is>
          <t>2022-05-18T10:48:12-05:00</t>
        </is>
      </c>
      <c r="X650">
        <f>IFERROR(1/COUNTIF($I:$I,@$I:$I), 0)</f>
        <v/>
      </c>
    </row>
    <row r="651">
      <c r="A651">
        <f>HYPERLINK("https://drivetime.tpondemand.com/entity/132314", "132314")</f>
        <v/>
      </c>
      <c r="B651" t="inlineStr">
        <is>
          <t>Cancel Payment Modal</t>
        </is>
      </c>
      <c r="C651" t="inlineStr">
        <is>
          <t>Bug</t>
        </is>
      </c>
      <c r="D651" t="inlineStr">
        <is>
          <t>Servicing: BC Next</t>
        </is>
      </c>
      <c r="E651" t="inlineStr">
        <is>
          <t>BC Digital Drakon</t>
        </is>
      </c>
      <c r="F651" t="inlineStr">
        <is>
          <t>20</t>
        </is>
      </c>
      <c r="G651" t="inlineStr">
        <is>
          <t>Yokeshwaran Lokanathan</t>
        </is>
      </c>
      <c r="H651" t="inlineStr">
        <is>
          <t>[BC NEXT][WEB] Phase 3: Account Settings</t>
        </is>
      </c>
      <c r="I651" t="inlineStr"/>
      <c r="J651" t="n">
        <v>1.515046296296296</v>
      </c>
      <c r="K651">
        <f>HYPERLINK("https://drivetime.tpondemand.com/entity/133005", "133005")</f>
        <v/>
      </c>
      <c r="L651">
        <f>HYPERLINK("https://drivetime.tpondemand.com/entity/129329", "129329")</f>
        <v/>
      </c>
      <c r="M651" t="n">
        <v>0</v>
      </c>
      <c r="N651" t="n">
        <v>130167</v>
      </c>
      <c r="O651" t="inlineStr">
        <is>
          <t>Done</t>
        </is>
      </c>
      <c r="P651" t="n">
        <v>1</v>
      </c>
      <c r="Q651" t="inlineStr">
        <is>
          <t>Drakon 7</t>
        </is>
      </c>
      <c r="R651" t="inlineStr">
        <is>
          <t>2022-05-19</t>
        </is>
      </c>
      <c r="S651" t="inlineStr">
        <is>
          <t>2022-06-01</t>
        </is>
      </c>
      <c r="T651" t="inlineStr">
        <is>
          <t>Drakon 7 : 2022-05-19 - 2022-06-01</t>
        </is>
      </c>
      <c r="U651" t="inlineStr"/>
      <c r="V651" t="inlineStr"/>
      <c r="W651" t="inlineStr">
        <is>
          <t>2022-05-19T23:39:29-05:00</t>
        </is>
      </c>
      <c r="X651">
        <f>IFERROR(1/COUNTIF($I:$I,@$I:$I), 0)</f>
        <v/>
      </c>
    </row>
    <row r="652">
      <c r="A652">
        <f>HYPERLINK("https://drivetime.tpondemand.com/entity/132341", "132341")</f>
        <v/>
      </c>
      <c r="B652" t="inlineStr">
        <is>
          <t>Unenroll from Autopay</t>
        </is>
      </c>
      <c r="C652" t="inlineStr">
        <is>
          <t>Bug</t>
        </is>
      </c>
      <c r="D652" t="inlineStr">
        <is>
          <t>Servicing: BC Next</t>
        </is>
      </c>
      <c r="E652" t="inlineStr">
        <is>
          <t>BC Digital Drakon</t>
        </is>
      </c>
      <c r="F652" t="inlineStr">
        <is>
          <t>21</t>
        </is>
      </c>
      <c r="G652" t="inlineStr">
        <is>
          <t>Yokeshwaran Lokanathan</t>
        </is>
      </c>
      <c r="H652" t="inlineStr">
        <is>
          <t>[BC NEXT][WEB] Phase 3: Account Settings</t>
        </is>
      </c>
      <c r="I652" t="inlineStr"/>
      <c r="J652" t="n">
        <v>4.926701388888889</v>
      </c>
      <c r="K652">
        <f>HYPERLINK("https://drivetime.tpondemand.com/entity/133005", "133005")</f>
        <v/>
      </c>
      <c r="L652">
        <f>HYPERLINK("https://drivetime.tpondemand.com/entity/129329", "129329")</f>
        <v/>
      </c>
      <c r="M652" t="n">
        <v>0</v>
      </c>
      <c r="N652" t="n">
        <v>130167</v>
      </c>
      <c r="O652" t="inlineStr">
        <is>
          <t>Done</t>
        </is>
      </c>
      <c r="P652" t="n">
        <v>1</v>
      </c>
      <c r="Q652" t="inlineStr">
        <is>
          <t>Drakon 7</t>
        </is>
      </c>
      <c r="R652" t="inlineStr">
        <is>
          <t>2022-05-19</t>
        </is>
      </c>
      <c r="S652" t="inlineStr">
        <is>
          <t>2022-06-01</t>
        </is>
      </c>
      <c r="T652" t="inlineStr">
        <is>
          <t>Drakon 7 : 2022-05-19 - 2022-06-01</t>
        </is>
      </c>
      <c r="U652" t="inlineStr"/>
      <c r="V652" t="inlineStr"/>
      <c r="W652" t="inlineStr">
        <is>
          <t>2022-05-23T11:04:45-05:00</t>
        </is>
      </c>
      <c r="X652">
        <f>IFERROR(1/COUNTIF($I:$I,@$I:$I), 0)</f>
        <v/>
      </c>
    </row>
    <row r="653">
      <c r="A653">
        <f>HYPERLINK("https://drivetime.tpondemand.com/entity/132342", "132342")</f>
        <v/>
      </c>
      <c r="B653" t="inlineStr">
        <is>
          <t>Manage Payment UI</t>
        </is>
      </c>
      <c r="C653" t="inlineStr">
        <is>
          <t>Bug</t>
        </is>
      </c>
      <c r="D653" t="inlineStr">
        <is>
          <t>Servicing: BC Next</t>
        </is>
      </c>
      <c r="E653" t="inlineStr">
        <is>
          <t>BC Digital Drakon</t>
        </is>
      </c>
      <c r="F653" t="inlineStr">
        <is>
          <t>20</t>
        </is>
      </c>
      <c r="G653" t="inlineStr">
        <is>
          <t>Yokeshwaran Lokanathan</t>
        </is>
      </c>
      <c r="H653" t="inlineStr">
        <is>
          <t>[BC NEXT][WEB] Phase 3: Account Settings</t>
        </is>
      </c>
      <c r="I653" t="inlineStr"/>
      <c r="J653" t="n">
        <v>0</v>
      </c>
      <c r="K653">
        <f>HYPERLINK("https://drivetime.tpondemand.com/entity/133005", "133005")</f>
        <v/>
      </c>
      <c r="L653">
        <f>HYPERLINK("https://drivetime.tpondemand.com/entity/129329", "129329")</f>
        <v/>
      </c>
      <c r="M653" t="n">
        <v>0</v>
      </c>
      <c r="N653" t="n">
        <v>130166</v>
      </c>
      <c r="O653" t="inlineStr">
        <is>
          <t>Done</t>
        </is>
      </c>
      <c r="P653" t="n">
        <v>1</v>
      </c>
      <c r="Q653" t="inlineStr">
        <is>
          <t>Drakon 6</t>
        </is>
      </c>
      <c r="R653" t="inlineStr">
        <is>
          <t>2022-05-05</t>
        </is>
      </c>
      <c r="S653" t="inlineStr">
        <is>
          <t>2022-05-18</t>
        </is>
      </c>
      <c r="T653" t="inlineStr">
        <is>
          <t>Drakon 6 : 2022-05-05 - 2022-05-18</t>
        </is>
      </c>
      <c r="U653" t="inlineStr"/>
      <c r="V653" t="inlineStr"/>
      <c r="W653" t="inlineStr">
        <is>
          <t>2022-05-18T12:27:17-05:00</t>
        </is>
      </c>
      <c r="X653">
        <f>IFERROR(1/COUNTIF($I:$I,@$I:$I), 0)</f>
        <v/>
      </c>
    </row>
    <row r="654">
      <c r="A654">
        <f>HYPERLINK("https://drivetime.tpondemand.com/entity/132349", "132349")</f>
        <v/>
      </c>
      <c r="B654" t="inlineStr">
        <is>
          <t>Pixel Perfect Bug - Footer</t>
        </is>
      </c>
      <c r="C654" t="inlineStr">
        <is>
          <t>Bug</t>
        </is>
      </c>
      <c r="D654" t="inlineStr">
        <is>
          <t>Servicing: BC Next</t>
        </is>
      </c>
      <c r="E654" t="inlineStr">
        <is>
          <t>BC Digital Drakon</t>
        </is>
      </c>
      <c r="F654" t="inlineStr">
        <is>
          <t>20</t>
        </is>
      </c>
      <c r="G654" t="inlineStr">
        <is>
          <t>Antonio Posada</t>
        </is>
      </c>
      <c r="H654" t="inlineStr">
        <is>
          <t>[BC NEXT][WEB] Phase 3: Misc Pages</t>
        </is>
      </c>
      <c r="I654" t="inlineStr"/>
      <c r="J654" t="n">
        <v>0.09849537037037037</v>
      </c>
      <c r="K654" t="inlineStr"/>
      <c r="L654">
        <f>HYPERLINK("https://drivetime.tpondemand.com/entity/129714", "129714")</f>
        <v/>
      </c>
      <c r="M654" t="n">
        <v>0</v>
      </c>
      <c r="N654" t="n">
        <v>130166</v>
      </c>
      <c r="O654" t="inlineStr">
        <is>
          <t>Done</t>
        </is>
      </c>
      <c r="P654" t="n">
        <v>1</v>
      </c>
      <c r="Q654" t="inlineStr">
        <is>
          <t>Drakon 6</t>
        </is>
      </c>
      <c r="R654" t="inlineStr">
        <is>
          <t>2022-05-05</t>
        </is>
      </c>
      <c r="S654" t="inlineStr">
        <is>
          <t>2022-05-18</t>
        </is>
      </c>
      <c r="T654" t="inlineStr">
        <is>
          <t>Drakon 6 : 2022-05-05 - 2022-05-18</t>
        </is>
      </c>
      <c r="U654" t="inlineStr"/>
      <c r="V654" t="inlineStr"/>
      <c r="W654" t="inlineStr">
        <is>
          <t>2022-05-18T14:42:36-05:00</t>
        </is>
      </c>
      <c r="X654">
        <f>IFERROR(1/COUNTIF($I:$I,@$I:$I), 0)</f>
        <v/>
      </c>
    </row>
    <row r="655">
      <c r="A655">
        <f>HYPERLINK("https://drivetime.tpondemand.com/entity/132351", "132351")</f>
        <v/>
      </c>
      <c r="B655" t="inlineStr">
        <is>
          <t>E-consent modal</t>
        </is>
      </c>
      <c r="C655" t="inlineStr">
        <is>
          <t>Bug</t>
        </is>
      </c>
      <c r="D655" t="inlineStr">
        <is>
          <t>Servicing: BC Next</t>
        </is>
      </c>
      <c r="E655" t="inlineStr">
        <is>
          <t>BC Digital Drakon</t>
        </is>
      </c>
      <c r="F655" t="inlineStr">
        <is>
          <t>20</t>
        </is>
      </c>
      <c r="G655" t="inlineStr">
        <is>
          <t>Yokeshwaran Lokanathan</t>
        </is>
      </c>
      <c r="H655" t="inlineStr">
        <is>
          <t>[BC NEXT][WEB] Phase 3: Account Settings</t>
        </is>
      </c>
      <c r="I655" t="inlineStr"/>
      <c r="J655" t="n">
        <v>1.430358796296296</v>
      </c>
      <c r="K655">
        <f>HYPERLINK("https://drivetime.tpondemand.com/entity/133005", "133005")</f>
        <v/>
      </c>
      <c r="L655">
        <f>HYPERLINK("https://drivetime.tpondemand.com/entity/129329", "129329")</f>
        <v/>
      </c>
      <c r="M655" t="n">
        <v>0</v>
      </c>
      <c r="N655" t="n">
        <v>130167</v>
      </c>
      <c r="O655" t="inlineStr">
        <is>
          <t>Done</t>
        </is>
      </c>
      <c r="P655" t="n">
        <v>1</v>
      </c>
      <c r="Q655" t="inlineStr">
        <is>
          <t>Drakon 7</t>
        </is>
      </c>
      <c r="R655" t="inlineStr">
        <is>
          <t>2022-05-19</t>
        </is>
      </c>
      <c r="S655" t="inlineStr">
        <is>
          <t>2022-06-01</t>
        </is>
      </c>
      <c r="T655" t="inlineStr">
        <is>
          <t>Drakon 7 : 2022-05-19 - 2022-06-01</t>
        </is>
      </c>
      <c r="U655" t="inlineStr"/>
      <c r="V655" t="inlineStr"/>
      <c r="W655" t="inlineStr">
        <is>
          <t>2022-05-19T23:09:59-05:00</t>
        </is>
      </c>
      <c r="X655">
        <f>IFERROR(1/COUNTIF($I:$I,@$I:$I), 0)</f>
        <v/>
      </c>
    </row>
    <row r="656">
      <c r="A656">
        <f>HYPERLINK("https://drivetime.tpondemand.com/entity/132391", "132391")</f>
        <v/>
      </c>
      <c r="B656" t="inlineStr">
        <is>
          <t>Pixel Perfect- Footer</t>
        </is>
      </c>
      <c r="C656" t="inlineStr">
        <is>
          <t>Bug</t>
        </is>
      </c>
      <c r="D656" t="inlineStr">
        <is>
          <t>Servicing: BC Next</t>
        </is>
      </c>
      <c r="E656" t="inlineStr">
        <is>
          <t>BC Digital Drakon</t>
        </is>
      </c>
      <c r="F656" t="inlineStr">
        <is>
          <t>20</t>
        </is>
      </c>
      <c r="G656" t="inlineStr">
        <is>
          <t>Shyam Senthil Nathan</t>
        </is>
      </c>
      <c r="H656" t="inlineStr">
        <is>
          <t>[BC NEXT] Phase 3: Web - AP Past Due</t>
        </is>
      </c>
      <c r="I656" t="inlineStr"/>
      <c r="J656" t="n">
        <v>0.7646412037037037</v>
      </c>
      <c r="K656" t="inlineStr"/>
      <c r="L656">
        <f>HYPERLINK("https://drivetime.tpondemand.com/entity/130157", "130157")</f>
        <v/>
      </c>
      <c r="M656" t="n">
        <v>0</v>
      </c>
      <c r="N656" t="n">
        <v>130167</v>
      </c>
      <c r="O656" t="inlineStr">
        <is>
          <t>Done</t>
        </is>
      </c>
      <c r="P656" t="n">
        <v>1</v>
      </c>
      <c r="Q656" t="inlineStr">
        <is>
          <t>Drakon 7</t>
        </is>
      </c>
      <c r="R656" t="inlineStr">
        <is>
          <t>2022-05-19</t>
        </is>
      </c>
      <c r="S656" t="inlineStr">
        <is>
          <t>2022-06-01</t>
        </is>
      </c>
      <c r="T656" t="inlineStr">
        <is>
          <t>Drakon 7 : 2022-05-19 - 2022-06-01</t>
        </is>
      </c>
      <c r="U656" t="inlineStr"/>
      <c r="V656" t="inlineStr"/>
      <c r="W656" t="inlineStr">
        <is>
          <t>2022-05-19T10:53:00-05:00</t>
        </is>
      </c>
      <c r="X656">
        <f>IFERROR(1/COUNTIF($I:$I,@$I:$I), 0)</f>
        <v/>
      </c>
    </row>
    <row r="657">
      <c r="A657">
        <f>HYPERLINK("https://drivetime.tpondemand.com/entity/132537", "132537")</f>
        <v/>
      </c>
      <c r="B657" t="inlineStr">
        <is>
          <t>Footer is not sticking to bottom of the page</t>
        </is>
      </c>
      <c r="C657" t="inlineStr">
        <is>
          <t>Bug</t>
        </is>
      </c>
      <c r="D657" t="inlineStr">
        <is>
          <t>Servicing: BC Next</t>
        </is>
      </c>
      <c r="E657" t="inlineStr">
        <is>
          <t>BC Digital Drakon</t>
        </is>
      </c>
      <c r="F657" t="inlineStr">
        <is>
          <t>21</t>
        </is>
      </c>
      <c r="G657" t="inlineStr">
        <is>
          <t>Yokeshwaran Lokanathan</t>
        </is>
      </c>
      <c r="H657" t="inlineStr">
        <is>
          <t>[BC NEXT][WEB] Phase 3: Account Settings</t>
        </is>
      </c>
      <c r="I657" t="inlineStr"/>
      <c r="J657" t="n">
        <v>3.081203703703704</v>
      </c>
      <c r="K657">
        <f>HYPERLINK("https://drivetime.tpondemand.com/entity/133005", "133005")</f>
        <v/>
      </c>
      <c r="L657">
        <f>HYPERLINK("https://drivetime.tpondemand.com/entity/129329", "129329")</f>
        <v/>
      </c>
      <c r="M657" t="n">
        <v>0</v>
      </c>
      <c r="N657" t="n">
        <v>130167</v>
      </c>
      <c r="O657" t="inlineStr">
        <is>
          <t>Done</t>
        </is>
      </c>
      <c r="P657" t="n">
        <v>1</v>
      </c>
      <c r="Q657" t="inlineStr">
        <is>
          <t>Drakon 7</t>
        </is>
      </c>
      <c r="R657" t="inlineStr">
        <is>
          <t>2022-05-19</t>
        </is>
      </c>
      <c r="S657" t="inlineStr">
        <is>
          <t>2022-06-01</t>
        </is>
      </c>
      <c r="T657" t="inlineStr">
        <is>
          <t>Drakon 7 : 2022-05-19 - 2022-06-01</t>
        </is>
      </c>
      <c r="U657" t="inlineStr"/>
      <c r="V657" t="inlineStr"/>
      <c r="W657" t="inlineStr">
        <is>
          <t>2022-05-26T12:53:15-05:00</t>
        </is>
      </c>
      <c r="X657">
        <f>IFERROR(1/COUNTIF($I:$I,@$I:$I), 0)</f>
        <v/>
      </c>
    </row>
    <row r="658">
      <c r="A658">
        <f>HYPERLINK("https://drivetime.tpondemand.com/entity/132616", "132616")</f>
        <v/>
      </c>
      <c r="B658" t="inlineStr">
        <is>
          <t>Footer not matching the comps &amp; Page able to scroll without a lot of content</t>
        </is>
      </c>
      <c r="C658" t="inlineStr">
        <is>
          <t>Bug</t>
        </is>
      </c>
      <c r="D658" t="inlineStr">
        <is>
          <t>Servicing: BC Next</t>
        </is>
      </c>
      <c r="E658" t="inlineStr">
        <is>
          <t>BC Digital Drakon</t>
        </is>
      </c>
      <c r="F658" t="inlineStr">
        <is>
          <t>21</t>
        </is>
      </c>
      <c r="G658" t="inlineStr">
        <is>
          <t>Chirag Khandhar</t>
        </is>
      </c>
      <c r="H658" t="inlineStr">
        <is>
          <t>[BC NEXT][WEB] Phase 3: Login Pages</t>
        </is>
      </c>
      <c r="I658" t="inlineStr"/>
      <c r="J658" t="n">
        <v>0.0274537037037037</v>
      </c>
      <c r="K658">
        <f>HYPERLINK("https://drivetime.tpondemand.com/entity/132710", "132710")</f>
        <v/>
      </c>
      <c r="L658">
        <f>HYPERLINK("https://drivetime.tpondemand.com/entity/132144", "132144")</f>
        <v/>
      </c>
      <c r="M658" t="n">
        <v>0</v>
      </c>
      <c r="N658" t="n">
        <v>130167</v>
      </c>
      <c r="O658" t="inlineStr">
        <is>
          <t>Done</t>
        </is>
      </c>
      <c r="P658" t="n">
        <v>1</v>
      </c>
      <c r="Q658" t="inlineStr">
        <is>
          <t>Drakon 7</t>
        </is>
      </c>
      <c r="R658" t="inlineStr">
        <is>
          <t>2022-05-19</t>
        </is>
      </c>
      <c r="S658" t="inlineStr">
        <is>
          <t>2022-06-01</t>
        </is>
      </c>
      <c r="T658" t="inlineStr">
        <is>
          <t>Drakon 7 : 2022-05-19 - 2022-06-01</t>
        </is>
      </c>
      <c r="U658" t="inlineStr"/>
      <c r="V658" t="inlineStr"/>
      <c r="W658" t="inlineStr">
        <is>
          <t>2022-05-23T15:43:05-05:00</t>
        </is>
      </c>
      <c r="X658">
        <f>IFERROR(1/COUNTIF($I:$I,@$I:$I), 0)</f>
        <v/>
      </c>
    </row>
    <row r="659">
      <c r="A659">
        <f>HYPERLINK("https://drivetime.tpondemand.com/entity/132759", "132759")</f>
        <v/>
      </c>
      <c r="B659" t="inlineStr">
        <is>
          <t>Apollo Service Console error</t>
        </is>
      </c>
      <c r="C659" t="inlineStr">
        <is>
          <t>Bug</t>
        </is>
      </c>
      <c r="D659" t="inlineStr">
        <is>
          <t>Servicing: BC Next</t>
        </is>
      </c>
      <c r="E659" t="inlineStr">
        <is>
          <t>BC Digital Drakon</t>
        </is>
      </c>
      <c r="F659" t="inlineStr">
        <is>
          <t>22</t>
        </is>
      </c>
      <c r="G659" t="inlineStr">
        <is>
          <t>Joseph Kranak</t>
        </is>
      </c>
      <c r="H659" t="inlineStr">
        <is>
          <t>[BC NEXT][WEB] Phase 3: Account Settings</t>
        </is>
      </c>
      <c r="I659" t="inlineStr"/>
      <c r="J659" t="n">
        <v>6.833854166666667</v>
      </c>
      <c r="K659">
        <f>HYPERLINK("https://drivetime.tpondemand.com/entity/133076", "133076")</f>
        <v/>
      </c>
      <c r="L659">
        <f>HYPERLINK("https://drivetime.tpondemand.com/entity/129533", "129533")</f>
        <v/>
      </c>
      <c r="M659" t="n">
        <v>0</v>
      </c>
      <c r="N659" t="n">
        <v>130167</v>
      </c>
      <c r="O659" t="inlineStr">
        <is>
          <t>Done</t>
        </is>
      </c>
      <c r="P659" t="n">
        <v>1</v>
      </c>
      <c r="Q659" t="inlineStr">
        <is>
          <t>Drakon 7</t>
        </is>
      </c>
      <c r="R659" t="inlineStr">
        <is>
          <t>2022-05-19</t>
        </is>
      </c>
      <c r="S659" t="inlineStr">
        <is>
          <t>2022-06-01</t>
        </is>
      </c>
      <c r="T659" t="inlineStr">
        <is>
          <t>Drakon 7 : 2022-05-19 - 2022-06-01</t>
        </is>
      </c>
      <c r="U659" t="inlineStr"/>
      <c r="V659" t="inlineStr"/>
      <c r="W659" t="inlineStr">
        <is>
          <t>2022-06-01T09:42:27-05:00</t>
        </is>
      </c>
      <c r="X659">
        <f>IFERROR(1/COUNTIF($I:$I,@$I:$I), 0)</f>
        <v/>
      </c>
    </row>
    <row r="660">
      <c r="A660">
        <f>HYPERLINK("https://drivetime.tpondemand.com/entity/132766", "132766")</f>
        <v/>
      </c>
      <c r="B660" t="inlineStr">
        <is>
          <t>Responsive Breakpoint Bug</t>
        </is>
      </c>
      <c r="C660" t="inlineStr">
        <is>
          <t>Bug</t>
        </is>
      </c>
      <c r="D660" t="inlineStr">
        <is>
          <t>Servicing: BC Next</t>
        </is>
      </c>
      <c r="E660" t="inlineStr">
        <is>
          <t>BC Digital Drakon</t>
        </is>
      </c>
      <c r="F660" t="inlineStr">
        <is>
          <t>21</t>
        </is>
      </c>
      <c r="G660" t="inlineStr">
        <is>
          <t>Abbas Shamshi</t>
        </is>
      </c>
      <c r="H660" t="inlineStr">
        <is>
          <t>[BC NEXT][WEB] Phase 3: Misc Pages</t>
        </is>
      </c>
      <c r="I660" t="inlineStr"/>
      <c r="J660" t="n">
        <v>0.2394907407407407</v>
      </c>
      <c r="K660">
        <f>HYPERLINK("https://drivetime.tpondemand.com/entity/133005", "133005")</f>
        <v/>
      </c>
      <c r="L660">
        <f>HYPERLINK("https://drivetime.tpondemand.com/entity/130767", "130767")</f>
        <v/>
      </c>
      <c r="M660" t="n">
        <v>0</v>
      </c>
      <c r="N660" t="n">
        <v>130167</v>
      </c>
      <c r="O660" t="inlineStr">
        <is>
          <t>Done</t>
        </is>
      </c>
      <c r="P660" t="n">
        <v>1</v>
      </c>
      <c r="Q660" t="inlineStr">
        <is>
          <t>Drakon 7</t>
        </is>
      </c>
      <c r="R660" t="inlineStr">
        <is>
          <t>2022-05-19</t>
        </is>
      </c>
      <c r="S660" t="inlineStr">
        <is>
          <t>2022-06-01</t>
        </is>
      </c>
      <c r="T660" t="inlineStr">
        <is>
          <t>Drakon 7 : 2022-05-19 - 2022-06-01</t>
        </is>
      </c>
      <c r="U660" t="inlineStr"/>
      <c r="V660" t="inlineStr"/>
      <c r="W660" t="inlineStr">
        <is>
          <t>2022-05-26T15:24:49-05:00</t>
        </is>
      </c>
      <c r="X660">
        <f>IFERROR(1/COUNTIF($I:$I,@$I:$I), 0)</f>
        <v/>
      </c>
    </row>
    <row r="661">
      <c r="A661">
        <f>HYPERLINK("https://drivetime.tpondemand.com/entity/132769", "132769")</f>
        <v/>
      </c>
      <c r="B661" t="inlineStr">
        <is>
          <t>Due Date Message Error</t>
        </is>
      </c>
      <c r="C661" t="inlineStr">
        <is>
          <t>Bug</t>
        </is>
      </c>
      <c r="D661" t="inlineStr">
        <is>
          <t>Servicing: BC Next</t>
        </is>
      </c>
      <c r="E661" t="inlineStr">
        <is>
          <t>BC Digital Drakon</t>
        </is>
      </c>
      <c r="F661" t="inlineStr">
        <is>
          <t>21</t>
        </is>
      </c>
      <c r="G661" t="inlineStr">
        <is>
          <t>Joseph Kranak</t>
        </is>
      </c>
      <c r="H661" t="inlineStr">
        <is>
          <t>[BC NEXT] Bug Fixes/Enhancements for June Release</t>
        </is>
      </c>
      <c r="I661" t="inlineStr"/>
      <c r="J661" t="n">
        <v>0.09883101851851851</v>
      </c>
      <c r="K661">
        <f>HYPERLINK("https://drivetime.tpondemand.com/entity/133005", "133005")</f>
        <v/>
      </c>
      <c r="L661">
        <f>HYPERLINK("https://drivetime.tpondemand.com/entity/129784", "129784")</f>
        <v/>
      </c>
      <c r="M661" t="n">
        <v>0</v>
      </c>
      <c r="N661" t="n">
        <v>130167</v>
      </c>
      <c r="O661" t="inlineStr">
        <is>
          <t>Done</t>
        </is>
      </c>
      <c r="P661" t="n">
        <v>1</v>
      </c>
      <c r="Q661" t="inlineStr">
        <is>
          <t>Drakon 7</t>
        </is>
      </c>
      <c r="R661" t="inlineStr">
        <is>
          <t>2022-05-19</t>
        </is>
      </c>
      <c r="S661" t="inlineStr">
        <is>
          <t>2022-06-01</t>
        </is>
      </c>
      <c r="T661" t="inlineStr">
        <is>
          <t>Drakon 7 : 2022-05-19 - 2022-06-01</t>
        </is>
      </c>
      <c r="U661" t="inlineStr"/>
      <c r="V661" t="inlineStr"/>
      <c r="W661" t="inlineStr">
        <is>
          <t>2022-05-25T16:03:55-05:00</t>
        </is>
      </c>
      <c r="X661">
        <f>IFERROR(1/COUNTIF($I:$I,@$I:$I), 0)</f>
        <v/>
      </c>
    </row>
    <row r="662">
      <c r="A662">
        <f>HYPERLINK("https://drivetime.tpondemand.com/entity/132894", "132894")</f>
        <v/>
      </c>
      <c r="B662" t="inlineStr">
        <is>
          <t>[BC NEXT] Terms of Use - Remove JAMS from Arbitration</t>
        </is>
      </c>
      <c r="C662" t="inlineStr">
        <is>
          <t>Bug</t>
        </is>
      </c>
      <c r="D662" t="inlineStr">
        <is>
          <t>Servicing: BC Next</t>
        </is>
      </c>
      <c r="E662" t="inlineStr">
        <is>
          <t>BC Digital Drakon</t>
        </is>
      </c>
      <c r="F662" t="inlineStr">
        <is>
          <t>21</t>
        </is>
      </c>
      <c r="G662" t="inlineStr">
        <is>
          <t>Abbas Shamshi</t>
        </is>
      </c>
      <c r="H662" t="inlineStr">
        <is>
          <t>[BC NEXT][WEB] Phase 3: Misc Pages</t>
        </is>
      </c>
      <c r="I662" t="inlineStr"/>
      <c r="J662" t="n">
        <v>0.18125</v>
      </c>
      <c r="K662">
        <f>HYPERLINK("https://drivetime.tpondemand.com/entity/133005", "133005")</f>
        <v/>
      </c>
      <c r="L662">
        <f>HYPERLINK("https://drivetime.tpondemand.com/entity/130767", "130767")</f>
        <v/>
      </c>
      <c r="M662" t="n">
        <v>0</v>
      </c>
      <c r="N662" t="n">
        <v>130167</v>
      </c>
      <c r="O662" t="inlineStr">
        <is>
          <t>Done</t>
        </is>
      </c>
      <c r="P662" t="n">
        <v>1</v>
      </c>
      <c r="Q662" t="inlineStr">
        <is>
          <t>Drakon 7</t>
        </is>
      </c>
      <c r="R662" t="inlineStr">
        <is>
          <t>2022-05-19</t>
        </is>
      </c>
      <c r="S662" t="inlineStr">
        <is>
          <t>2022-06-01</t>
        </is>
      </c>
      <c r="T662" t="inlineStr">
        <is>
          <t>Drakon 7 : 2022-05-19 - 2022-06-01</t>
        </is>
      </c>
      <c r="U662" t="inlineStr"/>
      <c r="V662" t="inlineStr"/>
      <c r="W662" t="inlineStr">
        <is>
          <t>2022-05-26T16:52:09-05:00</t>
        </is>
      </c>
      <c r="X662">
        <f>IFERROR(1/COUNTIF($I:$I,@$I:$I), 0)</f>
        <v/>
      </c>
    </row>
    <row r="663">
      <c r="A663">
        <f>HYPERLINK("https://drivetime.tpondemand.com/entity/132912", "132912")</f>
        <v/>
      </c>
      <c r="B663" t="inlineStr">
        <is>
          <t>Wrong gold color in icons</t>
        </is>
      </c>
      <c r="C663" t="inlineStr">
        <is>
          <t>Bug</t>
        </is>
      </c>
      <c r="D663" t="inlineStr">
        <is>
          <t>Servicing: BC Next</t>
        </is>
      </c>
      <c r="E663" t="inlineStr">
        <is>
          <t>BC Digital Drakon</t>
        </is>
      </c>
      <c r="F663" t="inlineStr">
        <is>
          <t>22</t>
        </is>
      </c>
      <c r="G663" t="inlineStr">
        <is>
          <t>Joseph Kranak</t>
        </is>
      </c>
      <c r="H663" t="inlineStr">
        <is>
          <t>[BC NEXT][WEB] Phase 3: Account Settings</t>
        </is>
      </c>
      <c r="I663" t="inlineStr"/>
      <c r="J663" t="n">
        <v>5.723009259259259</v>
      </c>
      <c r="K663">
        <f>HYPERLINK("https://drivetime.tpondemand.com/entity/133076", "133076")</f>
        <v/>
      </c>
      <c r="L663">
        <f>HYPERLINK("https://drivetime.tpondemand.com/entity/129533", "129533")</f>
        <v/>
      </c>
      <c r="M663" t="n">
        <v>0</v>
      </c>
      <c r="N663" t="n">
        <v>130167</v>
      </c>
      <c r="O663" t="inlineStr">
        <is>
          <t>Done</t>
        </is>
      </c>
      <c r="P663" t="n">
        <v>1</v>
      </c>
      <c r="Q663" t="inlineStr">
        <is>
          <t>Drakon 7</t>
        </is>
      </c>
      <c r="R663" t="inlineStr">
        <is>
          <t>2022-05-19</t>
        </is>
      </c>
      <c r="S663" t="inlineStr">
        <is>
          <t>2022-06-01</t>
        </is>
      </c>
      <c r="T663" t="inlineStr">
        <is>
          <t>Drakon 7 : 2022-05-19 - 2022-06-01</t>
        </is>
      </c>
      <c r="U663" t="inlineStr"/>
      <c r="V663" t="inlineStr"/>
      <c r="W663" t="inlineStr">
        <is>
          <t>2022-06-01T09:42:30-05:00</t>
        </is>
      </c>
      <c r="X663">
        <f>IFERROR(1/COUNTIF($I:$I,@$I:$I), 0)</f>
        <v/>
      </c>
    </row>
    <row r="664">
      <c r="A664">
        <f>HYPERLINK("https://drivetime.tpondemand.com/entity/132952", "132952")</f>
        <v/>
      </c>
      <c r="B664" t="inlineStr">
        <is>
          <t>Side Nav menu Options overlapping</t>
        </is>
      </c>
      <c r="C664" t="inlineStr">
        <is>
          <t>Bug</t>
        </is>
      </c>
      <c r="D664" t="inlineStr">
        <is>
          <t>Servicing: BC Next</t>
        </is>
      </c>
      <c r="E664" t="inlineStr">
        <is>
          <t>BC Digital Drakon</t>
        </is>
      </c>
      <c r="F664" t="inlineStr">
        <is>
          <t>22</t>
        </is>
      </c>
      <c r="G664" t="inlineStr">
        <is>
          <t>Joseph Kranak</t>
        </is>
      </c>
      <c r="H664" t="inlineStr">
        <is>
          <t>[BC NEXT][WEB] Phase 3: Account Settings</t>
        </is>
      </c>
      <c r="I664" t="inlineStr"/>
      <c r="J664" t="n">
        <v>0.9896643518518519</v>
      </c>
      <c r="K664">
        <f>HYPERLINK("https://drivetime.tpondemand.com/entity/133076", "133076")</f>
        <v/>
      </c>
      <c r="L664">
        <f>HYPERLINK("https://drivetime.tpondemand.com/entity/129533", "129533")</f>
        <v/>
      </c>
      <c r="M664" t="n">
        <v>0</v>
      </c>
      <c r="N664" t="n">
        <v>130167</v>
      </c>
      <c r="O664" t="inlineStr">
        <is>
          <t>Done</t>
        </is>
      </c>
      <c r="P664" t="n">
        <v>1</v>
      </c>
      <c r="Q664" t="inlineStr">
        <is>
          <t>Drakon 7</t>
        </is>
      </c>
      <c r="R664" t="inlineStr">
        <is>
          <t>2022-05-19</t>
        </is>
      </c>
      <c r="S664" t="inlineStr">
        <is>
          <t>2022-06-01</t>
        </is>
      </c>
      <c r="T664" t="inlineStr">
        <is>
          <t>Drakon 7 : 2022-05-19 - 2022-06-01</t>
        </is>
      </c>
      <c r="U664" t="inlineStr"/>
      <c r="V664" t="inlineStr"/>
      <c r="W664" t="inlineStr">
        <is>
          <t>2022-06-01T09:42:32-05:00</t>
        </is>
      </c>
      <c r="X664">
        <f>IFERROR(1/COUNTIF($I:$I,@$I:$I), 0)</f>
        <v/>
      </c>
    </row>
    <row r="665">
      <c r="A665">
        <f>HYPERLINK("https://drivetime.tpondemand.com/entity/132985", "132985")</f>
        <v/>
      </c>
      <c r="B665" t="inlineStr">
        <is>
          <t>Other amount persist even after logout and login</t>
        </is>
      </c>
      <c r="C665" t="inlineStr">
        <is>
          <t>Bug</t>
        </is>
      </c>
      <c r="D665" t="inlineStr">
        <is>
          <t>Servicing: BC Next</t>
        </is>
      </c>
      <c r="E665" t="inlineStr">
        <is>
          <t>BC Digital Drakon</t>
        </is>
      </c>
      <c r="F665" t="inlineStr">
        <is>
          <t>23</t>
        </is>
      </c>
      <c r="G665" t="inlineStr">
        <is>
          <t>Joseph Kranak</t>
        </is>
      </c>
      <c r="H665" t="inlineStr">
        <is>
          <t>[BC NEXT] Bug Fixes/Enhancements for June Release</t>
        </is>
      </c>
      <c r="I665" t="inlineStr"/>
      <c r="J665" t="n">
        <v>6.2803125</v>
      </c>
      <c r="K665">
        <f>HYPERLINK("https://drivetime.tpondemand.com/entity/133564", "133564")</f>
        <v/>
      </c>
      <c r="L665">
        <f>HYPERLINK("https://drivetime.tpondemand.com/entity/131617", "131617")</f>
        <v/>
      </c>
      <c r="M665" t="n">
        <v>0</v>
      </c>
      <c r="N665" t="n">
        <v>130168</v>
      </c>
      <c r="O665" t="inlineStr">
        <is>
          <t>Done</t>
        </is>
      </c>
      <c r="P665" t="n">
        <v>1</v>
      </c>
      <c r="Q665" t="inlineStr">
        <is>
          <t>Drakon 8</t>
        </is>
      </c>
      <c r="R665" t="inlineStr">
        <is>
          <t>2022-06-02</t>
        </is>
      </c>
      <c r="S665" t="inlineStr">
        <is>
          <t>2022-06-15</t>
        </is>
      </c>
      <c r="T665" t="inlineStr">
        <is>
          <t>Drakon 8 : 2022-06-02 - 2022-06-15</t>
        </is>
      </c>
      <c r="U665" t="inlineStr"/>
      <c r="V665" t="inlineStr"/>
      <c r="W665" t="inlineStr">
        <is>
          <t>2022-06-06T17:48:21-05:00</t>
        </is>
      </c>
      <c r="X665">
        <f>IFERROR(1/COUNTIF($I:$I,@$I:$I), 0)</f>
        <v/>
      </c>
    </row>
    <row r="666">
      <c r="A666">
        <f>HYPERLINK("https://drivetime.tpondemand.com/entity/133068", "133068")</f>
        <v/>
      </c>
      <c r="B666" t="inlineStr">
        <is>
          <t>There should not be any changes to the regular logged in experience.</t>
        </is>
      </c>
      <c r="C666" t="inlineStr">
        <is>
          <t>Bug</t>
        </is>
      </c>
      <c r="D666" t="inlineStr">
        <is>
          <t>Servicing: BC Next</t>
        </is>
      </c>
      <c r="E666" t="inlineStr">
        <is>
          <t>BC Digital Drakon</t>
        </is>
      </c>
      <c r="F666" t="inlineStr">
        <is>
          <t>23</t>
        </is>
      </c>
      <c r="G666" t="inlineStr">
        <is>
          <t>Antonio Posada</t>
        </is>
      </c>
      <c r="H666" t="inlineStr">
        <is>
          <t>[BC NEXT] Bug Fixes/Enhancements for June Release</t>
        </is>
      </c>
      <c r="I666" t="inlineStr"/>
      <c r="J666" t="n">
        <v>5.285416666666666</v>
      </c>
      <c r="K666">
        <f>HYPERLINK("https://drivetime.tpondemand.com/entity/133564", "133564")</f>
        <v/>
      </c>
      <c r="L666">
        <f>HYPERLINK("https://drivetime.tpondemand.com/entity/132156", "132156")</f>
        <v/>
      </c>
      <c r="M666" t="n">
        <v>0</v>
      </c>
      <c r="N666" t="n">
        <v>130168</v>
      </c>
      <c r="O666" t="inlineStr">
        <is>
          <t>Done</t>
        </is>
      </c>
      <c r="P666" t="n">
        <v>1</v>
      </c>
      <c r="Q666" t="inlineStr">
        <is>
          <t>Drakon 8</t>
        </is>
      </c>
      <c r="R666" t="inlineStr">
        <is>
          <t>2022-06-02</t>
        </is>
      </c>
      <c r="S666" t="inlineStr">
        <is>
          <t>2022-06-15</t>
        </is>
      </c>
      <c r="T666" t="inlineStr">
        <is>
          <t>Drakon 8 : 2022-06-02 - 2022-06-15</t>
        </is>
      </c>
      <c r="U666" t="inlineStr"/>
      <c r="V666" t="inlineStr"/>
      <c r="W666" t="inlineStr">
        <is>
          <t>2022-06-06T17:49:53-05:00</t>
        </is>
      </c>
      <c r="X666">
        <f>IFERROR(1/COUNTIF($I:$I,@$I:$I), 0)</f>
        <v/>
      </c>
    </row>
    <row r="667">
      <c r="A667">
        <f>HYPERLINK("https://drivetime.tpondemand.com/entity/133146", "133146")</f>
        <v/>
      </c>
      <c r="B667" t="inlineStr">
        <is>
          <t>Add debit card modal header position off</t>
        </is>
      </c>
      <c r="C667" t="inlineStr">
        <is>
          <t>Bug</t>
        </is>
      </c>
      <c r="D667" t="inlineStr">
        <is>
          <t>Servicing: BC Next</t>
        </is>
      </c>
      <c r="E667" t="inlineStr">
        <is>
          <t>BC Digital Drakon</t>
        </is>
      </c>
      <c r="F667" t="inlineStr">
        <is>
          <t>23</t>
        </is>
      </c>
      <c r="G667" t="inlineStr">
        <is>
          <t>Pete Wesselius</t>
        </is>
      </c>
      <c r="H667" t="inlineStr">
        <is>
          <t>[BC NEXT][WEB] Phase 3: Account Settings</t>
        </is>
      </c>
      <c r="I667" t="inlineStr"/>
      <c r="J667" t="n">
        <v>7.771898148148148</v>
      </c>
      <c r="K667">
        <f>HYPERLINK("https://drivetime.tpondemand.com/entity/134248", "134248")</f>
        <v/>
      </c>
      <c r="L667">
        <f>HYPERLINK("https://drivetime.tpondemand.com/entity/129450", "129450")</f>
        <v/>
      </c>
      <c r="M667" t="n">
        <v>0</v>
      </c>
      <c r="N667" t="n">
        <v>130168</v>
      </c>
      <c r="O667" t="inlineStr">
        <is>
          <t>Done</t>
        </is>
      </c>
      <c r="P667" t="n">
        <v>1</v>
      </c>
      <c r="Q667" t="inlineStr">
        <is>
          <t>Drakon 8</t>
        </is>
      </c>
      <c r="R667" t="inlineStr">
        <is>
          <t>2022-06-02</t>
        </is>
      </c>
      <c r="S667" t="inlineStr">
        <is>
          <t>2022-06-15</t>
        </is>
      </c>
      <c r="T667" t="inlineStr">
        <is>
          <t>Drakon 8 : 2022-06-02 - 2022-06-15</t>
        </is>
      </c>
      <c r="U667" t="inlineStr"/>
      <c r="V667" t="inlineStr"/>
      <c r="W667" t="inlineStr">
        <is>
          <t>2022-06-09T10:12:04-05:00</t>
        </is>
      </c>
      <c r="X667">
        <f>IFERROR(1/COUNTIF($I:$I,@$I:$I), 0)</f>
        <v/>
      </c>
    </row>
    <row r="668">
      <c r="A668">
        <f>HYPERLINK("https://drivetime.tpondemand.com/entity/133147", "133147")</f>
        <v/>
      </c>
      <c r="B668" t="inlineStr">
        <is>
          <t>X (Close) button is not tabbable in account settings modals</t>
        </is>
      </c>
      <c r="C668" t="inlineStr">
        <is>
          <t>Bug</t>
        </is>
      </c>
      <c r="D668" t="inlineStr">
        <is>
          <t>Servicing: BC Next</t>
        </is>
      </c>
      <c r="E668" t="inlineStr">
        <is>
          <t>BC Digital Drakon</t>
        </is>
      </c>
      <c r="F668" t="inlineStr">
        <is>
          <t>24</t>
        </is>
      </c>
      <c r="G668" t="inlineStr">
        <is>
          <t>Pete Wesselius</t>
        </is>
      </c>
      <c r="H668" t="inlineStr">
        <is>
          <t>[BC NEXT][WEB] Phase 3: Account Settings</t>
        </is>
      </c>
      <c r="I668" t="inlineStr"/>
      <c r="J668" t="n">
        <v>11.05930555555556</v>
      </c>
      <c r="K668">
        <f>HYPERLINK("https://drivetime.tpondemand.com/entity/134248", "134248")</f>
        <v/>
      </c>
      <c r="L668">
        <f>HYPERLINK("https://drivetime.tpondemand.com/entity/129450", "129450")</f>
        <v/>
      </c>
      <c r="M668" t="n">
        <v>0</v>
      </c>
      <c r="N668" t="n">
        <v>130168</v>
      </c>
      <c r="O668" t="inlineStr">
        <is>
          <t>Done</t>
        </is>
      </c>
      <c r="P668" t="n">
        <v>1</v>
      </c>
      <c r="Q668" t="inlineStr">
        <is>
          <t>Drakon 8</t>
        </is>
      </c>
      <c r="R668" t="inlineStr">
        <is>
          <t>2022-06-02</t>
        </is>
      </c>
      <c r="S668" t="inlineStr">
        <is>
          <t>2022-06-15</t>
        </is>
      </c>
      <c r="T668" t="inlineStr">
        <is>
          <t>Drakon 8 : 2022-06-02 - 2022-06-15</t>
        </is>
      </c>
      <c r="U668" t="inlineStr"/>
      <c r="V668" t="inlineStr"/>
      <c r="W668" t="inlineStr">
        <is>
          <t>2022-06-13T15:59:47-05:00</t>
        </is>
      </c>
      <c r="X668">
        <f>IFERROR(1/COUNTIF($I:$I,@$I:$I), 0)</f>
        <v/>
      </c>
    </row>
    <row r="669">
      <c r="A669">
        <f>HYPERLINK("https://drivetime.tpondemand.com/entity/133150", "133150")</f>
        <v/>
      </c>
      <c r="B669" t="inlineStr">
        <is>
          <t>Ac setting modals show scrollbar at all times in web</t>
        </is>
      </c>
      <c r="C669" t="inlineStr">
        <is>
          <t>Bug</t>
        </is>
      </c>
      <c r="D669" t="inlineStr">
        <is>
          <t>Servicing: BC Next</t>
        </is>
      </c>
      <c r="E669" t="inlineStr">
        <is>
          <t>BC Digital Drakon</t>
        </is>
      </c>
      <c r="F669" t="inlineStr">
        <is>
          <t>24</t>
        </is>
      </c>
      <c r="G669" t="inlineStr">
        <is>
          <t>Pete Wesselius</t>
        </is>
      </c>
      <c r="H669" t="inlineStr">
        <is>
          <t>[BC NEXT][WEB] Phase 3: Account Settings</t>
        </is>
      </c>
      <c r="I669" t="inlineStr"/>
      <c r="J669" t="n">
        <v>14.2496875</v>
      </c>
      <c r="K669">
        <f>HYPERLINK("https://drivetime.tpondemand.com/entity/134248", "134248")</f>
        <v/>
      </c>
      <c r="L669">
        <f>HYPERLINK("https://drivetime.tpondemand.com/entity/129450", "129450")</f>
        <v/>
      </c>
      <c r="M669" t="n">
        <v>0</v>
      </c>
      <c r="N669" t="n">
        <v>133018</v>
      </c>
      <c r="O669" t="inlineStr">
        <is>
          <t>Done</t>
        </is>
      </c>
      <c r="P669" t="n">
        <v>1</v>
      </c>
      <c r="Q669" t="inlineStr">
        <is>
          <t>Drakon 9</t>
        </is>
      </c>
      <c r="R669" t="inlineStr">
        <is>
          <t>2022-06-16</t>
        </is>
      </c>
      <c r="S669" t="inlineStr">
        <is>
          <t>2022-06-29</t>
        </is>
      </c>
      <c r="T669" t="inlineStr">
        <is>
          <t>Drakon 9 : 2022-06-16 - 2022-06-29</t>
        </is>
      </c>
      <c r="U669" t="inlineStr"/>
      <c r="V669" t="inlineStr"/>
      <c r="W669" t="inlineStr">
        <is>
          <t>2022-06-16T16:55:33-05:00</t>
        </is>
      </c>
      <c r="X669">
        <f>IFERROR(1/COUNTIF($I:$I,@$I:$I), 0)</f>
        <v/>
      </c>
    </row>
    <row r="670">
      <c r="A670">
        <f>HYPERLINK("https://drivetime.tpondemand.com/entity/133151", "133151")</f>
        <v/>
      </c>
      <c r="B670" t="inlineStr">
        <is>
          <t>Extra area/division in the bottom and right edges of add bank account modal</t>
        </is>
      </c>
      <c r="C670" t="inlineStr">
        <is>
          <t>Bug</t>
        </is>
      </c>
      <c r="D670" t="inlineStr">
        <is>
          <t>Servicing: BC Next</t>
        </is>
      </c>
      <c r="E670" t="inlineStr">
        <is>
          <t>BC Digital Drakon</t>
        </is>
      </c>
      <c r="F670" t="inlineStr">
        <is>
          <t>24</t>
        </is>
      </c>
      <c r="G670" t="inlineStr">
        <is>
          <t>Pete Wesselius</t>
        </is>
      </c>
      <c r="H670" t="inlineStr">
        <is>
          <t>[BC NEXT][WEB] Phase 3: Account Settings</t>
        </is>
      </c>
      <c r="I670" t="inlineStr"/>
      <c r="J670" t="n">
        <v>11.21099537037037</v>
      </c>
      <c r="K670">
        <f>HYPERLINK("https://drivetime.tpondemand.com/entity/134248", "134248")</f>
        <v/>
      </c>
      <c r="L670">
        <f>HYPERLINK("https://drivetime.tpondemand.com/entity/129450", "129450")</f>
        <v/>
      </c>
      <c r="M670" t="n">
        <v>0</v>
      </c>
      <c r="N670" t="n">
        <v>130168</v>
      </c>
      <c r="O670" t="inlineStr">
        <is>
          <t>Done</t>
        </is>
      </c>
      <c r="P670" t="n">
        <v>1</v>
      </c>
      <c r="Q670" t="inlineStr">
        <is>
          <t>Drakon 8</t>
        </is>
      </c>
      <c r="R670" t="inlineStr">
        <is>
          <t>2022-06-02</t>
        </is>
      </c>
      <c r="S670" t="inlineStr">
        <is>
          <t>2022-06-15</t>
        </is>
      </c>
      <c r="T670" t="inlineStr">
        <is>
          <t>Drakon 8 : 2022-06-02 - 2022-06-15</t>
        </is>
      </c>
      <c r="U670" t="inlineStr"/>
      <c r="V670" t="inlineStr"/>
      <c r="W670" t="inlineStr">
        <is>
          <t>2022-06-13T15:59:54-05:00</t>
        </is>
      </c>
      <c r="X670">
        <f>IFERROR(1/COUNTIF($I:$I,@$I:$I), 0)</f>
        <v/>
      </c>
    </row>
    <row r="671">
      <c r="A671">
        <f>HYPERLINK("https://drivetime.tpondemand.com/entity/133153", "133153")</f>
        <v/>
      </c>
      <c r="B671" t="inlineStr">
        <is>
          <t>Account setting modal interactive elements do not have specified aria labels</t>
        </is>
      </c>
      <c r="C671" t="inlineStr">
        <is>
          <t>Bug</t>
        </is>
      </c>
      <c r="D671" t="inlineStr">
        <is>
          <t>Servicing: BC Next</t>
        </is>
      </c>
      <c r="E671" t="inlineStr">
        <is>
          <t>BC Digital Drakon</t>
        </is>
      </c>
      <c r="F671" t="inlineStr">
        <is>
          <t>24</t>
        </is>
      </c>
      <c r="G671" t="inlineStr">
        <is>
          <t>Pete Wesselius</t>
        </is>
      </c>
      <c r="H671" t="inlineStr">
        <is>
          <t>null</t>
        </is>
      </c>
      <c r="I671" t="inlineStr"/>
      <c r="J671" t="n">
        <v>11.99134259259259</v>
      </c>
      <c r="K671" t="inlineStr"/>
      <c r="L671" t="inlineStr"/>
      <c r="M671" t="n">
        <v>0</v>
      </c>
      <c r="N671" t="n">
        <v>130168</v>
      </c>
      <c r="O671" t="inlineStr">
        <is>
          <t>Done</t>
        </is>
      </c>
      <c r="P671" t="n">
        <v>1</v>
      </c>
      <c r="Q671" t="inlineStr">
        <is>
          <t>Drakon 8</t>
        </is>
      </c>
      <c r="R671" t="inlineStr">
        <is>
          <t>2022-06-02</t>
        </is>
      </c>
      <c r="S671" t="inlineStr">
        <is>
          <t>2022-06-15</t>
        </is>
      </c>
      <c r="T671" t="inlineStr">
        <is>
          <t>Drakon 8 : 2022-06-02 - 2022-06-15</t>
        </is>
      </c>
      <c r="U671" t="inlineStr"/>
      <c r="V671" t="inlineStr"/>
      <c r="W671" t="inlineStr">
        <is>
          <t>2022-06-13T16:00:04-05:00</t>
        </is>
      </c>
      <c r="X671">
        <f>IFERROR(1/COUNTIF($I:$I,@$I:$I), 0)</f>
        <v/>
      </c>
    </row>
    <row r="672">
      <c r="A672">
        <f>HYPERLINK("https://drivetime.tpondemand.com/entity/133514", "133514")</f>
        <v/>
      </c>
      <c r="B672" t="inlineStr">
        <is>
          <t>Update unenroll and cancel payment</t>
        </is>
      </c>
      <c r="C672" t="inlineStr">
        <is>
          <t>Bug</t>
        </is>
      </c>
      <c r="D672" t="inlineStr">
        <is>
          <t>Servicing: BC Next</t>
        </is>
      </c>
      <c r="E672" t="inlineStr">
        <is>
          <t>BC Digital Drakon</t>
        </is>
      </c>
      <c r="F672" t="inlineStr">
        <is>
          <t>24</t>
        </is>
      </c>
      <c r="G672" t="inlineStr">
        <is>
          <t>Shyam Senthil Nathan</t>
        </is>
      </c>
      <c r="H672" t="inlineStr">
        <is>
          <t>[BC NEXT] Bug Fixes/Enhancements for June Release</t>
        </is>
      </c>
      <c r="I672" t="inlineStr"/>
      <c r="J672" t="n">
        <v>5.197314814814814</v>
      </c>
      <c r="K672">
        <f>HYPERLINK("https://drivetime.tpondemand.com/entity/134034", "134034")</f>
        <v/>
      </c>
      <c r="L672">
        <f>HYPERLINK("https://drivetime.tpondemand.com/entity/130826", "130826")</f>
        <v/>
      </c>
      <c r="M672" t="n">
        <v>0</v>
      </c>
      <c r="N672" t="n">
        <v>130168</v>
      </c>
      <c r="O672" t="inlineStr">
        <is>
          <t>Done</t>
        </is>
      </c>
      <c r="P672" t="n">
        <v>1</v>
      </c>
      <c r="Q672" t="inlineStr">
        <is>
          <t>Drakon 8</t>
        </is>
      </c>
      <c r="R672" t="inlineStr">
        <is>
          <t>2022-06-02</t>
        </is>
      </c>
      <c r="S672" t="inlineStr">
        <is>
          <t>2022-06-15</t>
        </is>
      </c>
      <c r="T672" t="inlineStr">
        <is>
          <t>Drakon 8 : 2022-06-02 - 2022-06-15</t>
        </is>
      </c>
      <c r="U672" t="inlineStr"/>
      <c r="V672" t="inlineStr"/>
      <c r="W672" t="inlineStr">
        <is>
          <t>2022-06-14T15:56:14-05:00</t>
        </is>
      </c>
      <c r="X672">
        <f>IFERROR(1/COUNTIF($I:$I,@$I:$I), 0)</f>
        <v/>
      </c>
    </row>
    <row r="673">
      <c r="A673">
        <f>HYPERLINK("https://drivetime.tpondemand.com/entity/133907", "133907")</f>
        <v/>
      </c>
      <c r="B673" t="inlineStr">
        <is>
          <t>Add/Remove Bank Account Modal cut off on small screen sizes</t>
        </is>
      </c>
      <c r="C673" t="inlineStr">
        <is>
          <t>Bug</t>
        </is>
      </c>
      <c r="D673" t="inlineStr">
        <is>
          <t>Servicing: BC Next</t>
        </is>
      </c>
      <c r="E673" t="inlineStr">
        <is>
          <t>BC Digital Drakon</t>
        </is>
      </c>
      <c r="F673" t="inlineStr">
        <is>
          <t>24</t>
        </is>
      </c>
      <c r="G673" t="inlineStr">
        <is>
          <t>Pete Wesselius</t>
        </is>
      </c>
      <c r="H673" t="inlineStr">
        <is>
          <t>[BC NEXT][WEB] Phase 3: Account Settings</t>
        </is>
      </c>
      <c r="I673" t="inlineStr"/>
      <c r="J673" t="n">
        <v>2.053703703703704</v>
      </c>
      <c r="K673">
        <f>HYPERLINK("https://drivetime.tpondemand.com/entity/134248", "134248")</f>
        <v/>
      </c>
      <c r="L673">
        <f>HYPERLINK("https://drivetime.tpondemand.com/entity/129450", "129450")</f>
        <v/>
      </c>
      <c r="M673" t="n">
        <v>0</v>
      </c>
      <c r="N673" t="n">
        <v>133018</v>
      </c>
      <c r="O673" t="inlineStr">
        <is>
          <t>Done</t>
        </is>
      </c>
      <c r="P673" t="n">
        <v>1</v>
      </c>
      <c r="Q673" t="inlineStr">
        <is>
          <t>Drakon 9</t>
        </is>
      </c>
      <c r="R673" t="inlineStr">
        <is>
          <t>2022-06-16</t>
        </is>
      </c>
      <c r="S673" t="inlineStr">
        <is>
          <t>2022-06-29</t>
        </is>
      </c>
      <c r="T673" t="inlineStr">
        <is>
          <t>Drakon 9 : 2022-06-16 - 2022-06-29</t>
        </is>
      </c>
      <c r="U673" t="inlineStr"/>
      <c r="V673" t="inlineStr"/>
      <c r="W673" t="inlineStr">
        <is>
          <t>2022-06-16T17:05:26-05:00</t>
        </is>
      </c>
      <c r="X673">
        <f>IFERROR(1/COUNTIF($I:$I,@$I:$I), 0)</f>
        <v/>
      </c>
    </row>
    <row r="674">
      <c r="A674">
        <f>HYPERLINK("https://drivetime.tpondemand.com/entity/133979", "133979")</f>
        <v/>
      </c>
      <c r="B674" t="inlineStr">
        <is>
          <t>Web Modals don't match with comps</t>
        </is>
      </c>
      <c r="C674" t="inlineStr">
        <is>
          <t>Bug</t>
        </is>
      </c>
      <c r="D674" t="inlineStr">
        <is>
          <t>Servicing: BC Next</t>
        </is>
      </c>
      <c r="E674" t="inlineStr">
        <is>
          <t>BC Digital Drakon</t>
        </is>
      </c>
      <c r="F674" t="inlineStr">
        <is>
          <t>24</t>
        </is>
      </c>
      <c r="G674" t="inlineStr">
        <is>
          <t>Pete Wesselius</t>
        </is>
      </c>
      <c r="H674" t="inlineStr">
        <is>
          <t>[BC NEXT][WEB] Phase 3: Account Settings</t>
        </is>
      </c>
      <c r="I674" t="inlineStr"/>
      <c r="J674" t="n">
        <v>2.053101851851852</v>
      </c>
      <c r="K674">
        <f>HYPERLINK("https://drivetime.tpondemand.com/entity/134248", "134248")</f>
        <v/>
      </c>
      <c r="L674">
        <f>HYPERLINK("https://drivetime.tpondemand.com/entity/129450", "129450")</f>
        <v/>
      </c>
      <c r="M674" t="n">
        <v>0</v>
      </c>
      <c r="N674" t="n">
        <v>133018</v>
      </c>
      <c r="O674" t="inlineStr">
        <is>
          <t>Done</t>
        </is>
      </c>
      <c r="P674" t="n">
        <v>1</v>
      </c>
      <c r="Q674" t="inlineStr">
        <is>
          <t>Drakon 9</t>
        </is>
      </c>
      <c r="R674" t="inlineStr">
        <is>
          <t>2022-06-16</t>
        </is>
      </c>
      <c r="S674" t="inlineStr">
        <is>
          <t>2022-06-29</t>
        </is>
      </c>
      <c r="T674" t="inlineStr">
        <is>
          <t>Drakon 9 : 2022-06-16 - 2022-06-29</t>
        </is>
      </c>
      <c r="U674" t="inlineStr"/>
      <c r="V674" t="inlineStr"/>
      <c r="W674" t="inlineStr">
        <is>
          <t>2022-06-16T17:04:40-05:00</t>
        </is>
      </c>
      <c r="X674">
        <f>IFERROR(1/COUNTIF($I:$I,@$I:$I), 0)</f>
        <v/>
      </c>
    </row>
    <row r="675">
      <c r="A675">
        <f>HYPERLINK("https://drivetime.tpondemand.com/entity/134196", "134196")</f>
        <v/>
      </c>
      <c r="B675" t="inlineStr">
        <is>
          <t>[BC NEXT] Modal error message wrapping and loading button different size</t>
        </is>
      </c>
      <c r="C675" t="inlineStr">
        <is>
          <t>Bug</t>
        </is>
      </c>
      <c r="D675" t="inlineStr">
        <is>
          <t>Servicing: BC Next</t>
        </is>
      </c>
      <c r="E675" t="inlineStr">
        <is>
          <t>BC Digital Drakon</t>
        </is>
      </c>
      <c r="F675" t="inlineStr">
        <is>
          <t>24</t>
        </is>
      </c>
      <c r="G675" t="inlineStr"/>
      <c r="H675" t="inlineStr">
        <is>
          <t>[BC NEXT][WEB] Phase 3: Account Settings</t>
        </is>
      </c>
      <c r="I675" t="inlineStr"/>
      <c r="J675" t="n">
        <v>0.1209837962962963</v>
      </c>
      <c r="K675">
        <f>HYPERLINK("https://drivetime.tpondemand.com/entity/134248", "134248")</f>
        <v/>
      </c>
      <c r="L675">
        <f>HYPERLINK("https://drivetime.tpondemand.com/entity/129450", "129450")</f>
        <v/>
      </c>
      <c r="M675" t="n">
        <v>0</v>
      </c>
      <c r="N675" t="n">
        <v>133018</v>
      </c>
      <c r="O675" t="inlineStr">
        <is>
          <t>Done</t>
        </is>
      </c>
      <c r="P675" t="n">
        <v>1</v>
      </c>
      <c r="Q675" t="inlineStr">
        <is>
          <t>Drakon 9</t>
        </is>
      </c>
      <c r="R675" t="inlineStr">
        <is>
          <t>2022-06-16</t>
        </is>
      </c>
      <c r="S675" t="inlineStr">
        <is>
          <t>2022-06-29</t>
        </is>
      </c>
      <c r="T675" t="inlineStr">
        <is>
          <t>Drakon 9 : 2022-06-16 - 2022-06-29</t>
        </is>
      </c>
      <c r="U675" t="inlineStr"/>
      <c r="V675" t="inlineStr"/>
      <c r="W675" t="inlineStr">
        <is>
          <t>2022-06-17T12:11:19-05:00</t>
        </is>
      </c>
      <c r="X675">
        <f>IFERROR(1/COUNTIF($I:$I,@$I:$I), 0)</f>
        <v/>
      </c>
    </row>
    <row r="676">
      <c r="A676">
        <f>HYPERLINK("https://drivetime.tpondemand.com/entity/134256", "134256")</f>
        <v/>
      </c>
      <c r="B676" t="inlineStr">
        <is>
          <t>No footer margin close of 930px</t>
        </is>
      </c>
      <c r="C676" t="inlineStr">
        <is>
          <t>Bug</t>
        </is>
      </c>
      <c r="D676" t="inlineStr">
        <is>
          <t>Servicing: BC Next</t>
        </is>
      </c>
      <c r="E676" t="inlineStr">
        <is>
          <t>BC Digital Drakon</t>
        </is>
      </c>
      <c r="F676" t="inlineStr">
        <is>
          <t>25</t>
        </is>
      </c>
      <c r="G676" t="inlineStr">
        <is>
          <t>Abbas Shamshi</t>
        </is>
      </c>
      <c r="H676" t="inlineStr">
        <is>
          <t>[BC NEXT] Bug Fixes/Enhancements for July</t>
        </is>
      </c>
      <c r="I676" t="inlineStr"/>
      <c r="J676" t="n">
        <v>2.858344907407407</v>
      </c>
      <c r="K676" t="inlineStr"/>
      <c r="L676">
        <f>HYPERLINK("https://drivetime.tpondemand.com/entity/133482", "133482")</f>
        <v/>
      </c>
      <c r="M676" t="n">
        <v>0</v>
      </c>
      <c r="N676" t="n">
        <v>133018</v>
      </c>
      <c r="O676" t="inlineStr">
        <is>
          <t>Done</t>
        </is>
      </c>
      <c r="P676" t="n">
        <v>1</v>
      </c>
      <c r="Q676" t="inlineStr">
        <is>
          <t>Drakon 9</t>
        </is>
      </c>
      <c r="R676" t="inlineStr">
        <is>
          <t>2022-06-16</t>
        </is>
      </c>
      <c r="S676" t="inlineStr">
        <is>
          <t>2022-06-29</t>
        </is>
      </c>
      <c r="T676" t="inlineStr">
        <is>
          <t>Drakon 9 : 2022-06-16 - 2022-06-29</t>
        </is>
      </c>
      <c r="U676" t="inlineStr"/>
      <c r="V676" t="inlineStr"/>
      <c r="W676" t="inlineStr">
        <is>
          <t>2022-06-20T09:46:03-05:00</t>
        </is>
      </c>
      <c r="X676">
        <f>IFERROR(1/COUNTIF($I:$I,@$I:$I), 0)</f>
        <v/>
      </c>
    </row>
    <row r="677">
      <c r="A677">
        <f>HYPERLINK("https://drivetime.tpondemand.com/entity/134401", "134401")</f>
        <v/>
      </c>
      <c r="B677" t="inlineStr">
        <is>
          <t>Logged in homepage accessibility, analytics, Contact Us</t>
        </is>
      </c>
      <c r="C677" t="inlineStr">
        <is>
          <t>Bug</t>
        </is>
      </c>
      <c r="D677" t="inlineStr">
        <is>
          <t>Servicing: BC Next</t>
        </is>
      </c>
      <c r="E677" t="inlineStr">
        <is>
          <t>BC Digital Drakon</t>
        </is>
      </c>
      <c r="F677" t="inlineStr">
        <is>
          <t>25</t>
        </is>
      </c>
      <c r="G677" t="inlineStr">
        <is>
          <t>Antonio Posada</t>
        </is>
      </c>
      <c r="H677" t="inlineStr">
        <is>
          <t>[BC NEXT] Bug Fixes/Enhancements for June Release</t>
        </is>
      </c>
      <c r="I677" t="inlineStr"/>
      <c r="J677" t="n">
        <v>0.2835648148148148</v>
      </c>
      <c r="K677">
        <f>HYPERLINK("https://drivetime.tpondemand.com/entity/135384", "135384")</f>
        <v/>
      </c>
      <c r="L677">
        <f>HYPERLINK("https://drivetime.tpondemand.com/entity/129816", "129816")</f>
        <v/>
      </c>
      <c r="M677" t="n">
        <v>0</v>
      </c>
      <c r="N677" t="n">
        <v>133018</v>
      </c>
      <c r="O677" t="inlineStr">
        <is>
          <t>Done</t>
        </is>
      </c>
      <c r="P677" t="n">
        <v>1</v>
      </c>
      <c r="Q677" t="inlineStr">
        <is>
          <t>Drakon 9</t>
        </is>
      </c>
      <c r="R677" t="inlineStr">
        <is>
          <t>2022-06-16</t>
        </is>
      </c>
      <c r="S677" t="inlineStr">
        <is>
          <t>2022-06-29</t>
        </is>
      </c>
      <c r="T677" t="inlineStr">
        <is>
          <t>Drakon 9 : 2022-06-16 - 2022-06-29</t>
        </is>
      </c>
      <c r="U677" t="inlineStr"/>
      <c r="V677" t="inlineStr"/>
      <c r="W677" t="inlineStr">
        <is>
          <t>2022-06-21T16:34:31-05:00</t>
        </is>
      </c>
      <c r="X677">
        <f>IFERROR(1/COUNTIF($I:$I,@$I:$I), 0)</f>
        <v/>
      </c>
    </row>
    <row r="678">
      <c r="A678">
        <f>HYPERLINK("https://drivetime.tpondemand.com/entity/134479", "134479")</f>
        <v/>
      </c>
      <c r="B678" t="inlineStr">
        <is>
          <t>Ineligible account Chip on payment options</t>
        </is>
      </c>
      <c r="C678" t="inlineStr">
        <is>
          <t>Bug</t>
        </is>
      </c>
      <c r="D678" t="inlineStr">
        <is>
          <t>Servicing: BC Next</t>
        </is>
      </c>
      <c r="E678" t="inlineStr">
        <is>
          <t>BC Digital Drakon</t>
        </is>
      </c>
      <c r="F678" t="inlineStr">
        <is>
          <t>25</t>
        </is>
      </c>
      <c r="G678" t="inlineStr">
        <is>
          <t>Chirag Khandhar</t>
        </is>
      </c>
      <c r="H678" t="inlineStr">
        <is>
          <t>[BC NEXT] Bug Fixes/Enhancements for July</t>
        </is>
      </c>
      <c r="I678" t="inlineStr"/>
      <c r="J678" t="n">
        <v>0.2666898148148148</v>
      </c>
      <c r="K678">
        <f>HYPERLINK("https://drivetime.tpondemand.com/entity/135384", "135384")</f>
        <v/>
      </c>
      <c r="L678">
        <f>HYPERLINK("https://drivetime.tpondemand.com/entity/133931", "133931")</f>
        <v/>
      </c>
      <c r="M678" t="n">
        <v>0</v>
      </c>
      <c r="N678" t="n">
        <v>133018</v>
      </c>
      <c r="O678" t="inlineStr">
        <is>
          <t>Done</t>
        </is>
      </c>
      <c r="P678" t="n">
        <v>1</v>
      </c>
      <c r="Q678" t="inlineStr">
        <is>
          <t>Drakon 9</t>
        </is>
      </c>
      <c r="R678" t="inlineStr">
        <is>
          <t>2022-06-16</t>
        </is>
      </c>
      <c r="S678" t="inlineStr">
        <is>
          <t>2022-06-29</t>
        </is>
      </c>
      <c r="T678" t="inlineStr">
        <is>
          <t>Drakon 9 : 2022-06-16 - 2022-06-29</t>
        </is>
      </c>
      <c r="U678" t="inlineStr"/>
      <c r="V678" t="inlineStr"/>
      <c r="W678" t="inlineStr">
        <is>
          <t>2022-06-22T18:09:34-05:00</t>
        </is>
      </c>
      <c r="X678">
        <f>IFERROR(1/COUNTIF($I:$I,@$I:$I), 0)</f>
        <v/>
      </c>
    </row>
    <row r="679">
      <c r="A679">
        <f>HYPERLINK("https://drivetime.tpondemand.com/entity/134539", "134539")</f>
        <v/>
      </c>
      <c r="B679" t="inlineStr">
        <is>
          <t>Signup button on select account when accounts are enrolled</t>
        </is>
      </c>
      <c r="C679" t="inlineStr">
        <is>
          <t>Bug</t>
        </is>
      </c>
      <c r="D679" t="inlineStr">
        <is>
          <t>Servicing: BC Next</t>
        </is>
      </c>
      <c r="E679" t="inlineStr">
        <is>
          <t>BC Digital Drakon</t>
        </is>
      </c>
      <c r="F679" t="inlineStr">
        <is>
          <t>26</t>
        </is>
      </c>
      <c r="G679" t="inlineStr">
        <is>
          <t>Chirag Khandhar</t>
        </is>
      </c>
      <c r="H679" t="inlineStr">
        <is>
          <t>[BC NEXT] Bug Fixes/Enhancements for July</t>
        </is>
      </c>
      <c r="I679" t="inlineStr"/>
      <c r="J679" t="n">
        <v>4.278217592592592</v>
      </c>
      <c r="K679">
        <f>HYPERLINK("https://drivetime.tpondemand.com/entity/135384", "135384")</f>
        <v/>
      </c>
      <c r="L679">
        <f>HYPERLINK("https://drivetime.tpondemand.com/entity/133931", "133931")</f>
        <v/>
      </c>
      <c r="M679" t="n">
        <v>0</v>
      </c>
      <c r="N679" t="n">
        <v>133018</v>
      </c>
      <c r="O679" t="inlineStr">
        <is>
          <t>Done</t>
        </is>
      </c>
      <c r="P679" t="n">
        <v>1</v>
      </c>
      <c r="Q679" t="inlineStr">
        <is>
          <t>Drakon 9</t>
        </is>
      </c>
      <c r="R679" t="inlineStr">
        <is>
          <t>2022-06-16</t>
        </is>
      </c>
      <c r="S679" t="inlineStr">
        <is>
          <t>2022-06-29</t>
        </is>
      </c>
      <c r="T679" t="inlineStr">
        <is>
          <t>Drakon 9 : 2022-06-16 - 2022-06-29</t>
        </is>
      </c>
      <c r="U679" t="inlineStr"/>
      <c r="V679" t="inlineStr"/>
      <c r="W679" t="inlineStr">
        <is>
          <t>2022-06-27T16:03:34-05:00</t>
        </is>
      </c>
      <c r="X679">
        <f>IFERROR(1/COUNTIF($I:$I,@$I:$I), 0)</f>
        <v/>
      </c>
    </row>
    <row r="680">
      <c r="A680">
        <f>HYPERLINK("https://drivetime.tpondemand.com/entity/134540", "134540")</f>
        <v/>
      </c>
      <c r="B680" t="inlineStr">
        <is>
          <t>Redirected to Enroll AP after unenrolling from AP</t>
        </is>
      </c>
      <c r="C680" t="inlineStr">
        <is>
          <t>Bug</t>
        </is>
      </c>
      <c r="D680" t="inlineStr">
        <is>
          <t>Servicing: BC Next</t>
        </is>
      </c>
      <c r="E680" t="inlineStr">
        <is>
          <t>BC Digital Drakon</t>
        </is>
      </c>
      <c r="F680" t="inlineStr">
        <is>
          <t>26</t>
        </is>
      </c>
      <c r="G680" t="inlineStr">
        <is>
          <t>Chirag Khandhar</t>
        </is>
      </c>
      <c r="H680" t="inlineStr">
        <is>
          <t>[BC NEXT] Bug Fixes/Enhancements for July</t>
        </is>
      </c>
      <c r="I680" t="inlineStr"/>
      <c r="J680" t="n">
        <v>4.108703703703704</v>
      </c>
      <c r="K680">
        <f>HYPERLINK("https://drivetime.tpondemand.com/entity/135384", "135384")</f>
        <v/>
      </c>
      <c r="L680">
        <f>HYPERLINK("https://drivetime.tpondemand.com/entity/133931", "133931")</f>
        <v/>
      </c>
      <c r="M680" t="n">
        <v>0</v>
      </c>
      <c r="N680" t="n">
        <v>133018</v>
      </c>
      <c r="O680" t="inlineStr">
        <is>
          <t>Done</t>
        </is>
      </c>
      <c r="P680" t="n">
        <v>1</v>
      </c>
      <c r="Q680" t="inlineStr">
        <is>
          <t>Drakon 9</t>
        </is>
      </c>
      <c r="R680" t="inlineStr">
        <is>
          <t>2022-06-16</t>
        </is>
      </c>
      <c r="S680" t="inlineStr">
        <is>
          <t>2022-06-29</t>
        </is>
      </c>
      <c r="T680" t="inlineStr">
        <is>
          <t>Drakon 9 : 2022-06-16 - 2022-06-29</t>
        </is>
      </c>
      <c r="U680" t="inlineStr"/>
      <c r="V680" t="inlineStr"/>
      <c r="W680" t="inlineStr">
        <is>
          <t>2022-06-27T16:04:32-05:00</t>
        </is>
      </c>
      <c r="X680">
        <f>IFERROR(1/COUNTIF($I:$I,@$I:$I), 0)</f>
        <v/>
      </c>
    </row>
    <row r="681">
      <c r="A681">
        <f>HYPERLINK("https://drivetime.tpondemand.com/entity/134552", "134552")</f>
        <v/>
      </c>
      <c r="B681" t="inlineStr">
        <is>
          <t>Fix Logout Console Error</t>
        </is>
      </c>
      <c r="C681" t="inlineStr">
        <is>
          <t>Bug</t>
        </is>
      </c>
      <c r="D681" t="inlineStr">
        <is>
          <t>Servicing: BC Next</t>
        </is>
      </c>
      <c r="E681" t="inlineStr">
        <is>
          <t>BC Digital Drakon</t>
        </is>
      </c>
      <c r="F681" t="inlineStr">
        <is>
          <t>25</t>
        </is>
      </c>
      <c r="G681" t="inlineStr"/>
      <c r="H681" t="inlineStr">
        <is>
          <t>[BC NEXT] Bug Fixes/Enhancements for July</t>
        </is>
      </c>
      <c r="I681" t="inlineStr"/>
      <c r="J681" t="n">
        <v>0</v>
      </c>
      <c r="K681">
        <f>HYPERLINK("https://drivetime.tpondemand.com/entity/135384", "135384")</f>
        <v/>
      </c>
      <c r="L681">
        <f>HYPERLINK("https://drivetime.tpondemand.com/entity/133877", "133877")</f>
        <v/>
      </c>
      <c r="M681" t="n">
        <v>0</v>
      </c>
      <c r="N681" t="n">
        <v>133018</v>
      </c>
      <c r="O681" t="inlineStr">
        <is>
          <t>Done</t>
        </is>
      </c>
      <c r="P681" t="n">
        <v>1</v>
      </c>
      <c r="Q681" t="inlineStr">
        <is>
          <t>Drakon 9</t>
        </is>
      </c>
      <c r="R681" t="inlineStr">
        <is>
          <t>2022-06-16</t>
        </is>
      </c>
      <c r="S681" t="inlineStr">
        <is>
          <t>2022-06-29</t>
        </is>
      </c>
      <c r="T681" t="inlineStr">
        <is>
          <t>Drakon 9 : 2022-06-16 - 2022-06-29</t>
        </is>
      </c>
      <c r="U681" t="inlineStr"/>
      <c r="V681" t="inlineStr"/>
      <c r="W681" t="inlineStr">
        <is>
          <t>2022-06-23T11:23:00-05:00</t>
        </is>
      </c>
      <c r="X681">
        <f>IFERROR(1/COUNTIF($I:$I,@$I:$I), 0)</f>
        <v/>
      </c>
    </row>
    <row r="682">
      <c r="A682">
        <f>HYPERLINK("https://drivetime.tpondemand.com/entity/134852", "134852")</f>
        <v/>
      </c>
      <c r="B682" t="inlineStr">
        <is>
          <t>Email not persisting in login page after pre-login page bypass</t>
        </is>
      </c>
      <c r="C682" t="inlineStr">
        <is>
          <t>Bug</t>
        </is>
      </c>
      <c r="D682" t="inlineStr">
        <is>
          <t>Servicing: BC Next</t>
        </is>
      </c>
      <c r="E682" t="inlineStr">
        <is>
          <t>BC Digital Drakon</t>
        </is>
      </c>
      <c r="F682" t="inlineStr">
        <is>
          <t>27</t>
        </is>
      </c>
      <c r="G682" t="inlineStr">
        <is>
          <t>Yokeshwaran Lokanathan</t>
        </is>
      </c>
      <c r="H682" t="inlineStr">
        <is>
          <t>[BC NEXT] Bug Fixes/Enhancements for July</t>
        </is>
      </c>
      <c r="I682" t="inlineStr"/>
      <c r="J682" t="n">
        <v>6.983564814814814</v>
      </c>
      <c r="K682">
        <f>HYPERLINK("https://drivetime.tpondemand.com/entity/136925", "136925")</f>
        <v/>
      </c>
      <c r="L682">
        <f>HYPERLINK("https://drivetime.tpondemand.com/entity/133537", "133537")</f>
        <v/>
      </c>
      <c r="M682" t="n">
        <v>0</v>
      </c>
      <c r="N682" t="n">
        <v>133019</v>
      </c>
      <c r="O682" t="inlineStr">
        <is>
          <t>Done</t>
        </is>
      </c>
      <c r="P682" t="n">
        <v>1</v>
      </c>
      <c r="Q682" t="inlineStr">
        <is>
          <t>Drakon 10</t>
        </is>
      </c>
      <c r="R682" t="inlineStr">
        <is>
          <t>2022-06-30</t>
        </is>
      </c>
      <c r="S682" t="inlineStr">
        <is>
          <t>2022-07-13</t>
        </is>
      </c>
      <c r="T682" t="inlineStr">
        <is>
          <t>Drakon 10 : 2022-06-30 - 2022-07-13</t>
        </is>
      </c>
      <c r="U682" t="inlineStr"/>
      <c r="V682" t="inlineStr"/>
      <c r="W682" t="inlineStr">
        <is>
          <t>2022-07-07T10:05:08-05:00</t>
        </is>
      </c>
      <c r="X682">
        <f>IFERROR(1/COUNTIF($I:$I,@$I:$I), 0)</f>
        <v/>
      </c>
    </row>
    <row r="683">
      <c r="A683">
        <f>HYPERLINK("https://drivetime.tpondemand.com/entity/134853", "134853")</f>
        <v/>
      </c>
      <c r="B683" t="inlineStr">
        <is>
          <t>[BC NEXT] Fix removeClass Exceptions</t>
        </is>
      </c>
      <c r="C683" t="inlineStr">
        <is>
          <t>Bug</t>
        </is>
      </c>
      <c r="D683" t="inlineStr">
        <is>
          <t>Servicing: BC Next</t>
        </is>
      </c>
      <c r="E683" t="inlineStr">
        <is>
          <t>BC Digital Drakon</t>
        </is>
      </c>
      <c r="F683" t="inlineStr">
        <is>
          <t>28</t>
        </is>
      </c>
      <c r="G683" t="inlineStr">
        <is>
          <t>Joseph Kranak</t>
        </is>
      </c>
      <c r="H683" t="inlineStr">
        <is>
          <t>[BC NEXT] Bug Fixes/Enhancements for July</t>
        </is>
      </c>
      <c r="I683" t="inlineStr"/>
      <c r="J683" t="n">
        <v>13.1583912037037</v>
      </c>
      <c r="K683">
        <f>HYPERLINK("https://drivetime.tpondemand.com/entity/135384", "135384")</f>
        <v/>
      </c>
      <c r="L683" t="inlineStr"/>
      <c r="M683" t="n">
        <v>0</v>
      </c>
      <c r="N683" t="n">
        <v>133019</v>
      </c>
      <c r="O683" t="inlineStr">
        <is>
          <t>Done</t>
        </is>
      </c>
      <c r="P683" t="n">
        <v>1</v>
      </c>
      <c r="Q683" t="inlineStr">
        <is>
          <t>Drakon 10</t>
        </is>
      </c>
      <c r="R683" t="inlineStr">
        <is>
          <t>2022-06-30</t>
        </is>
      </c>
      <c r="S683" t="inlineStr">
        <is>
          <t>2022-07-13</t>
        </is>
      </c>
      <c r="T683" t="inlineStr">
        <is>
          <t>Drakon 10 : 2022-06-30 - 2022-07-13</t>
        </is>
      </c>
      <c r="U683" t="inlineStr"/>
      <c r="V683" t="inlineStr"/>
      <c r="W683" t="inlineStr">
        <is>
          <t>2022-07-12T14:44:24-05:00</t>
        </is>
      </c>
      <c r="X683">
        <f>IFERROR(1/COUNTIF($I:$I,@$I:$I), 0)</f>
        <v/>
      </c>
    </row>
    <row r="684">
      <c r="A684">
        <f>HYPERLINK("https://drivetime.tpondemand.com/entity/135194", "135194")</f>
        <v/>
      </c>
      <c r="B684" t="inlineStr">
        <is>
          <t>[BC NEXT] [WEB] Incorrect loading spinner before AP/APPD Success</t>
        </is>
      </c>
      <c r="C684" t="inlineStr">
        <is>
          <t>Bug</t>
        </is>
      </c>
      <c r="D684" t="inlineStr">
        <is>
          <t>Servicing: BC Next</t>
        </is>
      </c>
      <c r="E684" t="inlineStr">
        <is>
          <t>BC Digital Drakon</t>
        </is>
      </c>
      <c r="F684" t="inlineStr">
        <is>
          <t>28</t>
        </is>
      </c>
      <c r="G684" t="inlineStr">
        <is>
          <t>Antonio Posada</t>
        </is>
      </c>
      <c r="H684" t="inlineStr">
        <is>
          <t>[BC NEXT] Bug Fixes/Enhancements for July</t>
        </is>
      </c>
      <c r="I684" t="inlineStr"/>
      <c r="J684" t="n">
        <v>5.186377314814814</v>
      </c>
      <c r="K684" t="inlineStr"/>
      <c r="L684">
        <f>HYPERLINK("https://drivetime.tpondemand.com/entity/134417", "134417")</f>
        <v/>
      </c>
      <c r="M684" t="n">
        <v>0</v>
      </c>
      <c r="N684" t="n">
        <v>133019</v>
      </c>
      <c r="O684" t="inlineStr">
        <is>
          <t>Done</t>
        </is>
      </c>
      <c r="P684" t="n">
        <v>1</v>
      </c>
      <c r="Q684" t="inlineStr">
        <is>
          <t>Drakon 10</t>
        </is>
      </c>
      <c r="R684" t="inlineStr">
        <is>
          <t>2022-06-30</t>
        </is>
      </c>
      <c r="S684" t="inlineStr">
        <is>
          <t>2022-07-13</t>
        </is>
      </c>
      <c r="T684" t="inlineStr">
        <is>
          <t>Drakon 10 : 2022-06-30 - 2022-07-13</t>
        </is>
      </c>
      <c r="U684" t="inlineStr"/>
      <c r="V684" t="inlineStr"/>
      <c r="W684" t="inlineStr">
        <is>
          <t>2022-07-12T15:44:08-05:00</t>
        </is>
      </c>
      <c r="X684">
        <f>IFERROR(1/COUNTIF($I:$I,@$I:$I), 0)</f>
        <v/>
      </c>
    </row>
    <row r="685">
      <c r="A685">
        <f>HYPERLINK("https://drivetime.tpondemand.com/entity/135508", "135508")</f>
        <v/>
      </c>
      <c r="B685" t="inlineStr">
        <is>
          <t>Wrong Analytics label - Manage Mods Pages</t>
        </is>
      </c>
      <c r="C685" t="inlineStr">
        <is>
          <t>Bug</t>
        </is>
      </c>
      <c r="D685" t="inlineStr">
        <is>
          <t>Servicing: BC Next</t>
        </is>
      </c>
      <c r="E685" t="inlineStr">
        <is>
          <t>BC Digital Drakon</t>
        </is>
      </c>
      <c r="F685" t="inlineStr">
        <is>
          <t>28</t>
        </is>
      </c>
      <c r="G685" t="inlineStr">
        <is>
          <t>Chirag Khandhar</t>
        </is>
      </c>
      <c r="H685" t="inlineStr">
        <is>
          <t>[BC NEXT]Phase 3: Manage Modifications Page</t>
        </is>
      </c>
      <c r="I685" t="inlineStr"/>
      <c r="J685" t="n">
        <v>0.04516203703703704</v>
      </c>
      <c r="K685">
        <f>HYPERLINK("https://drivetime.tpondemand.com/entity/136946", "136946")</f>
        <v/>
      </c>
      <c r="L685">
        <f>HYPERLINK("https://drivetime.tpondemand.com/entity/134398", "134398")</f>
        <v/>
      </c>
      <c r="M685" t="n">
        <v>0</v>
      </c>
      <c r="N685" t="n">
        <v>133019</v>
      </c>
      <c r="O685" t="inlineStr">
        <is>
          <t>Done</t>
        </is>
      </c>
      <c r="P685" t="n">
        <v>1</v>
      </c>
      <c r="Q685" t="inlineStr">
        <is>
          <t>Drakon 10</t>
        </is>
      </c>
      <c r="R685" t="inlineStr">
        <is>
          <t>2022-06-30</t>
        </is>
      </c>
      <c r="S685" t="inlineStr">
        <is>
          <t>2022-07-13</t>
        </is>
      </c>
      <c r="T685" t="inlineStr">
        <is>
          <t>Drakon 10 : 2022-06-30 - 2022-07-13</t>
        </is>
      </c>
      <c r="U685" t="inlineStr"/>
      <c r="V685" t="inlineStr"/>
      <c r="W685" t="inlineStr">
        <is>
          <t>2022-07-12T13:16:36-05:00</t>
        </is>
      </c>
      <c r="X685">
        <f>IFERROR(1/COUNTIF($I:$I,@$I:$I), 0)</f>
        <v/>
      </c>
    </row>
    <row r="686">
      <c r="A686">
        <f>HYPERLINK("https://drivetime.tpondemand.com/entity/135910", "135910")</f>
        <v/>
      </c>
      <c r="B686" t="inlineStr">
        <is>
          <t>Manage Mods Link not shown for applicable accounts</t>
        </is>
      </c>
      <c r="C686" t="inlineStr">
        <is>
          <t>Bug</t>
        </is>
      </c>
      <c r="D686" t="inlineStr">
        <is>
          <t>Servicing: BC Next</t>
        </is>
      </c>
      <c r="E686" t="inlineStr">
        <is>
          <t>BC Digital Drakon</t>
        </is>
      </c>
      <c r="F686" t="inlineStr">
        <is>
          <t>29</t>
        </is>
      </c>
      <c r="G686" t="inlineStr">
        <is>
          <t>Joseph Kranak</t>
        </is>
      </c>
      <c r="H686" t="inlineStr">
        <is>
          <t>[BC NEXT]Phase 3: Manage Modifications Page</t>
        </is>
      </c>
      <c r="I686" t="inlineStr"/>
      <c r="J686" t="n">
        <v>0.975162037037037</v>
      </c>
      <c r="K686">
        <f>HYPERLINK("https://drivetime.tpondemand.com/entity/136946", "136946")</f>
        <v/>
      </c>
      <c r="L686">
        <f>HYPERLINK("https://drivetime.tpondemand.com/entity/134478", "134478")</f>
        <v/>
      </c>
      <c r="M686" t="n">
        <v>0</v>
      </c>
      <c r="N686" t="n">
        <v>133020</v>
      </c>
      <c r="O686" t="inlineStr">
        <is>
          <t>Done</t>
        </is>
      </c>
      <c r="P686" t="n">
        <v>1</v>
      </c>
      <c r="Q686" t="inlineStr">
        <is>
          <t>Drakon 11</t>
        </is>
      </c>
      <c r="R686" t="inlineStr">
        <is>
          <t>2022-07-14</t>
        </is>
      </c>
      <c r="S686" t="inlineStr">
        <is>
          <t>2022-07-27</t>
        </is>
      </c>
      <c r="T686" t="inlineStr">
        <is>
          <t>Drakon 11 : 2022-07-14 - 2022-07-27</t>
        </is>
      </c>
      <c r="U686" t="inlineStr"/>
      <c r="V686" t="inlineStr"/>
      <c r="W686" t="inlineStr">
        <is>
          <t>2022-07-21T10:15:02-05:00</t>
        </is>
      </c>
      <c r="X686">
        <f>IFERROR(1/COUNTIF($I:$I,@$I:$I), 0)</f>
        <v/>
      </c>
    </row>
    <row r="687">
      <c r="A687">
        <f>HYPERLINK("https://drivetime.tpondemand.com/entity/135911", "135911")</f>
        <v/>
      </c>
      <c r="B687" t="inlineStr">
        <is>
          <t>User getting duplicate Manage-mods link on App</t>
        </is>
      </c>
      <c r="C687" t="inlineStr">
        <is>
          <t>Bug</t>
        </is>
      </c>
      <c r="D687" t="inlineStr">
        <is>
          <t>Servicing: BC Next</t>
        </is>
      </c>
      <c r="E687" t="inlineStr">
        <is>
          <t>BC Digital Drakon</t>
        </is>
      </c>
      <c r="F687" t="inlineStr">
        <is>
          <t>29</t>
        </is>
      </c>
      <c r="G687" t="inlineStr">
        <is>
          <t>Joseph Kranak</t>
        </is>
      </c>
      <c r="H687" t="inlineStr">
        <is>
          <t>[BC NEXT]Phase 3: Manage Modifications Page</t>
        </is>
      </c>
      <c r="I687" t="inlineStr"/>
      <c r="J687" t="n">
        <v>0.9752314814814814</v>
      </c>
      <c r="K687">
        <f>HYPERLINK("https://drivetime.tpondemand.com/entity/136946", "136946")</f>
        <v/>
      </c>
      <c r="L687">
        <f>HYPERLINK("https://drivetime.tpondemand.com/entity/134478", "134478")</f>
        <v/>
      </c>
      <c r="M687" t="n">
        <v>0</v>
      </c>
      <c r="N687" t="n">
        <v>133020</v>
      </c>
      <c r="O687" t="inlineStr">
        <is>
          <t>Done</t>
        </is>
      </c>
      <c r="P687" t="n">
        <v>1</v>
      </c>
      <c r="Q687" t="inlineStr">
        <is>
          <t>Drakon 11</t>
        </is>
      </c>
      <c r="R687" t="inlineStr">
        <is>
          <t>2022-07-14</t>
        </is>
      </c>
      <c r="S687" t="inlineStr">
        <is>
          <t>2022-07-27</t>
        </is>
      </c>
      <c r="T687" t="inlineStr">
        <is>
          <t>Drakon 11 : 2022-07-14 - 2022-07-27</t>
        </is>
      </c>
      <c r="U687" t="inlineStr"/>
      <c r="V687" t="inlineStr"/>
      <c r="W687" t="inlineStr">
        <is>
          <t>2022-07-21T10:15:10-05:00</t>
        </is>
      </c>
      <c r="X687">
        <f>IFERROR(1/COUNTIF($I:$I,@$I:$I), 0)</f>
        <v/>
      </c>
    </row>
    <row r="688">
      <c r="A688">
        <f>HYPERLINK("https://drivetime.tpondemand.com/entity/136373", "136373")</f>
        <v/>
      </c>
      <c r="B688" t="inlineStr">
        <is>
          <t>[BC NEXT] Manage Mods - Account Settings link not working as expected</t>
        </is>
      </c>
      <c r="C688" t="inlineStr">
        <is>
          <t>Bug</t>
        </is>
      </c>
      <c r="D688" t="inlineStr">
        <is>
          <t>Servicing: BC Next</t>
        </is>
      </c>
      <c r="E688" t="inlineStr">
        <is>
          <t>BC Digital Drakon</t>
        </is>
      </c>
      <c r="F688" t="inlineStr">
        <is>
          <t>30</t>
        </is>
      </c>
      <c r="G688" t="inlineStr">
        <is>
          <t>Joseph Kranak</t>
        </is>
      </c>
      <c r="H688" t="inlineStr">
        <is>
          <t>[BC NEXT]Phase 3: Manage Modifications Page</t>
        </is>
      </c>
      <c r="I688" t="inlineStr"/>
      <c r="J688" t="n">
        <v>0.8649421296296296</v>
      </c>
      <c r="K688">
        <f>HYPERLINK("https://drivetime.tpondemand.com/entity/136946", "136946")</f>
        <v/>
      </c>
      <c r="L688">
        <f>HYPERLINK("https://drivetime.tpondemand.com/entity/134478", "134478")</f>
        <v/>
      </c>
      <c r="M688" t="n">
        <v>0</v>
      </c>
      <c r="N688" t="n">
        <v>133020</v>
      </c>
      <c r="O688" t="inlineStr">
        <is>
          <t>Done</t>
        </is>
      </c>
      <c r="P688" t="n">
        <v>1</v>
      </c>
      <c r="Q688" t="inlineStr">
        <is>
          <t>Drakon 11</t>
        </is>
      </c>
      <c r="R688" t="inlineStr">
        <is>
          <t>2022-07-14</t>
        </is>
      </c>
      <c r="S688" t="inlineStr">
        <is>
          <t>2022-07-27</t>
        </is>
      </c>
      <c r="T688" t="inlineStr">
        <is>
          <t>Drakon 11 : 2022-07-14 - 2022-07-27</t>
        </is>
      </c>
      <c r="U688" t="inlineStr"/>
      <c r="V688" t="inlineStr"/>
      <c r="W688" t="inlineStr">
        <is>
          <t>2022-07-26T09:31:03-05:00</t>
        </is>
      </c>
      <c r="X688">
        <f>IFERROR(1/COUNTIF($I:$I,@$I:$I), 0)</f>
        <v/>
      </c>
    </row>
    <row r="689">
      <c r="A689">
        <f>HYPERLINK("https://drivetime.tpondemand.com/entity/136464", "136464")</f>
        <v/>
      </c>
      <c r="B689" t="inlineStr">
        <is>
          <t>UI bugs on Dashboard and payment options page</t>
        </is>
      </c>
      <c r="C689" t="inlineStr">
        <is>
          <t>Bug</t>
        </is>
      </c>
      <c r="D689" t="inlineStr">
        <is>
          <t>Servicing: BC Next</t>
        </is>
      </c>
      <c r="E689" t="inlineStr">
        <is>
          <t>BC Digital Drakon</t>
        </is>
      </c>
      <c r="F689" t="inlineStr">
        <is>
          <t>31</t>
        </is>
      </c>
      <c r="G689" t="inlineStr">
        <is>
          <t>Shyam Senthil Nathan</t>
        </is>
      </c>
      <c r="H689" t="inlineStr">
        <is>
          <t>[BC NEXT] Bug Fixes/Enhancements for August</t>
        </is>
      </c>
      <c r="I689" t="inlineStr"/>
      <c r="J689" t="n">
        <v>8.05412037037037</v>
      </c>
      <c r="K689" t="inlineStr"/>
      <c r="L689">
        <f>HYPERLINK("https://drivetime.tpondemand.com/entity/133892", "133892")</f>
        <v/>
      </c>
      <c r="M689" t="n">
        <v>0</v>
      </c>
      <c r="N689" t="n">
        <v>136568</v>
      </c>
      <c r="O689" t="inlineStr">
        <is>
          <t>Done</t>
        </is>
      </c>
      <c r="P689" t="n">
        <v>1</v>
      </c>
      <c r="Q689" t="inlineStr">
        <is>
          <t>Drakon 12</t>
        </is>
      </c>
      <c r="R689" t="inlineStr">
        <is>
          <t>2022-07-28</t>
        </is>
      </c>
      <c r="S689" t="inlineStr">
        <is>
          <t>2022-08-10</t>
        </is>
      </c>
      <c r="T689" t="inlineStr">
        <is>
          <t>Drakon 12 : 2022-07-28 - 2022-08-10</t>
        </is>
      </c>
      <c r="U689" t="inlineStr"/>
      <c r="V689" t="inlineStr"/>
      <c r="W689" t="inlineStr">
        <is>
          <t>2022-08-04T11:19:02-05:00</t>
        </is>
      </c>
      <c r="X689">
        <f>IFERROR(1/COUNTIF($I:$I,@$I:$I), 0)</f>
        <v/>
      </c>
    </row>
    <row r="690">
      <c r="A690">
        <f>HYPERLINK("https://drivetime.tpondemand.com/entity/136479", "136479")</f>
        <v/>
      </c>
      <c r="B690" t="inlineStr">
        <is>
          <t>Lag while opening and closing accordions</t>
        </is>
      </c>
      <c r="C690" t="inlineStr">
        <is>
          <t>Bug</t>
        </is>
      </c>
      <c r="D690" t="inlineStr">
        <is>
          <t>Servicing: BC Next</t>
        </is>
      </c>
      <c r="E690" t="inlineStr">
        <is>
          <t>BC Digital Drakon</t>
        </is>
      </c>
      <c r="F690" t="inlineStr">
        <is>
          <t>31</t>
        </is>
      </c>
      <c r="G690" t="inlineStr">
        <is>
          <t>Shyam Senthil Nathan</t>
        </is>
      </c>
      <c r="H690" t="inlineStr">
        <is>
          <t>[BC NEXT] Bug Fixes/Enhancements for August</t>
        </is>
      </c>
      <c r="I690" t="inlineStr"/>
      <c r="J690" t="n">
        <v>6.068541666666667</v>
      </c>
      <c r="K690" t="inlineStr"/>
      <c r="L690">
        <f>HYPERLINK("https://drivetime.tpondemand.com/entity/133892", "133892")</f>
        <v/>
      </c>
      <c r="M690" t="n">
        <v>0</v>
      </c>
      <c r="N690" t="n">
        <v>136568</v>
      </c>
      <c r="O690" t="inlineStr">
        <is>
          <t>Done</t>
        </is>
      </c>
      <c r="P690" t="n">
        <v>1</v>
      </c>
      <c r="Q690" t="inlineStr">
        <is>
          <t>Drakon 12</t>
        </is>
      </c>
      <c r="R690" t="inlineStr">
        <is>
          <t>2022-07-28</t>
        </is>
      </c>
      <c r="S690" t="inlineStr">
        <is>
          <t>2022-08-10</t>
        </is>
      </c>
      <c r="T690" t="inlineStr">
        <is>
          <t>Drakon 12 : 2022-07-28 - 2022-08-10</t>
        </is>
      </c>
      <c r="U690" t="inlineStr"/>
      <c r="V690" t="inlineStr"/>
      <c r="W690" t="inlineStr">
        <is>
          <t>2022-08-01T12:31:15-05:00</t>
        </is>
      </c>
      <c r="X690">
        <f>IFERROR(1/COUNTIF($I:$I,@$I:$I), 0)</f>
        <v/>
      </c>
    </row>
    <row r="691">
      <c r="A691">
        <f>HYPERLINK("https://drivetime.tpondemand.com/entity/136555", "136555")</f>
        <v/>
      </c>
      <c r="B691" t="inlineStr">
        <is>
          <t>no/agent-intro-modification main text</t>
        </is>
      </c>
      <c r="C691" t="inlineStr">
        <is>
          <t>Bug</t>
        </is>
      </c>
      <c r="D691" t="inlineStr">
        <is>
          <t>Servicing: BC Next</t>
        </is>
      </c>
      <c r="E691" t="inlineStr">
        <is>
          <t>BC Digital Drakon</t>
        </is>
      </c>
      <c r="F691" t="inlineStr">
        <is>
          <t>30</t>
        </is>
      </c>
      <c r="G691" t="inlineStr">
        <is>
          <t>Chirag Khandhar</t>
        </is>
      </c>
      <c r="H691" t="inlineStr">
        <is>
          <t>[BC NEXT]Phase 3: Manage Modifications Page</t>
        </is>
      </c>
      <c r="I691" t="inlineStr"/>
      <c r="J691" t="n">
        <v>0.03828703703703704</v>
      </c>
      <c r="K691">
        <f>HYPERLINK("https://drivetime.tpondemand.com/entity/136946", "136946")</f>
        <v/>
      </c>
      <c r="L691">
        <f>HYPERLINK("https://drivetime.tpondemand.com/entity/134405", "134405")</f>
        <v/>
      </c>
      <c r="M691" t="n">
        <v>0</v>
      </c>
      <c r="N691" t="n">
        <v>133020</v>
      </c>
      <c r="O691" t="inlineStr">
        <is>
          <t>Done</t>
        </is>
      </c>
      <c r="P691" t="n">
        <v>1</v>
      </c>
      <c r="Q691" t="inlineStr">
        <is>
          <t>Drakon 11</t>
        </is>
      </c>
      <c r="R691" t="inlineStr">
        <is>
          <t>2022-07-14</t>
        </is>
      </c>
      <c r="S691" t="inlineStr">
        <is>
          <t>2022-07-27</t>
        </is>
      </c>
      <c r="T691" t="inlineStr">
        <is>
          <t>Drakon 11 : 2022-07-14 - 2022-07-27</t>
        </is>
      </c>
      <c r="U691" t="inlineStr"/>
      <c r="V691" t="inlineStr"/>
      <c r="W691" t="inlineStr">
        <is>
          <t>2022-07-26T11:21:11-05:00</t>
        </is>
      </c>
      <c r="X691">
        <f>IFERROR(1/COUNTIF($I:$I,@$I:$I), 0)</f>
        <v/>
      </c>
    </row>
    <row r="692">
      <c r="A692">
        <f>HYPERLINK("https://drivetime.tpondemand.com/entity/136663", "136663")</f>
        <v/>
      </c>
      <c r="B692" t="inlineStr">
        <is>
          <t>Skip to content entering tabbing context when it shouldn't</t>
        </is>
      </c>
      <c r="C692" t="inlineStr">
        <is>
          <t>Bug</t>
        </is>
      </c>
      <c r="D692" t="inlineStr">
        <is>
          <t>Servicing: BC Next</t>
        </is>
      </c>
      <c r="E692" t="inlineStr">
        <is>
          <t>BC Digital Drakon</t>
        </is>
      </c>
      <c r="F692" t="inlineStr">
        <is>
          <t>31</t>
        </is>
      </c>
      <c r="G692" t="inlineStr">
        <is>
          <t>Abbas Shamshi</t>
        </is>
      </c>
      <c r="H692" t="inlineStr">
        <is>
          <t>[BC NEXT] Bug Fixes/Enhancements for August</t>
        </is>
      </c>
      <c r="I692" t="inlineStr"/>
      <c r="J692" t="n">
        <v>4.365266203703704</v>
      </c>
      <c r="K692" t="inlineStr"/>
      <c r="L692">
        <f>HYPERLINK("https://drivetime.tpondemand.com/entity/133891", "133891")</f>
        <v/>
      </c>
      <c r="M692" t="n">
        <v>0</v>
      </c>
      <c r="N692" t="n">
        <v>136568</v>
      </c>
      <c r="O692" t="inlineStr">
        <is>
          <t>Done</t>
        </is>
      </c>
      <c r="P692" t="n">
        <v>1</v>
      </c>
      <c r="Q692" t="inlineStr">
        <is>
          <t>Drakon 12</t>
        </is>
      </c>
      <c r="R692" t="inlineStr">
        <is>
          <t>2022-07-28</t>
        </is>
      </c>
      <c r="S692" t="inlineStr">
        <is>
          <t>2022-08-10</t>
        </is>
      </c>
      <c r="T692" t="inlineStr">
        <is>
          <t>Drakon 12 : 2022-07-28 - 2022-08-10</t>
        </is>
      </c>
      <c r="U692" t="inlineStr"/>
      <c r="V692" t="inlineStr"/>
      <c r="W692" t="inlineStr">
        <is>
          <t>2022-08-02T21:02:49-05:00</t>
        </is>
      </c>
      <c r="X692">
        <f>IFERROR(1/COUNTIF($I:$I,@$I:$I), 0)</f>
        <v/>
      </c>
    </row>
    <row r="693">
      <c r="A693">
        <f>HYPERLINK("https://drivetime.tpondemand.com/entity/136664", "136664")</f>
        <v/>
      </c>
      <c r="B693" t="inlineStr">
        <is>
          <t>Add button is add debit card modal is pushed down to invisibility if all fields error out</t>
        </is>
      </c>
      <c r="C693" t="inlineStr">
        <is>
          <t>Bug</t>
        </is>
      </c>
      <c r="D693" t="inlineStr">
        <is>
          <t>Servicing: BC Next</t>
        </is>
      </c>
      <c r="E693" t="inlineStr">
        <is>
          <t>BC Digital Drakon</t>
        </is>
      </c>
      <c r="F693" t="inlineStr">
        <is>
          <t>31</t>
        </is>
      </c>
      <c r="G693" t="inlineStr">
        <is>
          <t>Abbas Shamshi</t>
        </is>
      </c>
      <c r="H693" t="inlineStr">
        <is>
          <t>[BC NEXT] Bug Fixes/Enhancements for August</t>
        </is>
      </c>
      <c r="I693" t="inlineStr"/>
      <c r="J693" t="n">
        <v>5.31712962962963</v>
      </c>
      <c r="K693" t="inlineStr"/>
      <c r="L693">
        <f>HYPERLINK("https://drivetime.tpondemand.com/entity/133891", "133891")</f>
        <v/>
      </c>
      <c r="M693" t="n">
        <v>0</v>
      </c>
      <c r="N693" t="n">
        <v>136568</v>
      </c>
      <c r="O693" t="inlineStr">
        <is>
          <t>Done</t>
        </is>
      </c>
      <c r="P693" t="n">
        <v>1</v>
      </c>
      <c r="Q693" t="inlineStr">
        <is>
          <t>Drakon 12</t>
        </is>
      </c>
      <c r="R693" t="inlineStr">
        <is>
          <t>2022-07-28</t>
        </is>
      </c>
      <c r="S693" t="inlineStr">
        <is>
          <t>2022-08-10</t>
        </is>
      </c>
      <c r="T693" t="inlineStr">
        <is>
          <t>Drakon 12 : 2022-07-28 - 2022-08-10</t>
        </is>
      </c>
      <c r="U693" t="inlineStr"/>
      <c r="V693" t="inlineStr"/>
      <c r="W693" t="inlineStr">
        <is>
          <t>2022-08-02T21:02:57-05:00</t>
        </is>
      </c>
      <c r="X693">
        <f>IFERROR(1/COUNTIF($I:$I,@$I:$I), 0)</f>
        <v/>
      </c>
    </row>
    <row r="694">
      <c r="A694">
        <f>HYPERLINK("https://drivetime.tpondemand.com/entity/136802", "136802")</f>
        <v/>
      </c>
      <c r="B694" t="inlineStr">
        <is>
          <t>Impersonation mobile view mismatch</t>
        </is>
      </c>
      <c r="C694" t="inlineStr">
        <is>
          <t>Bug</t>
        </is>
      </c>
      <c r="D694" t="inlineStr">
        <is>
          <t>Servicing: BC Next</t>
        </is>
      </c>
      <c r="E694" t="inlineStr">
        <is>
          <t>BC Digital Drakon</t>
        </is>
      </c>
      <c r="F694" t="inlineStr">
        <is>
          <t>30</t>
        </is>
      </c>
      <c r="G694" t="inlineStr">
        <is>
          <t>Yokeshwaran Lokanathan</t>
        </is>
      </c>
      <c r="H694" t="inlineStr">
        <is>
          <t>[BC NEXT]Phase 3: Manage Modifications Page</t>
        </is>
      </c>
      <c r="I694" t="inlineStr"/>
      <c r="J694" t="n">
        <v>0.1650578703703704</v>
      </c>
      <c r="K694">
        <f>HYPERLINK("https://drivetime.tpondemand.com/entity/136946", "136946")</f>
        <v/>
      </c>
      <c r="L694">
        <f>HYPERLINK("https://drivetime.tpondemand.com/entity/134409", "134409")</f>
        <v/>
      </c>
      <c r="M694" t="n">
        <v>0</v>
      </c>
      <c r="N694" t="n">
        <v>136568</v>
      </c>
      <c r="O694" t="inlineStr">
        <is>
          <t>Done</t>
        </is>
      </c>
      <c r="P694" t="n">
        <v>1</v>
      </c>
      <c r="Q694" t="inlineStr">
        <is>
          <t>Drakon 12</t>
        </is>
      </c>
      <c r="R694" t="inlineStr">
        <is>
          <t>2022-07-28</t>
        </is>
      </c>
      <c r="S694" t="inlineStr">
        <is>
          <t>2022-08-10</t>
        </is>
      </c>
      <c r="T694" t="inlineStr">
        <is>
          <t>Drakon 12 : 2022-07-28 - 2022-08-10</t>
        </is>
      </c>
      <c r="U694" t="inlineStr"/>
      <c r="V694" t="inlineStr"/>
      <c r="W694" t="inlineStr">
        <is>
          <t>2022-07-29T14:27:13-05:00</t>
        </is>
      </c>
      <c r="X694">
        <f>IFERROR(1/COUNTIF($I:$I,@$I:$I), 0)</f>
        <v/>
      </c>
    </row>
    <row r="695">
      <c r="A695">
        <f>HYPERLINK("https://drivetime.tpondemand.com/entity/136945", "136945")</f>
        <v/>
      </c>
      <c r="B695" t="inlineStr">
        <is>
          <t>[BC NEXT] Manage Mods - Images in new mod section too far right for processing mods</t>
        </is>
      </c>
      <c r="C695" t="inlineStr">
        <is>
          <t>Bug</t>
        </is>
      </c>
      <c r="D695" t="inlineStr">
        <is>
          <t>Servicing: BC Next</t>
        </is>
      </c>
      <c r="E695" t="inlineStr">
        <is>
          <t>BC Digital Drakon</t>
        </is>
      </c>
      <c r="F695" t="inlineStr">
        <is>
          <t>31</t>
        </is>
      </c>
      <c r="G695" t="inlineStr">
        <is>
          <t>Yokeshwaran Lokanathan</t>
        </is>
      </c>
      <c r="H695" t="inlineStr">
        <is>
          <t>[BC NEXT]Phase 3: Manage Modifications Page</t>
        </is>
      </c>
      <c r="I695" t="inlineStr"/>
      <c r="J695" t="n">
        <v>0.9199189814814814</v>
      </c>
      <c r="K695">
        <f>HYPERLINK("https://drivetime.tpondemand.com/entity/136946", "136946")</f>
        <v/>
      </c>
      <c r="L695">
        <f>HYPERLINK("https://drivetime.tpondemand.com/entity/134409", "134409")</f>
        <v/>
      </c>
      <c r="M695" t="n">
        <v>0</v>
      </c>
      <c r="N695" t="n">
        <v>136568</v>
      </c>
      <c r="O695" t="inlineStr">
        <is>
          <t>Done</t>
        </is>
      </c>
      <c r="P695" t="n">
        <v>1</v>
      </c>
      <c r="Q695" t="inlineStr">
        <is>
          <t>Drakon 12</t>
        </is>
      </c>
      <c r="R695" t="inlineStr">
        <is>
          <t>2022-07-28</t>
        </is>
      </c>
      <c r="S695" t="inlineStr">
        <is>
          <t>2022-08-10</t>
        </is>
      </c>
      <c r="T695" t="inlineStr">
        <is>
          <t>Drakon 12 : 2022-07-28 - 2022-08-10</t>
        </is>
      </c>
      <c r="U695" t="inlineStr"/>
      <c r="V695" t="inlineStr"/>
      <c r="W695" t="inlineStr">
        <is>
          <t>2022-08-02T10:19:21-05:00</t>
        </is>
      </c>
      <c r="X695">
        <f>IFERROR(1/COUNTIF($I:$I,@$I:$I), 0)</f>
        <v/>
      </c>
    </row>
    <row r="696">
      <c r="A696">
        <f>HYPERLINK("https://drivetime.tpondemand.com/entity/136959", "136959")</f>
        <v/>
      </c>
      <c r="B696" t="inlineStr">
        <is>
          <t>Outline on Cancel OTP| Unenroll AP</t>
        </is>
      </c>
      <c r="C696" t="inlineStr">
        <is>
          <t>Bug</t>
        </is>
      </c>
      <c r="D696" t="inlineStr">
        <is>
          <t>Servicing: BC Next</t>
        </is>
      </c>
      <c r="E696" t="inlineStr">
        <is>
          <t>BC Digital Drakon</t>
        </is>
      </c>
      <c r="F696" t="inlineStr">
        <is>
          <t>32</t>
        </is>
      </c>
      <c r="G696" t="inlineStr">
        <is>
          <t>Shyam Senthil Nathan</t>
        </is>
      </c>
      <c r="H696" t="inlineStr">
        <is>
          <t>[BC NEXT] Bug Fixes/Enhancements for August</t>
        </is>
      </c>
      <c r="I696" t="inlineStr"/>
      <c r="J696" t="n">
        <v>3.215162037037037</v>
      </c>
      <c r="K696" t="inlineStr"/>
      <c r="L696">
        <f>HYPERLINK("https://drivetime.tpondemand.com/entity/133892", "133892")</f>
        <v/>
      </c>
      <c r="M696" t="n">
        <v>0</v>
      </c>
      <c r="N696" t="n">
        <v>136568</v>
      </c>
      <c r="O696" t="inlineStr">
        <is>
          <t>Done</t>
        </is>
      </c>
      <c r="P696" t="n">
        <v>1</v>
      </c>
      <c r="Q696" t="inlineStr">
        <is>
          <t>Drakon 12</t>
        </is>
      </c>
      <c r="R696" t="inlineStr">
        <is>
          <t>2022-07-28</t>
        </is>
      </c>
      <c r="S696" t="inlineStr">
        <is>
          <t>2022-08-10</t>
        </is>
      </c>
      <c r="T696" t="inlineStr">
        <is>
          <t>Drakon 12 : 2022-07-28 - 2022-08-10</t>
        </is>
      </c>
      <c r="U696" t="inlineStr"/>
      <c r="V696" t="inlineStr"/>
      <c r="W696" t="inlineStr">
        <is>
          <t>2022-08-08T14:46:32-05:00</t>
        </is>
      </c>
      <c r="X696">
        <f>IFERROR(1/COUNTIF($I:$I,@$I:$I), 0)</f>
        <v/>
      </c>
    </row>
    <row r="697">
      <c r="A697">
        <f>HYPERLINK("https://drivetime.tpondemand.com/entity/137164", "137164")</f>
        <v/>
      </c>
      <c r="B697" t="inlineStr">
        <is>
          <t>Fix Loan Modification Service</t>
        </is>
      </c>
      <c r="C697" t="inlineStr">
        <is>
          <t>Bug</t>
        </is>
      </c>
      <c r="D697" t="inlineStr">
        <is>
          <t>Servicing: BC Next</t>
        </is>
      </c>
      <c r="E697" t="inlineStr">
        <is>
          <t>BC Digital Drakon</t>
        </is>
      </c>
      <c r="F697" t="inlineStr">
        <is>
          <t>32</t>
        </is>
      </c>
      <c r="G697" t="inlineStr">
        <is>
          <t>Joseph Kranak</t>
        </is>
      </c>
      <c r="H697" t="inlineStr">
        <is>
          <t>[BC NEXT]Phase 3: Manage Modifications Page</t>
        </is>
      </c>
      <c r="I697" t="inlineStr"/>
      <c r="J697" t="n">
        <v>6.186342592592593</v>
      </c>
      <c r="K697">
        <f>HYPERLINK("https://drivetime.tpondemand.com/entity/136946", "136946")</f>
        <v/>
      </c>
      <c r="L697">
        <f>HYPERLINK("https://drivetime.tpondemand.com/entity/134478", "134478")</f>
        <v/>
      </c>
      <c r="M697" t="n">
        <v>0</v>
      </c>
      <c r="N697" t="n">
        <v>136568</v>
      </c>
      <c r="O697" t="inlineStr">
        <is>
          <t>Done</t>
        </is>
      </c>
      <c r="P697" t="n">
        <v>1</v>
      </c>
      <c r="Q697" t="inlineStr">
        <is>
          <t>Drakon 12</t>
        </is>
      </c>
      <c r="R697" t="inlineStr">
        <is>
          <t>2022-07-28</t>
        </is>
      </c>
      <c r="S697" t="inlineStr">
        <is>
          <t>2022-08-10</t>
        </is>
      </c>
      <c r="T697" t="inlineStr">
        <is>
          <t>Drakon 12 : 2022-07-28 - 2022-08-10</t>
        </is>
      </c>
      <c r="U697" t="inlineStr"/>
      <c r="V697" t="inlineStr"/>
      <c r="W697" t="inlineStr">
        <is>
          <t>2022-08-09T17:07:11-05:00</t>
        </is>
      </c>
      <c r="X697">
        <f>IFERROR(1/COUNTIF($I:$I,@$I:$I), 0)</f>
        <v/>
      </c>
    </row>
    <row r="698">
      <c r="A698">
        <f>HYPERLINK("https://drivetime.tpondemand.com/entity/137202", "137202")</f>
        <v/>
      </c>
      <c r="B698" t="inlineStr">
        <is>
          <t>One-Time Payment "Submit" analytic does not include the expected "value" property</t>
        </is>
      </c>
      <c r="C698" t="inlineStr">
        <is>
          <t>Bug</t>
        </is>
      </c>
      <c r="D698" t="inlineStr">
        <is>
          <t>Servicing: BC Next</t>
        </is>
      </c>
      <c r="E698" t="inlineStr">
        <is>
          <t>BC Digital Drakon</t>
        </is>
      </c>
      <c r="F698" t="inlineStr">
        <is>
          <t>31</t>
        </is>
      </c>
      <c r="G698" t="inlineStr">
        <is>
          <t>Joseph Kranak</t>
        </is>
      </c>
      <c r="H698" t="inlineStr">
        <is>
          <t>[BC NEXT] Bug Fixes/Enhancements for August</t>
        </is>
      </c>
      <c r="I698" t="inlineStr"/>
      <c r="J698" t="n">
        <v>1.144050925925926</v>
      </c>
      <c r="K698">
        <f>HYPERLINK("https://drivetime.tpondemand.com/entity/138249", "138249")</f>
        <v/>
      </c>
      <c r="L698">
        <f>HYPERLINK("https://drivetime.tpondemand.com/entity/136546", "136546")</f>
        <v/>
      </c>
      <c r="M698" t="n">
        <v>0</v>
      </c>
      <c r="N698" t="n">
        <v>136568</v>
      </c>
      <c r="O698" t="inlineStr">
        <is>
          <t>Done</t>
        </is>
      </c>
      <c r="P698" t="n">
        <v>1</v>
      </c>
      <c r="Q698" t="inlineStr">
        <is>
          <t>Drakon 12</t>
        </is>
      </c>
      <c r="R698" t="inlineStr">
        <is>
          <t>2022-07-28</t>
        </is>
      </c>
      <c r="S698" t="inlineStr">
        <is>
          <t>2022-08-10</t>
        </is>
      </c>
      <c r="T698" t="inlineStr">
        <is>
          <t>Drakon 12 : 2022-07-28 - 2022-08-10</t>
        </is>
      </c>
      <c r="U698" t="inlineStr"/>
      <c r="V698" t="inlineStr"/>
      <c r="W698" t="inlineStr">
        <is>
          <t>2022-08-05T11:46:34-05:00</t>
        </is>
      </c>
      <c r="X698">
        <f>IFERROR(1/COUNTIF($I:$I,@$I:$I), 0)</f>
        <v/>
      </c>
    </row>
    <row r="699">
      <c r="A699">
        <f>HYPERLINK("https://drivetime.tpondemand.com/entity/137378", "137378")</f>
        <v/>
      </c>
      <c r="B699" t="inlineStr">
        <is>
          <t>Fix Side Nav Swipe Gesture</t>
        </is>
      </c>
      <c r="C699" t="inlineStr">
        <is>
          <t>Bug</t>
        </is>
      </c>
      <c r="D699" t="inlineStr">
        <is>
          <t>Servicing: BC Next</t>
        </is>
      </c>
      <c r="E699" t="inlineStr">
        <is>
          <t>BC Digital Drakon</t>
        </is>
      </c>
      <c r="F699" t="inlineStr">
        <is>
          <t>32</t>
        </is>
      </c>
      <c r="G699" t="inlineStr">
        <is>
          <t>Chirag Khandhar</t>
        </is>
      </c>
      <c r="H699" t="inlineStr">
        <is>
          <t>[BC NEXT] Paymentus Quick Access Page</t>
        </is>
      </c>
      <c r="I699" t="inlineStr"/>
      <c r="J699" t="n">
        <v>1.934270833333333</v>
      </c>
      <c r="K699">
        <f>HYPERLINK("https://drivetime.tpondemand.com/entity/138993", "138993")</f>
        <v/>
      </c>
      <c r="L699">
        <f>HYPERLINK("https://drivetime.tpondemand.com/entity/135428", "135428")</f>
        <v/>
      </c>
      <c r="M699" t="n">
        <v>0</v>
      </c>
      <c r="N699" t="n">
        <v>136568</v>
      </c>
      <c r="O699" t="inlineStr">
        <is>
          <t>Done</t>
        </is>
      </c>
      <c r="P699" t="n">
        <v>1</v>
      </c>
      <c r="Q699" t="inlineStr">
        <is>
          <t>Drakon 12</t>
        </is>
      </c>
      <c r="R699" t="inlineStr">
        <is>
          <t>2022-07-28</t>
        </is>
      </c>
      <c r="S699" t="inlineStr">
        <is>
          <t>2022-08-10</t>
        </is>
      </c>
      <c r="T699" t="inlineStr">
        <is>
          <t>Drakon 12 : 2022-07-28 - 2022-08-10</t>
        </is>
      </c>
      <c r="U699" t="inlineStr"/>
      <c r="V699" t="inlineStr"/>
      <c r="W699" t="inlineStr">
        <is>
          <t>2022-08-10T14:06:18-05:00</t>
        </is>
      </c>
      <c r="X699">
        <f>IFERROR(1/COUNTIF($I:$I,@$I:$I), 0)</f>
        <v/>
      </c>
    </row>
    <row r="700">
      <c r="A700">
        <f>HYPERLINK("https://drivetime.tpondemand.com/entity/137400", "137400")</f>
        <v/>
      </c>
      <c r="B700" t="inlineStr">
        <is>
          <t>[BC NEXT] Missing Analytics - Analytic event double firing</t>
        </is>
      </c>
      <c r="C700" t="inlineStr">
        <is>
          <t>Bug</t>
        </is>
      </c>
      <c r="D700" t="inlineStr">
        <is>
          <t>Servicing: BC Next</t>
        </is>
      </c>
      <c r="E700" t="inlineStr">
        <is>
          <t>BC Digital Drakon</t>
        </is>
      </c>
      <c r="F700" t="inlineStr">
        <is>
          <t>33</t>
        </is>
      </c>
      <c r="G700" t="inlineStr">
        <is>
          <t>Joseph Kranak</t>
        </is>
      </c>
      <c r="H700" t="inlineStr">
        <is>
          <t>[BC NEXT] Bug Fixes/Enhancements for August</t>
        </is>
      </c>
      <c r="I700" t="inlineStr"/>
      <c r="J700" t="n">
        <v>5.804166666666666</v>
      </c>
      <c r="K700">
        <f>HYPERLINK("https://drivetime.tpondemand.com/entity/138249", "138249")</f>
        <v/>
      </c>
      <c r="L700">
        <f>HYPERLINK("https://drivetime.tpondemand.com/entity/136546", "136546")</f>
        <v/>
      </c>
      <c r="M700" t="n">
        <v>0</v>
      </c>
      <c r="N700" t="n">
        <v>136569</v>
      </c>
      <c r="O700" t="inlineStr">
        <is>
          <t>Done</t>
        </is>
      </c>
      <c r="P700" t="n">
        <v>1</v>
      </c>
      <c r="Q700" t="inlineStr">
        <is>
          <t>Drakon 13</t>
        </is>
      </c>
      <c r="R700" t="inlineStr">
        <is>
          <t>2022-08-11</t>
        </is>
      </c>
      <c r="S700" t="inlineStr">
        <is>
          <t>2022-08-24</t>
        </is>
      </c>
      <c r="T700" t="inlineStr">
        <is>
          <t>Drakon 13 : 2022-08-11 - 2022-08-24</t>
        </is>
      </c>
      <c r="U700" t="inlineStr"/>
      <c r="V700" t="inlineStr"/>
      <c r="W700" t="inlineStr">
        <is>
          <t>2022-08-17T08:58:52-05:00</t>
        </is>
      </c>
      <c r="X700">
        <f>IFERROR(1/COUNTIF($I:$I,@$I:$I), 0)</f>
        <v/>
      </c>
    </row>
    <row r="701">
      <c r="A701">
        <f>HYPERLINK("https://drivetime.tpondemand.com/entity/137471", "137471")</f>
        <v/>
      </c>
      <c r="B701" t="inlineStr">
        <is>
          <t>Misc Errors</t>
        </is>
      </c>
      <c r="C701" t="inlineStr">
        <is>
          <t>Bug</t>
        </is>
      </c>
      <c r="D701" t="inlineStr">
        <is>
          <t>Servicing: BC Next</t>
        </is>
      </c>
      <c r="E701" t="inlineStr">
        <is>
          <t>BC Digital Drakon</t>
        </is>
      </c>
      <c r="F701" t="inlineStr">
        <is>
          <t>32</t>
        </is>
      </c>
      <c r="G701" t="inlineStr">
        <is>
          <t>Chirag Khandhar</t>
        </is>
      </c>
      <c r="H701" t="inlineStr">
        <is>
          <t>[BC NEXT] Paymentus Quick Access Page</t>
        </is>
      </c>
      <c r="I701" t="inlineStr"/>
      <c r="J701" t="n">
        <v>0.157650462962963</v>
      </c>
      <c r="K701">
        <f>HYPERLINK("https://drivetime.tpondemand.com/entity/138993", "138993")</f>
        <v/>
      </c>
      <c r="L701">
        <f>HYPERLINK("https://drivetime.tpondemand.com/entity/135428", "135428")</f>
        <v/>
      </c>
      <c r="M701" t="n">
        <v>0</v>
      </c>
      <c r="N701" t="n">
        <v>136568</v>
      </c>
      <c r="O701" t="inlineStr">
        <is>
          <t>Done</t>
        </is>
      </c>
      <c r="P701" t="n">
        <v>1</v>
      </c>
      <c r="Q701" t="inlineStr">
        <is>
          <t>Drakon 12</t>
        </is>
      </c>
      <c r="R701" t="inlineStr">
        <is>
          <t>2022-07-28</t>
        </is>
      </c>
      <c r="S701" t="inlineStr">
        <is>
          <t>2022-08-10</t>
        </is>
      </c>
      <c r="T701" t="inlineStr">
        <is>
          <t>Drakon 12 : 2022-07-28 - 2022-08-10</t>
        </is>
      </c>
      <c r="U701" t="inlineStr"/>
      <c r="V701" t="inlineStr"/>
      <c r="W701" t="inlineStr">
        <is>
          <t>2022-08-10T16:46:51-05:00</t>
        </is>
      </c>
      <c r="X701">
        <f>IFERROR(1/COUNTIF($I:$I,@$I:$I), 0)</f>
        <v/>
      </c>
    </row>
    <row r="702">
      <c r="A702">
        <f>HYPERLINK("https://drivetime.tpondemand.com/entity/137503", "137503")</f>
        <v/>
      </c>
      <c r="B702" t="inlineStr">
        <is>
          <t>[BC NEXT] Manage Mods - Due Date Change showing in trans history</t>
        </is>
      </c>
      <c r="C702" t="inlineStr">
        <is>
          <t>Bug</t>
        </is>
      </c>
      <c r="D702" t="inlineStr">
        <is>
          <t>Servicing: BC Next</t>
        </is>
      </c>
      <c r="E702" t="inlineStr">
        <is>
          <t>BC Digital Drakon</t>
        </is>
      </c>
      <c r="F702" t="inlineStr">
        <is>
          <t>32</t>
        </is>
      </c>
      <c r="G702" t="inlineStr">
        <is>
          <t>Yokeshwaran Lokanathan</t>
        </is>
      </c>
      <c r="H702" t="inlineStr">
        <is>
          <t>[BC NEXT]Phase 3: Manage Modifications Page</t>
        </is>
      </c>
      <c r="I702" t="inlineStr"/>
      <c r="J702" t="n">
        <v>0.08302083333333334</v>
      </c>
      <c r="K702">
        <f>HYPERLINK("https://drivetime.tpondemand.com/entity/136946", "136946")</f>
        <v/>
      </c>
      <c r="L702">
        <f>HYPERLINK("https://drivetime.tpondemand.com/entity/136661", "136661")</f>
        <v/>
      </c>
      <c r="M702" t="n">
        <v>0</v>
      </c>
      <c r="N702" t="n">
        <v>136568</v>
      </c>
      <c r="O702" t="inlineStr">
        <is>
          <t>Done</t>
        </is>
      </c>
      <c r="P702" t="n">
        <v>1</v>
      </c>
      <c r="Q702" t="inlineStr">
        <is>
          <t>Drakon 12</t>
        </is>
      </c>
      <c r="R702" t="inlineStr">
        <is>
          <t>2022-07-28</t>
        </is>
      </c>
      <c r="S702" t="inlineStr">
        <is>
          <t>2022-08-10</t>
        </is>
      </c>
      <c r="T702" t="inlineStr">
        <is>
          <t>Drakon 12 : 2022-07-28 - 2022-08-10</t>
        </is>
      </c>
      <c r="U702" t="inlineStr"/>
      <c r="V702" t="inlineStr"/>
      <c r="W702" t="inlineStr">
        <is>
          <t>2022-08-10T16:03:20-05:00</t>
        </is>
      </c>
      <c r="X702">
        <f>IFERROR(1/COUNTIF($I:$I,@$I:$I), 0)</f>
        <v/>
      </c>
    </row>
    <row r="703">
      <c r="A703">
        <f>HYPERLINK("https://drivetime.tpondemand.com/entity/137505", "137505")</f>
        <v/>
      </c>
      <c r="B703" t="inlineStr">
        <is>
          <t>Build number missing</t>
        </is>
      </c>
      <c r="C703" t="inlineStr">
        <is>
          <t>Bug</t>
        </is>
      </c>
      <c r="D703" t="inlineStr">
        <is>
          <t>Servicing: BC Next</t>
        </is>
      </c>
      <c r="E703" t="inlineStr">
        <is>
          <t>BC Digital Drakon</t>
        </is>
      </c>
      <c r="F703" t="inlineStr">
        <is>
          <t>32</t>
        </is>
      </c>
      <c r="G703" t="inlineStr">
        <is>
          <t>Joseph Kranak</t>
        </is>
      </c>
      <c r="H703" t="inlineStr">
        <is>
          <t>null</t>
        </is>
      </c>
      <c r="I703" t="inlineStr"/>
      <c r="J703" t="n">
        <v>0.1007986111111111</v>
      </c>
      <c r="K703" t="inlineStr"/>
      <c r="L703">
        <f>HYPERLINK("https://drivetime.tpondemand.com/entity/136623", "136623")</f>
        <v/>
      </c>
      <c r="M703" t="n">
        <v>0</v>
      </c>
      <c r="N703" t="n">
        <v>136568</v>
      </c>
      <c r="O703" t="inlineStr">
        <is>
          <t>Done</t>
        </is>
      </c>
      <c r="P703" t="n">
        <v>1</v>
      </c>
      <c r="Q703" t="inlineStr">
        <is>
          <t>Drakon 12</t>
        </is>
      </c>
      <c r="R703" t="inlineStr">
        <is>
          <t>2022-07-28</t>
        </is>
      </c>
      <c r="S703" t="inlineStr">
        <is>
          <t>2022-08-10</t>
        </is>
      </c>
      <c r="T703" t="inlineStr">
        <is>
          <t>Drakon 12 : 2022-07-28 - 2022-08-10</t>
        </is>
      </c>
      <c r="U703" t="inlineStr"/>
      <c r="V703" t="inlineStr"/>
      <c r="W703" t="inlineStr">
        <is>
          <t>2022-08-10T16:44:30-05:00</t>
        </is>
      </c>
      <c r="X703">
        <f>IFERROR(1/COUNTIF($I:$I,@$I:$I), 0)</f>
        <v/>
      </c>
    </row>
    <row r="704">
      <c r="A704">
        <f>HYPERLINK("https://drivetime.tpondemand.com/entity/137682", "137682")</f>
        <v/>
      </c>
      <c r="B704" t="inlineStr">
        <is>
          <t>SVG not responsive</t>
        </is>
      </c>
      <c r="C704" t="inlineStr">
        <is>
          <t>Bug</t>
        </is>
      </c>
      <c r="D704" t="inlineStr">
        <is>
          <t>Servicing: BC Next</t>
        </is>
      </c>
      <c r="E704" t="inlineStr">
        <is>
          <t>BC Digital Drakon</t>
        </is>
      </c>
      <c r="F704" t="inlineStr">
        <is>
          <t>33</t>
        </is>
      </c>
      <c r="G704" t="inlineStr">
        <is>
          <t>Shyam Senthil Nathan</t>
        </is>
      </c>
      <c r="H704" t="inlineStr">
        <is>
          <t>[BC NEXT] Paymentus Quick Access Page</t>
        </is>
      </c>
      <c r="I704" t="inlineStr"/>
      <c r="J704" t="n">
        <v>0.193912037037037</v>
      </c>
      <c r="K704">
        <f>HYPERLINK("https://drivetime.tpondemand.com/entity/138993", "138993")</f>
        <v/>
      </c>
      <c r="L704">
        <f>HYPERLINK("https://drivetime.tpondemand.com/entity/135843", "135843")</f>
        <v/>
      </c>
      <c r="M704" t="n">
        <v>0</v>
      </c>
      <c r="N704" t="n">
        <v>136569</v>
      </c>
      <c r="O704" t="inlineStr">
        <is>
          <t>Done</t>
        </is>
      </c>
      <c r="P704" t="n">
        <v>1</v>
      </c>
      <c r="Q704" t="inlineStr">
        <is>
          <t>Drakon 13</t>
        </is>
      </c>
      <c r="R704" t="inlineStr">
        <is>
          <t>2022-08-11</t>
        </is>
      </c>
      <c r="S704" t="inlineStr">
        <is>
          <t>2022-08-24</t>
        </is>
      </c>
      <c r="T704" t="inlineStr">
        <is>
          <t>Drakon 13 : 2022-08-11 - 2022-08-24</t>
        </is>
      </c>
      <c r="U704" t="inlineStr"/>
      <c r="V704" t="inlineStr"/>
      <c r="W704" t="inlineStr">
        <is>
          <t>2022-08-15T20:59:38-05:00</t>
        </is>
      </c>
      <c r="X704">
        <f>IFERROR(1/COUNTIF($I:$I,@$I:$I), 0)</f>
        <v/>
      </c>
    </row>
    <row r="705">
      <c r="A705">
        <f>HYPERLINK("https://drivetime.tpondemand.com/entity/138261", "138261")</f>
        <v/>
      </c>
      <c r="B705" t="inlineStr">
        <is>
          <t>[BC NEXT] Manage Mods - ARIA label incorrect</t>
        </is>
      </c>
      <c r="C705" t="inlineStr">
        <is>
          <t>Bug</t>
        </is>
      </c>
      <c r="D705" t="inlineStr">
        <is>
          <t>Servicing: BC Next</t>
        </is>
      </c>
      <c r="E705" t="inlineStr">
        <is>
          <t>BC Digital Drakon</t>
        </is>
      </c>
      <c r="F705" t="inlineStr">
        <is>
          <t>34</t>
        </is>
      </c>
      <c r="G705" t="inlineStr">
        <is>
          <t>Antonio Posada</t>
        </is>
      </c>
      <c r="H705" t="inlineStr">
        <is>
          <t>[BC NEXT]Phase 3: Manage Modifications Page</t>
        </is>
      </c>
      <c r="I705" t="inlineStr"/>
      <c r="J705" t="n">
        <v>0.7898379629629629</v>
      </c>
      <c r="K705">
        <f>HYPERLINK("https://drivetime.tpondemand.com/entity/136946", "136946")</f>
        <v/>
      </c>
      <c r="L705">
        <f>HYPERLINK("https://drivetime.tpondemand.com/entity/134469", "134469")</f>
        <v/>
      </c>
      <c r="M705" t="n">
        <v>0</v>
      </c>
      <c r="N705" t="n">
        <v>136569</v>
      </c>
      <c r="O705" t="inlineStr">
        <is>
          <t>Done</t>
        </is>
      </c>
      <c r="P705" t="n">
        <v>1</v>
      </c>
      <c r="Q705" t="inlineStr">
        <is>
          <t>Drakon 13</t>
        </is>
      </c>
      <c r="R705" t="inlineStr">
        <is>
          <t>2022-08-11</t>
        </is>
      </c>
      <c r="S705" t="inlineStr">
        <is>
          <t>2022-08-24</t>
        </is>
      </c>
      <c r="T705" t="inlineStr">
        <is>
          <t>Drakon 13 : 2022-08-11 - 2022-08-24</t>
        </is>
      </c>
      <c r="U705" t="inlineStr"/>
      <c r="V705" t="inlineStr"/>
      <c r="W705" t="inlineStr">
        <is>
          <t>2022-08-23T13:12:07-05:00</t>
        </is>
      </c>
      <c r="X705">
        <f>IFERROR(1/COUNTIF($I:$I,@$I:$I), 0)</f>
        <v/>
      </c>
    </row>
    <row r="706">
      <c r="A706">
        <f>HYPERLINK("https://drivetime.tpondemand.com/entity/138577", "138577")</f>
        <v/>
      </c>
      <c r="B706" t="inlineStr">
        <is>
          <t>Error analytic is not logged when an invalid account number and SSN last 4 combination is entered</t>
        </is>
      </c>
      <c r="C706" t="inlineStr">
        <is>
          <t>Bug</t>
        </is>
      </c>
      <c r="D706" t="inlineStr">
        <is>
          <t>Servicing: BC Next</t>
        </is>
      </c>
      <c r="E706" t="inlineStr">
        <is>
          <t>BC Digital Drakon</t>
        </is>
      </c>
      <c r="F706" t="inlineStr">
        <is>
          <t>35</t>
        </is>
      </c>
      <c r="G706" t="inlineStr">
        <is>
          <t>Yokeshwaran Lokanathan</t>
        </is>
      </c>
      <c r="H706" t="inlineStr">
        <is>
          <t>[BC NEXT] Paymentus Quick Access Page</t>
        </is>
      </c>
      <c r="I706" t="inlineStr"/>
      <c r="J706" t="n">
        <v>3.151111111111111</v>
      </c>
      <c r="K706">
        <f>HYPERLINK("https://drivetime.tpondemand.com/entity/138993", "138993")</f>
        <v/>
      </c>
      <c r="L706">
        <f>HYPERLINK("https://drivetime.tpondemand.com/entity/135618", "135618")</f>
        <v/>
      </c>
      <c r="M706" t="n">
        <v>0</v>
      </c>
      <c r="N706" t="n">
        <v>136572</v>
      </c>
      <c r="O706" t="inlineStr">
        <is>
          <t>Done</t>
        </is>
      </c>
      <c r="P706" t="n">
        <v>1</v>
      </c>
      <c r="Q706" t="inlineStr">
        <is>
          <t>Drakon 14</t>
        </is>
      </c>
      <c r="R706" t="inlineStr">
        <is>
          <t>2022-08-25</t>
        </is>
      </c>
      <c r="S706" t="inlineStr">
        <is>
          <t>2022-09-07</t>
        </is>
      </c>
      <c r="T706" t="inlineStr">
        <is>
          <t>Drakon 14 : 2022-08-25 - 2022-09-07</t>
        </is>
      </c>
      <c r="U706" t="inlineStr"/>
      <c r="V706" t="inlineStr"/>
      <c r="W706" t="inlineStr">
        <is>
          <t>2022-09-01T14:47:20-05:00</t>
        </is>
      </c>
      <c r="X706">
        <f>IFERROR(1/COUNTIF($I:$I,@$I:$I), 0)</f>
        <v/>
      </c>
    </row>
    <row r="707">
      <c r="A707">
        <f>HYPERLINK("https://drivetime.tpondemand.com/entity/138586", "138586")</f>
        <v/>
      </c>
      <c r="B707" t="inlineStr">
        <is>
          <t>User is not directed to Error Processing Request page if there is an error generating the Paymentus URL</t>
        </is>
      </c>
      <c r="C707" t="inlineStr">
        <is>
          <t>Bug</t>
        </is>
      </c>
      <c r="D707" t="inlineStr">
        <is>
          <t>Servicing: BC Next</t>
        </is>
      </c>
      <c r="E707" t="inlineStr">
        <is>
          <t>BC Digital Drakon</t>
        </is>
      </c>
      <c r="F707" t="inlineStr">
        <is>
          <t>35</t>
        </is>
      </c>
      <c r="G707" t="inlineStr">
        <is>
          <t>Yokeshwaran Lokanathan</t>
        </is>
      </c>
      <c r="H707" t="inlineStr">
        <is>
          <t>[BC NEXT] Paymentus Quick Access Page</t>
        </is>
      </c>
      <c r="I707" t="inlineStr"/>
      <c r="J707" t="n">
        <v>3.151388888888889</v>
      </c>
      <c r="K707">
        <f>HYPERLINK("https://drivetime.tpondemand.com/entity/138993", "138993")</f>
        <v/>
      </c>
      <c r="L707">
        <f>HYPERLINK("https://drivetime.tpondemand.com/entity/135618", "135618")</f>
        <v/>
      </c>
      <c r="M707" t="n">
        <v>0</v>
      </c>
      <c r="N707" t="n">
        <v>136572</v>
      </c>
      <c r="O707" t="inlineStr">
        <is>
          <t>Done</t>
        </is>
      </c>
      <c r="P707" t="n">
        <v>1</v>
      </c>
      <c r="Q707" t="inlineStr">
        <is>
          <t>Drakon 14</t>
        </is>
      </c>
      <c r="R707" t="inlineStr">
        <is>
          <t>2022-08-25</t>
        </is>
      </c>
      <c r="S707" t="inlineStr">
        <is>
          <t>2022-09-07</t>
        </is>
      </c>
      <c r="T707" t="inlineStr">
        <is>
          <t>Drakon 14 : 2022-08-25 - 2022-09-07</t>
        </is>
      </c>
      <c r="U707" t="inlineStr"/>
      <c r="V707" t="inlineStr"/>
      <c r="W707" t="inlineStr">
        <is>
          <t>2022-09-01T14:47:47-05:00</t>
        </is>
      </c>
      <c r="X707">
        <f>IFERROR(1/COUNTIF($I:$I,@$I:$I), 0)</f>
        <v/>
      </c>
    </row>
    <row r="708">
      <c r="A708">
        <f>HYPERLINK("https://drivetime.tpondemand.com/entity/138939", "138939")</f>
        <v/>
      </c>
      <c r="B708" t="inlineStr">
        <is>
          <t>User is directed to Error Processing Request page when an invalid account number and last 4 of SSN combination is entered</t>
        </is>
      </c>
      <c r="C708" t="inlineStr">
        <is>
          <t>Bug</t>
        </is>
      </c>
      <c r="D708" t="inlineStr">
        <is>
          <t>Servicing: BC Next</t>
        </is>
      </c>
      <c r="E708" t="inlineStr">
        <is>
          <t>BC Digital Drakon</t>
        </is>
      </c>
      <c r="F708" t="inlineStr">
        <is>
          <t>35</t>
        </is>
      </c>
      <c r="G708" t="inlineStr">
        <is>
          <t>Yokeshwaran Lokanathan</t>
        </is>
      </c>
      <c r="H708" t="inlineStr">
        <is>
          <t>[BC NEXT] Paymentus Quick Access Page</t>
        </is>
      </c>
      <c r="I708" t="inlineStr"/>
      <c r="J708" t="n">
        <v>0.7336111111111111</v>
      </c>
      <c r="K708">
        <f>HYPERLINK("https://drivetime.tpondemand.com/entity/138993", "138993")</f>
        <v/>
      </c>
      <c r="L708">
        <f>HYPERLINK("https://drivetime.tpondemand.com/entity/135618", "135618")</f>
        <v/>
      </c>
      <c r="M708" t="n">
        <v>0</v>
      </c>
      <c r="N708" t="n">
        <v>136572</v>
      </c>
      <c r="O708" t="inlineStr">
        <is>
          <t>Done</t>
        </is>
      </c>
      <c r="P708" t="n">
        <v>1</v>
      </c>
      <c r="Q708" t="inlineStr">
        <is>
          <t>Drakon 14</t>
        </is>
      </c>
      <c r="R708" t="inlineStr">
        <is>
          <t>2022-08-25</t>
        </is>
      </c>
      <c r="S708" t="inlineStr">
        <is>
          <t>2022-09-07</t>
        </is>
      </c>
      <c r="T708" t="inlineStr">
        <is>
          <t>Drakon 14 : 2022-08-25 - 2022-09-07</t>
        </is>
      </c>
      <c r="U708" t="inlineStr"/>
      <c r="V708" t="inlineStr"/>
      <c r="W708" t="inlineStr">
        <is>
          <t>2022-09-01T14:48:03-05:00</t>
        </is>
      </c>
      <c r="X708">
        <f>IFERROR(1/COUNTIF($I:$I,@$I:$I), 0)</f>
        <v/>
      </c>
    </row>
    <row r="709">
      <c r="A709">
        <f>HYPERLINK("https://drivetime.tpondemand.com/entity/139088", "139088")</f>
        <v/>
      </c>
      <c r="B709" t="inlineStr">
        <is>
          <t>Invalid routing number error not persisting</t>
        </is>
      </c>
      <c r="C709" t="inlineStr">
        <is>
          <t>Bug</t>
        </is>
      </c>
      <c r="D709" t="inlineStr">
        <is>
          <t>Servicing: BC Next</t>
        </is>
      </c>
      <c r="E709" t="inlineStr">
        <is>
          <t>BC Digital Drakon</t>
        </is>
      </c>
      <c r="F709" t="inlineStr">
        <is>
          <t>36</t>
        </is>
      </c>
      <c r="G709" t="inlineStr">
        <is>
          <t>Chirag Khandhar</t>
        </is>
      </c>
      <c r="H709" t="inlineStr">
        <is>
          <t>null</t>
        </is>
      </c>
      <c r="I709" t="inlineStr"/>
      <c r="J709" t="n">
        <v>3.546643518518518</v>
      </c>
      <c r="K709" t="inlineStr"/>
      <c r="L709">
        <f>HYPERLINK("https://drivetime.tpondemand.com/entity/138513", "138513")</f>
        <v/>
      </c>
      <c r="M709" t="n">
        <v>0</v>
      </c>
      <c r="N709" t="n">
        <v>136572</v>
      </c>
      <c r="O709" t="inlineStr">
        <is>
          <t>Done</t>
        </is>
      </c>
      <c r="P709" t="n">
        <v>1</v>
      </c>
      <c r="Q709" t="inlineStr">
        <is>
          <t>Drakon 14</t>
        </is>
      </c>
      <c r="R709" t="inlineStr">
        <is>
          <t>2022-08-25</t>
        </is>
      </c>
      <c r="S709" t="inlineStr">
        <is>
          <t>2022-09-07</t>
        </is>
      </c>
      <c r="T709" t="inlineStr">
        <is>
          <t>Drakon 14 : 2022-08-25 - 2022-09-07</t>
        </is>
      </c>
      <c r="U709" t="inlineStr"/>
      <c r="V709" t="inlineStr"/>
      <c r="W709" t="inlineStr">
        <is>
          <t>2022-09-05T23:51:59-05:00</t>
        </is>
      </c>
      <c r="X709">
        <f>IFERROR(1/COUNTIF($I:$I,@$I:$I), 0)</f>
        <v/>
      </c>
    </row>
    <row r="710">
      <c r="A710">
        <f>HYPERLINK("https://drivetime.tpondemand.com/entity/139203", "139203")</f>
        <v/>
      </c>
      <c r="B710" t="inlineStr">
        <is>
          <t>[BC NEXT] UI Fixes - Incorrect Moneygram url</t>
        </is>
      </c>
      <c r="C710" t="inlineStr">
        <is>
          <t>Bug</t>
        </is>
      </c>
      <c r="D710" t="inlineStr">
        <is>
          <t>Servicing: BC Next</t>
        </is>
      </c>
      <c r="E710" t="inlineStr">
        <is>
          <t>BC Digital Drakon</t>
        </is>
      </c>
      <c r="F710" t="inlineStr">
        <is>
          <t>36</t>
        </is>
      </c>
      <c r="G710" t="inlineStr">
        <is>
          <t>Chirag Khandhar</t>
        </is>
      </c>
      <c r="H710" t="inlineStr">
        <is>
          <t>null</t>
        </is>
      </c>
      <c r="I710" t="inlineStr"/>
      <c r="J710" t="n">
        <v>1.040902777777778</v>
      </c>
      <c r="K710" t="inlineStr"/>
      <c r="L710">
        <f>HYPERLINK("https://drivetime.tpondemand.com/entity/138513", "138513")</f>
        <v/>
      </c>
      <c r="M710" t="n">
        <v>0</v>
      </c>
      <c r="N710" t="n">
        <v>136574</v>
      </c>
      <c r="O710" t="inlineStr">
        <is>
          <t>Done</t>
        </is>
      </c>
      <c r="P710" t="n">
        <v>1</v>
      </c>
      <c r="Q710" t="inlineStr">
        <is>
          <t>Drakon 15</t>
        </is>
      </c>
      <c r="R710" t="inlineStr">
        <is>
          <t>2022-09-08</t>
        </is>
      </c>
      <c r="S710" t="inlineStr">
        <is>
          <t>2022-09-21</t>
        </is>
      </c>
      <c r="T710" t="inlineStr">
        <is>
          <t>Drakon 15 : 2022-09-08 - 2022-09-21</t>
        </is>
      </c>
      <c r="U710" t="inlineStr"/>
      <c r="V710" t="inlineStr"/>
      <c r="W710" t="inlineStr">
        <is>
          <t>2022-09-08T10:38:23-05:00</t>
        </is>
      </c>
      <c r="X710">
        <f>IFERROR(1/COUNTIF($I:$I,@$I:$I), 0)</f>
        <v/>
      </c>
    </row>
    <row r="711">
      <c r="A711">
        <f>HYPERLINK("https://drivetime.tpondemand.com/entity/140189", "140189")</f>
        <v/>
      </c>
      <c r="B711" t="inlineStr">
        <is>
          <t>Missing skeleton card on debit card page</t>
        </is>
      </c>
      <c r="C711" t="inlineStr">
        <is>
          <t>Bug</t>
        </is>
      </c>
      <c r="D711" t="inlineStr">
        <is>
          <t>Servicing: BC Next</t>
        </is>
      </c>
      <c r="E711" t="inlineStr">
        <is>
          <t>BC Digital Drakon</t>
        </is>
      </c>
      <c r="F711" t="inlineStr">
        <is>
          <t>38</t>
        </is>
      </c>
      <c r="G711" t="inlineStr">
        <is>
          <t>Antonio Posada</t>
        </is>
      </c>
      <c r="H711" t="inlineStr">
        <is>
          <t>null</t>
        </is>
      </c>
      <c r="I711" t="inlineStr"/>
      <c r="J711" t="n">
        <v>0.04069444444444444</v>
      </c>
      <c r="K711" t="inlineStr"/>
      <c r="L711">
        <f>HYPERLINK("https://drivetime.tpondemand.com/entity/137511", "137511")</f>
        <v/>
      </c>
      <c r="M711" t="n">
        <v>0</v>
      </c>
      <c r="N711" t="n">
        <v>136575</v>
      </c>
      <c r="O711" t="inlineStr">
        <is>
          <t>Done</t>
        </is>
      </c>
      <c r="P711" t="n">
        <v>1</v>
      </c>
      <c r="Q711" t="inlineStr">
        <is>
          <t>Drakon 16</t>
        </is>
      </c>
      <c r="R711" t="inlineStr">
        <is>
          <t>2022-09-22</t>
        </is>
      </c>
      <c r="S711" t="inlineStr">
        <is>
          <t>2022-10-05</t>
        </is>
      </c>
      <c r="T711" t="inlineStr">
        <is>
          <t>Drakon 16 : 2022-09-22 - 2022-10-05</t>
        </is>
      </c>
      <c r="U711" t="inlineStr"/>
      <c r="V711" t="inlineStr"/>
      <c r="W711" t="inlineStr">
        <is>
          <t>2022-09-22T15:35:39-05:00</t>
        </is>
      </c>
      <c r="X711">
        <f>IFERROR(1/COUNTIF($I:$I,@$I:$I), 0)</f>
        <v/>
      </c>
    </row>
    <row r="712">
      <c r="A712">
        <f>HYPERLINK("https://drivetime.tpondemand.com/entity/140432", "140432")</f>
        <v/>
      </c>
      <c r="B712" t="inlineStr">
        <is>
          <t>Payoff quote page ssp redirection</t>
        </is>
      </c>
      <c r="C712" t="inlineStr">
        <is>
          <t>Bug</t>
        </is>
      </c>
      <c r="D712" t="inlineStr">
        <is>
          <t>Servicing: BC Next</t>
        </is>
      </c>
      <c r="E712" t="inlineStr">
        <is>
          <t>BC Digital Drakon</t>
        </is>
      </c>
      <c r="F712" t="inlineStr">
        <is>
          <t>39</t>
        </is>
      </c>
      <c r="G712" t="inlineStr">
        <is>
          <t>Chirag Khandhar</t>
        </is>
      </c>
      <c r="H712" t="inlineStr">
        <is>
          <t>[BC NEXT]Phase 3: Payoff Quote</t>
        </is>
      </c>
      <c r="I712" t="inlineStr"/>
      <c r="J712" t="n">
        <v>1.079131944444444</v>
      </c>
      <c r="K712">
        <f>HYPERLINK("https://drivetime.tpondemand.com/entity/141476", "141476")</f>
        <v/>
      </c>
      <c r="L712">
        <f>HYPERLINK("https://drivetime.tpondemand.com/entity/138132", "138132")</f>
        <v/>
      </c>
      <c r="M712" t="n">
        <v>0</v>
      </c>
      <c r="N712" t="n">
        <v>136575</v>
      </c>
      <c r="O712" t="inlineStr">
        <is>
          <t>Done</t>
        </is>
      </c>
      <c r="P712" t="n">
        <v>1</v>
      </c>
      <c r="Q712" t="inlineStr">
        <is>
          <t>Drakon 16</t>
        </is>
      </c>
      <c r="R712" t="inlineStr">
        <is>
          <t>2022-09-22</t>
        </is>
      </c>
      <c r="S712" t="inlineStr">
        <is>
          <t>2022-10-05</t>
        </is>
      </c>
      <c r="T712" t="inlineStr">
        <is>
          <t>Drakon 16 : 2022-09-22 - 2022-10-05</t>
        </is>
      </c>
      <c r="U712" t="inlineStr"/>
      <c r="V712" t="inlineStr"/>
      <c r="W712" t="inlineStr">
        <is>
          <t>2022-09-30T11:25:42-05:00</t>
        </is>
      </c>
      <c r="X712">
        <f>IFERROR(1/COUNTIF($I:$I,@$I:$I), 0)</f>
        <v/>
      </c>
    </row>
    <row r="713">
      <c r="A713">
        <f>HYPERLINK("https://drivetime.tpondemand.com/entity/140513", "140513")</f>
        <v/>
      </c>
      <c r="B713" t="inlineStr">
        <is>
          <t>Payoff Quote Variation 3 not closing after redirect</t>
        </is>
      </c>
      <c r="C713" t="inlineStr">
        <is>
          <t>Bug</t>
        </is>
      </c>
      <c r="D713" t="inlineStr">
        <is>
          <t>Servicing: BC Next</t>
        </is>
      </c>
      <c r="E713" t="inlineStr">
        <is>
          <t>BC Digital Drakon</t>
        </is>
      </c>
      <c r="F713" t="inlineStr">
        <is>
          <t>39</t>
        </is>
      </c>
      <c r="G713" t="inlineStr">
        <is>
          <t>Chirag Khandhar and Joseph Kranak</t>
        </is>
      </c>
      <c r="H713" t="inlineStr">
        <is>
          <t>[BC NEXT]Phase 3: Payoff Quote</t>
        </is>
      </c>
      <c r="I713" t="inlineStr"/>
      <c r="J713" t="n">
        <v>0.9184027777777778</v>
      </c>
      <c r="K713">
        <f>HYPERLINK("https://drivetime.tpondemand.com/entity/141476", "141476")</f>
        <v/>
      </c>
      <c r="L713">
        <f>HYPERLINK("https://drivetime.tpondemand.com/entity/138132", "138132")</f>
        <v/>
      </c>
      <c r="M713" t="n">
        <v>0</v>
      </c>
      <c r="N713" t="n">
        <v>136575</v>
      </c>
      <c r="O713" t="inlineStr">
        <is>
          <t>Done</t>
        </is>
      </c>
      <c r="P713" t="n">
        <v>1</v>
      </c>
      <c r="Q713" t="inlineStr">
        <is>
          <t>Drakon 16</t>
        </is>
      </c>
      <c r="R713" t="inlineStr">
        <is>
          <t>2022-09-22</t>
        </is>
      </c>
      <c r="S713" t="inlineStr">
        <is>
          <t>2022-10-05</t>
        </is>
      </c>
      <c r="T713" t="inlineStr">
        <is>
          <t>Drakon 16 : 2022-09-22 - 2022-10-05</t>
        </is>
      </c>
      <c r="U713" t="inlineStr"/>
      <c r="V713" t="inlineStr"/>
      <c r="W713" t="inlineStr">
        <is>
          <t>2022-09-30T10:33:12-05:00</t>
        </is>
      </c>
      <c r="X713">
        <f>IFERROR(1/COUNTIF($I:$I,@$I:$I), 0)</f>
        <v/>
      </c>
    </row>
    <row r="714">
      <c r="A714">
        <f>HYPERLINK("https://drivetime.tpondemand.com/entity/141353", "141353")</f>
        <v/>
      </c>
      <c r="B714" t="inlineStr">
        <is>
          <t>GraphQL data is not being pulled correctly</t>
        </is>
      </c>
      <c r="C714" t="inlineStr">
        <is>
          <t>Bug</t>
        </is>
      </c>
      <c r="D714" t="inlineStr">
        <is>
          <t>Servicing: BC Next</t>
        </is>
      </c>
      <c r="E714" t="inlineStr">
        <is>
          <t>BC Digital Drakon</t>
        </is>
      </c>
      <c r="F714" t="inlineStr">
        <is>
          <t>41</t>
        </is>
      </c>
      <c r="G714" t="inlineStr">
        <is>
          <t>Yokeshwaran Lokanathan</t>
        </is>
      </c>
      <c r="H714" t="inlineStr">
        <is>
          <t>[BC NEXT] Phase 3: Account Settings/My Profile</t>
        </is>
      </c>
      <c r="I714" t="inlineStr"/>
      <c r="J714" t="n">
        <v>0.002488425925925926</v>
      </c>
      <c r="K714">
        <f>HYPERLINK("https://drivetime.tpondemand.com/entity/141731", "141731")</f>
        <v/>
      </c>
      <c r="L714">
        <f>HYPERLINK("https://drivetime.tpondemand.com/entity/138952", "138952")</f>
        <v/>
      </c>
      <c r="M714" t="n">
        <v>0</v>
      </c>
      <c r="N714" t="n">
        <v>136576</v>
      </c>
      <c r="O714" t="inlineStr">
        <is>
          <t>Done</t>
        </is>
      </c>
      <c r="P714" t="n">
        <v>1</v>
      </c>
      <c r="Q714" t="inlineStr">
        <is>
          <t>Drakon 17</t>
        </is>
      </c>
      <c r="R714" t="inlineStr">
        <is>
          <t>2022-10-06</t>
        </is>
      </c>
      <c r="S714" t="inlineStr">
        <is>
          <t>2022-10-19</t>
        </is>
      </c>
      <c r="T714" t="inlineStr">
        <is>
          <t>Drakon 17 : 2022-10-06 - 2022-10-19</t>
        </is>
      </c>
      <c r="U714" t="inlineStr"/>
      <c r="V714" t="inlineStr"/>
      <c r="W714" t="inlineStr">
        <is>
          <t>2022-10-12T10:41:53-05:00</t>
        </is>
      </c>
      <c r="X714">
        <f>IFERROR(1/COUNTIF($I:$I,@$I:$I), 0)</f>
        <v/>
      </c>
    </row>
    <row r="715">
      <c r="A715">
        <f>HYPERLINK("https://drivetime.tpondemand.com/entity/141592", "141592")</f>
        <v/>
      </c>
      <c r="B715" t="inlineStr">
        <is>
          <t>Error in Notation in no margin between cards</t>
        </is>
      </c>
      <c r="C715" t="inlineStr">
        <is>
          <t>Bug</t>
        </is>
      </c>
      <c r="D715" t="inlineStr">
        <is>
          <t>Servicing: BC Next</t>
        </is>
      </c>
      <c r="E715" t="inlineStr">
        <is>
          <t>BC Digital Drakon</t>
        </is>
      </c>
      <c r="F715" t="inlineStr">
        <is>
          <t>41</t>
        </is>
      </c>
      <c r="G715" t="inlineStr">
        <is>
          <t>Chirag Khandhar</t>
        </is>
      </c>
      <c r="H715" t="inlineStr">
        <is>
          <t>[BC NEXT]Phase 3: Payoff Quote</t>
        </is>
      </c>
      <c r="I715" t="inlineStr"/>
      <c r="J715" t="n">
        <v>0.816724537037037</v>
      </c>
      <c r="K715">
        <f>HYPERLINK("https://drivetime.tpondemand.com/entity/141476", "141476")</f>
        <v/>
      </c>
      <c r="L715">
        <f>HYPERLINK("https://drivetime.tpondemand.com/entity/138798", "138798")</f>
        <v/>
      </c>
      <c r="M715" t="n">
        <v>0</v>
      </c>
      <c r="N715" t="n">
        <v>136576</v>
      </c>
      <c r="O715" t="inlineStr">
        <is>
          <t>Done</t>
        </is>
      </c>
      <c r="P715" t="n">
        <v>1</v>
      </c>
      <c r="Q715" t="inlineStr">
        <is>
          <t>Drakon 17</t>
        </is>
      </c>
      <c r="R715" t="inlineStr">
        <is>
          <t>2022-10-06</t>
        </is>
      </c>
      <c r="S715" t="inlineStr">
        <is>
          <t>2022-10-19</t>
        </is>
      </c>
      <c r="T715" t="inlineStr">
        <is>
          <t>Drakon 17 : 2022-10-06 - 2022-10-19</t>
        </is>
      </c>
      <c r="U715" t="inlineStr"/>
      <c r="V715" t="inlineStr"/>
      <c r="W715" t="inlineStr">
        <is>
          <t>2022-10-14T11:02:58-05:00</t>
        </is>
      </c>
      <c r="X715">
        <f>IFERROR(1/COUNTIF($I:$I,@$I:$I), 0)</f>
        <v/>
      </c>
    </row>
    <row r="716">
      <c r="A716">
        <f>HYPERLINK("https://drivetime.tpondemand.com/entity/141597", "141597")</f>
        <v/>
      </c>
      <c r="B716" t="inlineStr">
        <is>
          <t>[BC NEXT] Payoff Quote - Hide print functionality in mobile web and app</t>
        </is>
      </c>
      <c r="C716" t="inlineStr">
        <is>
          <t>Bug</t>
        </is>
      </c>
      <c r="D716" t="inlineStr">
        <is>
          <t>Servicing: BC Next</t>
        </is>
      </c>
      <c r="E716" t="inlineStr">
        <is>
          <t>BC Digital Drakon</t>
        </is>
      </c>
      <c r="F716" t="inlineStr">
        <is>
          <t>41</t>
        </is>
      </c>
      <c r="G716" t="inlineStr">
        <is>
          <t>Chirag Khandhar</t>
        </is>
      </c>
      <c r="H716" t="inlineStr">
        <is>
          <t>[BC NEXT]Phase 3: Payoff Quote</t>
        </is>
      </c>
      <c r="I716" t="inlineStr"/>
      <c r="J716" t="n">
        <v>0.8820138888888889</v>
      </c>
      <c r="K716">
        <f>HYPERLINK("https://drivetime.tpondemand.com/entity/141476", "141476")</f>
        <v/>
      </c>
      <c r="L716">
        <f>HYPERLINK("https://drivetime.tpondemand.com/entity/138798", "138798")</f>
        <v/>
      </c>
      <c r="M716" t="n">
        <v>0</v>
      </c>
      <c r="N716" t="n">
        <v>136576</v>
      </c>
      <c r="O716" t="inlineStr">
        <is>
          <t>Done</t>
        </is>
      </c>
      <c r="P716" t="n">
        <v>1</v>
      </c>
      <c r="Q716" t="inlineStr">
        <is>
          <t>Drakon 17</t>
        </is>
      </c>
      <c r="R716" t="inlineStr">
        <is>
          <t>2022-10-06</t>
        </is>
      </c>
      <c r="S716" t="inlineStr">
        <is>
          <t>2022-10-19</t>
        </is>
      </c>
      <c r="T716" t="inlineStr">
        <is>
          <t>Drakon 17 : 2022-10-06 - 2022-10-19</t>
        </is>
      </c>
      <c r="U716" t="inlineStr"/>
      <c r="V716" t="inlineStr"/>
      <c r="W716" t="inlineStr">
        <is>
          <t>2022-10-14T14:56:34-05:00</t>
        </is>
      </c>
      <c r="X716">
        <f>IFERROR(1/COUNTIF($I:$I,@$I:$I), 0)</f>
        <v/>
      </c>
    </row>
    <row r="717">
      <c r="A717">
        <f>HYPERLINK("https://drivetime.tpondemand.com/entity/141604", "141604")</f>
        <v/>
      </c>
      <c r="B717" t="inlineStr">
        <is>
          <t>Payoff Quote OTP updates bugs</t>
        </is>
      </c>
      <c r="C717" t="inlineStr">
        <is>
          <t>Bug</t>
        </is>
      </c>
      <c r="D717" t="inlineStr">
        <is>
          <t>Servicing: BC Next</t>
        </is>
      </c>
      <c r="E717" t="inlineStr">
        <is>
          <t>BC Digital Drakon</t>
        </is>
      </c>
      <c r="F717" t="inlineStr">
        <is>
          <t>42</t>
        </is>
      </c>
      <c r="G717" t="inlineStr">
        <is>
          <t>Pete Wesselius</t>
        </is>
      </c>
      <c r="H717" t="inlineStr">
        <is>
          <t>[BC NEXT]Phase 3: Payoff Quote</t>
        </is>
      </c>
      <c r="I717" t="inlineStr"/>
      <c r="J717" t="n">
        <v>2.884270833333333</v>
      </c>
      <c r="K717">
        <f>HYPERLINK("https://drivetime.tpondemand.com/entity/141476", "141476")</f>
        <v/>
      </c>
      <c r="L717">
        <f>HYPERLINK("https://drivetime.tpondemand.com/entity/138825", "138825")</f>
        <v/>
      </c>
      <c r="M717" t="n">
        <v>0</v>
      </c>
      <c r="N717" t="n">
        <v>136576</v>
      </c>
      <c r="O717" t="inlineStr">
        <is>
          <t>Done</t>
        </is>
      </c>
      <c r="P717" t="n">
        <v>1</v>
      </c>
      <c r="Q717" t="inlineStr">
        <is>
          <t>Drakon 17</t>
        </is>
      </c>
      <c r="R717" t="inlineStr">
        <is>
          <t>2022-10-06</t>
        </is>
      </c>
      <c r="S717" t="inlineStr">
        <is>
          <t>2022-10-19</t>
        </is>
      </c>
      <c r="T717" t="inlineStr">
        <is>
          <t>Drakon 17 : 2022-10-06 - 2022-10-19</t>
        </is>
      </c>
      <c r="U717" t="inlineStr"/>
      <c r="V717" t="inlineStr"/>
      <c r="W717" t="inlineStr">
        <is>
          <t>2022-10-17T12:20:50-05:00</t>
        </is>
      </c>
      <c r="X717">
        <f>IFERROR(1/COUNTIF($I:$I,@$I:$I), 0)</f>
        <v/>
      </c>
    </row>
    <row r="718">
      <c r="A718">
        <f>HYPERLINK("https://drivetime.tpondemand.com/entity/141626", "141626")</f>
        <v/>
      </c>
      <c r="B718" t="inlineStr">
        <is>
          <t>[BC NEXT] Payoff Quote - Missing FMP and incorrect ARIA label</t>
        </is>
      </c>
      <c r="C718" t="inlineStr">
        <is>
          <t>Bug</t>
        </is>
      </c>
      <c r="D718" t="inlineStr">
        <is>
          <t>Servicing: BC Next</t>
        </is>
      </c>
      <c r="E718" t="inlineStr">
        <is>
          <t>BC Digital Drakon</t>
        </is>
      </c>
      <c r="F718" t="inlineStr">
        <is>
          <t>41</t>
        </is>
      </c>
      <c r="G718" t="inlineStr">
        <is>
          <t>Chirag Khandhar</t>
        </is>
      </c>
      <c r="H718" t="inlineStr">
        <is>
          <t>[BC NEXT]Phase 3: Payoff Quote</t>
        </is>
      </c>
      <c r="I718" t="inlineStr"/>
      <c r="J718" t="n">
        <v>0.0911111111111111</v>
      </c>
      <c r="K718">
        <f>HYPERLINK("https://drivetime.tpondemand.com/entity/141476", "141476")</f>
        <v/>
      </c>
      <c r="L718">
        <f>HYPERLINK("https://drivetime.tpondemand.com/entity/138798", "138798")</f>
        <v/>
      </c>
      <c r="M718" t="n">
        <v>0</v>
      </c>
      <c r="N718" t="n">
        <v>136576</v>
      </c>
      <c r="O718" t="inlineStr">
        <is>
          <t>Done</t>
        </is>
      </c>
      <c r="P718" t="n">
        <v>1</v>
      </c>
      <c r="Q718" t="inlineStr">
        <is>
          <t>Drakon 17</t>
        </is>
      </c>
      <c r="R718" t="inlineStr">
        <is>
          <t>2022-10-06</t>
        </is>
      </c>
      <c r="S718" t="inlineStr">
        <is>
          <t>2022-10-19</t>
        </is>
      </c>
      <c r="T718" t="inlineStr">
        <is>
          <t>Drakon 17 : 2022-10-06 - 2022-10-19</t>
        </is>
      </c>
      <c r="U718" t="inlineStr"/>
      <c r="V718" t="inlineStr"/>
      <c r="W718" t="inlineStr">
        <is>
          <t>2022-10-14T14:56:27-05:00</t>
        </is>
      </c>
      <c r="X718">
        <f>IFERROR(1/COUNTIF($I:$I,@$I:$I), 0)</f>
        <v/>
      </c>
    </row>
    <row r="719">
      <c r="A719">
        <f>HYPERLINK("https://drivetime.tpondemand.com/entity/141651", "141651")</f>
        <v/>
      </c>
      <c r="B719" t="inlineStr">
        <is>
          <t>[BC NEXT[ Payoff Quote - Bugs on OTP flow</t>
        </is>
      </c>
      <c r="C719" t="inlineStr">
        <is>
          <t>Bug</t>
        </is>
      </c>
      <c r="D719" t="inlineStr">
        <is>
          <t>Servicing: BC Next</t>
        </is>
      </c>
      <c r="E719" t="inlineStr">
        <is>
          <t>BC Digital Drakon</t>
        </is>
      </c>
      <c r="F719" t="inlineStr">
        <is>
          <t>42</t>
        </is>
      </c>
      <c r="G719" t="inlineStr">
        <is>
          <t>Pete Wesselius</t>
        </is>
      </c>
      <c r="H719" t="inlineStr">
        <is>
          <t>[BC NEXT]Phase 3: Payoff Quote</t>
        </is>
      </c>
      <c r="I719" t="inlineStr"/>
      <c r="J719" t="n">
        <v>0.09104166666666666</v>
      </c>
      <c r="K719">
        <f>HYPERLINK("https://drivetime.tpondemand.com/entity/141476", "141476")</f>
        <v/>
      </c>
      <c r="L719">
        <f>HYPERLINK("https://drivetime.tpondemand.com/entity/138825", "138825")</f>
        <v/>
      </c>
      <c r="M719" t="n">
        <v>0</v>
      </c>
      <c r="N719" t="n">
        <v>136576</v>
      </c>
      <c r="O719" t="inlineStr">
        <is>
          <t>Done</t>
        </is>
      </c>
      <c r="P719" t="n">
        <v>1</v>
      </c>
      <c r="Q719" t="inlineStr">
        <is>
          <t>Drakon 17</t>
        </is>
      </c>
      <c r="R719" t="inlineStr">
        <is>
          <t>2022-10-06</t>
        </is>
      </c>
      <c r="S719" t="inlineStr">
        <is>
          <t>2022-10-19</t>
        </is>
      </c>
      <c r="T719" t="inlineStr">
        <is>
          <t>Drakon 17 : 2022-10-06 - 2022-10-19</t>
        </is>
      </c>
      <c r="U719" t="inlineStr"/>
      <c r="V719" t="inlineStr"/>
      <c r="W719" t="inlineStr">
        <is>
          <t>2022-10-17T12:20:47-05:00</t>
        </is>
      </c>
      <c r="X719">
        <f>IFERROR(1/COUNTIF($I:$I,@$I:$I), 0)</f>
        <v/>
      </c>
    </row>
    <row r="720">
      <c r="A720">
        <f>HYPERLINK("https://drivetime.tpondemand.com/entity/141867", "141867")</f>
        <v/>
      </c>
      <c r="B720" t="inlineStr">
        <is>
          <t>showing that user icon in both web and mobile</t>
        </is>
      </c>
      <c r="C720" t="inlineStr">
        <is>
          <t>Bug</t>
        </is>
      </c>
      <c r="D720" t="inlineStr">
        <is>
          <t>Servicing: BC Next</t>
        </is>
      </c>
      <c r="E720" t="inlineStr">
        <is>
          <t>BC Digital Drakon</t>
        </is>
      </c>
      <c r="F720" t="inlineStr">
        <is>
          <t>50</t>
        </is>
      </c>
      <c r="G720" t="inlineStr"/>
      <c r="H720" t="inlineStr">
        <is>
          <t>[BC NEXT] Phase 3: Account Settings/My Profile</t>
        </is>
      </c>
      <c r="I720" t="inlineStr"/>
      <c r="J720" t="n">
        <v>0</v>
      </c>
      <c r="K720">
        <f>HYPERLINK("https://drivetime.tpondemand.com/entity/141937", "141937")</f>
        <v/>
      </c>
      <c r="L720">
        <f>HYPERLINK("https://drivetime.tpondemand.com/entity/138948", "138948")</f>
        <v/>
      </c>
      <c r="M720" t="n">
        <v>0</v>
      </c>
      <c r="N720" t="n">
        <v>136576</v>
      </c>
      <c r="O720" t="inlineStr">
        <is>
          <t>Done</t>
        </is>
      </c>
      <c r="P720" t="n">
        <v>1</v>
      </c>
      <c r="Q720" t="inlineStr">
        <is>
          <t>Drakon 17</t>
        </is>
      </c>
      <c r="R720" t="inlineStr">
        <is>
          <t>2022-10-06</t>
        </is>
      </c>
      <c r="S720" t="inlineStr">
        <is>
          <t>2022-10-19</t>
        </is>
      </c>
      <c r="T720" t="inlineStr">
        <is>
          <t>Drakon 17 : 2022-10-06 - 2022-10-19</t>
        </is>
      </c>
      <c r="U720" t="inlineStr"/>
      <c r="V720" t="inlineStr"/>
      <c r="W720" t="inlineStr">
        <is>
          <t>2022-12-14T08:18:52-06:00</t>
        </is>
      </c>
      <c r="X720">
        <f>IFERROR(1/COUNTIF($I:$I,@$I:$I), 0)</f>
        <v/>
      </c>
    </row>
    <row r="721">
      <c r="A721">
        <f>HYPERLINK("https://drivetime.tpondemand.com/entity/141871", "141871")</f>
        <v/>
      </c>
      <c r="B721" t="inlineStr">
        <is>
          <t>missing the vertical line separation as circled in image below</t>
        </is>
      </c>
      <c r="C721" t="inlineStr">
        <is>
          <t>Bug</t>
        </is>
      </c>
      <c r="D721" t="inlineStr">
        <is>
          <t>Servicing: BC Next</t>
        </is>
      </c>
      <c r="E721" t="inlineStr">
        <is>
          <t>BC Digital Drakon</t>
        </is>
      </c>
      <c r="F721" t="inlineStr">
        <is>
          <t>42</t>
        </is>
      </c>
      <c r="G721" t="inlineStr"/>
      <c r="H721" t="inlineStr">
        <is>
          <t>[BC NEXT] Phase 3: Account Settings/My Profile</t>
        </is>
      </c>
      <c r="I721" t="inlineStr"/>
      <c r="J721" t="n">
        <v>0.1394907407407407</v>
      </c>
      <c r="K721">
        <f>HYPERLINK("https://drivetime.tpondemand.com/entity/141937", "141937")</f>
        <v/>
      </c>
      <c r="L721">
        <f>HYPERLINK("https://drivetime.tpondemand.com/entity/138948", "138948")</f>
        <v/>
      </c>
      <c r="M721" t="n">
        <v>0</v>
      </c>
      <c r="N721" t="n">
        <v>136576</v>
      </c>
      <c r="O721" t="inlineStr">
        <is>
          <t>Done</t>
        </is>
      </c>
      <c r="P721" t="n">
        <v>1</v>
      </c>
      <c r="Q721" t="inlineStr">
        <is>
          <t>Drakon 17</t>
        </is>
      </c>
      <c r="R721" t="inlineStr">
        <is>
          <t>2022-10-06</t>
        </is>
      </c>
      <c r="S721" t="inlineStr">
        <is>
          <t>2022-10-19</t>
        </is>
      </c>
      <c r="T721" t="inlineStr">
        <is>
          <t>Drakon 17 : 2022-10-06 - 2022-10-19</t>
        </is>
      </c>
      <c r="U721" t="inlineStr"/>
      <c r="V721" t="inlineStr"/>
      <c r="W721" t="inlineStr">
        <is>
          <t>2022-10-19T14:15:30-05:00</t>
        </is>
      </c>
      <c r="X721">
        <f>IFERROR(1/COUNTIF($I:$I,@$I:$I), 0)</f>
        <v/>
      </c>
    </row>
    <row r="722">
      <c r="A722">
        <f>HYPERLINK("https://drivetime.tpondemand.com/entity/141875", "141875")</f>
        <v/>
      </c>
      <c r="B722" t="inlineStr">
        <is>
          <t>fix the address line height so letters are not cut off.</t>
        </is>
      </c>
      <c r="C722" t="inlineStr">
        <is>
          <t>Bug</t>
        </is>
      </c>
      <c r="D722" t="inlineStr">
        <is>
          <t>Servicing: BC Next</t>
        </is>
      </c>
      <c r="E722" t="inlineStr">
        <is>
          <t>BC Digital Drakon</t>
        </is>
      </c>
      <c r="F722" t="inlineStr">
        <is>
          <t>42</t>
        </is>
      </c>
      <c r="G722" t="inlineStr"/>
      <c r="H722" t="inlineStr">
        <is>
          <t>[BC NEXT] Phase 3: Account Settings/My Profile</t>
        </is>
      </c>
      <c r="I722" t="inlineStr"/>
      <c r="J722" t="n">
        <v>0.1401736111111111</v>
      </c>
      <c r="K722">
        <f>HYPERLINK("https://drivetime.tpondemand.com/entity/141937", "141937")</f>
        <v/>
      </c>
      <c r="L722">
        <f>HYPERLINK("https://drivetime.tpondemand.com/entity/138948", "138948")</f>
        <v/>
      </c>
      <c r="M722" t="n">
        <v>0</v>
      </c>
      <c r="N722" t="n">
        <v>136576</v>
      </c>
      <c r="O722" t="inlineStr">
        <is>
          <t>Done</t>
        </is>
      </c>
      <c r="P722" t="n">
        <v>1</v>
      </c>
      <c r="Q722" t="inlineStr">
        <is>
          <t>Drakon 17</t>
        </is>
      </c>
      <c r="R722" t="inlineStr">
        <is>
          <t>2022-10-06</t>
        </is>
      </c>
      <c r="S722" t="inlineStr">
        <is>
          <t>2022-10-19</t>
        </is>
      </c>
      <c r="T722" t="inlineStr">
        <is>
          <t>Drakon 17 : 2022-10-06 - 2022-10-19</t>
        </is>
      </c>
      <c r="U722" t="inlineStr"/>
      <c r="V722" t="inlineStr"/>
      <c r="W722" t="inlineStr">
        <is>
          <t>2022-10-19T14:16:37-05:00</t>
        </is>
      </c>
      <c r="X722">
        <f>IFERROR(1/COUNTIF($I:$I,@$I:$I), 0)</f>
        <v/>
      </c>
    </row>
    <row r="723">
      <c r="A723">
        <f>HYPERLINK("https://drivetime.tpondemand.com/entity/141934", "141934")</f>
        <v/>
      </c>
      <c r="B723" t="inlineStr">
        <is>
          <t>Manage Mods - Connect logic from API | Simple Bugs</t>
        </is>
      </c>
      <c r="C723" t="inlineStr">
        <is>
          <t>Bug</t>
        </is>
      </c>
      <c r="D723" t="inlineStr">
        <is>
          <t>Servicing: BC Next</t>
        </is>
      </c>
      <c r="E723" t="inlineStr">
        <is>
          <t>BC Digital Drakon</t>
        </is>
      </c>
      <c r="F723" t="inlineStr">
        <is>
          <t>42</t>
        </is>
      </c>
      <c r="G723" t="inlineStr">
        <is>
          <t>Joseph Kranak</t>
        </is>
      </c>
      <c r="H723" t="inlineStr">
        <is>
          <t>[BC NEXT]Phase 3: Manage Modifications Page</t>
        </is>
      </c>
      <c r="I723" t="inlineStr"/>
      <c r="J723" t="n">
        <v>1.078125</v>
      </c>
      <c r="K723">
        <f>HYPERLINK("https://drivetime.tpondemand.com/entity/143326", "143326")</f>
        <v/>
      </c>
      <c r="L723">
        <f>HYPERLINK("https://drivetime.tpondemand.com/entity/140431", "140431")</f>
        <v/>
      </c>
      <c r="M723" t="n">
        <v>0</v>
      </c>
      <c r="N723" t="n">
        <v>136576</v>
      </c>
      <c r="O723" t="inlineStr">
        <is>
          <t>Done</t>
        </is>
      </c>
      <c r="P723" t="n">
        <v>1</v>
      </c>
      <c r="Q723" t="inlineStr">
        <is>
          <t>Drakon 17</t>
        </is>
      </c>
      <c r="R723" t="inlineStr">
        <is>
          <t>2022-10-06</t>
        </is>
      </c>
      <c r="S723" t="inlineStr">
        <is>
          <t>2022-10-19</t>
        </is>
      </c>
      <c r="T723" t="inlineStr">
        <is>
          <t>Drakon 17 : 2022-10-06 - 2022-10-19</t>
        </is>
      </c>
      <c r="U723" t="inlineStr"/>
      <c r="V723" t="inlineStr"/>
      <c r="W723" t="inlineStr">
        <is>
          <t>2022-10-20T16:34:09-05:00</t>
        </is>
      </c>
      <c r="X723">
        <f>IFERROR(1/COUNTIF($I:$I,@$I:$I), 0)</f>
        <v/>
      </c>
    </row>
    <row r="724">
      <c r="A724">
        <f>HYPERLINK("https://drivetime.tpondemand.com/entity/141936", "141936")</f>
        <v/>
      </c>
      <c r="B724" t="inlineStr">
        <is>
          <t>Manage Mods - Connect logic from API | Unexpected Bugs</t>
        </is>
      </c>
      <c r="C724" t="inlineStr">
        <is>
          <t>Bug</t>
        </is>
      </c>
      <c r="D724" t="inlineStr">
        <is>
          <t>Servicing: BC Next</t>
        </is>
      </c>
      <c r="E724" t="inlineStr">
        <is>
          <t>BC Digital Drakon</t>
        </is>
      </c>
      <c r="F724" t="inlineStr">
        <is>
          <t>42</t>
        </is>
      </c>
      <c r="G724" t="inlineStr">
        <is>
          <t>Joseph Kranak</t>
        </is>
      </c>
      <c r="H724" t="inlineStr">
        <is>
          <t>[BC NEXT]Phase 3: Manage Modifications Page</t>
        </is>
      </c>
      <c r="I724" t="inlineStr"/>
      <c r="J724" t="n">
        <v>1.024965277777778</v>
      </c>
      <c r="K724">
        <f>HYPERLINK("https://drivetime.tpondemand.com/entity/143326", "143326")</f>
        <v/>
      </c>
      <c r="L724">
        <f>HYPERLINK("https://drivetime.tpondemand.com/entity/140431", "140431")</f>
        <v/>
      </c>
      <c r="M724" t="n">
        <v>0</v>
      </c>
      <c r="N724" t="n">
        <v>136576</v>
      </c>
      <c r="O724" t="inlineStr">
        <is>
          <t>Done</t>
        </is>
      </c>
      <c r="P724" t="n">
        <v>1</v>
      </c>
      <c r="Q724" t="inlineStr">
        <is>
          <t>Drakon 17</t>
        </is>
      </c>
      <c r="R724" t="inlineStr">
        <is>
          <t>2022-10-06</t>
        </is>
      </c>
      <c r="S724" t="inlineStr">
        <is>
          <t>2022-10-19</t>
        </is>
      </c>
      <c r="T724" t="inlineStr">
        <is>
          <t>Drakon 17 : 2022-10-06 - 2022-10-19</t>
        </is>
      </c>
      <c r="U724" t="inlineStr"/>
      <c r="V724" t="inlineStr"/>
      <c r="W724" t="inlineStr">
        <is>
          <t>2022-10-20T15:17:46-05:00</t>
        </is>
      </c>
      <c r="X724">
        <f>IFERROR(1/COUNTIF($I:$I,@$I:$I), 0)</f>
        <v/>
      </c>
    </row>
    <row r="725">
      <c r="A725">
        <f>HYPERLINK("https://drivetime.tpondemand.com/entity/142015", "142015")</f>
        <v/>
      </c>
      <c r="B725" t="inlineStr">
        <is>
          <t>Customer support center URLs not accessible in fast networks even with right flag config</t>
        </is>
      </c>
      <c r="C725" t="inlineStr">
        <is>
          <t>Bug</t>
        </is>
      </c>
      <c r="D725" t="inlineStr">
        <is>
          <t>Servicing: BC Next</t>
        </is>
      </c>
      <c r="E725" t="inlineStr">
        <is>
          <t>BC Digital Drakon</t>
        </is>
      </c>
      <c r="F725" t="inlineStr">
        <is>
          <t>43</t>
        </is>
      </c>
      <c r="G725" t="inlineStr">
        <is>
          <t>Antonio Posada</t>
        </is>
      </c>
      <c r="H725" t="inlineStr">
        <is>
          <t>[BC NEXT]Phase 3: Customer Support Center</t>
        </is>
      </c>
      <c r="I725" t="inlineStr"/>
      <c r="J725" t="n">
        <v>4.029525462962963</v>
      </c>
      <c r="K725">
        <f>HYPERLINK("https://drivetime.tpondemand.com/entity/143326", "143326")</f>
        <v/>
      </c>
      <c r="L725">
        <f>HYPERLINK("https://drivetime.tpondemand.com/entity/138186", "138186")</f>
        <v/>
      </c>
      <c r="M725" t="n">
        <v>0</v>
      </c>
      <c r="N725" t="n">
        <v>136577</v>
      </c>
      <c r="O725" t="inlineStr">
        <is>
          <t>Done</t>
        </is>
      </c>
      <c r="P725" t="n">
        <v>1</v>
      </c>
      <c r="Q725" t="inlineStr">
        <is>
          <t>Drakon 18</t>
        </is>
      </c>
      <c r="R725" t="inlineStr">
        <is>
          <t>2022-10-20</t>
        </is>
      </c>
      <c r="S725" t="inlineStr">
        <is>
          <t>2022-11-02</t>
        </is>
      </c>
      <c r="T725" t="inlineStr">
        <is>
          <t>Drakon 18 : 2022-10-20 - 2022-11-02</t>
        </is>
      </c>
      <c r="U725" t="inlineStr"/>
      <c r="V725" t="inlineStr"/>
      <c r="W725" t="inlineStr">
        <is>
          <t>2022-10-24T10:18:47-05:00</t>
        </is>
      </c>
      <c r="X725">
        <f>IFERROR(1/COUNTIF($I:$I,@$I:$I), 0)</f>
        <v/>
      </c>
    </row>
    <row r="726">
      <c r="A726">
        <f>HYPERLINK("https://drivetime.tpondemand.com/entity/142016", "142016")</f>
        <v/>
      </c>
      <c r="B726" t="inlineStr">
        <is>
          <t>Incorrect page names for customer support center subpages</t>
        </is>
      </c>
      <c r="C726" t="inlineStr">
        <is>
          <t>Bug</t>
        </is>
      </c>
      <c r="D726" t="inlineStr">
        <is>
          <t>Servicing: BC Next</t>
        </is>
      </c>
      <c r="E726" t="inlineStr">
        <is>
          <t>BC Digital Drakon</t>
        </is>
      </c>
      <c r="F726" t="inlineStr">
        <is>
          <t>43</t>
        </is>
      </c>
      <c r="G726" t="inlineStr">
        <is>
          <t>Antonio Posada</t>
        </is>
      </c>
      <c r="H726" t="inlineStr">
        <is>
          <t>[BC NEXT]Phase 3: Customer Support Center</t>
        </is>
      </c>
      <c r="I726" t="inlineStr"/>
      <c r="J726" t="n">
        <v>4.029548611111111</v>
      </c>
      <c r="K726">
        <f>HYPERLINK("https://drivetime.tpondemand.com/entity/143326", "143326")</f>
        <v/>
      </c>
      <c r="L726">
        <f>HYPERLINK("https://drivetime.tpondemand.com/entity/138186", "138186")</f>
        <v/>
      </c>
      <c r="M726" t="n">
        <v>0</v>
      </c>
      <c r="N726" t="n">
        <v>136577</v>
      </c>
      <c r="O726" t="inlineStr">
        <is>
          <t>Done</t>
        </is>
      </c>
      <c r="P726" t="n">
        <v>1</v>
      </c>
      <c r="Q726" t="inlineStr">
        <is>
          <t>Drakon 18</t>
        </is>
      </c>
      <c r="R726" t="inlineStr">
        <is>
          <t>2022-10-20</t>
        </is>
      </c>
      <c r="S726" t="inlineStr">
        <is>
          <t>2022-11-02</t>
        </is>
      </c>
      <c r="T726" t="inlineStr">
        <is>
          <t>Drakon 18 : 2022-10-20 - 2022-11-02</t>
        </is>
      </c>
      <c r="U726" t="inlineStr"/>
      <c r="V726" t="inlineStr"/>
      <c r="W726" t="inlineStr">
        <is>
          <t>2022-10-24T10:18:51-05:00</t>
        </is>
      </c>
      <c r="X726">
        <f>IFERROR(1/COUNTIF($I:$I,@$I:$I), 0)</f>
        <v/>
      </c>
    </row>
    <row r="727">
      <c r="A727">
        <f>HYPERLINK("https://drivetime.tpondemand.com/entity/142094", "142094")</f>
        <v/>
      </c>
      <c r="B727" t="inlineStr">
        <is>
          <t>Analytics Fixes</t>
        </is>
      </c>
      <c r="C727" t="inlineStr">
        <is>
          <t>Bug</t>
        </is>
      </c>
      <c r="D727" t="inlineStr">
        <is>
          <t>Servicing: BC Next</t>
        </is>
      </c>
      <c r="E727" t="inlineStr">
        <is>
          <t>BC Digital Drakon</t>
        </is>
      </c>
      <c r="F727" t="inlineStr">
        <is>
          <t>42</t>
        </is>
      </c>
      <c r="G727" t="inlineStr">
        <is>
          <t>Antonio Posada</t>
        </is>
      </c>
      <c r="H727" t="inlineStr">
        <is>
          <t>[BC NEXT]Phase 3: Manage Modifications Page</t>
        </is>
      </c>
      <c r="I727" t="inlineStr"/>
      <c r="J727" t="n">
        <v>0.8394212962962962</v>
      </c>
      <c r="K727">
        <f>HYPERLINK("https://drivetime.tpondemand.com/entity/143326", "143326")</f>
        <v/>
      </c>
      <c r="L727">
        <f>HYPERLINK("https://drivetime.tpondemand.com/entity/140780", "140780")</f>
        <v/>
      </c>
      <c r="M727" t="n">
        <v>0</v>
      </c>
      <c r="N727" t="n">
        <v>136577</v>
      </c>
      <c r="O727" t="inlineStr">
        <is>
          <t>Done</t>
        </is>
      </c>
      <c r="P727" t="n">
        <v>1</v>
      </c>
      <c r="Q727" t="inlineStr">
        <is>
          <t>Drakon 18</t>
        </is>
      </c>
      <c r="R727" t="inlineStr">
        <is>
          <t>2022-10-20</t>
        </is>
      </c>
      <c r="S727" t="inlineStr">
        <is>
          <t>2022-11-02</t>
        </is>
      </c>
      <c r="T727" t="inlineStr">
        <is>
          <t>Drakon 18 : 2022-10-20 - 2022-11-02</t>
        </is>
      </c>
      <c r="U727" t="inlineStr"/>
      <c r="V727" t="inlineStr"/>
      <c r="W727" t="inlineStr">
        <is>
          <t>2022-10-21T12:21:26-05:00</t>
        </is>
      </c>
      <c r="X727">
        <f>IFERROR(1/COUNTIF($I:$I,@$I:$I), 0)</f>
        <v/>
      </c>
    </row>
    <row r="728">
      <c r="A728">
        <f>HYPERLINK("https://drivetime.tpondemand.com/entity/142126", "142126")</f>
        <v/>
      </c>
      <c r="B728" t="inlineStr">
        <is>
          <t>[BC NEXT] Manage Mods - Missing value in Next Payment Amount field</t>
        </is>
      </c>
      <c r="C728" t="inlineStr">
        <is>
          <t>Bug</t>
        </is>
      </c>
      <c r="D728" t="inlineStr">
        <is>
          <t>Servicing: BC Next</t>
        </is>
      </c>
      <c r="E728" t="inlineStr">
        <is>
          <t>BC Digital Drakon</t>
        </is>
      </c>
      <c r="F728" t="inlineStr">
        <is>
          <t>42</t>
        </is>
      </c>
      <c r="G728" t="inlineStr">
        <is>
          <t>Joseph Kranak</t>
        </is>
      </c>
      <c r="H728" t="inlineStr">
        <is>
          <t>[BC NEXT]Phase 3: Manage Modifications Page</t>
        </is>
      </c>
      <c r="I728" t="inlineStr"/>
      <c r="J728" t="n">
        <v>0.9677546296296295</v>
      </c>
      <c r="K728">
        <f>HYPERLINK("https://drivetime.tpondemand.com/entity/143326", "143326")</f>
        <v/>
      </c>
      <c r="L728">
        <f>HYPERLINK("https://drivetime.tpondemand.com/entity/140431", "140431")</f>
        <v/>
      </c>
      <c r="M728" t="n">
        <v>0</v>
      </c>
      <c r="N728" t="n">
        <v>136577</v>
      </c>
      <c r="O728" t="inlineStr">
        <is>
          <t>Done</t>
        </is>
      </c>
      <c r="P728" t="n">
        <v>1</v>
      </c>
      <c r="Q728" t="inlineStr">
        <is>
          <t>Drakon 18</t>
        </is>
      </c>
      <c r="R728" t="inlineStr">
        <is>
          <t>2022-10-20</t>
        </is>
      </c>
      <c r="S728" t="inlineStr">
        <is>
          <t>2022-11-02</t>
        </is>
      </c>
      <c r="T728" t="inlineStr">
        <is>
          <t>Drakon 18 : 2022-10-20 - 2022-11-02</t>
        </is>
      </c>
      <c r="U728" t="inlineStr"/>
      <c r="V728" t="inlineStr"/>
      <c r="W728" t="inlineStr">
        <is>
          <t>2022-10-22T09:52:50-05:00</t>
        </is>
      </c>
      <c r="X728">
        <f>IFERROR(1/COUNTIF($I:$I,@$I:$I), 0)</f>
        <v/>
      </c>
    </row>
    <row r="729">
      <c r="A729">
        <f>HYPERLINK("https://drivetime.tpondemand.com/entity/142145", "142145")</f>
        <v/>
      </c>
      <c r="B729" t="inlineStr">
        <is>
          <t>[BC NEXT] Payoff Quote - Add disclosure to bottom of letter</t>
        </is>
      </c>
      <c r="C729" t="inlineStr">
        <is>
          <t>Bug</t>
        </is>
      </c>
      <c r="D729" t="inlineStr">
        <is>
          <t>Servicing: BC Next</t>
        </is>
      </c>
      <c r="E729" t="inlineStr">
        <is>
          <t>BC Digital Drakon</t>
        </is>
      </c>
      <c r="F729" t="inlineStr">
        <is>
          <t>42</t>
        </is>
      </c>
      <c r="G729" t="inlineStr">
        <is>
          <t>Chirag Khandhar</t>
        </is>
      </c>
      <c r="H729" t="inlineStr">
        <is>
          <t>[BC NEXT]Phase 3: Payoff Quote</t>
        </is>
      </c>
      <c r="I729" t="inlineStr"/>
      <c r="J729" t="n">
        <v>0.1990277777777778</v>
      </c>
      <c r="K729">
        <f>HYPERLINK("https://drivetime.tpondemand.com/entity/142204", "142204")</f>
        <v/>
      </c>
      <c r="L729">
        <f>HYPERLINK("https://drivetime.tpondemand.com/entity/140944", "140944")</f>
        <v/>
      </c>
      <c r="M729" t="n">
        <v>0</v>
      </c>
      <c r="N729" t="n">
        <v>136577</v>
      </c>
      <c r="O729" t="inlineStr">
        <is>
          <t>Done</t>
        </is>
      </c>
      <c r="P729" t="n">
        <v>1</v>
      </c>
      <c r="Q729" t="inlineStr">
        <is>
          <t>Drakon 18</t>
        </is>
      </c>
      <c r="R729" t="inlineStr">
        <is>
          <t>2022-10-20</t>
        </is>
      </c>
      <c r="S729" t="inlineStr">
        <is>
          <t>2022-11-02</t>
        </is>
      </c>
      <c r="T729" t="inlineStr">
        <is>
          <t>Drakon 18 : 2022-10-20 - 2022-11-02</t>
        </is>
      </c>
      <c r="U729" t="inlineStr"/>
      <c r="V729" t="inlineStr"/>
      <c r="W729" t="inlineStr">
        <is>
          <t>2022-10-21T16:28:16-05:00</t>
        </is>
      </c>
      <c r="X729">
        <f>IFERROR(1/COUNTIF($I:$I,@$I:$I), 0)</f>
        <v/>
      </c>
    </row>
    <row r="730">
      <c r="A730">
        <f>HYPERLINK("https://drivetime.tpondemand.com/entity/142194", "142194")</f>
        <v/>
      </c>
      <c r="B730" t="inlineStr">
        <is>
          <t>[BC NEXT] Manage Mods - Incorrectly showing Manage Modification link in Account Settings</t>
        </is>
      </c>
      <c r="C730" t="inlineStr">
        <is>
          <t>Bug</t>
        </is>
      </c>
      <c r="D730" t="inlineStr">
        <is>
          <t>Servicing: BC Next</t>
        </is>
      </c>
      <c r="E730" t="inlineStr">
        <is>
          <t>BC Digital Drakon</t>
        </is>
      </c>
      <c r="F730" t="inlineStr">
        <is>
          <t>43</t>
        </is>
      </c>
      <c r="G730" t="inlineStr">
        <is>
          <t>Joseph Kranak</t>
        </is>
      </c>
      <c r="H730" t="inlineStr">
        <is>
          <t>[BC NEXT]Phase 3: Manage Modifications Page</t>
        </is>
      </c>
      <c r="I730" t="inlineStr"/>
      <c r="J730" t="n">
        <v>1.874050925925926</v>
      </c>
      <c r="K730">
        <f>HYPERLINK("https://drivetime.tpondemand.com/entity/143326", "143326")</f>
        <v/>
      </c>
      <c r="L730">
        <f>HYPERLINK("https://drivetime.tpondemand.com/entity/140431", "140431")</f>
        <v/>
      </c>
      <c r="M730" t="n">
        <v>0</v>
      </c>
      <c r="N730" t="n">
        <v>136577</v>
      </c>
      <c r="O730" t="inlineStr">
        <is>
          <t>Done</t>
        </is>
      </c>
      <c r="P730" t="n">
        <v>1</v>
      </c>
      <c r="Q730" t="inlineStr">
        <is>
          <t>Drakon 18</t>
        </is>
      </c>
      <c r="R730" t="inlineStr">
        <is>
          <t>2022-10-20</t>
        </is>
      </c>
      <c r="S730" t="inlineStr">
        <is>
          <t>2022-11-02</t>
        </is>
      </c>
      <c r="T730" t="inlineStr">
        <is>
          <t>Drakon 18 : 2022-10-20 - 2022-11-02</t>
        </is>
      </c>
      <c r="U730" t="inlineStr"/>
      <c r="V730" t="inlineStr"/>
      <c r="W730" t="inlineStr">
        <is>
          <t>2022-10-26T08:33:46-05:00</t>
        </is>
      </c>
      <c r="X730">
        <f>IFERROR(1/COUNTIF($I:$I,@$I:$I), 0)</f>
        <v/>
      </c>
    </row>
    <row r="731">
      <c r="A731">
        <f>HYPERLINK("https://drivetime.tpondemand.com/entity/142274", "142274")</f>
        <v/>
      </c>
      <c r="B731" t="inlineStr">
        <is>
          <t>Customer Support Center routes and metadata merge issues</t>
        </is>
      </c>
      <c r="C731" t="inlineStr">
        <is>
          <t>Bug</t>
        </is>
      </c>
      <c r="D731" t="inlineStr">
        <is>
          <t>Servicing: BC Next</t>
        </is>
      </c>
      <c r="E731" t="inlineStr">
        <is>
          <t>BC Digital Drakon</t>
        </is>
      </c>
      <c r="F731" t="inlineStr">
        <is>
          <t>43</t>
        </is>
      </c>
      <c r="G731" t="inlineStr">
        <is>
          <t>Antonio Posada</t>
        </is>
      </c>
      <c r="H731" t="inlineStr">
        <is>
          <t>[BC NEXT]Phase 3: Customer Support Center</t>
        </is>
      </c>
      <c r="I731" t="inlineStr"/>
      <c r="J731" t="n">
        <v>0.9963888888888889</v>
      </c>
      <c r="K731">
        <f>HYPERLINK("https://drivetime.tpondemand.com/entity/143326", "143326")</f>
        <v/>
      </c>
      <c r="L731">
        <f>HYPERLINK("https://drivetime.tpondemand.com/entity/138186", "138186")</f>
        <v/>
      </c>
      <c r="M731" t="n">
        <v>0</v>
      </c>
      <c r="N731" t="n">
        <v>136577</v>
      </c>
      <c r="O731" t="inlineStr">
        <is>
          <t>Done</t>
        </is>
      </c>
      <c r="P731" t="n">
        <v>1</v>
      </c>
      <c r="Q731" t="inlineStr">
        <is>
          <t>Drakon 18</t>
        </is>
      </c>
      <c r="R731" t="inlineStr">
        <is>
          <t>2022-10-20</t>
        </is>
      </c>
      <c r="S731" t="inlineStr">
        <is>
          <t>2022-11-02</t>
        </is>
      </c>
      <c r="T731" t="inlineStr">
        <is>
          <t>Drakon 18 : 2022-10-20 - 2022-11-02</t>
        </is>
      </c>
      <c r="U731" t="inlineStr"/>
      <c r="V731" t="inlineStr"/>
      <c r="W731" t="inlineStr">
        <is>
          <t>2022-10-26T08:56:00-05:00</t>
        </is>
      </c>
      <c r="X731">
        <f>IFERROR(1/COUNTIF($I:$I,@$I:$I), 0)</f>
        <v/>
      </c>
    </row>
    <row r="732">
      <c r="A732">
        <f>HYPERLINK("https://drivetime.tpondemand.com/entity/142305", "142305")</f>
        <v/>
      </c>
      <c r="B732" t="inlineStr">
        <is>
          <t>UI related bugs</t>
        </is>
      </c>
      <c r="C732" t="inlineStr">
        <is>
          <t>Bug</t>
        </is>
      </c>
      <c r="D732" t="inlineStr">
        <is>
          <t>Servicing: BC Next</t>
        </is>
      </c>
      <c r="E732" t="inlineStr">
        <is>
          <t>BC Digital Drakon</t>
        </is>
      </c>
      <c r="F732" t="inlineStr">
        <is>
          <t>44</t>
        </is>
      </c>
      <c r="G732" t="inlineStr">
        <is>
          <t>Yokeshwaran Lokanathan</t>
        </is>
      </c>
      <c r="H732" t="inlineStr">
        <is>
          <t>[BC NEXT] Phase 3: Account Settings/My Profile</t>
        </is>
      </c>
      <c r="I732" t="inlineStr"/>
      <c r="J732" t="n">
        <v>7.891747685185185</v>
      </c>
      <c r="K732" t="inlineStr"/>
      <c r="L732">
        <f>HYPERLINK("https://drivetime.tpondemand.com/entity/138961", "138961")</f>
        <v/>
      </c>
      <c r="M732" t="n">
        <v>0</v>
      </c>
      <c r="N732" t="n">
        <v>136577</v>
      </c>
      <c r="O732" t="inlineStr">
        <is>
          <t>Done</t>
        </is>
      </c>
      <c r="P732" t="n">
        <v>1</v>
      </c>
      <c r="Q732" t="inlineStr">
        <is>
          <t>Drakon 18</t>
        </is>
      </c>
      <c r="R732" t="inlineStr">
        <is>
          <t>2022-10-20</t>
        </is>
      </c>
      <c r="S732" t="inlineStr">
        <is>
          <t>2022-11-02</t>
        </is>
      </c>
      <c r="T732" t="inlineStr">
        <is>
          <t>Drakon 18 : 2022-10-20 - 2022-11-02</t>
        </is>
      </c>
      <c r="U732" t="inlineStr"/>
      <c r="V732" t="inlineStr"/>
      <c r="W732" t="inlineStr">
        <is>
          <t>2022-11-04T11:48:30-05:00</t>
        </is>
      </c>
      <c r="X732">
        <f>IFERROR(1/COUNTIF($I:$I,@$I:$I), 0)</f>
        <v/>
      </c>
    </row>
    <row r="733">
      <c r="A733">
        <f>HYPERLINK("https://drivetime.tpondemand.com/entity/142307", "142307")</f>
        <v/>
      </c>
      <c r="B733" t="inlineStr">
        <is>
          <t>Accessibility bugs</t>
        </is>
      </c>
      <c r="C733" t="inlineStr">
        <is>
          <t>Bug</t>
        </is>
      </c>
      <c r="D733" t="inlineStr">
        <is>
          <t>Servicing: BC Next</t>
        </is>
      </c>
      <c r="E733" t="inlineStr">
        <is>
          <t>BC Digital Drakon</t>
        </is>
      </c>
      <c r="F733" t="inlineStr">
        <is>
          <t>44</t>
        </is>
      </c>
      <c r="G733" t="inlineStr">
        <is>
          <t>Yokeshwaran Lokanathan</t>
        </is>
      </c>
      <c r="H733" t="inlineStr">
        <is>
          <t>[BC NEXT] Phase 3: Account Settings/My Profile</t>
        </is>
      </c>
      <c r="I733" t="inlineStr"/>
      <c r="J733" t="n">
        <v>9.581377314814814</v>
      </c>
      <c r="K733" t="inlineStr"/>
      <c r="L733">
        <f>HYPERLINK("https://drivetime.tpondemand.com/entity/138961", "138961")</f>
        <v/>
      </c>
      <c r="M733" t="n">
        <v>0</v>
      </c>
      <c r="N733" t="n">
        <v>136577</v>
      </c>
      <c r="O733" t="inlineStr">
        <is>
          <t>Done</t>
        </is>
      </c>
      <c r="P733" t="n">
        <v>1</v>
      </c>
      <c r="Q733" t="inlineStr">
        <is>
          <t>Drakon 18</t>
        </is>
      </c>
      <c r="R733" t="inlineStr">
        <is>
          <t>2022-10-20</t>
        </is>
      </c>
      <c r="S733" t="inlineStr">
        <is>
          <t>2022-11-02</t>
        </is>
      </c>
      <c r="T733" t="inlineStr">
        <is>
          <t>Drakon 18 : 2022-10-20 - 2022-11-02</t>
        </is>
      </c>
      <c r="U733" t="inlineStr"/>
      <c r="V733" t="inlineStr"/>
      <c r="W733" t="inlineStr">
        <is>
          <t>2022-11-04T11:35:14-05:00</t>
        </is>
      </c>
      <c r="X733">
        <f>IFERROR(1/COUNTIF($I:$I,@$I:$I), 0)</f>
        <v/>
      </c>
    </row>
    <row r="734">
      <c r="A734">
        <f>HYPERLINK("https://drivetime.tpondemand.com/entity/142500", "142500")</f>
        <v/>
      </c>
      <c r="B734" t="inlineStr">
        <is>
          <t>focus ring</t>
        </is>
      </c>
      <c r="C734" t="inlineStr">
        <is>
          <t>Bug</t>
        </is>
      </c>
      <c r="D734" t="inlineStr">
        <is>
          <t>Servicing: BC Next</t>
        </is>
      </c>
      <c r="E734" t="inlineStr">
        <is>
          <t>BC Digital Drakon</t>
        </is>
      </c>
      <c r="F734" t="inlineStr">
        <is>
          <t>45</t>
        </is>
      </c>
      <c r="G734" t="inlineStr">
        <is>
          <t>Shyam Senthil Nathan</t>
        </is>
      </c>
      <c r="H734" t="inlineStr">
        <is>
          <t>[BC NEXT] Phase 3: Account Settings/My Profile</t>
        </is>
      </c>
      <c r="I734" t="inlineStr"/>
      <c r="J734" t="n">
        <v>6.34931712962963</v>
      </c>
      <c r="K734" t="inlineStr"/>
      <c r="L734">
        <f>HYPERLINK("https://drivetime.tpondemand.com/entity/139404", "139404")</f>
        <v/>
      </c>
      <c r="M734" t="n">
        <v>0</v>
      </c>
      <c r="N734" t="n">
        <v>136578</v>
      </c>
      <c r="O734" t="inlineStr">
        <is>
          <t>Done</t>
        </is>
      </c>
      <c r="P734" t="n">
        <v>1</v>
      </c>
      <c r="Q734" t="inlineStr">
        <is>
          <t>Drakon 19</t>
        </is>
      </c>
      <c r="R734" t="inlineStr">
        <is>
          <t>2022-11-03</t>
        </is>
      </c>
      <c r="S734" t="inlineStr">
        <is>
          <t>2022-11-16</t>
        </is>
      </c>
      <c r="T734" t="inlineStr">
        <is>
          <t>Drakon 19 : 2022-11-03 - 2022-11-16</t>
        </is>
      </c>
      <c r="U734" t="inlineStr"/>
      <c r="V734" t="inlineStr"/>
      <c r="W734" t="inlineStr">
        <is>
          <t>2022-11-09T09:50:22-06:00</t>
        </is>
      </c>
      <c r="X734">
        <f>IFERROR(1/COUNTIF($I:$I,@$I:$I), 0)</f>
        <v/>
      </c>
    </row>
    <row r="735">
      <c r="A735">
        <f>HYPERLINK("https://drivetime.tpondemand.com/entity/143119", "143119")</f>
        <v/>
      </c>
      <c r="B735" t="inlineStr">
        <is>
          <t>Mod list continues to duplicate after each page refresh</t>
        </is>
      </c>
      <c r="C735" t="inlineStr">
        <is>
          <t>Bug</t>
        </is>
      </c>
      <c r="D735" t="inlineStr">
        <is>
          <t>Servicing: BC Next</t>
        </is>
      </c>
      <c r="E735" t="inlineStr">
        <is>
          <t>BC Digital Drakon</t>
        </is>
      </c>
      <c r="F735" t="inlineStr">
        <is>
          <t>45</t>
        </is>
      </c>
      <c r="G735" t="inlineStr"/>
      <c r="H735" t="inlineStr">
        <is>
          <t>[BC NEXT]Phase 3: Manage Modifications Page</t>
        </is>
      </c>
      <c r="I735" t="inlineStr"/>
      <c r="J735" t="n">
        <v>0</v>
      </c>
      <c r="K735">
        <f>HYPERLINK("https://drivetime.tpondemand.com/entity/143326", "143326")</f>
        <v/>
      </c>
      <c r="L735">
        <f>HYPERLINK("https://drivetime.tpondemand.com/entity/140431", "140431")</f>
        <v/>
      </c>
      <c r="M735" t="n">
        <v>0</v>
      </c>
      <c r="N735" t="n">
        <v>136578</v>
      </c>
      <c r="O735" t="inlineStr">
        <is>
          <t>Done</t>
        </is>
      </c>
      <c r="P735" t="n">
        <v>1</v>
      </c>
      <c r="Q735" t="inlineStr">
        <is>
          <t>Drakon 19</t>
        </is>
      </c>
      <c r="R735" t="inlineStr">
        <is>
          <t>2022-11-03</t>
        </is>
      </c>
      <c r="S735" t="inlineStr">
        <is>
          <t>2022-11-16</t>
        </is>
      </c>
      <c r="T735" t="inlineStr">
        <is>
          <t>Drakon 19 : 2022-11-03 - 2022-11-16</t>
        </is>
      </c>
      <c r="U735" t="inlineStr"/>
      <c r="V735" t="inlineStr"/>
      <c r="W735" t="inlineStr">
        <is>
          <t>2022-11-07T14:41:42-06:00</t>
        </is>
      </c>
      <c r="X735">
        <f>IFERROR(1/COUNTIF($I:$I,@$I:$I), 0)</f>
        <v/>
      </c>
    </row>
    <row r="736">
      <c r="A736">
        <f>HYPERLINK("https://drivetime.tpondemand.com/entity/143120", "143120")</f>
        <v/>
      </c>
      <c r="B736" t="inlineStr">
        <is>
          <t>Account was in a signed and submitted state but  didn't show processing state</t>
        </is>
      </c>
      <c r="C736" t="inlineStr">
        <is>
          <t>Bug</t>
        </is>
      </c>
      <c r="D736" t="inlineStr">
        <is>
          <t>Servicing: BC Next</t>
        </is>
      </c>
      <c r="E736" t="inlineStr">
        <is>
          <t>BC Digital Drakon</t>
        </is>
      </c>
      <c r="F736" t="inlineStr">
        <is>
          <t>45</t>
        </is>
      </c>
      <c r="G736" t="inlineStr"/>
      <c r="H736" t="inlineStr">
        <is>
          <t>[BC NEXT]Phase 3: Manage Modifications Page</t>
        </is>
      </c>
      <c r="I736" t="inlineStr"/>
      <c r="J736" t="n">
        <v>0</v>
      </c>
      <c r="K736">
        <f>HYPERLINK("https://drivetime.tpondemand.com/entity/143326", "143326")</f>
        <v/>
      </c>
      <c r="L736">
        <f>HYPERLINK("https://drivetime.tpondemand.com/entity/140431", "140431")</f>
        <v/>
      </c>
      <c r="M736" t="n">
        <v>0</v>
      </c>
      <c r="N736" t="n">
        <v>136578</v>
      </c>
      <c r="O736" t="inlineStr">
        <is>
          <t>Done</t>
        </is>
      </c>
      <c r="P736" t="n">
        <v>1</v>
      </c>
      <c r="Q736" t="inlineStr">
        <is>
          <t>Drakon 19</t>
        </is>
      </c>
      <c r="R736" t="inlineStr">
        <is>
          <t>2022-11-03</t>
        </is>
      </c>
      <c r="S736" t="inlineStr">
        <is>
          <t>2022-11-16</t>
        </is>
      </c>
      <c r="T736" t="inlineStr">
        <is>
          <t>Drakon 19 : 2022-11-03 - 2022-11-16</t>
        </is>
      </c>
      <c r="U736" t="inlineStr"/>
      <c r="V736" t="inlineStr"/>
      <c r="W736" t="inlineStr">
        <is>
          <t>2022-11-07T14:41:34-06:00</t>
        </is>
      </c>
      <c r="X736">
        <f>IFERROR(1/COUNTIF($I:$I,@$I:$I), 0)</f>
        <v/>
      </c>
    </row>
    <row r="737">
      <c r="A737">
        <f>HYPERLINK("https://drivetime.tpondemand.com/entity/143122", "143122")</f>
        <v/>
      </c>
      <c r="B737" t="inlineStr">
        <is>
          <t>Completion date is missing</t>
        </is>
      </c>
      <c r="C737" t="inlineStr">
        <is>
          <t>Bug</t>
        </is>
      </c>
      <c r="D737" t="inlineStr">
        <is>
          <t>Servicing: BC Next</t>
        </is>
      </c>
      <c r="E737" t="inlineStr">
        <is>
          <t>BC Digital Drakon</t>
        </is>
      </c>
      <c r="F737" t="inlineStr">
        <is>
          <t>45</t>
        </is>
      </c>
      <c r="G737" t="inlineStr"/>
      <c r="H737" t="inlineStr">
        <is>
          <t>[BC NEXT]Phase 3: Manage Modifications Page</t>
        </is>
      </c>
      <c r="I737" t="inlineStr"/>
      <c r="J737" t="n">
        <v>0</v>
      </c>
      <c r="K737">
        <f>HYPERLINK("https://drivetime.tpondemand.com/entity/143326", "143326")</f>
        <v/>
      </c>
      <c r="L737">
        <f>HYPERLINK("https://drivetime.tpondemand.com/entity/140431", "140431")</f>
        <v/>
      </c>
      <c r="M737" t="n">
        <v>0</v>
      </c>
      <c r="N737" t="n">
        <v>136578</v>
      </c>
      <c r="O737" t="inlineStr">
        <is>
          <t>Done</t>
        </is>
      </c>
      <c r="P737" t="n">
        <v>1</v>
      </c>
      <c r="Q737" t="inlineStr">
        <is>
          <t>Drakon 19</t>
        </is>
      </c>
      <c r="R737" t="inlineStr">
        <is>
          <t>2022-11-03</t>
        </is>
      </c>
      <c r="S737" t="inlineStr">
        <is>
          <t>2022-11-16</t>
        </is>
      </c>
      <c r="T737" t="inlineStr">
        <is>
          <t>Drakon 19 : 2022-11-03 - 2022-11-16</t>
        </is>
      </c>
      <c r="U737" t="inlineStr"/>
      <c r="V737" t="inlineStr"/>
      <c r="W737" t="inlineStr">
        <is>
          <t>2022-11-07T14:41:39-06:00</t>
        </is>
      </c>
      <c r="X737">
        <f>IFERROR(1/COUNTIF($I:$I,@$I:$I), 0)</f>
        <v/>
      </c>
    </row>
    <row r="738">
      <c r="A738">
        <f>HYPERLINK("https://drivetime.tpondemand.com/entity/143205", "143205")</f>
        <v/>
      </c>
      <c r="B738" t="inlineStr">
        <is>
          <t>Plan to Cure - Routes, Metadata, and Scaffolding - Minor Bugs</t>
        </is>
      </c>
      <c r="C738" t="inlineStr">
        <is>
          <t>Bug</t>
        </is>
      </c>
      <c r="D738" t="inlineStr">
        <is>
          <t>Servicing: BC Next</t>
        </is>
      </c>
      <c r="E738" t="inlineStr">
        <is>
          <t>BC Digital Drakon</t>
        </is>
      </c>
      <c r="F738" t="inlineStr">
        <is>
          <t>44</t>
        </is>
      </c>
      <c r="G738" t="inlineStr">
        <is>
          <t>Michael Wang</t>
        </is>
      </c>
      <c r="H738" t="inlineStr">
        <is>
          <t>[BC NEXT]Phase 3: Payment Plan (PTC)</t>
        </is>
      </c>
      <c r="I738" t="inlineStr"/>
      <c r="J738" t="n">
        <v>0</v>
      </c>
      <c r="K738" t="inlineStr"/>
      <c r="L738">
        <f>HYPERLINK("https://drivetime.tpondemand.com/entity/135148", "135148")</f>
        <v/>
      </c>
      <c r="M738" t="n">
        <v>0</v>
      </c>
      <c r="N738" t="n">
        <v>136578</v>
      </c>
      <c r="O738" t="inlineStr">
        <is>
          <t>Done</t>
        </is>
      </c>
      <c r="P738" t="n">
        <v>1</v>
      </c>
      <c r="Q738" t="inlineStr">
        <is>
          <t>Drakon 19</t>
        </is>
      </c>
      <c r="R738" t="inlineStr">
        <is>
          <t>2022-11-03</t>
        </is>
      </c>
      <c r="S738" t="inlineStr">
        <is>
          <t>2022-11-16</t>
        </is>
      </c>
      <c r="T738" t="inlineStr">
        <is>
          <t>Drakon 19 : 2022-11-03 - 2022-11-16</t>
        </is>
      </c>
      <c r="U738" t="inlineStr"/>
      <c r="V738" t="inlineStr"/>
      <c r="W738" t="inlineStr">
        <is>
          <t>2022-11-04T11:29:00-05:00</t>
        </is>
      </c>
      <c r="X738">
        <f>IFERROR(1/COUNTIF($I:$I,@$I:$I), 0)</f>
        <v/>
      </c>
    </row>
    <row r="739">
      <c r="A739">
        <f>HYPERLINK("https://drivetime.tpondemand.com/entity/143294", "143294")</f>
        <v/>
      </c>
      <c r="B739" t="inlineStr">
        <is>
          <t>ARIA label spelling mistake</t>
        </is>
      </c>
      <c r="C739" t="inlineStr">
        <is>
          <t>Bug</t>
        </is>
      </c>
      <c r="D739" t="inlineStr">
        <is>
          <t>Servicing: BC Next</t>
        </is>
      </c>
      <c r="E739" t="inlineStr">
        <is>
          <t>BC Digital Drakon</t>
        </is>
      </c>
      <c r="F739" t="inlineStr">
        <is>
          <t>45</t>
        </is>
      </c>
      <c r="G739" t="inlineStr">
        <is>
          <t>Shyam Senthil Nathan</t>
        </is>
      </c>
      <c r="H739" t="inlineStr">
        <is>
          <t>[BC NEXT] Phase 3: Account Settings/My Profile</t>
        </is>
      </c>
      <c r="I739" t="inlineStr"/>
      <c r="J739" t="n">
        <v>2.003993055555556</v>
      </c>
      <c r="K739" t="inlineStr"/>
      <c r="L739">
        <f>HYPERLINK("https://drivetime.tpondemand.com/entity/139404", "139404")</f>
        <v/>
      </c>
      <c r="M739" t="n">
        <v>0</v>
      </c>
      <c r="N739" t="n">
        <v>136578</v>
      </c>
      <c r="O739" t="inlineStr">
        <is>
          <t>Done</t>
        </is>
      </c>
      <c r="P739" t="n">
        <v>1</v>
      </c>
      <c r="Q739" t="inlineStr">
        <is>
          <t>Drakon 19</t>
        </is>
      </c>
      <c r="R739" t="inlineStr">
        <is>
          <t>2022-11-03</t>
        </is>
      </c>
      <c r="S739" t="inlineStr">
        <is>
          <t>2022-11-16</t>
        </is>
      </c>
      <c r="T739" t="inlineStr">
        <is>
          <t>Drakon 19 : 2022-11-03 - 2022-11-16</t>
        </is>
      </c>
      <c r="U739" t="inlineStr"/>
      <c r="V739" t="inlineStr"/>
      <c r="W739" t="inlineStr">
        <is>
          <t>2022-11-09T09:50:25-06:00</t>
        </is>
      </c>
      <c r="X739">
        <f>IFERROR(1/COUNTIF($I:$I,@$I:$I), 0)</f>
        <v/>
      </c>
    </row>
    <row r="740">
      <c r="A740">
        <f>HYPERLINK("https://drivetime.tpondemand.com/entity/143296", "143296")</f>
        <v/>
      </c>
      <c r="B740" t="inlineStr">
        <is>
          <t>edit and delete icon are not centered vertical align</t>
        </is>
      </c>
      <c r="C740" t="inlineStr">
        <is>
          <t>Bug</t>
        </is>
      </c>
      <c r="D740" t="inlineStr">
        <is>
          <t>Servicing: BC Next</t>
        </is>
      </c>
      <c r="E740" t="inlineStr">
        <is>
          <t>BC Digital Drakon</t>
        </is>
      </c>
      <c r="F740" t="inlineStr">
        <is>
          <t>45</t>
        </is>
      </c>
      <c r="G740" t="inlineStr">
        <is>
          <t>Shyam Senthil Nathan</t>
        </is>
      </c>
      <c r="H740" t="inlineStr">
        <is>
          <t>[BC NEXT] Phase 3: Account Settings/My Profile</t>
        </is>
      </c>
      <c r="I740" t="inlineStr"/>
      <c r="J740" t="n">
        <v>1.99681712962963</v>
      </c>
      <c r="K740" t="inlineStr"/>
      <c r="L740">
        <f>HYPERLINK("https://drivetime.tpondemand.com/entity/139404", "139404")</f>
        <v/>
      </c>
      <c r="M740" t="n">
        <v>0</v>
      </c>
      <c r="N740" t="n">
        <v>136578</v>
      </c>
      <c r="O740" t="inlineStr">
        <is>
          <t>Done</t>
        </is>
      </c>
      <c r="P740" t="n">
        <v>1</v>
      </c>
      <c r="Q740" t="inlineStr">
        <is>
          <t>Drakon 19</t>
        </is>
      </c>
      <c r="R740" t="inlineStr">
        <is>
          <t>2022-11-03</t>
        </is>
      </c>
      <c r="S740" t="inlineStr">
        <is>
          <t>2022-11-16</t>
        </is>
      </c>
      <c r="T740" t="inlineStr">
        <is>
          <t>Drakon 19 : 2022-11-03 - 2022-11-16</t>
        </is>
      </c>
      <c r="U740" t="inlineStr"/>
      <c r="V740" t="inlineStr"/>
      <c r="W740" t="inlineStr">
        <is>
          <t>2022-11-09T09:50:29-06:00</t>
        </is>
      </c>
      <c r="X740">
        <f>IFERROR(1/COUNTIF($I:$I,@$I:$I), 0)</f>
        <v/>
      </c>
    </row>
    <row r="741">
      <c r="A741">
        <f>HYPERLINK("https://drivetime.tpondemand.com/entity/143915", "143915")</f>
        <v/>
      </c>
      <c r="B741" t="inlineStr">
        <is>
          <t>[BC NEXT] My Profile - Tabbing order incorrect in delete modal</t>
        </is>
      </c>
      <c r="C741" t="inlineStr">
        <is>
          <t>Bug</t>
        </is>
      </c>
      <c r="D741" t="inlineStr">
        <is>
          <t>Servicing: BC Next</t>
        </is>
      </c>
      <c r="E741" t="inlineStr">
        <is>
          <t>BC Digital Drakon</t>
        </is>
      </c>
      <c r="F741" t="inlineStr">
        <is>
          <t>45</t>
        </is>
      </c>
      <c r="G741" t="inlineStr">
        <is>
          <t>Abbas Shamshi</t>
        </is>
      </c>
      <c r="H741" t="inlineStr">
        <is>
          <t>[BC NEXT] Phase 3: Account Settings/My Profile</t>
        </is>
      </c>
      <c r="I741" t="inlineStr"/>
      <c r="J741" t="n">
        <v>0.9831365740740741</v>
      </c>
      <c r="K741" t="inlineStr"/>
      <c r="L741">
        <f>HYPERLINK("https://drivetime.tpondemand.com/entity/139413", "139413")</f>
        <v/>
      </c>
      <c r="M741" t="n">
        <v>0</v>
      </c>
      <c r="N741" t="n">
        <v>136578</v>
      </c>
      <c r="O741" t="inlineStr">
        <is>
          <t>Done</t>
        </is>
      </c>
      <c r="P741" t="n">
        <v>1</v>
      </c>
      <c r="Q741" t="inlineStr">
        <is>
          <t>Drakon 19</t>
        </is>
      </c>
      <c r="R741" t="inlineStr">
        <is>
          <t>2022-11-03</t>
        </is>
      </c>
      <c r="S741" t="inlineStr">
        <is>
          <t>2022-11-16</t>
        </is>
      </c>
      <c r="T741" t="inlineStr">
        <is>
          <t>Drakon 19 : 2022-11-03 - 2022-11-16</t>
        </is>
      </c>
      <c r="U741" t="inlineStr"/>
      <c r="V741" t="inlineStr"/>
      <c r="W741" t="inlineStr">
        <is>
          <t>2022-11-11T15:18:10-06:00</t>
        </is>
      </c>
      <c r="X741">
        <f>IFERROR(1/COUNTIF($I:$I,@$I:$I), 0)</f>
        <v/>
      </c>
    </row>
    <row r="742">
      <c r="A742">
        <f>HYPERLINK("https://drivetime.tpondemand.com/entity/144118", "144118")</f>
        <v/>
      </c>
      <c r="B742" t="inlineStr">
        <is>
          <t>[BC NEXT] My Profile - Analytic and tabbing bugs</t>
        </is>
      </c>
      <c r="C742" t="inlineStr">
        <is>
          <t>Bug</t>
        </is>
      </c>
      <c r="D742" t="inlineStr">
        <is>
          <t>Servicing: BC Next</t>
        </is>
      </c>
      <c r="E742" t="inlineStr">
        <is>
          <t>BC Digital Drakon</t>
        </is>
      </c>
      <c r="F742" t="inlineStr">
        <is>
          <t>46</t>
        </is>
      </c>
      <c r="G742" t="inlineStr">
        <is>
          <t>Chirag Khandhar</t>
        </is>
      </c>
      <c r="H742" t="inlineStr">
        <is>
          <t>[BC NEXT] Phase 3: Account Settings/My Profile</t>
        </is>
      </c>
      <c r="I742" t="inlineStr"/>
      <c r="J742" t="n">
        <v>1.965497685185185</v>
      </c>
      <c r="K742">
        <f>HYPERLINK("https://drivetime.tpondemand.com/entity/144410", "144410")</f>
        <v/>
      </c>
      <c r="L742">
        <f>HYPERLINK("https://drivetime.tpondemand.com/entity/139149", "139149")</f>
        <v/>
      </c>
      <c r="M742" t="n">
        <v>0</v>
      </c>
      <c r="N742" t="n">
        <v>136578</v>
      </c>
      <c r="O742" t="inlineStr">
        <is>
          <t>Done</t>
        </is>
      </c>
      <c r="P742" t="n">
        <v>1</v>
      </c>
      <c r="Q742" t="inlineStr">
        <is>
          <t>Drakon 19</t>
        </is>
      </c>
      <c r="R742" t="inlineStr">
        <is>
          <t>2022-11-03</t>
        </is>
      </c>
      <c r="S742" t="inlineStr">
        <is>
          <t>2022-11-16</t>
        </is>
      </c>
      <c r="T742" t="inlineStr">
        <is>
          <t>Drakon 19 : 2022-11-03 - 2022-11-16</t>
        </is>
      </c>
      <c r="U742" t="inlineStr"/>
      <c r="V742" t="inlineStr"/>
      <c r="W742" t="inlineStr">
        <is>
          <t>2022-11-16T08:51:39-06:00</t>
        </is>
      </c>
      <c r="X742">
        <f>IFERROR(1/COUNTIF($I:$I,@$I:$I), 0)</f>
        <v/>
      </c>
    </row>
    <row r="743">
      <c r="A743">
        <f>HYPERLINK("https://drivetime.tpondemand.com/entity/144145", "144145")</f>
        <v/>
      </c>
      <c r="B743" t="inlineStr">
        <is>
          <t>[BC NEXT] My Profile - Email Address and My Vehicle bugs</t>
        </is>
      </c>
      <c r="C743" t="inlineStr">
        <is>
          <t>Bug</t>
        </is>
      </c>
      <c r="D743" t="inlineStr">
        <is>
          <t>Servicing: BC Next</t>
        </is>
      </c>
      <c r="E743" t="inlineStr">
        <is>
          <t>BC Digital Drakon</t>
        </is>
      </c>
      <c r="F743" t="inlineStr">
        <is>
          <t>50</t>
        </is>
      </c>
      <c r="G743" t="inlineStr">
        <is>
          <t>Pete Wesselius</t>
        </is>
      </c>
      <c r="H743" t="inlineStr">
        <is>
          <t>[BC NEXT] Phase 3: Account Settings/My Profile</t>
        </is>
      </c>
      <c r="I743" t="inlineStr"/>
      <c r="J743" t="n">
        <v>30.73287037037037</v>
      </c>
      <c r="K743">
        <f>HYPERLINK("https://drivetime.tpondemand.com/entity/146568", "146568")</f>
        <v/>
      </c>
      <c r="L743">
        <f>HYPERLINK("https://drivetime.tpondemand.com/entity/139405", "139405")</f>
        <v/>
      </c>
      <c r="M743" t="n">
        <v>0</v>
      </c>
      <c r="N743" t="n">
        <v>136580</v>
      </c>
      <c r="O743" t="inlineStr">
        <is>
          <t>Done</t>
        </is>
      </c>
      <c r="P743" t="n">
        <v>1</v>
      </c>
      <c r="Q743" t="inlineStr">
        <is>
          <t>Drakon 21</t>
        </is>
      </c>
      <c r="R743" t="inlineStr">
        <is>
          <t>2022-12-01</t>
        </is>
      </c>
      <c r="S743" t="inlineStr">
        <is>
          <t>2022-12-14</t>
        </is>
      </c>
      <c r="T743" t="inlineStr">
        <is>
          <t>Drakon 21 : 2022-12-01 - 2022-12-14</t>
        </is>
      </c>
      <c r="U743" t="inlineStr"/>
      <c r="V743" t="inlineStr"/>
      <c r="W743" t="inlineStr">
        <is>
          <t>2022-12-15T08:52:37-06:00</t>
        </is>
      </c>
      <c r="X743">
        <f>IFERROR(1/COUNTIF($I:$I,@$I:$I), 0)</f>
        <v/>
      </c>
    </row>
    <row r="744">
      <c r="A744">
        <f>HYPERLINK("https://drivetime.tpondemand.com/entity/144265", "144265")</f>
        <v/>
      </c>
      <c r="B744" t="inlineStr">
        <is>
          <t>[BCNext] Cannot open signing room or view signed loan modification documents when impersonating</t>
        </is>
      </c>
      <c r="C744" t="inlineStr">
        <is>
          <t>Bug</t>
        </is>
      </c>
      <c r="D744" t="inlineStr">
        <is>
          <t>Servicing: BC Next</t>
        </is>
      </c>
      <c r="E744" t="inlineStr">
        <is>
          <t>BC Digital Drakon</t>
        </is>
      </c>
      <c r="F744" t="inlineStr"/>
      <c r="G744" t="inlineStr">
        <is>
          <t>Connor Golobich</t>
        </is>
      </c>
      <c r="H744" t="inlineStr">
        <is>
          <t>[BC NEXT]Phase 3: Manage Modifications Page</t>
        </is>
      </c>
      <c r="I744" t="inlineStr"/>
      <c r="J744" t="n">
        <v>48.89600779186111</v>
      </c>
      <c r="K744">
        <f>HYPERLINK("https://drivetime.tpondemand.com/entity/147266", "147266")</f>
        <v/>
      </c>
      <c r="L744" t="inlineStr"/>
      <c r="M744" t="n">
        <v>0</v>
      </c>
      <c r="N744" t="n">
        <v>136580</v>
      </c>
      <c r="O744" t="inlineStr">
        <is>
          <t>Ready for Deploy</t>
        </is>
      </c>
      <c r="P744" t="n">
        <v>1</v>
      </c>
      <c r="Q744" t="inlineStr">
        <is>
          <t>Drakon 21</t>
        </is>
      </c>
      <c r="R744" t="inlineStr">
        <is>
          <t>2022-12-01</t>
        </is>
      </c>
      <c r="S744" t="inlineStr">
        <is>
          <t>2022-12-14</t>
        </is>
      </c>
      <c r="T744" t="inlineStr">
        <is>
          <t>Drakon 21 : 2022-12-01 - 2022-12-14</t>
        </is>
      </c>
      <c r="U744" t="inlineStr"/>
      <c r="V744" t="inlineStr"/>
      <c r="X744">
        <f>IFERROR(1/COUNTIF($I:$I,@$I:$I), 0)</f>
        <v/>
      </c>
    </row>
    <row r="745">
      <c r="A745">
        <f>HYPERLINK("https://drivetime.tpondemand.com/entity/144385", "144385")</f>
        <v/>
      </c>
      <c r="B745" t="inlineStr">
        <is>
          <t>Analytics and ADA related bugs</t>
        </is>
      </c>
      <c r="C745" t="inlineStr">
        <is>
          <t>Bug</t>
        </is>
      </c>
      <c r="D745" t="inlineStr">
        <is>
          <t>Servicing: BC Next</t>
        </is>
      </c>
      <c r="E745" t="inlineStr">
        <is>
          <t>BC Digital Drakon</t>
        </is>
      </c>
      <c r="F745" t="inlineStr">
        <is>
          <t>47</t>
        </is>
      </c>
      <c r="G745" t="inlineStr">
        <is>
          <t>Shyam Senthil Nathan</t>
        </is>
      </c>
      <c r="H745" t="inlineStr">
        <is>
          <t>[BC NEXT] Phase 3: Account Settings/My Profile</t>
        </is>
      </c>
      <c r="I745" t="inlineStr"/>
      <c r="J745" t="n">
        <v>4.968935185185185</v>
      </c>
      <c r="K745">
        <f>HYPERLINK("https://drivetime.tpondemand.com/entity/144897", "144897")</f>
        <v/>
      </c>
      <c r="L745">
        <f>HYPERLINK("https://drivetime.tpondemand.com/entity/139151", "139151")</f>
        <v/>
      </c>
      <c r="M745" t="n">
        <v>0</v>
      </c>
      <c r="N745" t="n">
        <v>136579</v>
      </c>
      <c r="O745" t="inlineStr">
        <is>
          <t>Done</t>
        </is>
      </c>
      <c r="P745" t="n">
        <v>1</v>
      </c>
      <c r="Q745" t="inlineStr">
        <is>
          <t>Drakon 20</t>
        </is>
      </c>
      <c r="R745" t="inlineStr">
        <is>
          <t>2022-11-17</t>
        </is>
      </c>
      <c r="S745" t="inlineStr">
        <is>
          <t>2022-11-30</t>
        </is>
      </c>
      <c r="T745" t="inlineStr">
        <is>
          <t>Drakon 20 : 2022-11-17 - 2022-11-30</t>
        </is>
      </c>
      <c r="U745" t="inlineStr"/>
      <c r="V745" t="inlineStr"/>
      <c r="W745" t="inlineStr">
        <is>
          <t>2022-11-21T10:22:01-06:00</t>
        </is>
      </c>
      <c r="X745">
        <f>IFERROR(1/COUNTIF($I:$I,@$I:$I), 0)</f>
        <v/>
      </c>
    </row>
    <row r="746">
      <c r="A746">
        <f>HYPERLINK("https://drivetime.tpondemand.com/entity/144854", "144854")</f>
        <v/>
      </c>
      <c r="B746" t="inlineStr">
        <is>
          <t>Toggle show more/less not working as expected</t>
        </is>
      </c>
      <c r="C746" t="inlineStr">
        <is>
          <t>Bug</t>
        </is>
      </c>
      <c r="D746" t="inlineStr">
        <is>
          <t>Servicing: BC Next</t>
        </is>
      </c>
      <c r="E746" t="inlineStr">
        <is>
          <t>BC Digital Drakon</t>
        </is>
      </c>
      <c r="F746" t="inlineStr">
        <is>
          <t>48</t>
        </is>
      </c>
      <c r="G746" t="inlineStr">
        <is>
          <t>Michael Wang</t>
        </is>
      </c>
      <c r="H746" t="inlineStr">
        <is>
          <t>[BC NEXT]Phase 3: Payment Plan (PTC)</t>
        </is>
      </c>
      <c r="I746" t="inlineStr"/>
      <c r="J746" t="n">
        <v>0</v>
      </c>
      <c r="K746">
        <f>HYPERLINK("https://drivetime.tpondemand.com/entity/145791", "145791")</f>
        <v/>
      </c>
      <c r="L746">
        <f>HYPERLINK("https://drivetime.tpondemand.com/entity/141876", "141876")</f>
        <v/>
      </c>
      <c r="M746" t="n">
        <v>0</v>
      </c>
      <c r="N746" t="n">
        <v>136579</v>
      </c>
      <c r="O746" t="inlineStr">
        <is>
          <t>Done</t>
        </is>
      </c>
      <c r="P746" t="n">
        <v>1</v>
      </c>
      <c r="Q746" t="inlineStr">
        <is>
          <t>Drakon 20</t>
        </is>
      </c>
      <c r="R746" t="inlineStr">
        <is>
          <t>2022-11-17</t>
        </is>
      </c>
      <c r="S746" t="inlineStr">
        <is>
          <t>2022-11-30</t>
        </is>
      </c>
      <c r="T746" t="inlineStr">
        <is>
          <t>Drakon 20 : 2022-11-17 - 2022-11-30</t>
        </is>
      </c>
      <c r="U746" t="inlineStr"/>
      <c r="V746" t="inlineStr"/>
      <c r="W746" t="inlineStr">
        <is>
          <t>2022-11-28T15:35:15-06:00</t>
        </is>
      </c>
      <c r="X746">
        <f>IFERROR(1/COUNTIF($I:$I,@$I:$I), 0)</f>
        <v/>
      </c>
    </row>
    <row r="747">
      <c r="A747">
        <f>HYPERLINK("https://drivetime.tpondemand.com/entity/145051", "145051")</f>
        <v/>
      </c>
      <c r="B747" t="inlineStr">
        <is>
          <t>CSS pixel perfect</t>
        </is>
      </c>
      <c r="C747" t="inlineStr">
        <is>
          <t>Bug</t>
        </is>
      </c>
      <c r="D747" t="inlineStr">
        <is>
          <t>Servicing: BC Next</t>
        </is>
      </c>
      <c r="E747" t="inlineStr">
        <is>
          <t>BC Digital Drakon</t>
        </is>
      </c>
      <c r="F747" t="inlineStr">
        <is>
          <t>48</t>
        </is>
      </c>
      <c r="G747" t="inlineStr">
        <is>
          <t>Michael Wang</t>
        </is>
      </c>
      <c r="H747" t="inlineStr">
        <is>
          <t>[BC NEXT]Phase 3: Payment Plan (PTC)</t>
        </is>
      </c>
      <c r="I747" t="inlineStr"/>
      <c r="J747" t="n">
        <v>0</v>
      </c>
      <c r="K747">
        <f>HYPERLINK("https://drivetime.tpondemand.com/entity/145791", "145791")</f>
        <v/>
      </c>
      <c r="L747">
        <f>HYPERLINK("https://drivetime.tpondemand.com/entity/141876", "141876")</f>
        <v/>
      </c>
      <c r="M747" t="n">
        <v>0</v>
      </c>
      <c r="N747" t="n">
        <v>136579</v>
      </c>
      <c r="O747" t="inlineStr">
        <is>
          <t>Done</t>
        </is>
      </c>
      <c r="P747" t="n">
        <v>1</v>
      </c>
      <c r="Q747" t="inlineStr">
        <is>
          <t>Drakon 20</t>
        </is>
      </c>
      <c r="R747" t="inlineStr">
        <is>
          <t>2022-11-17</t>
        </is>
      </c>
      <c r="S747" t="inlineStr">
        <is>
          <t>2022-11-30</t>
        </is>
      </c>
      <c r="T747" t="inlineStr">
        <is>
          <t>Drakon 20 : 2022-11-17 - 2022-11-30</t>
        </is>
      </c>
      <c r="U747" t="inlineStr"/>
      <c r="V747" t="inlineStr"/>
      <c r="W747" t="inlineStr">
        <is>
          <t>2022-11-28T15:35:20-06:00</t>
        </is>
      </c>
      <c r="X747">
        <f>IFERROR(1/COUNTIF($I:$I,@$I:$I), 0)</f>
        <v/>
      </c>
    </row>
    <row r="748">
      <c r="A748">
        <f>HYPERLINK("https://drivetime.tpondemand.com/entity/145192", "145192")</f>
        <v/>
      </c>
      <c r="B748" t="inlineStr">
        <is>
          <t>Ff routing not working as expected</t>
        </is>
      </c>
      <c r="C748" t="inlineStr">
        <is>
          <t>Bug</t>
        </is>
      </c>
      <c r="D748" t="inlineStr">
        <is>
          <t>Servicing: BC Next</t>
        </is>
      </c>
      <c r="E748" t="inlineStr">
        <is>
          <t>BC Digital Drakon</t>
        </is>
      </c>
      <c r="F748" t="inlineStr">
        <is>
          <t>48</t>
        </is>
      </c>
      <c r="G748" t="inlineStr">
        <is>
          <t>Michael Wang</t>
        </is>
      </c>
      <c r="H748" t="inlineStr">
        <is>
          <t>[BC NEXT]Phase 3: Payment Plan (PTC)</t>
        </is>
      </c>
      <c r="I748" t="inlineStr"/>
      <c r="J748" t="n">
        <v>0.6945370370370371</v>
      </c>
      <c r="K748">
        <f>HYPERLINK("https://drivetime.tpondemand.com/entity/145791", "145791")</f>
        <v/>
      </c>
      <c r="L748">
        <f>HYPERLINK("https://drivetime.tpondemand.com/entity/141876", "141876")</f>
        <v/>
      </c>
      <c r="M748" t="n">
        <v>0</v>
      </c>
      <c r="N748" t="n">
        <v>136579</v>
      </c>
      <c r="O748" t="inlineStr">
        <is>
          <t>Done</t>
        </is>
      </c>
      <c r="P748" t="n">
        <v>1</v>
      </c>
      <c r="Q748" t="inlineStr">
        <is>
          <t>Drakon 20</t>
        </is>
      </c>
      <c r="R748" t="inlineStr">
        <is>
          <t>2022-11-17</t>
        </is>
      </c>
      <c r="S748" t="inlineStr">
        <is>
          <t>2022-11-30</t>
        </is>
      </c>
      <c r="T748" t="inlineStr">
        <is>
          <t>Drakon 20 : 2022-11-17 - 2022-11-30</t>
        </is>
      </c>
      <c r="U748" t="inlineStr"/>
      <c r="V748" t="inlineStr"/>
      <c r="W748" t="inlineStr">
        <is>
          <t>2022-11-29T16:15:50-06:00</t>
        </is>
      </c>
      <c r="X748">
        <f>IFERROR(1/COUNTIF($I:$I,@$I:$I), 0)</f>
        <v/>
      </c>
    </row>
    <row r="749">
      <c r="A749">
        <f>HYPERLINK("https://drivetime.tpondemand.com/entity/145207", "145207")</f>
        <v/>
      </c>
      <c r="B749" t="inlineStr">
        <is>
          <t>Wrong border lines Desktop</t>
        </is>
      </c>
      <c r="C749" t="inlineStr">
        <is>
          <t>Bug</t>
        </is>
      </c>
      <c r="D749" t="inlineStr">
        <is>
          <t>Servicing: BC Next</t>
        </is>
      </c>
      <c r="E749" t="inlineStr">
        <is>
          <t>BC Digital Drakon</t>
        </is>
      </c>
      <c r="F749" t="inlineStr">
        <is>
          <t>48</t>
        </is>
      </c>
      <c r="G749" t="inlineStr">
        <is>
          <t>Abbas Shamshi</t>
        </is>
      </c>
      <c r="H749" t="inlineStr">
        <is>
          <t>[BC NEXT]Phase 3: Payment Plan (PTC)</t>
        </is>
      </c>
      <c r="I749" t="inlineStr"/>
      <c r="J749" t="n">
        <v>0</v>
      </c>
      <c r="K749">
        <f>HYPERLINK("https://drivetime.tpondemand.com/entity/145791", "145791")</f>
        <v/>
      </c>
      <c r="L749">
        <f>HYPERLINK("https://drivetime.tpondemand.com/entity/141946", "141946")</f>
        <v/>
      </c>
      <c r="M749" t="n">
        <v>0</v>
      </c>
      <c r="N749" t="n">
        <v>136579</v>
      </c>
      <c r="O749" t="inlineStr">
        <is>
          <t>Done</t>
        </is>
      </c>
      <c r="P749" t="n">
        <v>1</v>
      </c>
      <c r="Q749" t="inlineStr">
        <is>
          <t>Drakon 20</t>
        </is>
      </c>
      <c r="R749" t="inlineStr">
        <is>
          <t>2022-11-17</t>
        </is>
      </c>
      <c r="S749" t="inlineStr">
        <is>
          <t>2022-11-30</t>
        </is>
      </c>
      <c r="T749" t="inlineStr">
        <is>
          <t>Drakon 20 : 2022-11-17 - 2022-11-30</t>
        </is>
      </c>
      <c r="U749" t="inlineStr"/>
      <c r="V749" t="inlineStr"/>
      <c r="W749" t="inlineStr">
        <is>
          <t>2022-11-29T13:42:28-06:00</t>
        </is>
      </c>
      <c r="X749">
        <f>IFERROR(1/COUNTIF($I:$I,@$I:$I), 0)</f>
        <v/>
      </c>
    </row>
    <row r="750">
      <c r="A750">
        <f>HYPERLINK("https://drivetime.tpondemand.com/entity/145290", "145290")</f>
        <v/>
      </c>
      <c r="B750" t="inlineStr">
        <is>
          <t>[BC NEXT] Plan to Cure - UI Bugs</t>
        </is>
      </c>
      <c r="C750" t="inlineStr">
        <is>
          <t>Bug</t>
        </is>
      </c>
      <c r="D750" t="inlineStr">
        <is>
          <t>Servicing: BC Next</t>
        </is>
      </c>
      <c r="E750" t="inlineStr">
        <is>
          <t>BC Digital Drakon</t>
        </is>
      </c>
      <c r="F750" t="inlineStr">
        <is>
          <t>48</t>
        </is>
      </c>
      <c r="G750" t="inlineStr">
        <is>
          <t>Yokeshwaran Lokanathan</t>
        </is>
      </c>
      <c r="H750" t="inlineStr">
        <is>
          <t>[BC NEXT]Phase 3: Payment Plan (PTC)</t>
        </is>
      </c>
      <c r="I750" t="inlineStr"/>
      <c r="J750" t="n">
        <v>1.305497685185185</v>
      </c>
      <c r="K750">
        <f>HYPERLINK("https://drivetime.tpondemand.com/entity/145791", "145791")</f>
        <v/>
      </c>
      <c r="L750">
        <f>HYPERLINK("https://drivetime.tpondemand.com/entity/141437", "141437")</f>
        <v/>
      </c>
      <c r="M750" t="n">
        <v>0</v>
      </c>
      <c r="N750" t="n">
        <v>136580</v>
      </c>
      <c r="O750" t="inlineStr">
        <is>
          <t>Done</t>
        </is>
      </c>
      <c r="P750" t="n">
        <v>1</v>
      </c>
      <c r="Q750" t="inlineStr">
        <is>
          <t>Drakon 21</t>
        </is>
      </c>
      <c r="R750" t="inlineStr">
        <is>
          <t>2022-12-01</t>
        </is>
      </c>
      <c r="S750" t="inlineStr">
        <is>
          <t>2022-12-14</t>
        </is>
      </c>
      <c r="T750" t="inlineStr">
        <is>
          <t>Drakon 21 : 2022-12-01 - 2022-12-14</t>
        </is>
      </c>
      <c r="U750" t="inlineStr"/>
      <c r="V750" t="inlineStr"/>
      <c r="W750" t="inlineStr">
        <is>
          <t>2022-12-01T11:18:49-06:00</t>
        </is>
      </c>
      <c r="X750">
        <f>IFERROR(1/COUNTIF($I:$I,@$I:$I), 0)</f>
        <v/>
      </c>
    </row>
    <row r="751">
      <c r="A751">
        <f>HYPERLINK("https://drivetime.tpondemand.com/entity/145291", "145291")</f>
        <v/>
      </c>
      <c r="B751" t="inlineStr">
        <is>
          <t>[BC NEXT] Plan to Cure - Incorrect Data Bug</t>
        </is>
      </c>
      <c r="C751" t="inlineStr">
        <is>
          <t>Bug</t>
        </is>
      </c>
      <c r="D751" t="inlineStr">
        <is>
          <t>Servicing: BC Next</t>
        </is>
      </c>
      <c r="E751" t="inlineStr">
        <is>
          <t>BC Digital Drakon</t>
        </is>
      </c>
      <c r="F751" t="inlineStr">
        <is>
          <t>48</t>
        </is>
      </c>
      <c r="G751" t="inlineStr">
        <is>
          <t>Yokeshwaran Lokanathan</t>
        </is>
      </c>
      <c r="H751" t="inlineStr">
        <is>
          <t>[BC NEXT]Phase 3: Payment Plan (PTC)</t>
        </is>
      </c>
      <c r="I751" t="inlineStr"/>
      <c r="J751" t="n">
        <v>1.327731481481481</v>
      </c>
      <c r="K751">
        <f>HYPERLINK("https://drivetime.tpondemand.com/entity/145791", "145791")</f>
        <v/>
      </c>
      <c r="L751">
        <f>HYPERLINK("https://drivetime.tpondemand.com/entity/141437", "141437")</f>
        <v/>
      </c>
      <c r="M751" t="n">
        <v>0</v>
      </c>
      <c r="N751" t="n">
        <v>136580</v>
      </c>
      <c r="O751" t="inlineStr">
        <is>
          <t>Done</t>
        </is>
      </c>
      <c r="P751" t="n">
        <v>1</v>
      </c>
      <c r="Q751" t="inlineStr">
        <is>
          <t>Drakon 21</t>
        </is>
      </c>
      <c r="R751" t="inlineStr">
        <is>
          <t>2022-12-01</t>
        </is>
      </c>
      <c r="S751" t="inlineStr">
        <is>
          <t>2022-12-14</t>
        </is>
      </c>
      <c r="T751" t="inlineStr">
        <is>
          <t>Drakon 21 : 2022-12-01 - 2022-12-14</t>
        </is>
      </c>
      <c r="U751" t="inlineStr"/>
      <c r="V751" t="inlineStr"/>
      <c r="W751" t="inlineStr">
        <is>
          <t>2022-12-01T11:50:45-06:00</t>
        </is>
      </c>
      <c r="X751">
        <f>IFERROR(1/COUNTIF($I:$I,@$I:$I), 0)</f>
        <v/>
      </c>
    </row>
    <row r="752">
      <c r="A752">
        <f>HYPERLINK("https://drivetime.tpondemand.com/entity/145294", "145294")</f>
        <v/>
      </c>
      <c r="B752" t="inlineStr">
        <is>
          <t>[BC NEXT] Plan to Cure - Update Cancel Link Behavior</t>
        </is>
      </c>
      <c r="C752" t="inlineStr">
        <is>
          <t>Bug</t>
        </is>
      </c>
      <c r="D752" t="inlineStr">
        <is>
          <t>Servicing: BC Next</t>
        </is>
      </c>
      <c r="E752" t="inlineStr">
        <is>
          <t>BC Digital Drakon</t>
        </is>
      </c>
      <c r="F752" t="inlineStr">
        <is>
          <t>48</t>
        </is>
      </c>
      <c r="G752" t="inlineStr">
        <is>
          <t>Yokeshwaran Lokanathan</t>
        </is>
      </c>
      <c r="H752" t="inlineStr">
        <is>
          <t>[BC NEXT]Phase 3: Payment Plan (PTC)</t>
        </is>
      </c>
      <c r="I752" t="inlineStr"/>
      <c r="J752" t="n">
        <v>1.535497685185185</v>
      </c>
      <c r="K752">
        <f>HYPERLINK("https://drivetime.tpondemand.com/entity/145791", "145791")</f>
        <v/>
      </c>
      <c r="L752">
        <f>HYPERLINK("https://drivetime.tpondemand.com/entity/141437", "141437")</f>
        <v/>
      </c>
      <c r="M752" t="n">
        <v>0</v>
      </c>
      <c r="N752" t="n">
        <v>136580</v>
      </c>
      <c r="O752" t="inlineStr">
        <is>
          <t>Done</t>
        </is>
      </c>
      <c r="P752" t="n">
        <v>1</v>
      </c>
      <c r="Q752" t="inlineStr">
        <is>
          <t>Drakon 21</t>
        </is>
      </c>
      <c r="R752" t="inlineStr">
        <is>
          <t>2022-12-01</t>
        </is>
      </c>
      <c r="S752" t="inlineStr">
        <is>
          <t>2022-12-14</t>
        </is>
      </c>
      <c r="T752" t="inlineStr">
        <is>
          <t>Drakon 21 : 2022-12-01 - 2022-12-14</t>
        </is>
      </c>
      <c r="U752" t="inlineStr"/>
      <c r="V752" t="inlineStr"/>
      <c r="W752" t="inlineStr">
        <is>
          <t>2022-12-01T16:49:41-06:00</t>
        </is>
      </c>
      <c r="X752">
        <f>IFERROR(1/COUNTIF($I:$I,@$I:$I), 0)</f>
        <v/>
      </c>
    </row>
    <row r="753">
      <c r="A753">
        <f>HYPERLINK("https://drivetime.tpondemand.com/entity/145414", "145414")</f>
        <v/>
      </c>
      <c r="B753" t="inlineStr">
        <is>
          <t>Wrong text on Payment Plan Banner</t>
        </is>
      </c>
      <c r="C753" t="inlineStr">
        <is>
          <t>Bug</t>
        </is>
      </c>
      <c r="D753" t="inlineStr">
        <is>
          <t>Servicing: BC Next</t>
        </is>
      </c>
      <c r="E753" t="inlineStr">
        <is>
          <t>BC Digital Drakon</t>
        </is>
      </c>
      <c r="F753" t="inlineStr">
        <is>
          <t>48</t>
        </is>
      </c>
      <c r="G753" t="inlineStr">
        <is>
          <t>Abbas Shamshi</t>
        </is>
      </c>
      <c r="H753" t="inlineStr">
        <is>
          <t>[BC NEXT]Phase 3: Payment Plan (PTC)</t>
        </is>
      </c>
      <c r="I753" t="inlineStr"/>
      <c r="J753" t="n">
        <v>0.2251041666666667</v>
      </c>
      <c r="K753">
        <f>HYPERLINK("https://drivetime.tpondemand.com/entity/145791", "145791")</f>
        <v/>
      </c>
      <c r="L753">
        <f>HYPERLINK("https://drivetime.tpondemand.com/entity/141946", "141946")</f>
        <v/>
      </c>
      <c r="M753" t="n">
        <v>0</v>
      </c>
      <c r="N753" t="n">
        <v>136579</v>
      </c>
      <c r="O753" t="inlineStr">
        <is>
          <t>Done</t>
        </is>
      </c>
      <c r="P753" t="n">
        <v>1</v>
      </c>
      <c r="Q753" t="inlineStr">
        <is>
          <t>Drakon 20</t>
        </is>
      </c>
      <c r="R753" t="inlineStr">
        <is>
          <t>2022-11-17</t>
        </is>
      </c>
      <c r="S753" t="inlineStr">
        <is>
          <t>2022-11-30</t>
        </is>
      </c>
      <c r="T753" t="inlineStr">
        <is>
          <t>Drakon 20 : 2022-11-17 - 2022-11-30</t>
        </is>
      </c>
      <c r="U753" t="inlineStr"/>
      <c r="V753" t="inlineStr"/>
      <c r="W753" t="inlineStr">
        <is>
          <t>2022-11-30T16:21:28-06:00</t>
        </is>
      </c>
      <c r="X753">
        <f>IFERROR(1/COUNTIF($I:$I,@$I:$I), 0)</f>
        <v/>
      </c>
    </row>
    <row r="754">
      <c r="A754">
        <f>HYPERLINK("https://drivetime.tpondemand.com/entity/145521", "145521")</f>
        <v/>
      </c>
      <c r="B754" t="inlineStr">
        <is>
          <t>Add/Edit Address Modals - Various UI/Verification Bugs</t>
        </is>
      </c>
      <c r="C754" t="inlineStr">
        <is>
          <t>Bug</t>
        </is>
      </c>
      <c r="D754" t="inlineStr">
        <is>
          <t>Servicing: BC Next</t>
        </is>
      </c>
      <c r="E754" t="inlineStr">
        <is>
          <t>BC Digital Drakon</t>
        </is>
      </c>
      <c r="F754" t="inlineStr">
        <is>
          <t>52</t>
        </is>
      </c>
      <c r="G754" t="inlineStr">
        <is>
          <t>Antonio Posada</t>
        </is>
      </c>
      <c r="H754" t="inlineStr">
        <is>
          <t>[BC NEXT] Phase 3: Account Settings/My Profile</t>
        </is>
      </c>
      <c r="I754" t="inlineStr"/>
      <c r="J754" t="n">
        <v>25.49974537037037</v>
      </c>
      <c r="K754" t="inlineStr"/>
      <c r="L754">
        <f>HYPERLINK("https://drivetime.tpondemand.com/entity/138989", "138989")</f>
        <v/>
      </c>
      <c r="M754" t="n">
        <v>0</v>
      </c>
      <c r="N754" t="n">
        <v>136581</v>
      </c>
      <c r="O754" t="inlineStr">
        <is>
          <t>Done</t>
        </is>
      </c>
      <c r="P754" t="n">
        <v>1</v>
      </c>
      <c r="Q754" t="inlineStr">
        <is>
          <t>Drakon 22</t>
        </is>
      </c>
      <c r="R754" t="inlineStr">
        <is>
          <t>2022-12-15</t>
        </is>
      </c>
      <c r="S754" t="inlineStr">
        <is>
          <t>2022-12-28</t>
        </is>
      </c>
      <c r="T754" t="inlineStr">
        <is>
          <t>Drakon 22 : 2022-12-15 - 2022-12-28</t>
        </is>
      </c>
      <c r="U754" t="inlineStr"/>
      <c r="V754" t="inlineStr"/>
      <c r="W754" t="inlineStr">
        <is>
          <t>2022-12-26T05:16:48-06:00</t>
        </is>
      </c>
      <c r="X754">
        <f>IFERROR(1/COUNTIF($I:$I,@$I:$I), 0)</f>
        <v/>
      </c>
    </row>
    <row r="755">
      <c r="A755">
        <f>HYPERLINK("https://drivetime.tpondemand.com/entity/145657", "145657")</f>
        <v/>
      </c>
      <c r="B755" t="inlineStr">
        <is>
          <t>Routing not working in web ff in ON</t>
        </is>
      </c>
      <c r="C755" t="inlineStr">
        <is>
          <t>Bug</t>
        </is>
      </c>
      <c r="D755" t="inlineStr">
        <is>
          <t>Servicing: BC Next</t>
        </is>
      </c>
      <c r="E755" t="inlineStr">
        <is>
          <t>BC Digital Drakon</t>
        </is>
      </c>
      <c r="F755" t="inlineStr">
        <is>
          <t>48</t>
        </is>
      </c>
      <c r="G755" t="inlineStr">
        <is>
          <t>Michael Wang</t>
        </is>
      </c>
      <c r="H755" t="inlineStr">
        <is>
          <t>[BC NEXT]Phase 3: Payment Plan (PTC)</t>
        </is>
      </c>
      <c r="I755" t="inlineStr"/>
      <c r="J755" t="n">
        <v>0</v>
      </c>
      <c r="K755">
        <f>HYPERLINK("https://drivetime.tpondemand.com/entity/145791", "145791")</f>
        <v/>
      </c>
      <c r="L755">
        <f>HYPERLINK("https://drivetime.tpondemand.com/entity/141876", "141876")</f>
        <v/>
      </c>
      <c r="M755" t="n">
        <v>0</v>
      </c>
      <c r="N755" t="n">
        <v>136580</v>
      </c>
      <c r="O755" t="inlineStr">
        <is>
          <t>Done</t>
        </is>
      </c>
      <c r="P755" t="n">
        <v>1</v>
      </c>
      <c r="Q755" t="inlineStr">
        <is>
          <t>Drakon 21</t>
        </is>
      </c>
      <c r="R755" t="inlineStr">
        <is>
          <t>2022-12-01</t>
        </is>
      </c>
      <c r="S755" t="inlineStr">
        <is>
          <t>2022-12-14</t>
        </is>
      </c>
      <c r="T755" t="inlineStr">
        <is>
          <t>Drakon 21 : 2022-12-01 - 2022-12-14</t>
        </is>
      </c>
      <c r="U755" t="inlineStr"/>
      <c r="V755" t="inlineStr"/>
      <c r="W755" t="inlineStr">
        <is>
          <t>2022-12-01T18:13:32-06:00</t>
        </is>
      </c>
      <c r="X755">
        <f>IFERROR(1/COUNTIF($I:$I,@$I:$I), 0)</f>
        <v/>
      </c>
    </row>
    <row r="756">
      <c r="A756">
        <f>HYPERLINK("https://drivetime.tpondemand.com/entity/145667", "145667")</f>
        <v/>
      </c>
      <c r="B756" t="inlineStr">
        <is>
          <t>Add/Edit Address Modals - Analytic/ADA Bugs</t>
        </is>
      </c>
      <c r="C756" t="inlineStr">
        <is>
          <t>Bug</t>
        </is>
      </c>
      <c r="D756" t="inlineStr">
        <is>
          <t>Servicing: BC Next</t>
        </is>
      </c>
      <c r="E756" t="inlineStr">
        <is>
          <t>BC Digital Drakon</t>
        </is>
      </c>
      <c r="F756" t="inlineStr">
        <is>
          <t>52</t>
        </is>
      </c>
      <c r="G756" t="inlineStr">
        <is>
          <t>Antonio Posada</t>
        </is>
      </c>
      <c r="H756" t="inlineStr">
        <is>
          <t>[BC NEXT] Phase 3: Account Settings/My Profile</t>
        </is>
      </c>
      <c r="I756" t="inlineStr"/>
      <c r="J756" t="n">
        <v>23.84797453703704</v>
      </c>
      <c r="K756" t="inlineStr"/>
      <c r="L756">
        <f>HYPERLINK("https://drivetime.tpondemand.com/entity/138989", "138989")</f>
        <v/>
      </c>
      <c r="M756" t="n">
        <v>0</v>
      </c>
      <c r="N756" t="n">
        <v>136581</v>
      </c>
      <c r="O756" t="inlineStr">
        <is>
          <t>Done</t>
        </is>
      </c>
      <c r="P756" t="n">
        <v>1</v>
      </c>
      <c r="Q756" t="inlineStr">
        <is>
          <t>Drakon 22</t>
        </is>
      </c>
      <c r="R756" t="inlineStr">
        <is>
          <t>2022-12-15</t>
        </is>
      </c>
      <c r="S756" t="inlineStr">
        <is>
          <t>2022-12-28</t>
        </is>
      </c>
      <c r="T756" t="inlineStr">
        <is>
          <t>Drakon 22 : 2022-12-15 - 2022-12-28</t>
        </is>
      </c>
      <c r="U756" t="inlineStr"/>
      <c r="V756" t="inlineStr"/>
      <c r="W756" t="inlineStr">
        <is>
          <t>2022-12-26T05:17:28-06:00</t>
        </is>
      </c>
      <c r="X756">
        <f>IFERROR(1/COUNTIF($I:$I,@$I:$I), 0)</f>
        <v/>
      </c>
    </row>
    <row r="757">
      <c r="A757">
        <f>HYPERLINK("https://drivetime.tpondemand.com/entity/145694", "145694")</f>
        <v/>
      </c>
      <c r="B757" t="inlineStr">
        <is>
          <t>[BC NEXT] Plan to Cure - Change color of Active plan status</t>
        </is>
      </c>
      <c r="C757" t="inlineStr">
        <is>
          <t>Bug</t>
        </is>
      </c>
      <c r="D757" t="inlineStr">
        <is>
          <t>Servicing: BC Next</t>
        </is>
      </c>
      <c r="E757" t="inlineStr">
        <is>
          <t>BC Digital Drakon</t>
        </is>
      </c>
      <c r="F757" t="inlineStr">
        <is>
          <t>49</t>
        </is>
      </c>
      <c r="G757" t="inlineStr">
        <is>
          <t>Yokeshwaran Lokanathan</t>
        </is>
      </c>
      <c r="H757" t="inlineStr">
        <is>
          <t>[BC NEXT]Phase 3: Payment Plan (PTC)</t>
        </is>
      </c>
      <c r="I757" t="inlineStr"/>
      <c r="J757" t="n">
        <v>4.046643518518518</v>
      </c>
      <c r="K757">
        <f>HYPERLINK("https://drivetime.tpondemand.com/entity/145791", "145791")</f>
        <v/>
      </c>
      <c r="L757">
        <f>HYPERLINK("https://drivetime.tpondemand.com/entity/141437", "141437")</f>
        <v/>
      </c>
      <c r="M757" t="n">
        <v>0</v>
      </c>
      <c r="N757" t="n">
        <v>136580</v>
      </c>
      <c r="O757" t="inlineStr">
        <is>
          <t>Done</t>
        </is>
      </c>
      <c r="P757" t="n">
        <v>1</v>
      </c>
      <c r="Q757" t="inlineStr">
        <is>
          <t>Drakon 21</t>
        </is>
      </c>
      <c r="R757" t="inlineStr">
        <is>
          <t>2022-12-01</t>
        </is>
      </c>
      <c r="S757" t="inlineStr">
        <is>
          <t>2022-12-14</t>
        </is>
      </c>
      <c r="T757" t="inlineStr">
        <is>
          <t>Drakon 21 : 2022-12-01 - 2022-12-14</t>
        </is>
      </c>
      <c r="U757" t="inlineStr"/>
      <c r="V757" t="inlineStr"/>
      <c r="W757" t="inlineStr">
        <is>
          <t>2022-12-06T12:24:16-06:00</t>
        </is>
      </c>
      <c r="X757">
        <f>IFERROR(1/COUNTIF($I:$I,@$I:$I), 0)</f>
        <v/>
      </c>
    </row>
    <row r="758">
      <c r="A758">
        <f>HYPERLINK("https://drivetime.tpondemand.com/entity/145806", "145806")</f>
        <v/>
      </c>
      <c r="B758" t="inlineStr">
        <is>
          <t>Unable to query PersonAddressID</t>
        </is>
      </c>
      <c r="C758" t="inlineStr">
        <is>
          <t>Bug</t>
        </is>
      </c>
      <c r="D758" t="inlineStr">
        <is>
          <t>Servicing: BC Next</t>
        </is>
      </c>
      <c r="E758" t="inlineStr">
        <is>
          <t>BC Digital Drakon</t>
        </is>
      </c>
      <c r="F758" t="inlineStr">
        <is>
          <t>50</t>
        </is>
      </c>
      <c r="G758" t="inlineStr">
        <is>
          <t>Pete Wesselius</t>
        </is>
      </c>
      <c r="H758" t="inlineStr">
        <is>
          <t>[BC NEXT] Phase 3: Account Settings/My Profile</t>
        </is>
      </c>
      <c r="I758" t="inlineStr"/>
      <c r="J758" t="n">
        <v>6.077037037037036</v>
      </c>
      <c r="K758">
        <f>HYPERLINK("https://drivetime.tpondemand.com/entity/146647", "146647")</f>
        <v/>
      </c>
      <c r="L758">
        <f>HYPERLINK("https://drivetime.tpondemand.com/entity/141807", "141807")</f>
        <v/>
      </c>
      <c r="M758" t="n">
        <v>0</v>
      </c>
      <c r="N758" t="n">
        <v>136580</v>
      </c>
      <c r="O758" t="inlineStr">
        <is>
          <t>Done</t>
        </is>
      </c>
      <c r="P758" t="n">
        <v>1</v>
      </c>
      <c r="Q758" t="inlineStr">
        <is>
          <t>Drakon 21</t>
        </is>
      </c>
      <c r="R758" t="inlineStr">
        <is>
          <t>2022-12-01</t>
        </is>
      </c>
      <c r="S758" t="inlineStr">
        <is>
          <t>2022-12-14</t>
        </is>
      </c>
      <c r="T758" t="inlineStr">
        <is>
          <t>Drakon 21 : 2022-12-01 - 2022-12-14</t>
        </is>
      </c>
      <c r="U758" t="inlineStr"/>
      <c r="V758" t="inlineStr"/>
      <c r="W758" t="inlineStr">
        <is>
          <t>2022-12-13T14:03:27-06:00</t>
        </is>
      </c>
      <c r="X758">
        <f>IFERROR(1/COUNTIF($I:$I,@$I:$I), 0)</f>
        <v/>
      </c>
    </row>
    <row r="759">
      <c r="A759">
        <f>HYPERLINK("https://drivetime.tpondemand.com/entity/146239", "146239")</f>
        <v/>
      </c>
      <c r="B759" t="inlineStr">
        <is>
          <t>[BC NEXT] Customer Support Center - Landing Page | UI Bugs</t>
        </is>
      </c>
      <c r="C759" t="inlineStr">
        <is>
          <t>Bug</t>
        </is>
      </c>
      <c r="D759" t="inlineStr">
        <is>
          <t>Servicing: BC Next</t>
        </is>
      </c>
      <c r="E759" t="inlineStr">
        <is>
          <t>BC Digital Drakon</t>
        </is>
      </c>
      <c r="F759" t="inlineStr">
        <is>
          <t>50</t>
        </is>
      </c>
      <c r="G759" t="inlineStr">
        <is>
          <t>Abbas Shamshi</t>
        </is>
      </c>
      <c r="H759" t="inlineStr">
        <is>
          <t>[BC NEXT]Phase 3: Customer Support Center</t>
        </is>
      </c>
      <c r="I759" t="inlineStr"/>
      <c r="J759" t="n">
        <v>2.935509259259259</v>
      </c>
      <c r="K759">
        <f>HYPERLINK("https://drivetime.tpondemand.com/entity/146568", "146568")</f>
        <v/>
      </c>
      <c r="L759">
        <f>HYPERLINK("https://drivetime.tpondemand.com/entity/140305", "140305")</f>
        <v/>
      </c>
      <c r="M759" t="n">
        <v>0</v>
      </c>
      <c r="N759" t="n">
        <v>136580</v>
      </c>
      <c r="O759" t="inlineStr">
        <is>
          <t>Done</t>
        </is>
      </c>
      <c r="P759" t="n">
        <v>1</v>
      </c>
      <c r="Q759" t="inlineStr">
        <is>
          <t>Drakon 21</t>
        </is>
      </c>
      <c r="R759" t="inlineStr">
        <is>
          <t>2022-12-01</t>
        </is>
      </c>
      <c r="S759" t="inlineStr">
        <is>
          <t>2022-12-14</t>
        </is>
      </c>
      <c r="T759" t="inlineStr">
        <is>
          <t>Drakon 21 : 2022-12-01 - 2022-12-14</t>
        </is>
      </c>
      <c r="U759" t="inlineStr"/>
      <c r="V759" t="inlineStr"/>
      <c r="W759" t="inlineStr">
        <is>
          <t>2022-12-12T13:17:26-06:00</t>
        </is>
      </c>
      <c r="X759">
        <f>IFERROR(1/COUNTIF($I:$I,@$I:$I), 0)</f>
        <v/>
      </c>
    </row>
    <row r="760">
      <c r="A760">
        <f>HYPERLINK("https://drivetime.tpondemand.com/entity/146240", "146240")</f>
        <v/>
      </c>
      <c r="B760" t="inlineStr">
        <is>
          <t>[BC NEXT] Customer Support Center - Landing Page | Top Nav Bug</t>
        </is>
      </c>
      <c r="C760" t="inlineStr">
        <is>
          <t>Bug</t>
        </is>
      </c>
      <c r="D760" t="inlineStr">
        <is>
          <t>Servicing: BC Next</t>
        </is>
      </c>
      <c r="E760" t="inlineStr">
        <is>
          <t>BC Digital Drakon</t>
        </is>
      </c>
      <c r="F760" t="inlineStr">
        <is>
          <t>50</t>
        </is>
      </c>
      <c r="G760" t="inlineStr">
        <is>
          <t>Abbas Shamshi</t>
        </is>
      </c>
      <c r="H760" t="inlineStr">
        <is>
          <t>[BC NEXT]Phase 3: Customer Support Center</t>
        </is>
      </c>
      <c r="I760" t="inlineStr"/>
      <c r="J760" t="n">
        <v>2.909733796296296</v>
      </c>
      <c r="K760">
        <f>HYPERLINK("https://drivetime.tpondemand.com/entity/146568", "146568")</f>
        <v/>
      </c>
      <c r="L760">
        <f>HYPERLINK("https://drivetime.tpondemand.com/entity/140305", "140305")</f>
        <v/>
      </c>
      <c r="M760" t="n">
        <v>0</v>
      </c>
      <c r="N760" t="n">
        <v>136580</v>
      </c>
      <c r="O760" t="inlineStr">
        <is>
          <t>Done</t>
        </is>
      </c>
      <c r="P760" t="n">
        <v>1</v>
      </c>
      <c r="Q760" t="inlineStr">
        <is>
          <t>Drakon 21</t>
        </is>
      </c>
      <c r="R760" t="inlineStr">
        <is>
          <t>2022-12-01</t>
        </is>
      </c>
      <c r="S760" t="inlineStr">
        <is>
          <t>2022-12-14</t>
        </is>
      </c>
      <c r="T760" t="inlineStr">
        <is>
          <t>Drakon 21 : 2022-12-01 - 2022-12-14</t>
        </is>
      </c>
      <c r="U760" t="inlineStr"/>
      <c r="V760" t="inlineStr"/>
      <c r="W760" t="inlineStr">
        <is>
          <t>2022-12-12T13:24:16-06:00</t>
        </is>
      </c>
      <c r="X760">
        <f>IFERROR(1/COUNTIF($I:$I,@$I:$I), 0)</f>
        <v/>
      </c>
    </row>
    <row r="761">
      <c r="A761">
        <f>HYPERLINK("https://drivetime.tpondemand.com/entity/146241", "146241")</f>
        <v/>
      </c>
      <c r="B761" t="inlineStr">
        <is>
          <t>[BC NEXT] Customer Support Center - Landing Page | Dropdown Bugs</t>
        </is>
      </c>
      <c r="C761" t="inlineStr">
        <is>
          <t>Bug</t>
        </is>
      </c>
      <c r="D761" t="inlineStr">
        <is>
          <t>Servicing: BC Next</t>
        </is>
      </c>
      <c r="E761" t="inlineStr">
        <is>
          <t>BC Digital Drakon</t>
        </is>
      </c>
      <c r="F761" t="inlineStr">
        <is>
          <t>50</t>
        </is>
      </c>
      <c r="G761" t="inlineStr">
        <is>
          <t>Abbas Shamshi</t>
        </is>
      </c>
      <c r="H761" t="inlineStr">
        <is>
          <t>[BC NEXT]Phase 3: Customer Support Center</t>
        </is>
      </c>
      <c r="I761" t="inlineStr"/>
      <c r="J761" t="n">
        <v>2.838171296296296</v>
      </c>
      <c r="K761">
        <f>HYPERLINK("https://drivetime.tpondemand.com/entity/146568", "146568")</f>
        <v/>
      </c>
      <c r="L761">
        <f>HYPERLINK("https://drivetime.tpondemand.com/entity/140305", "140305")</f>
        <v/>
      </c>
      <c r="M761" t="n">
        <v>0</v>
      </c>
      <c r="N761" t="n">
        <v>136580</v>
      </c>
      <c r="O761" t="inlineStr">
        <is>
          <t>Done</t>
        </is>
      </c>
      <c r="P761" t="n">
        <v>1</v>
      </c>
      <c r="Q761" t="inlineStr">
        <is>
          <t>Drakon 21</t>
        </is>
      </c>
      <c r="R761" t="inlineStr">
        <is>
          <t>2022-12-01</t>
        </is>
      </c>
      <c r="S761" t="inlineStr">
        <is>
          <t>2022-12-14</t>
        </is>
      </c>
      <c r="T761" t="inlineStr">
        <is>
          <t>Drakon 21 : 2022-12-01 - 2022-12-14</t>
        </is>
      </c>
      <c r="U761" t="inlineStr"/>
      <c r="V761" t="inlineStr"/>
      <c r="W761" t="inlineStr">
        <is>
          <t>2022-12-12T13:24:29-06:00</t>
        </is>
      </c>
      <c r="X761">
        <f>IFERROR(1/COUNTIF($I:$I,@$I:$I), 0)</f>
        <v/>
      </c>
    </row>
    <row r="762">
      <c r="A762">
        <f>HYPERLINK("https://drivetime.tpondemand.com/entity/146406", "146406")</f>
        <v/>
      </c>
      <c r="B762" t="inlineStr">
        <is>
          <t>[BC NEXT] Customer Support Center - Landing Page UI fixes</t>
        </is>
      </c>
      <c r="C762" t="inlineStr">
        <is>
          <t>Bug</t>
        </is>
      </c>
      <c r="D762" t="inlineStr">
        <is>
          <t>Servicing: BC Next</t>
        </is>
      </c>
      <c r="E762" t="inlineStr">
        <is>
          <t>BC Digital Drakon</t>
        </is>
      </c>
      <c r="F762" t="inlineStr">
        <is>
          <t>50</t>
        </is>
      </c>
      <c r="G762" t="inlineStr">
        <is>
          <t>Abbas Shamshi</t>
        </is>
      </c>
      <c r="H762" t="inlineStr">
        <is>
          <t>[BC NEXT]Phase 3: Customer Support Center</t>
        </is>
      </c>
      <c r="I762" t="inlineStr"/>
      <c r="J762" t="n">
        <v>0.2752893518518518</v>
      </c>
      <c r="K762">
        <f>HYPERLINK("https://drivetime.tpondemand.com/entity/146568", "146568")</f>
        <v/>
      </c>
      <c r="L762">
        <f>HYPERLINK("https://drivetime.tpondemand.com/entity/140305", "140305")</f>
        <v/>
      </c>
      <c r="M762" t="n">
        <v>0</v>
      </c>
      <c r="N762" t="n">
        <v>136580</v>
      </c>
      <c r="O762" t="inlineStr">
        <is>
          <t>Done</t>
        </is>
      </c>
      <c r="P762" t="n">
        <v>1</v>
      </c>
      <c r="Q762" t="inlineStr">
        <is>
          <t>Drakon 21</t>
        </is>
      </c>
      <c r="R762" t="inlineStr">
        <is>
          <t>2022-12-01</t>
        </is>
      </c>
      <c r="S762" t="inlineStr">
        <is>
          <t>2022-12-14</t>
        </is>
      </c>
      <c r="T762" t="inlineStr">
        <is>
          <t>Drakon 21 : 2022-12-01 - 2022-12-14</t>
        </is>
      </c>
      <c r="U762" t="inlineStr"/>
      <c r="V762" t="inlineStr"/>
      <c r="W762" t="inlineStr">
        <is>
          <t>2022-12-13T16:21:53-06:00</t>
        </is>
      </c>
      <c r="X762">
        <f>IFERROR(1/COUNTIF($I:$I,@$I:$I), 0)</f>
        <v/>
      </c>
    </row>
    <row r="763">
      <c r="A763">
        <f>HYPERLINK("https://drivetime.tpondemand.com/entity/146619", "146619")</f>
        <v/>
      </c>
      <c r="B763" t="inlineStr">
        <is>
          <t>[BC NEXT] PTC - History Page | UI Bugs</t>
        </is>
      </c>
      <c r="C763" t="inlineStr">
        <is>
          <t>Bug</t>
        </is>
      </c>
      <c r="D763" t="inlineStr">
        <is>
          <t>Servicing: BC Next</t>
        </is>
      </c>
      <c r="E763" t="inlineStr">
        <is>
          <t>BC Digital Drakon</t>
        </is>
      </c>
      <c r="F763" t="inlineStr">
        <is>
          <t>50</t>
        </is>
      </c>
      <c r="G763" t="inlineStr">
        <is>
          <t>Yokeshwaran Lokanathan</t>
        </is>
      </c>
      <c r="H763" t="inlineStr">
        <is>
          <t>[BC NEXT]Phase 3: Payment Plan (PTC)</t>
        </is>
      </c>
      <c r="I763" t="inlineStr"/>
      <c r="J763" t="n">
        <v>0.5744907407407407</v>
      </c>
      <c r="K763">
        <f>HYPERLINK("https://drivetime.tpondemand.com/entity/146744", "146744")</f>
        <v/>
      </c>
      <c r="L763">
        <f>HYPERLINK("https://drivetime.tpondemand.com/entity/141889", "141889")</f>
        <v/>
      </c>
      <c r="M763" t="n">
        <v>0</v>
      </c>
      <c r="N763" t="n">
        <v>136581</v>
      </c>
      <c r="O763" t="inlineStr">
        <is>
          <t>Done</t>
        </is>
      </c>
      <c r="P763" t="n">
        <v>1</v>
      </c>
      <c r="Q763" t="inlineStr">
        <is>
          <t>Drakon 22</t>
        </is>
      </c>
      <c r="R763" t="inlineStr">
        <is>
          <t>2022-12-15</t>
        </is>
      </c>
      <c r="S763" t="inlineStr">
        <is>
          <t>2022-12-28</t>
        </is>
      </c>
      <c r="T763" t="inlineStr">
        <is>
          <t>Drakon 22 : 2022-12-15 - 2022-12-28</t>
        </is>
      </c>
      <c r="U763" t="inlineStr"/>
      <c r="V763" t="inlineStr"/>
      <c r="W763" t="inlineStr">
        <is>
          <t>2022-12-15T15:45:29-06:00</t>
        </is>
      </c>
      <c r="X763">
        <f>IFERROR(1/COUNTIF($I:$I,@$I:$I), 0)</f>
        <v/>
      </c>
    </row>
    <row r="764">
      <c r="A764">
        <f>HYPERLINK("https://drivetime.tpondemand.com/entity/146625", "146625")</f>
        <v/>
      </c>
      <c r="B764" t="inlineStr">
        <is>
          <t>[BC NEXT] PTC - History Page | Data format Bugs</t>
        </is>
      </c>
      <c r="C764" t="inlineStr">
        <is>
          <t>Bug</t>
        </is>
      </c>
      <c r="D764" t="inlineStr">
        <is>
          <t>Servicing: BC Next</t>
        </is>
      </c>
      <c r="E764" t="inlineStr">
        <is>
          <t>BC Digital Drakon</t>
        </is>
      </c>
      <c r="F764" t="inlineStr">
        <is>
          <t>50</t>
        </is>
      </c>
      <c r="G764" t="inlineStr">
        <is>
          <t>Yokeshwaran Lokanathan</t>
        </is>
      </c>
      <c r="H764" t="inlineStr">
        <is>
          <t>[BC NEXT]Phase 3: Payment Plan (PTC)</t>
        </is>
      </c>
      <c r="I764" t="inlineStr"/>
      <c r="J764" t="n">
        <v>0</v>
      </c>
      <c r="K764">
        <f>HYPERLINK("https://drivetime.tpondemand.com/entity/146744", "146744")</f>
        <v/>
      </c>
      <c r="L764">
        <f>HYPERLINK("https://drivetime.tpondemand.com/entity/141889", "141889")</f>
        <v/>
      </c>
      <c r="M764" t="n">
        <v>0</v>
      </c>
      <c r="N764" t="n">
        <v>136580</v>
      </c>
      <c r="O764" t="inlineStr">
        <is>
          <t>Done</t>
        </is>
      </c>
      <c r="P764" t="n">
        <v>1</v>
      </c>
      <c r="Q764" t="inlineStr">
        <is>
          <t>Drakon 21</t>
        </is>
      </c>
      <c r="R764" t="inlineStr">
        <is>
          <t>2022-12-01</t>
        </is>
      </c>
      <c r="S764" t="inlineStr">
        <is>
          <t>2022-12-14</t>
        </is>
      </c>
      <c r="T764" t="inlineStr">
        <is>
          <t>Drakon 21 : 2022-12-01 - 2022-12-14</t>
        </is>
      </c>
      <c r="U764" t="inlineStr"/>
      <c r="V764" t="inlineStr"/>
      <c r="W764" t="inlineStr">
        <is>
          <t>2022-12-14T15:18:28-06:00</t>
        </is>
      </c>
      <c r="X764">
        <f>IFERROR(1/COUNTIF($I:$I,@$I:$I), 0)</f>
        <v/>
      </c>
    </row>
    <row r="765">
      <c r="A765">
        <f>HYPERLINK("https://drivetime.tpondemand.com/entity/146627", "146627")</f>
        <v/>
      </c>
      <c r="B765" t="inlineStr">
        <is>
          <t>[BC NEXT] PTC - History Page | Analytic &amp; ADA Bugs</t>
        </is>
      </c>
      <c r="C765" t="inlineStr">
        <is>
          <t>Bug</t>
        </is>
      </c>
      <c r="D765" t="inlineStr">
        <is>
          <t>Servicing: BC Next</t>
        </is>
      </c>
      <c r="E765" t="inlineStr">
        <is>
          <t>BC Digital Drakon</t>
        </is>
      </c>
      <c r="F765" t="inlineStr">
        <is>
          <t>50</t>
        </is>
      </c>
      <c r="G765" t="inlineStr">
        <is>
          <t>Yokeshwaran Lokanathan</t>
        </is>
      </c>
      <c r="H765" t="inlineStr">
        <is>
          <t>[BC NEXT]Phase 3: Payment Plan (PTC)</t>
        </is>
      </c>
      <c r="I765" t="inlineStr"/>
      <c r="J765" t="n">
        <v>0.5974189814814814</v>
      </c>
      <c r="K765">
        <f>HYPERLINK("https://drivetime.tpondemand.com/entity/146744", "146744")</f>
        <v/>
      </c>
      <c r="L765">
        <f>HYPERLINK("https://drivetime.tpondemand.com/entity/141889", "141889")</f>
        <v/>
      </c>
      <c r="M765" t="n">
        <v>0</v>
      </c>
      <c r="N765" t="n">
        <v>136581</v>
      </c>
      <c r="O765" t="inlineStr">
        <is>
          <t>Done</t>
        </is>
      </c>
      <c r="P765" t="n">
        <v>1</v>
      </c>
      <c r="Q765" t="inlineStr">
        <is>
          <t>Drakon 22</t>
        </is>
      </c>
      <c r="R765" t="inlineStr">
        <is>
          <t>2022-12-15</t>
        </is>
      </c>
      <c r="S765" t="inlineStr">
        <is>
          <t>2022-12-28</t>
        </is>
      </c>
      <c r="T765" t="inlineStr">
        <is>
          <t>Drakon 22 : 2022-12-15 - 2022-12-28</t>
        </is>
      </c>
      <c r="U765" t="inlineStr"/>
      <c r="V765" t="inlineStr"/>
      <c r="W765" t="inlineStr">
        <is>
          <t>2022-12-15T16:18:34-06:00</t>
        </is>
      </c>
      <c r="X765">
        <f>IFERROR(1/COUNTIF($I:$I,@$I:$I), 0)</f>
        <v/>
      </c>
    </row>
    <row r="766">
      <c r="A766">
        <f>HYPERLINK("https://drivetime.tpondemand.com/entity/146629", "146629")</f>
        <v/>
      </c>
      <c r="B766" t="inlineStr">
        <is>
          <t>[BC NEXT] PTC - History Page | Edge Case</t>
        </is>
      </c>
      <c r="C766" t="inlineStr">
        <is>
          <t>Bug</t>
        </is>
      </c>
      <c r="D766" t="inlineStr">
        <is>
          <t>Servicing: BC Next</t>
        </is>
      </c>
      <c r="E766" t="inlineStr">
        <is>
          <t>BC Digital Drakon</t>
        </is>
      </c>
      <c r="F766" t="inlineStr">
        <is>
          <t>50</t>
        </is>
      </c>
      <c r="G766" t="inlineStr">
        <is>
          <t>Yokeshwaran Lokanathan</t>
        </is>
      </c>
      <c r="H766" t="inlineStr">
        <is>
          <t>[BC NEXT]Phase 3: Payment Plan (PTC)</t>
        </is>
      </c>
      <c r="I766" t="inlineStr"/>
      <c r="J766" t="n">
        <v>0</v>
      </c>
      <c r="K766">
        <f>HYPERLINK("https://drivetime.tpondemand.com/entity/146744", "146744")</f>
        <v/>
      </c>
      <c r="L766">
        <f>HYPERLINK("https://drivetime.tpondemand.com/entity/141889", "141889")</f>
        <v/>
      </c>
      <c r="M766" t="n">
        <v>0</v>
      </c>
      <c r="N766" t="n">
        <v>136580</v>
      </c>
      <c r="O766" t="inlineStr">
        <is>
          <t>Done</t>
        </is>
      </c>
      <c r="P766" t="n">
        <v>1</v>
      </c>
      <c r="Q766" t="inlineStr">
        <is>
          <t>Drakon 21</t>
        </is>
      </c>
      <c r="R766" t="inlineStr">
        <is>
          <t>2022-12-01</t>
        </is>
      </c>
      <c r="S766" t="inlineStr">
        <is>
          <t>2022-12-14</t>
        </is>
      </c>
      <c r="T766" t="inlineStr">
        <is>
          <t>Drakon 21 : 2022-12-01 - 2022-12-14</t>
        </is>
      </c>
      <c r="U766" t="inlineStr"/>
      <c r="V766" t="inlineStr"/>
      <c r="W766" t="inlineStr">
        <is>
          <t>2022-12-14T14:25:11-06:00</t>
        </is>
      </c>
      <c r="X766">
        <f>IFERROR(1/COUNTIF($I:$I,@$I:$I), 0)</f>
        <v/>
      </c>
    </row>
    <row r="767">
      <c r="A767">
        <f>HYPERLINK("https://drivetime.tpondemand.com/entity/146741", "146741")</f>
        <v/>
      </c>
      <c r="B767" t="inlineStr">
        <is>
          <t>[BC NEXT] Plan to Cure - No space between details card and footer</t>
        </is>
      </c>
      <c r="C767" t="inlineStr">
        <is>
          <t>Bug</t>
        </is>
      </c>
      <c r="D767" t="inlineStr">
        <is>
          <t>Servicing: BC Next</t>
        </is>
      </c>
      <c r="E767" t="inlineStr">
        <is>
          <t>BC Digital Drakon</t>
        </is>
      </c>
      <c r="F767" t="inlineStr">
        <is>
          <t>50</t>
        </is>
      </c>
      <c r="G767" t="inlineStr">
        <is>
          <t>Shyam Senthil Nathan</t>
        </is>
      </c>
      <c r="H767" t="inlineStr">
        <is>
          <t>[BC NEXT]Phase 3: Payment Plan (PTC)</t>
        </is>
      </c>
      <c r="I767" t="inlineStr"/>
      <c r="J767" t="n">
        <v>0.05063657407407407</v>
      </c>
      <c r="K767">
        <f>HYPERLINK("https://drivetime.tpondemand.com/entity/146744", "146744")</f>
        <v/>
      </c>
      <c r="L767">
        <f>HYPERLINK("https://drivetime.tpondemand.com/entity/145756", "145756")</f>
        <v/>
      </c>
      <c r="M767" t="n">
        <v>0</v>
      </c>
      <c r="N767" t="n">
        <v>136581</v>
      </c>
      <c r="O767" t="inlineStr">
        <is>
          <t>Done</t>
        </is>
      </c>
      <c r="P767" t="n">
        <v>1</v>
      </c>
      <c r="Q767" t="inlineStr">
        <is>
          <t>Drakon 22</t>
        </is>
      </c>
      <c r="R767" t="inlineStr">
        <is>
          <t>2022-12-15</t>
        </is>
      </c>
      <c r="S767" t="inlineStr">
        <is>
          <t>2022-12-28</t>
        </is>
      </c>
      <c r="T767" t="inlineStr">
        <is>
          <t>Drakon 22 : 2022-12-15 - 2022-12-28</t>
        </is>
      </c>
      <c r="U767" t="inlineStr"/>
      <c r="V767" t="inlineStr"/>
      <c r="W767" t="inlineStr">
        <is>
          <t>2022-12-16T07:41:48-06:00</t>
        </is>
      </c>
      <c r="X767">
        <f>IFERROR(1/COUNTIF($I:$I,@$I:$I), 0)</f>
        <v/>
      </c>
    </row>
    <row r="768">
      <c r="A768">
        <f>HYPERLINK("https://drivetime.tpondemand.com/entity/146746", "146746")</f>
        <v/>
      </c>
      <c r="B768" t="inlineStr">
        <is>
          <t>[BC NEXT] PTC - History Page | Alignment Issues</t>
        </is>
      </c>
      <c r="C768" t="inlineStr">
        <is>
          <t>Bug</t>
        </is>
      </c>
      <c r="D768" t="inlineStr">
        <is>
          <t>Servicing: BC Next</t>
        </is>
      </c>
      <c r="E768" t="inlineStr">
        <is>
          <t>BC Digital Drakon</t>
        </is>
      </c>
      <c r="F768" t="inlineStr">
        <is>
          <t>50</t>
        </is>
      </c>
      <c r="G768" t="inlineStr">
        <is>
          <t>Yokeshwaran Lokanathan</t>
        </is>
      </c>
      <c r="H768" t="inlineStr">
        <is>
          <t>[BC NEXT]Phase 3: Payment Plan (PTC)</t>
        </is>
      </c>
      <c r="I768" t="inlineStr"/>
      <c r="J768" t="n">
        <v>0.1953703703703704</v>
      </c>
      <c r="K768">
        <f>HYPERLINK("https://drivetime.tpondemand.com/entity/146744", "146744")</f>
        <v/>
      </c>
      <c r="L768">
        <f>HYPERLINK("https://drivetime.tpondemand.com/entity/141889", "141889")</f>
        <v/>
      </c>
      <c r="M768" t="n">
        <v>0</v>
      </c>
      <c r="N768" t="n">
        <v>136581</v>
      </c>
      <c r="O768" t="inlineStr">
        <is>
          <t>Done</t>
        </is>
      </c>
      <c r="P768" t="n">
        <v>1</v>
      </c>
      <c r="Q768" t="inlineStr">
        <is>
          <t>Drakon 22</t>
        </is>
      </c>
      <c r="R768" t="inlineStr">
        <is>
          <t>2022-12-15</t>
        </is>
      </c>
      <c r="S768" t="inlineStr">
        <is>
          <t>2022-12-28</t>
        </is>
      </c>
      <c r="T768" t="inlineStr">
        <is>
          <t>Drakon 22 : 2022-12-15 - 2022-12-28</t>
        </is>
      </c>
      <c r="U768" t="inlineStr"/>
      <c r="V768" t="inlineStr"/>
      <c r="W768" t="inlineStr">
        <is>
          <t>2022-12-16T12:18:16-06:00</t>
        </is>
      </c>
      <c r="X768">
        <f>IFERROR(1/COUNTIF($I:$I,@$I:$I), 0)</f>
        <v/>
      </c>
    </row>
    <row r="769">
      <c r="A769">
        <f>HYPERLINK("https://drivetime.tpondemand.com/entity/146818", "146818")</f>
        <v/>
      </c>
      <c r="B769" t="inlineStr">
        <is>
          <t>PTC cancelation modal Issues</t>
        </is>
      </c>
      <c r="C769" t="inlineStr">
        <is>
          <t>Bug</t>
        </is>
      </c>
      <c r="D769" t="inlineStr">
        <is>
          <t>Servicing: BC Next</t>
        </is>
      </c>
      <c r="E769" t="inlineStr">
        <is>
          <t>BC Digital Drakon</t>
        </is>
      </c>
      <c r="F769" t="inlineStr">
        <is>
          <t>51</t>
        </is>
      </c>
      <c r="G769" t="inlineStr">
        <is>
          <t>Pete Wesselius</t>
        </is>
      </c>
      <c r="H769" t="inlineStr">
        <is>
          <t>[BC NEXT]Phase 3: Payment Plan (PTC)</t>
        </is>
      </c>
      <c r="I769" t="inlineStr"/>
      <c r="J769" t="n">
        <v>0.9352314814814815</v>
      </c>
      <c r="K769">
        <f>HYPERLINK("https://drivetime.tpondemand.com/entity/146744", "146744")</f>
        <v/>
      </c>
      <c r="L769">
        <f>HYPERLINK("https://drivetime.tpondemand.com/entity/142001", "142001")</f>
        <v/>
      </c>
      <c r="M769" t="n">
        <v>0</v>
      </c>
      <c r="N769" t="n">
        <v>136581</v>
      </c>
      <c r="O769" t="inlineStr">
        <is>
          <t>Done</t>
        </is>
      </c>
      <c r="P769" t="n">
        <v>1</v>
      </c>
      <c r="Q769" t="inlineStr">
        <is>
          <t>Drakon 22</t>
        </is>
      </c>
      <c r="R769" t="inlineStr">
        <is>
          <t>2022-12-15</t>
        </is>
      </c>
      <c r="S769" t="inlineStr">
        <is>
          <t>2022-12-28</t>
        </is>
      </c>
      <c r="T769" t="inlineStr">
        <is>
          <t>Drakon 22 : 2022-12-15 - 2022-12-28</t>
        </is>
      </c>
      <c r="U769" t="inlineStr"/>
      <c r="V769" t="inlineStr"/>
      <c r="W769" t="inlineStr">
        <is>
          <t>2022-12-20T07:34:37-06:00</t>
        </is>
      </c>
      <c r="X769">
        <f>IFERROR(1/COUNTIF($I:$I,@$I:$I), 0)</f>
        <v/>
      </c>
    </row>
    <row r="770">
      <c r="A770">
        <f>HYPERLINK("https://drivetime.tpondemand.com/entity/146842", "146842")</f>
        <v/>
      </c>
      <c r="B770" t="inlineStr">
        <is>
          <t>Duplicate information in PTC page</t>
        </is>
      </c>
      <c r="C770" t="inlineStr">
        <is>
          <t>Bug</t>
        </is>
      </c>
      <c r="D770" t="inlineStr">
        <is>
          <t>Servicing: BC Next</t>
        </is>
      </c>
      <c r="E770" t="inlineStr">
        <is>
          <t>BC Digital Drakon</t>
        </is>
      </c>
      <c r="F770" t="inlineStr">
        <is>
          <t>51</t>
        </is>
      </c>
      <c r="G770" t="inlineStr">
        <is>
          <t>Pete Wesselius</t>
        </is>
      </c>
      <c r="H770" t="inlineStr">
        <is>
          <t>[BC NEXT]Phase 3: Payment Plan (PTC)</t>
        </is>
      </c>
      <c r="I770" t="inlineStr"/>
      <c r="J770" t="n">
        <v>0.7744560185185185</v>
      </c>
      <c r="K770">
        <f>HYPERLINK("https://drivetime.tpondemand.com/entity/146744", "146744")</f>
        <v/>
      </c>
      <c r="L770">
        <f>HYPERLINK("https://drivetime.tpondemand.com/entity/142001", "142001")</f>
        <v/>
      </c>
      <c r="M770" t="n">
        <v>0</v>
      </c>
      <c r="N770" t="n">
        <v>136581</v>
      </c>
      <c r="O770" t="inlineStr">
        <is>
          <t>Done</t>
        </is>
      </c>
      <c r="P770" t="n">
        <v>1</v>
      </c>
      <c r="Q770" t="inlineStr">
        <is>
          <t>Drakon 22</t>
        </is>
      </c>
      <c r="R770" t="inlineStr">
        <is>
          <t>2022-12-15</t>
        </is>
      </c>
      <c r="S770" t="inlineStr">
        <is>
          <t>2022-12-28</t>
        </is>
      </c>
      <c r="T770" t="inlineStr">
        <is>
          <t>Drakon 22 : 2022-12-15 - 2022-12-28</t>
        </is>
      </c>
      <c r="U770" t="inlineStr"/>
      <c r="V770" t="inlineStr"/>
      <c r="W770" t="inlineStr">
        <is>
          <t>2022-12-20T07:34:54-06:00</t>
        </is>
      </c>
      <c r="X770">
        <f>IFERROR(1/COUNTIF($I:$I,@$I:$I), 0)</f>
        <v/>
      </c>
    </row>
    <row r="771">
      <c r="A771">
        <f>HYPERLINK("https://drivetime.tpondemand.com/entity/146849", "146849")</f>
        <v/>
      </c>
      <c r="B771" t="inlineStr">
        <is>
          <t>12/19 PTC cancelation modal issues 2</t>
        </is>
      </c>
      <c r="C771" t="inlineStr">
        <is>
          <t>Bug</t>
        </is>
      </c>
      <c r="D771" t="inlineStr">
        <is>
          <t>Servicing: BC Next</t>
        </is>
      </c>
      <c r="E771" t="inlineStr">
        <is>
          <t>BC Digital Drakon</t>
        </is>
      </c>
      <c r="F771" t="inlineStr">
        <is>
          <t>51</t>
        </is>
      </c>
      <c r="G771" t="inlineStr">
        <is>
          <t>Pete Wesselius</t>
        </is>
      </c>
      <c r="H771" t="inlineStr">
        <is>
          <t>null</t>
        </is>
      </c>
      <c r="I771" t="inlineStr"/>
      <c r="J771" t="n">
        <v>0.7707638888888888</v>
      </c>
      <c r="K771">
        <f>HYPERLINK("https://drivetime.tpondemand.com/entity/146744", "146744")</f>
        <v/>
      </c>
      <c r="L771" t="inlineStr"/>
      <c r="M771" t="n">
        <v>0</v>
      </c>
      <c r="N771" t="n">
        <v>136581</v>
      </c>
      <c r="O771" t="inlineStr">
        <is>
          <t>Done</t>
        </is>
      </c>
      <c r="P771" t="n">
        <v>1</v>
      </c>
      <c r="Q771" t="inlineStr">
        <is>
          <t>Drakon 22</t>
        </is>
      </c>
      <c r="R771" t="inlineStr">
        <is>
          <t>2022-12-15</t>
        </is>
      </c>
      <c r="S771" t="inlineStr">
        <is>
          <t>2022-12-28</t>
        </is>
      </c>
      <c r="T771" t="inlineStr">
        <is>
          <t>Drakon 22 : 2022-12-15 - 2022-12-28</t>
        </is>
      </c>
      <c r="U771" t="inlineStr"/>
      <c r="V771" t="inlineStr"/>
      <c r="W771" t="inlineStr">
        <is>
          <t>2022-12-20T07:44:51-06:00</t>
        </is>
      </c>
      <c r="X771">
        <f>IFERROR(1/COUNTIF($I:$I,@$I:$I), 0)</f>
        <v/>
      </c>
    </row>
    <row r="772">
      <c r="A772">
        <f>HYPERLINK("https://drivetime.tpondemand.com/entity/146851", "146851")</f>
        <v/>
      </c>
      <c r="B772" t="inlineStr">
        <is>
          <t>[BC NEXT] PTC - Missing Analytics</t>
        </is>
      </c>
      <c r="C772" t="inlineStr">
        <is>
          <t>Bug</t>
        </is>
      </c>
      <c r="D772" t="inlineStr">
        <is>
          <t>Servicing: BC Next</t>
        </is>
      </c>
      <c r="E772" t="inlineStr">
        <is>
          <t>BC Digital Drakon</t>
        </is>
      </c>
      <c r="F772" t="inlineStr">
        <is>
          <t>51</t>
        </is>
      </c>
      <c r="G772" t="inlineStr">
        <is>
          <t>Pete Wesselius</t>
        </is>
      </c>
      <c r="H772" t="inlineStr">
        <is>
          <t>[BC NEXT]Phase 3: Payment Plan (PTC)</t>
        </is>
      </c>
      <c r="I772" t="inlineStr"/>
      <c r="J772" t="n">
        <v>0.866412037037037</v>
      </c>
      <c r="K772">
        <f>HYPERLINK("https://drivetime.tpondemand.com/entity/146744", "146744")</f>
        <v/>
      </c>
      <c r="L772">
        <f>HYPERLINK("https://drivetime.tpondemand.com/entity/142001", "142001")</f>
        <v/>
      </c>
      <c r="M772" t="n">
        <v>0</v>
      </c>
      <c r="N772" t="n">
        <v>136581</v>
      </c>
      <c r="O772" t="inlineStr">
        <is>
          <t>Done</t>
        </is>
      </c>
      <c r="P772" t="n">
        <v>1</v>
      </c>
      <c r="Q772" t="inlineStr">
        <is>
          <t>Drakon 22</t>
        </is>
      </c>
      <c r="R772" t="inlineStr">
        <is>
          <t>2022-12-15</t>
        </is>
      </c>
      <c r="S772" t="inlineStr">
        <is>
          <t>2022-12-28</t>
        </is>
      </c>
      <c r="T772" t="inlineStr">
        <is>
          <t>Drakon 22 : 2022-12-15 - 2022-12-28</t>
        </is>
      </c>
      <c r="U772" t="inlineStr"/>
      <c r="V772" t="inlineStr"/>
      <c r="W772" t="inlineStr">
        <is>
          <t>2022-12-20T11:48:41-06:00</t>
        </is>
      </c>
      <c r="X772">
        <f>IFERROR(1/COUNTIF($I:$I,@$I:$I), 0)</f>
        <v/>
      </c>
    </row>
    <row r="773">
      <c r="A773">
        <f>HYPERLINK("https://drivetime.tpondemand.com/entity/146878", "146878")</f>
        <v/>
      </c>
      <c r="B773" t="inlineStr">
        <is>
          <t>Edit Address Modals - Both Addresses Selected On Verify Screen</t>
        </is>
      </c>
      <c r="C773" t="inlineStr">
        <is>
          <t>Bug</t>
        </is>
      </c>
      <c r="D773" t="inlineStr">
        <is>
          <t>Servicing: BC Next</t>
        </is>
      </c>
      <c r="E773" t="inlineStr">
        <is>
          <t>BC Digital Drakon</t>
        </is>
      </c>
      <c r="F773" t="inlineStr">
        <is>
          <t>52</t>
        </is>
      </c>
      <c r="G773" t="inlineStr">
        <is>
          <t>Antonio Posada</t>
        </is>
      </c>
      <c r="H773" t="inlineStr">
        <is>
          <t>[BC NEXT] Phase 3: Account Settings/My Profile</t>
        </is>
      </c>
      <c r="I773" t="inlineStr"/>
      <c r="J773" t="n">
        <v>5.807731481481481</v>
      </c>
      <c r="K773" t="inlineStr"/>
      <c r="L773">
        <f>HYPERLINK("https://drivetime.tpondemand.com/entity/138989", "138989")</f>
        <v/>
      </c>
      <c r="M773" t="n">
        <v>0</v>
      </c>
      <c r="N773" t="n">
        <v>136581</v>
      </c>
      <c r="O773" t="inlineStr">
        <is>
          <t>Done</t>
        </is>
      </c>
      <c r="P773" t="n">
        <v>1</v>
      </c>
      <c r="Q773" t="inlineStr">
        <is>
          <t>Drakon 22</t>
        </is>
      </c>
      <c r="R773" t="inlineStr">
        <is>
          <t>2022-12-15</t>
        </is>
      </c>
      <c r="S773" t="inlineStr">
        <is>
          <t>2022-12-28</t>
        </is>
      </c>
      <c r="T773" t="inlineStr">
        <is>
          <t>Drakon 22 : 2022-12-15 - 2022-12-28</t>
        </is>
      </c>
      <c r="U773" t="inlineStr"/>
      <c r="V773" t="inlineStr"/>
      <c r="W773" t="inlineStr">
        <is>
          <t>2022-12-26T05:17:24-06:00</t>
        </is>
      </c>
      <c r="X773">
        <f>IFERROR(1/COUNTIF($I:$I,@$I:$I), 0)</f>
        <v/>
      </c>
    </row>
    <row r="774">
      <c r="A774">
        <f>HYPERLINK("https://drivetime.tpondemand.com/entity/146882", "146882")</f>
        <v/>
      </c>
      <c r="B774" t="inlineStr">
        <is>
          <t>Clicking on Cancel Payment Plan is not opening cancelation modal in mobile view</t>
        </is>
      </c>
      <c r="C774" t="inlineStr">
        <is>
          <t>Bug</t>
        </is>
      </c>
      <c r="D774" t="inlineStr">
        <is>
          <t>Servicing: BC Next</t>
        </is>
      </c>
      <c r="E774" t="inlineStr">
        <is>
          <t>BC Digital Drakon</t>
        </is>
      </c>
      <c r="F774" t="inlineStr">
        <is>
          <t>51</t>
        </is>
      </c>
      <c r="G774" t="inlineStr">
        <is>
          <t>Pete Wesselius</t>
        </is>
      </c>
      <c r="H774" t="inlineStr">
        <is>
          <t>[BC NEXT]Phase 3: Payment Plan (PTC)</t>
        </is>
      </c>
      <c r="I774" t="inlineStr"/>
      <c r="J774" t="n">
        <v>0.04153935185185185</v>
      </c>
      <c r="K774">
        <f>HYPERLINK("https://drivetime.tpondemand.com/entity/146744", "146744")</f>
        <v/>
      </c>
      <c r="L774">
        <f>HYPERLINK("https://drivetime.tpondemand.com/entity/142001", "142001")</f>
        <v/>
      </c>
      <c r="M774" t="n">
        <v>0</v>
      </c>
      <c r="N774" t="n">
        <v>136581</v>
      </c>
      <c r="O774" t="inlineStr">
        <is>
          <t>Done</t>
        </is>
      </c>
      <c r="P774" t="n">
        <v>1</v>
      </c>
      <c r="Q774" t="inlineStr">
        <is>
          <t>Drakon 22</t>
        </is>
      </c>
      <c r="R774" t="inlineStr">
        <is>
          <t>2022-12-15</t>
        </is>
      </c>
      <c r="S774" t="inlineStr">
        <is>
          <t>2022-12-28</t>
        </is>
      </c>
      <c r="T774" t="inlineStr">
        <is>
          <t>Drakon 22 : 2022-12-15 - 2022-12-28</t>
        </is>
      </c>
      <c r="U774" t="inlineStr"/>
      <c r="V774" t="inlineStr"/>
      <c r="W774" t="inlineStr">
        <is>
          <t>2022-12-20T11:48:49-06:00</t>
        </is>
      </c>
      <c r="X774">
        <f>IFERROR(1/COUNTIF($I:$I,@$I:$I), 0)</f>
        <v/>
      </c>
    </row>
    <row r="775">
      <c r="A775">
        <f>HYPERLINK("https://drivetime.tpondemand.com/entity/146883", "146883")</f>
        <v/>
      </c>
      <c r="B775" t="inlineStr">
        <is>
          <t>PTC Cancel modal  - delay/caching issues</t>
        </is>
      </c>
      <c r="C775" t="inlineStr">
        <is>
          <t>Bug</t>
        </is>
      </c>
      <c r="D775" t="inlineStr">
        <is>
          <t>Servicing: BC Next</t>
        </is>
      </c>
      <c r="E775" t="inlineStr">
        <is>
          <t>BC Digital Drakon</t>
        </is>
      </c>
      <c r="F775" t="inlineStr">
        <is>
          <t>51</t>
        </is>
      </c>
      <c r="G775" t="inlineStr">
        <is>
          <t>Pete Wesselius</t>
        </is>
      </c>
      <c r="H775" t="inlineStr">
        <is>
          <t>[BC NEXT]Phase 3: Payment Plan (PTC)</t>
        </is>
      </c>
      <c r="I775" t="inlineStr"/>
      <c r="J775" t="n">
        <v>0.06384259259259259</v>
      </c>
      <c r="K775">
        <f>HYPERLINK("https://drivetime.tpondemand.com/entity/146744", "146744")</f>
        <v/>
      </c>
      <c r="L775">
        <f>HYPERLINK("https://drivetime.tpondemand.com/entity/142001", "142001")</f>
        <v/>
      </c>
      <c r="M775" t="n">
        <v>0</v>
      </c>
      <c r="N775" t="n">
        <v>136581</v>
      </c>
      <c r="O775" t="inlineStr">
        <is>
          <t>Done</t>
        </is>
      </c>
      <c r="P775" t="n">
        <v>1</v>
      </c>
      <c r="Q775" t="inlineStr">
        <is>
          <t>Drakon 22</t>
        </is>
      </c>
      <c r="R775" t="inlineStr">
        <is>
          <t>2022-12-15</t>
        </is>
      </c>
      <c r="S775" t="inlineStr">
        <is>
          <t>2022-12-28</t>
        </is>
      </c>
      <c r="T775" t="inlineStr">
        <is>
          <t>Drakon 22 : 2022-12-15 - 2022-12-28</t>
        </is>
      </c>
      <c r="U775" t="inlineStr"/>
      <c r="V775" t="inlineStr"/>
      <c r="W775" t="inlineStr">
        <is>
          <t>2022-12-20T12:20:56-06:00</t>
        </is>
      </c>
      <c r="X775">
        <f>IFERROR(1/COUNTIF($I:$I,@$I:$I), 0)</f>
        <v/>
      </c>
    </row>
    <row r="776">
      <c r="A776">
        <f>HYPERLINK("https://drivetime.tpondemand.com/entity/146884", "146884")</f>
        <v/>
      </c>
      <c r="B776" t="inlineStr">
        <is>
          <t>PTC Cancel success issues</t>
        </is>
      </c>
      <c r="C776" t="inlineStr">
        <is>
          <t>Bug</t>
        </is>
      </c>
      <c r="D776" t="inlineStr">
        <is>
          <t>Servicing: BC Next</t>
        </is>
      </c>
      <c r="E776" t="inlineStr">
        <is>
          <t>BC Digital Drakon</t>
        </is>
      </c>
      <c r="F776" t="inlineStr">
        <is>
          <t>51</t>
        </is>
      </c>
      <c r="G776" t="inlineStr">
        <is>
          <t>Pete Wesselius</t>
        </is>
      </c>
      <c r="H776" t="inlineStr">
        <is>
          <t>[BC NEXT]Phase 3: Payment Plan (PTC)</t>
        </is>
      </c>
      <c r="I776" t="inlineStr"/>
      <c r="J776" t="n">
        <v>0.04170138888888889</v>
      </c>
      <c r="K776">
        <f>HYPERLINK("https://drivetime.tpondemand.com/entity/146744", "146744")</f>
        <v/>
      </c>
      <c r="L776">
        <f>HYPERLINK("https://drivetime.tpondemand.com/entity/142001", "142001")</f>
        <v/>
      </c>
      <c r="M776" t="n">
        <v>0</v>
      </c>
      <c r="N776" t="n">
        <v>136581</v>
      </c>
      <c r="O776" t="inlineStr">
        <is>
          <t>Done</t>
        </is>
      </c>
      <c r="P776" t="n">
        <v>1</v>
      </c>
      <c r="Q776" t="inlineStr">
        <is>
          <t>Drakon 22</t>
        </is>
      </c>
      <c r="R776" t="inlineStr">
        <is>
          <t>2022-12-15</t>
        </is>
      </c>
      <c r="S776" t="inlineStr">
        <is>
          <t>2022-12-28</t>
        </is>
      </c>
      <c r="T776" t="inlineStr">
        <is>
          <t>Drakon 22 : 2022-12-15 - 2022-12-28</t>
        </is>
      </c>
      <c r="U776" t="inlineStr"/>
      <c r="V776" t="inlineStr"/>
      <c r="W776" t="inlineStr">
        <is>
          <t>2022-12-20T11:49:03-06:00</t>
        </is>
      </c>
      <c r="X776">
        <f>IFERROR(1/COUNTIF($I:$I,@$I:$I), 0)</f>
        <v/>
      </c>
    </row>
    <row r="777">
      <c r="A777">
        <f>HYPERLINK("https://drivetime.tpondemand.com/entity/147258", "147258")</f>
        <v/>
      </c>
      <c r="B777" t="inlineStr">
        <is>
          <t>[BC NEXT] My Profile - Missing Analytics from Add/Edit Address Modal</t>
        </is>
      </c>
      <c r="C777" t="inlineStr">
        <is>
          <t>Bug</t>
        </is>
      </c>
      <c r="D777" t="inlineStr">
        <is>
          <t>Servicing: BC Next</t>
        </is>
      </c>
      <c r="E777" t="inlineStr">
        <is>
          <t>BC Digital Drakon</t>
        </is>
      </c>
      <c r="F777" t="inlineStr">
        <is>
          <t>52</t>
        </is>
      </c>
      <c r="G777" t="inlineStr">
        <is>
          <t>Antonio Posada</t>
        </is>
      </c>
      <c r="H777" t="inlineStr">
        <is>
          <t>[BC NEXT] Phase 3: Account Settings/My Profile</t>
        </is>
      </c>
      <c r="I777" t="inlineStr"/>
      <c r="J777" t="n">
        <v>2.763402777777778</v>
      </c>
      <c r="K777">
        <f>HYPERLINK("https://drivetime.tpondemand.com/entity/147266", "147266")</f>
        <v/>
      </c>
      <c r="L777">
        <f>HYPERLINK("https://drivetime.tpondemand.com/entity/138989", "138989")</f>
        <v/>
      </c>
      <c r="M777" t="n">
        <v>0</v>
      </c>
      <c r="N777" t="n">
        <v>146434</v>
      </c>
      <c r="O777" t="inlineStr">
        <is>
          <t>Done</t>
        </is>
      </c>
      <c r="P777" t="n">
        <v>1</v>
      </c>
      <c r="Q777" t="inlineStr">
        <is>
          <t>Drakon 23</t>
        </is>
      </c>
      <c r="R777" t="inlineStr">
        <is>
          <t>2022-12-29</t>
        </is>
      </c>
      <c r="S777" t="inlineStr">
        <is>
          <t>2023-01-11</t>
        </is>
      </c>
      <c r="T777" t="inlineStr">
        <is>
          <t>Drakon 23 : 2022-12-29 - 2023-01-11</t>
        </is>
      </c>
      <c r="U777" t="inlineStr"/>
      <c r="V777" t="inlineStr"/>
      <c r="W777" t="inlineStr">
        <is>
          <t>2022-12-30T08:44:43-06:00</t>
        </is>
      </c>
      <c r="X777">
        <f>IFERROR(1/COUNTIF($I:$I,@$I:$I), 0)</f>
        <v/>
      </c>
    </row>
    <row r="778">
      <c r="A778">
        <f>HYPERLINK("https://drivetime.tpondemand.com/entity/147260", "147260")</f>
        <v/>
      </c>
      <c r="B778" t="inlineStr">
        <is>
          <t>[BC NEXT] My Profile - Add/Edit Address Modal incorrect size</t>
        </is>
      </c>
      <c r="C778" t="inlineStr">
        <is>
          <t>Bug</t>
        </is>
      </c>
      <c r="D778" t="inlineStr">
        <is>
          <t>Servicing: BC Next</t>
        </is>
      </c>
      <c r="E778" t="inlineStr">
        <is>
          <t>BC Digital Drakon</t>
        </is>
      </c>
      <c r="F778" t="inlineStr">
        <is>
          <t>52</t>
        </is>
      </c>
      <c r="G778" t="inlineStr">
        <is>
          <t>Antonio Posada</t>
        </is>
      </c>
      <c r="H778" t="inlineStr">
        <is>
          <t>[BC NEXT] Phase 3: Account Settings/My Profile</t>
        </is>
      </c>
      <c r="I778" t="inlineStr"/>
      <c r="J778" t="n">
        <v>2.736840277777778</v>
      </c>
      <c r="K778">
        <f>HYPERLINK("https://drivetime.tpondemand.com/entity/147266", "147266")</f>
        <v/>
      </c>
      <c r="L778">
        <f>HYPERLINK("https://drivetime.tpondemand.com/entity/138989", "138989")</f>
        <v/>
      </c>
      <c r="M778" t="n">
        <v>0</v>
      </c>
      <c r="N778" t="n">
        <v>146434</v>
      </c>
      <c r="O778" t="inlineStr">
        <is>
          <t>Done</t>
        </is>
      </c>
      <c r="P778" t="n">
        <v>1</v>
      </c>
      <c r="Q778" t="inlineStr">
        <is>
          <t>Drakon 23</t>
        </is>
      </c>
      <c r="R778" t="inlineStr">
        <is>
          <t>2022-12-29</t>
        </is>
      </c>
      <c r="S778" t="inlineStr">
        <is>
          <t>2023-01-11</t>
        </is>
      </c>
      <c r="T778" t="inlineStr">
        <is>
          <t>Drakon 23 : 2022-12-29 - 2023-01-11</t>
        </is>
      </c>
      <c r="U778" t="inlineStr"/>
      <c r="V778" t="inlineStr"/>
      <c r="W778" t="inlineStr">
        <is>
          <t>2022-12-30T08:40:10-06:00</t>
        </is>
      </c>
      <c r="X778">
        <f>IFERROR(1/COUNTIF($I:$I,@$I:$I), 0)</f>
        <v/>
      </c>
    </row>
    <row r="779">
      <c r="A779">
        <f>HYPERLINK("https://drivetime.tpondemand.com/entity/147262", "147262")</f>
        <v/>
      </c>
      <c r="B779" t="inlineStr">
        <is>
          <t>[BC NEXT] CSC My Bridgecrest Account - Hover state missing from breadcrumbs</t>
        </is>
      </c>
      <c r="C779" t="inlineStr">
        <is>
          <t>Bug</t>
        </is>
      </c>
      <c r="D779" t="inlineStr">
        <is>
          <t>Servicing: BC Next</t>
        </is>
      </c>
      <c r="E779" t="inlineStr">
        <is>
          <t>BC Digital Drakon</t>
        </is>
      </c>
      <c r="F779" t="inlineStr">
        <is>
          <t>52</t>
        </is>
      </c>
      <c r="G779" t="inlineStr">
        <is>
          <t>Abbas Shamshi</t>
        </is>
      </c>
      <c r="H779" t="inlineStr">
        <is>
          <t>[BC NEXT]Phase 3: Customer Support Center</t>
        </is>
      </c>
      <c r="I779" t="inlineStr"/>
      <c r="J779" t="n">
        <v>0.04424768518518518</v>
      </c>
      <c r="K779" t="inlineStr"/>
      <c r="L779">
        <f>HYPERLINK("https://drivetime.tpondemand.com/entity/140331", "140331")</f>
        <v/>
      </c>
      <c r="M779" t="n">
        <v>0</v>
      </c>
      <c r="N779" t="n">
        <v>136581</v>
      </c>
      <c r="O779" t="inlineStr">
        <is>
          <t>Done</t>
        </is>
      </c>
      <c r="P779" t="n">
        <v>1</v>
      </c>
      <c r="Q779" t="inlineStr">
        <is>
          <t>Drakon 22</t>
        </is>
      </c>
      <c r="R779" t="inlineStr">
        <is>
          <t>2022-12-15</t>
        </is>
      </c>
      <c r="S779" t="inlineStr">
        <is>
          <t>2022-12-28</t>
        </is>
      </c>
      <c r="T779" t="inlineStr">
        <is>
          <t>Drakon 22 : 2022-12-15 - 2022-12-28</t>
        </is>
      </c>
      <c r="U779" t="inlineStr"/>
      <c r="V779" t="inlineStr"/>
      <c r="W779" t="inlineStr">
        <is>
          <t>2022-12-27T16:00:51-06:00</t>
        </is>
      </c>
      <c r="X779">
        <f>IFERROR(1/COUNTIF($I:$I,@$I:$I), 0)</f>
        <v/>
      </c>
    </row>
    <row r="780">
      <c r="A780">
        <f>HYPERLINK("https://drivetime.tpondemand.com/entity/147375", "147375")</f>
        <v/>
      </c>
      <c r="B780" t="inlineStr">
        <is>
          <t>fix spelling typo</t>
        </is>
      </c>
      <c r="C780" t="inlineStr">
        <is>
          <t>Bug</t>
        </is>
      </c>
      <c r="D780" t="inlineStr">
        <is>
          <t>Servicing: BC Next</t>
        </is>
      </c>
      <c r="E780" t="inlineStr">
        <is>
          <t>BC Digital Drakon</t>
        </is>
      </c>
      <c r="F780" t="inlineStr"/>
      <c r="G780" t="inlineStr"/>
      <c r="H780" t="inlineStr">
        <is>
          <t>[BC NEXT] Phase 3: Account Settings/My Profile</t>
        </is>
      </c>
      <c r="I780" t="inlineStr"/>
      <c r="K780" t="inlineStr"/>
      <c r="L780">
        <f>HYPERLINK("https://drivetime.tpondemand.com/entity/139730", "139730")</f>
        <v/>
      </c>
      <c r="M780" t="n">
        <v>0</v>
      </c>
      <c r="N780" t="n">
        <v>146434</v>
      </c>
      <c r="O780" t="inlineStr">
        <is>
          <t>Committed</t>
        </is>
      </c>
      <c r="P780" t="n">
        <v>1</v>
      </c>
      <c r="Q780" t="inlineStr">
        <is>
          <t>Drakon 23</t>
        </is>
      </c>
      <c r="R780" t="inlineStr">
        <is>
          <t>2022-12-29</t>
        </is>
      </c>
      <c r="S780" t="inlineStr">
        <is>
          <t>2023-01-11</t>
        </is>
      </c>
      <c r="T780" t="inlineStr">
        <is>
          <t>Drakon 23 : 2022-12-29 - 2023-01-11</t>
        </is>
      </c>
      <c r="U780" t="inlineStr"/>
      <c r="V780" t="inlineStr"/>
      <c r="X780">
        <f>IFERROR(1/COUNTIF($I:$I,@$I:$I), 0)</f>
        <v/>
      </c>
    </row>
    <row r="781">
      <c r="A781">
        <f>HYPERLINK("https://drivetime.tpondemand.com/entity/147455", "147455")</f>
        <v/>
      </c>
      <c r="B781" t="inlineStr">
        <is>
          <t>CSC Skip a Payment - Missing Analytics</t>
        </is>
      </c>
      <c r="C781" t="inlineStr">
        <is>
          <t>Bug</t>
        </is>
      </c>
      <c r="D781" t="inlineStr">
        <is>
          <t>Servicing: BC Next</t>
        </is>
      </c>
      <c r="E781" t="inlineStr">
        <is>
          <t>BC Digital Drakon</t>
        </is>
      </c>
      <c r="F781" t="inlineStr">
        <is>
          <t>52</t>
        </is>
      </c>
      <c r="G781" t="inlineStr">
        <is>
          <t>Abbas Shamshi</t>
        </is>
      </c>
      <c r="H781" t="inlineStr">
        <is>
          <t>[BC NEXT]Phase 3: Customer Support Center</t>
        </is>
      </c>
      <c r="I781" t="inlineStr"/>
      <c r="J781" t="n">
        <v>0.07484953703703703</v>
      </c>
      <c r="K781" t="inlineStr"/>
      <c r="L781">
        <f>HYPERLINK("https://drivetime.tpondemand.com/entity/140350", "140350")</f>
        <v/>
      </c>
      <c r="M781" t="n">
        <v>0</v>
      </c>
      <c r="N781" t="n">
        <v>146434</v>
      </c>
      <c r="O781" t="inlineStr">
        <is>
          <t>Done</t>
        </is>
      </c>
      <c r="P781" t="n">
        <v>1</v>
      </c>
      <c r="Q781" t="inlineStr">
        <is>
          <t>Drakon 23</t>
        </is>
      </c>
      <c r="R781" t="inlineStr">
        <is>
          <t>2022-12-29</t>
        </is>
      </c>
      <c r="S781" t="inlineStr">
        <is>
          <t>2023-01-11</t>
        </is>
      </c>
      <c r="T781" t="inlineStr">
        <is>
          <t>Drakon 23 : 2022-12-29 - 2023-01-11</t>
        </is>
      </c>
      <c r="U781" t="inlineStr"/>
      <c r="V781" t="inlineStr"/>
      <c r="W781" t="inlineStr">
        <is>
          <t>2022-12-30T14:59:12-06:00</t>
        </is>
      </c>
      <c r="X781">
        <f>IFERROR(1/COUNTIF($I:$I,@$I:$I), 0)</f>
        <v/>
      </c>
    </row>
    <row r="782">
      <c r="A782">
        <f>HYPERLINK("https://drivetime.tpondemand.com/entity/147462", "147462")</f>
        <v/>
      </c>
      <c r="B782" t="inlineStr">
        <is>
          <t>CSC breadcrumb not back to main page</t>
        </is>
      </c>
      <c r="C782" t="inlineStr">
        <is>
          <t>Bug</t>
        </is>
      </c>
      <c r="D782" t="inlineStr">
        <is>
          <t>Servicing: BC Next</t>
        </is>
      </c>
      <c r="E782" t="inlineStr">
        <is>
          <t>BC Digital Drakon</t>
        </is>
      </c>
      <c r="F782" t="inlineStr">
        <is>
          <t>52</t>
        </is>
      </c>
      <c r="G782" t="inlineStr">
        <is>
          <t>Abbas Shamshi</t>
        </is>
      </c>
      <c r="H782" t="inlineStr">
        <is>
          <t>[BC NEXT]Phase 3: Customer Support Center</t>
        </is>
      </c>
      <c r="I782" t="inlineStr"/>
      <c r="J782" t="n">
        <v>0.07379629629629629</v>
      </c>
      <c r="K782" t="inlineStr"/>
      <c r="L782">
        <f>HYPERLINK("https://drivetime.tpondemand.com/entity/140349", "140349")</f>
        <v/>
      </c>
      <c r="M782" t="n">
        <v>0</v>
      </c>
      <c r="N782" t="n">
        <v>146434</v>
      </c>
      <c r="O782" t="inlineStr">
        <is>
          <t>Done</t>
        </is>
      </c>
      <c r="P782" t="n">
        <v>1</v>
      </c>
      <c r="Q782" t="inlineStr">
        <is>
          <t>Drakon 23</t>
        </is>
      </c>
      <c r="R782" t="inlineStr">
        <is>
          <t>2022-12-29</t>
        </is>
      </c>
      <c r="S782" t="inlineStr">
        <is>
          <t>2023-01-11</t>
        </is>
      </c>
      <c r="T782" t="inlineStr">
        <is>
          <t>Drakon 23 : 2022-12-29 - 2023-01-11</t>
        </is>
      </c>
      <c r="U782" t="inlineStr"/>
      <c r="V782" t="inlineStr"/>
      <c r="W782" t="inlineStr">
        <is>
          <t>2022-12-30T17:34:14-06:00</t>
        </is>
      </c>
      <c r="X782">
        <f>IFERROR(1/COUNTIF($I:$I,@$I:$I), 0)</f>
        <v/>
      </c>
    </row>
    <row r="783">
      <c r="A783">
        <f>HYPERLINK("https://drivetime.tpondemand.com/entity/125671", "125671")</f>
        <v/>
      </c>
      <c r="B783" t="inlineStr">
        <is>
          <t>[OTP] Cancel link is wrapping the L in Cancel on Galaxy S10+</t>
        </is>
      </c>
      <c r="C783" t="inlineStr">
        <is>
          <t>Bug</t>
        </is>
      </c>
      <c r="D783" t="inlineStr">
        <is>
          <t>Servicing: BC Next</t>
        </is>
      </c>
      <c r="E783" t="inlineStr">
        <is>
          <t>BC Digital Comet</t>
        </is>
      </c>
      <c r="F783" t="inlineStr">
        <is>
          <t>02</t>
        </is>
      </c>
      <c r="G783" t="inlineStr">
        <is>
          <t>Marcus Rogers and Michael Wang</t>
        </is>
      </c>
      <c r="H783" t="inlineStr">
        <is>
          <t>[BC NEXT] Prior to Launch Tech Investment</t>
        </is>
      </c>
      <c r="I783" t="inlineStr"/>
      <c r="J783" t="n">
        <v>1.973773148148148</v>
      </c>
      <c r="K783">
        <f>HYPERLINK("https://drivetime.tpondemand.com/entity/125594", "125594")</f>
        <v/>
      </c>
      <c r="L783">
        <f>HYPERLINK("https://drivetime.tpondemand.com/entity/125181", "125181")</f>
        <v/>
      </c>
      <c r="M783" t="n">
        <v>2</v>
      </c>
      <c r="N783" t="n">
        <v>116973</v>
      </c>
      <c r="O783" t="inlineStr">
        <is>
          <t>Done</t>
        </is>
      </c>
      <c r="P783" t="n">
        <v>1</v>
      </c>
      <c r="Q783" t="inlineStr">
        <is>
          <t>Comet 74</t>
        </is>
      </c>
      <c r="R783" t="inlineStr">
        <is>
          <t>2021-12-16</t>
        </is>
      </c>
      <c r="S783" t="inlineStr">
        <is>
          <t>2022-01-12</t>
        </is>
      </c>
      <c r="T783" t="inlineStr">
        <is>
          <t>Comet 74 : 2021-12-16 - 2022-01-12</t>
        </is>
      </c>
      <c r="U783" t="inlineStr"/>
      <c r="V783" t="inlineStr"/>
      <c r="W783" t="inlineStr">
        <is>
          <t>2022-01-14T11:36:43-06:00</t>
        </is>
      </c>
      <c r="X783">
        <f>IFERROR(1/COUNTIF($I:$I,@$I:$I), 0)</f>
        <v/>
      </c>
    </row>
    <row r="784">
      <c r="A784">
        <f>HYPERLINK("https://drivetime.tpondemand.com/entity/125107", "125107")</f>
        <v/>
      </c>
      <c r="B784" t="inlineStr">
        <is>
          <t>When user is on OTP review terms page and clicks on make a payment through new Make a Payment link, then OTP form is not being reset to new one</t>
        </is>
      </c>
      <c r="C784" t="inlineStr">
        <is>
          <t>Bug</t>
        </is>
      </c>
      <c r="D784" t="inlineStr">
        <is>
          <t>Servicing: BC Next</t>
        </is>
      </c>
      <c r="E784" t="inlineStr">
        <is>
          <t>BC Digital Comet</t>
        </is>
      </c>
      <c r="F784" t="inlineStr">
        <is>
          <t>01</t>
        </is>
      </c>
      <c r="G784" t="inlineStr"/>
      <c r="H784" t="inlineStr">
        <is>
          <t>[BC NEXT] Prior to Launch Tech Investment</t>
        </is>
      </c>
      <c r="I784" t="inlineStr"/>
      <c r="J784" t="n">
        <v>0</v>
      </c>
      <c r="K784" t="inlineStr"/>
      <c r="L784">
        <f>HYPERLINK("https://drivetime.tpondemand.com/entity/124709", "124709")</f>
        <v/>
      </c>
      <c r="M784" t="n">
        <v>0</v>
      </c>
      <c r="N784" t="n">
        <v>116973</v>
      </c>
      <c r="O784" t="inlineStr">
        <is>
          <t>Done</t>
        </is>
      </c>
      <c r="P784" t="n">
        <v>1</v>
      </c>
      <c r="Q784" t="inlineStr">
        <is>
          <t>Comet 74</t>
        </is>
      </c>
      <c r="R784" t="inlineStr">
        <is>
          <t>2021-12-16</t>
        </is>
      </c>
      <c r="S784" t="inlineStr">
        <is>
          <t>2022-01-12</t>
        </is>
      </c>
      <c r="T784" t="inlineStr">
        <is>
          <t>Comet 74 : 2021-12-16 - 2022-01-12</t>
        </is>
      </c>
      <c r="U784" t="inlineStr"/>
      <c r="V784" t="inlineStr"/>
      <c r="W784" t="inlineStr">
        <is>
          <t>2022-01-03T16:01:01-06:00</t>
        </is>
      </c>
      <c r="X784">
        <f>IFERROR(1/COUNTIF($I:$I,@$I:$I), 0)</f>
        <v/>
      </c>
    </row>
    <row r="785">
      <c r="A785">
        <f>HYPERLINK("https://drivetime.tpondemand.com/entity/125144", "125144")</f>
        <v/>
      </c>
      <c r="B785" t="inlineStr">
        <is>
          <t>IOS splash page still showing old icon</t>
        </is>
      </c>
      <c r="C785" t="inlineStr">
        <is>
          <t>Bug</t>
        </is>
      </c>
      <c r="D785" t="inlineStr">
        <is>
          <t>Servicing: BC Next</t>
        </is>
      </c>
      <c r="E785" t="inlineStr">
        <is>
          <t>BC Digital Comet</t>
        </is>
      </c>
      <c r="F785" t="inlineStr">
        <is>
          <t>01</t>
        </is>
      </c>
      <c r="G785" t="inlineStr"/>
      <c r="H785" t="inlineStr">
        <is>
          <t>[BC NEXT] Prior to Launch Tech Investment</t>
        </is>
      </c>
      <c r="I785" t="inlineStr"/>
      <c r="J785" t="n">
        <v>0</v>
      </c>
      <c r="K785" t="inlineStr"/>
      <c r="L785">
        <f>HYPERLINK("https://drivetime.tpondemand.com/entity/124229", "124229")</f>
        <v/>
      </c>
      <c r="M785" t="n">
        <v>0</v>
      </c>
      <c r="N785" t="n">
        <v>116973</v>
      </c>
      <c r="O785" t="inlineStr">
        <is>
          <t>Done</t>
        </is>
      </c>
      <c r="P785" t="n">
        <v>1</v>
      </c>
      <c r="Q785" t="inlineStr">
        <is>
          <t>Comet 74</t>
        </is>
      </c>
      <c r="R785" t="inlineStr">
        <is>
          <t>2021-12-16</t>
        </is>
      </c>
      <c r="S785" t="inlineStr">
        <is>
          <t>2022-01-12</t>
        </is>
      </c>
      <c r="T785" t="inlineStr">
        <is>
          <t>Comet 74 : 2021-12-16 - 2022-01-12</t>
        </is>
      </c>
      <c r="U785" t="inlineStr"/>
      <c r="V785" t="inlineStr"/>
      <c r="W785" t="inlineStr">
        <is>
          <t>2022-01-04T15:40:28-06:00</t>
        </is>
      </c>
      <c r="X785">
        <f>IFERROR(1/COUNTIF($I:$I,@$I:$I), 0)</f>
        <v/>
      </c>
    </row>
    <row r="786">
      <c r="A786">
        <f>HYPERLINK("https://drivetime.tpondemand.com/entity/125198", "125198")</f>
        <v/>
      </c>
      <c r="B786" t="inlineStr">
        <is>
          <t>Other amount is appending previously entered amount when we click cancel on OTP step1 and come back through bottom nav</t>
        </is>
      </c>
      <c r="C786" t="inlineStr">
        <is>
          <t>Bug</t>
        </is>
      </c>
      <c r="D786" t="inlineStr">
        <is>
          <t>Servicing: BC Next</t>
        </is>
      </c>
      <c r="E786" t="inlineStr">
        <is>
          <t>BC Digital Comet</t>
        </is>
      </c>
      <c r="F786" t="inlineStr">
        <is>
          <t>01</t>
        </is>
      </c>
      <c r="G786" t="inlineStr">
        <is>
          <t>Akshay Golash</t>
        </is>
      </c>
      <c r="H786" t="inlineStr">
        <is>
          <t>[BC NEXT] Prior to Launch Tech Investment</t>
        </is>
      </c>
      <c r="I786" t="inlineStr"/>
      <c r="J786" t="n">
        <v>0.04452546296296296</v>
      </c>
      <c r="K786" t="inlineStr"/>
      <c r="L786">
        <f>HYPERLINK("https://drivetime.tpondemand.com/entity/124709", "124709")</f>
        <v/>
      </c>
      <c r="M786" t="n">
        <v>0</v>
      </c>
      <c r="N786" t="n">
        <v>116973</v>
      </c>
      <c r="O786" t="inlineStr">
        <is>
          <t>Done</t>
        </is>
      </c>
      <c r="P786" t="n">
        <v>1</v>
      </c>
      <c r="Q786" t="inlineStr">
        <is>
          <t>Comet 74</t>
        </is>
      </c>
      <c r="R786" t="inlineStr">
        <is>
          <t>2021-12-16</t>
        </is>
      </c>
      <c r="S786" t="inlineStr">
        <is>
          <t>2022-01-12</t>
        </is>
      </c>
      <c r="T786" t="inlineStr">
        <is>
          <t>Comet 74 : 2021-12-16 - 2022-01-12</t>
        </is>
      </c>
      <c r="U786" t="inlineStr"/>
      <c r="V786" t="inlineStr"/>
      <c r="W786" t="inlineStr">
        <is>
          <t>2022-01-04T15:45:34-06:00</t>
        </is>
      </c>
      <c r="X786">
        <f>IFERROR(1/COUNTIF($I:$I,@$I:$I), 0)</f>
        <v/>
      </c>
    </row>
    <row r="787">
      <c r="A787">
        <f>HYPERLINK("https://drivetime.tpondemand.com/entity/125215", "125215")</f>
        <v/>
      </c>
      <c r="B787" t="inlineStr">
        <is>
          <t>Page is clearing when pressing outside of cancel link</t>
        </is>
      </c>
      <c r="C787" t="inlineStr">
        <is>
          <t>Bug</t>
        </is>
      </c>
      <c r="D787" t="inlineStr">
        <is>
          <t>Servicing: BC Next</t>
        </is>
      </c>
      <c r="E787" t="inlineStr">
        <is>
          <t>BC Digital Comet</t>
        </is>
      </c>
      <c r="F787" t="inlineStr">
        <is>
          <t>01</t>
        </is>
      </c>
      <c r="G787" t="inlineStr">
        <is>
          <t>Akshay Golash</t>
        </is>
      </c>
      <c r="H787" t="inlineStr">
        <is>
          <t>[BC NEXT] Prior to Launch Tech Investment</t>
        </is>
      </c>
      <c r="I787" t="inlineStr"/>
      <c r="J787" t="n">
        <v>0.7088773148148148</v>
      </c>
      <c r="K787" t="inlineStr"/>
      <c r="L787">
        <f>HYPERLINK("https://drivetime.tpondemand.com/entity/124709", "124709")</f>
        <v/>
      </c>
      <c r="M787" t="n">
        <v>0</v>
      </c>
      <c r="N787" t="n">
        <v>116973</v>
      </c>
      <c r="O787" t="inlineStr">
        <is>
          <t>Done</t>
        </is>
      </c>
      <c r="P787" t="n">
        <v>1</v>
      </c>
      <c r="Q787" t="inlineStr">
        <is>
          <t>Comet 74</t>
        </is>
      </c>
      <c r="R787" t="inlineStr">
        <is>
          <t>2021-12-16</t>
        </is>
      </c>
      <c r="S787" t="inlineStr">
        <is>
          <t>2022-01-12</t>
        </is>
      </c>
      <c r="T787" t="inlineStr">
        <is>
          <t>Comet 74 : 2021-12-16 - 2022-01-12</t>
        </is>
      </c>
      <c r="U787" t="inlineStr"/>
      <c r="V787" t="inlineStr"/>
      <c r="W787" t="inlineStr">
        <is>
          <t>2022-01-05T11:54:40-06:00</t>
        </is>
      </c>
      <c r="X787">
        <f>IFERROR(1/COUNTIF($I:$I,@$I:$I), 0)</f>
        <v/>
      </c>
    </row>
    <row r="788">
      <c r="A788">
        <f>HYPERLINK("https://drivetime.tpondemand.com/entity/125242", "125242")</f>
        <v/>
      </c>
      <c r="B788" t="inlineStr">
        <is>
          <t>Make a Payment link from Manage Payments after successful payment submission not showing amounts for multiple account user</t>
        </is>
      </c>
      <c r="C788" t="inlineStr">
        <is>
          <t>Bug</t>
        </is>
      </c>
      <c r="D788" t="inlineStr">
        <is>
          <t>Servicing: BC Next</t>
        </is>
      </c>
      <c r="E788" t="inlineStr">
        <is>
          <t>BC Digital Comet</t>
        </is>
      </c>
      <c r="F788" t="inlineStr">
        <is>
          <t>01</t>
        </is>
      </c>
      <c r="G788" t="inlineStr"/>
      <c r="H788" t="inlineStr">
        <is>
          <t>[BC NEXT] Prior to Launch Tech Investment</t>
        </is>
      </c>
      <c r="I788" t="inlineStr"/>
      <c r="J788" t="n">
        <v>0</v>
      </c>
      <c r="K788" t="inlineStr"/>
      <c r="L788">
        <f>HYPERLINK("https://drivetime.tpondemand.com/entity/124709", "124709")</f>
        <v/>
      </c>
      <c r="M788" t="n">
        <v>0</v>
      </c>
      <c r="N788" t="n">
        <v>116973</v>
      </c>
      <c r="O788" t="inlineStr">
        <is>
          <t>Done</t>
        </is>
      </c>
      <c r="P788" t="n">
        <v>1</v>
      </c>
      <c r="Q788" t="inlineStr">
        <is>
          <t>Comet 74</t>
        </is>
      </c>
      <c r="R788" t="inlineStr">
        <is>
          <t>2021-12-16</t>
        </is>
      </c>
      <c r="S788" t="inlineStr">
        <is>
          <t>2022-01-12</t>
        </is>
      </c>
      <c r="T788" t="inlineStr">
        <is>
          <t>Comet 74 : 2021-12-16 - 2022-01-12</t>
        </is>
      </c>
      <c r="U788" t="inlineStr"/>
      <c r="V788" t="inlineStr"/>
      <c r="W788" t="inlineStr">
        <is>
          <t>2022-01-05T11:54:44-06:00</t>
        </is>
      </c>
      <c r="X788">
        <f>IFERROR(1/COUNTIF($I:$I,@$I:$I), 0)</f>
        <v/>
      </c>
    </row>
    <row r="789">
      <c r="A789">
        <f>HYPERLINK("https://drivetime.tpondemand.com/entity/125529", "125529")</f>
        <v/>
      </c>
      <c r="B789" t="inlineStr">
        <is>
          <t>Add Bank account details are not being retained when we navigate to dashboard and back to MAP through bottom nav for the first time</t>
        </is>
      </c>
      <c r="C789" t="inlineStr">
        <is>
          <t>Bug</t>
        </is>
      </c>
      <c r="D789" t="inlineStr">
        <is>
          <t>Servicing: BC Next</t>
        </is>
      </c>
      <c r="E789" t="inlineStr">
        <is>
          <t>BC Digital Comet</t>
        </is>
      </c>
      <c r="F789" t="inlineStr">
        <is>
          <t>02</t>
        </is>
      </c>
      <c r="G789" t="inlineStr">
        <is>
          <t>Marcus Rogers</t>
        </is>
      </c>
      <c r="H789" t="inlineStr">
        <is>
          <t>[BC NEXT] Prior to Launch Tech Investment</t>
        </is>
      </c>
      <c r="I789" t="inlineStr"/>
      <c r="J789" t="n">
        <v>0.6916782407407407</v>
      </c>
      <c r="K789">
        <f>HYPERLINK("https://drivetime.tpondemand.com/entity/125457", "125457")</f>
        <v/>
      </c>
      <c r="L789">
        <f>HYPERLINK("https://drivetime.tpondemand.com/entity/124818", "124818")</f>
        <v/>
      </c>
      <c r="M789" t="n">
        <v>0</v>
      </c>
      <c r="N789" t="n">
        <v>116973</v>
      </c>
      <c r="O789" t="inlineStr">
        <is>
          <t>Done</t>
        </is>
      </c>
      <c r="P789" t="n">
        <v>1</v>
      </c>
      <c r="Q789" t="inlineStr">
        <is>
          <t>Comet 74</t>
        </is>
      </c>
      <c r="R789" t="inlineStr">
        <is>
          <t>2021-12-16</t>
        </is>
      </c>
      <c r="S789" t="inlineStr">
        <is>
          <t>2022-01-12</t>
        </is>
      </c>
      <c r="T789" t="inlineStr">
        <is>
          <t>Comet 74 : 2021-12-16 - 2022-01-12</t>
        </is>
      </c>
      <c r="U789" t="inlineStr"/>
      <c r="V789" t="inlineStr"/>
      <c r="W789" t="inlineStr">
        <is>
          <t>2022-01-12T09:58:02-06:00</t>
        </is>
      </c>
      <c r="X789">
        <f>IFERROR(1/COUNTIF($I:$I,@$I:$I), 0)</f>
        <v/>
      </c>
    </row>
    <row r="790">
      <c r="A790">
        <f>HYPERLINK("https://drivetime.tpondemand.com/entity/125532", "125532")</f>
        <v/>
      </c>
      <c r="B790" t="inlineStr">
        <is>
          <t>Vehicle name not populating in MAP when going through dashboard and Manage  Payments once we go through bottom nav and cancel</t>
        </is>
      </c>
      <c r="C790" t="inlineStr">
        <is>
          <t>Bug</t>
        </is>
      </c>
      <c r="D790" t="inlineStr">
        <is>
          <t>Servicing: BC Next</t>
        </is>
      </c>
      <c r="E790" t="inlineStr">
        <is>
          <t>BC Digital Comet</t>
        </is>
      </c>
      <c r="F790" t="inlineStr">
        <is>
          <t>02</t>
        </is>
      </c>
      <c r="G790" t="inlineStr">
        <is>
          <t>Daniel Verhagen</t>
        </is>
      </c>
      <c r="H790" t="inlineStr">
        <is>
          <t>[BC NEXT] Prior to Launch Tech Investment</t>
        </is>
      </c>
      <c r="I790" t="inlineStr"/>
      <c r="J790" t="n">
        <v>1.004814814814815</v>
      </c>
      <c r="K790">
        <f>HYPERLINK("https://drivetime.tpondemand.com/entity/125457", "125457")</f>
        <v/>
      </c>
      <c r="L790">
        <f>HYPERLINK("https://drivetime.tpondemand.com/entity/124818", "124818")</f>
        <v/>
      </c>
      <c r="M790" t="n">
        <v>0</v>
      </c>
      <c r="N790" t="n">
        <v>116973</v>
      </c>
      <c r="O790" t="inlineStr">
        <is>
          <t>Done</t>
        </is>
      </c>
      <c r="P790" t="n">
        <v>1</v>
      </c>
      <c r="Q790" t="inlineStr">
        <is>
          <t>Comet 74</t>
        </is>
      </c>
      <c r="R790" t="inlineStr">
        <is>
          <t>2021-12-16</t>
        </is>
      </c>
      <c r="S790" t="inlineStr">
        <is>
          <t>2022-01-12</t>
        </is>
      </c>
      <c r="T790" t="inlineStr">
        <is>
          <t>Comet 74 : 2021-12-16 - 2022-01-12</t>
        </is>
      </c>
      <c r="U790" t="inlineStr"/>
      <c r="V790" t="inlineStr"/>
      <c r="W790" t="inlineStr">
        <is>
          <t>2022-01-12T12:07:11-06:00</t>
        </is>
      </c>
      <c r="X790">
        <f>IFERROR(1/COUNTIF($I:$I,@$I:$I), 0)</f>
        <v/>
      </c>
    </row>
    <row r="791">
      <c r="A791">
        <f>HYPERLINK("https://drivetime.tpondemand.com/entity/125585", "125585")</f>
        <v/>
      </c>
      <c r="B791" t="inlineStr">
        <is>
          <t>cosmetic issues in more IOS devices</t>
        </is>
      </c>
      <c r="C791" t="inlineStr">
        <is>
          <t>Bug</t>
        </is>
      </c>
      <c r="D791" t="inlineStr">
        <is>
          <t>Servicing: BC Next</t>
        </is>
      </c>
      <c r="E791" t="inlineStr">
        <is>
          <t>BC Digital Comet</t>
        </is>
      </c>
      <c r="F791" t="inlineStr">
        <is>
          <t>02</t>
        </is>
      </c>
      <c r="G791" t="inlineStr"/>
      <c r="H791" t="inlineStr">
        <is>
          <t>[BC NEXT] Prior to Launch Tech Investment</t>
        </is>
      </c>
      <c r="I791" t="inlineStr"/>
      <c r="J791" t="n">
        <v>0</v>
      </c>
      <c r="K791" t="inlineStr"/>
      <c r="L791">
        <f>HYPERLINK("https://drivetime.tpondemand.com/entity/124710", "124710")</f>
        <v/>
      </c>
      <c r="M791" t="n">
        <v>0</v>
      </c>
      <c r="N791" t="n">
        <v>116973</v>
      </c>
      <c r="O791" t="inlineStr">
        <is>
          <t>Done</t>
        </is>
      </c>
      <c r="P791" t="n">
        <v>1</v>
      </c>
      <c r="Q791" t="inlineStr">
        <is>
          <t>Comet 74</t>
        </is>
      </c>
      <c r="R791" t="inlineStr">
        <is>
          <t>2021-12-16</t>
        </is>
      </c>
      <c r="S791" t="inlineStr">
        <is>
          <t>2022-01-12</t>
        </is>
      </c>
      <c r="T791" t="inlineStr">
        <is>
          <t>Comet 74 : 2021-12-16 - 2022-01-12</t>
        </is>
      </c>
      <c r="U791" t="inlineStr"/>
      <c r="V791" t="inlineStr"/>
      <c r="W791" t="inlineStr">
        <is>
          <t>2022-01-11T17:57:58-06:00</t>
        </is>
      </c>
      <c r="X791">
        <f>IFERROR(1/COUNTIF($I:$I,@$I:$I), 0)</f>
        <v/>
      </c>
    </row>
    <row r="792">
      <c r="A792">
        <f>HYPERLINK("https://drivetime.tpondemand.com/entity/126667", "126667")</f>
        <v/>
      </c>
      <c r="B792" t="inlineStr">
        <is>
          <t>fmp analytic not firing for Email verify and Account lookup</t>
        </is>
      </c>
      <c r="C792" t="inlineStr">
        <is>
          <t>Bug</t>
        </is>
      </c>
      <c r="D792" t="inlineStr">
        <is>
          <t>Servicing: BC Next</t>
        </is>
      </c>
      <c r="E792" t="inlineStr">
        <is>
          <t>BC Digital Comet</t>
        </is>
      </c>
      <c r="F792" t="inlineStr">
        <is>
          <t>04</t>
        </is>
      </c>
      <c r="G792" t="inlineStr"/>
      <c r="H792" t="inlineStr">
        <is>
          <t>[BC NEXT] Regression Testing &amp; App Bug Fixes</t>
        </is>
      </c>
      <c r="I792" t="inlineStr"/>
      <c r="J792" t="n">
        <v>0</v>
      </c>
      <c r="K792" t="inlineStr"/>
      <c r="L792">
        <f>HYPERLINK("https://drivetime.tpondemand.com/entity/125270", "125270")</f>
        <v/>
      </c>
      <c r="M792" t="n">
        <v>0</v>
      </c>
      <c r="N792" t="n">
        <v>116975</v>
      </c>
      <c r="O792" t="inlineStr">
        <is>
          <t>Done</t>
        </is>
      </c>
      <c r="P792" t="n">
        <v>1</v>
      </c>
      <c r="Q792" t="inlineStr">
        <is>
          <t>Comet 76</t>
        </is>
      </c>
      <c r="R792" t="inlineStr">
        <is>
          <t>2022-01-27</t>
        </is>
      </c>
      <c r="S792" t="inlineStr">
        <is>
          <t>2022-02-09</t>
        </is>
      </c>
      <c r="T792" t="inlineStr">
        <is>
          <t>Comet 76 : 2022-01-27 - 2022-02-09</t>
        </is>
      </c>
      <c r="U792" t="inlineStr"/>
      <c r="V792" t="inlineStr"/>
      <c r="W792" t="inlineStr">
        <is>
          <t>2022-01-28T15:56:53-06:00</t>
        </is>
      </c>
      <c r="X792">
        <f>IFERROR(1/COUNTIF($I:$I,@$I:$I), 0)</f>
        <v/>
      </c>
    </row>
    <row r="793">
      <c r="A793">
        <f>HYPERLINK("https://drivetime.tpondemand.com/entity/126730", "126730")</f>
        <v/>
      </c>
      <c r="B793" t="inlineStr">
        <is>
          <t>Incorrect error message for Confirm bank account number and confirm routing number</t>
        </is>
      </c>
      <c r="C793" t="inlineStr">
        <is>
          <t>Bug</t>
        </is>
      </c>
      <c r="D793" t="inlineStr">
        <is>
          <t>Servicing: BC Next</t>
        </is>
      </c>
      <c r="E793" t="inlineStr">
        <is>
          <t>BC Digital Comet</t>
        </is>
      </c>
      <c r="F793" t="inlineStr">
        <is>
          <t>05</t>
        </is>
      </c>
      <c r="G793" t="inlineStr">
        <is>
          <t>Daniel Verhagen</t>
        </is>
      </c>
      <c r="H793" t="inlineStr">
        <is>
          <t>[BC NEXT] Regression Testing &amp; App Bug Fixes</t>
        </is>
      </c>
      <c r="I793" t="inlineStr"/>
      <c r="J793" t="n">
        <v>0.1256712962962963</v>
      </c>
      <c r="K793" t="inlineStr"/>
      <c r="L793">
        <f>HYPERLINK("https://drivetime.tpondemand.com/entity/125974", "125974")</f>
        <v/>
      </c>
      <c r="M793" t="n">
        <v>0</v>
      </c>
      <c r="N793" t="n">
        <v>116975</v>
      </c>
      <c r="O793" t="inlineStr">
        <is>
          <t>Done</t>
        </is>
      </c>
      <c r="P793" t="n">
        <v>1</v>
      </c>
      <c r="Q793" t="inlineStr">
        <is>
          <t>Comet 76</t>
        </is>
      </c>
      <c r="R793" t="inlineStr">
        <is>
          <t>2022-01-27</t>
        </is>
      </c>
      <c r="S793" t="inlineStr">
        <is>
          <t>2022-02-09</t>
        </is>
      </c>
      <c r="T793" t="inlineStr">
        <is>
          <t>Comet 76 : 2022-01-27 - 2022-02-09</t>
        </is>
      </c>
      <c r="U793" t="inlineStr"/>
      <c r="V793" t="inlineStr"/>
      <c r="W793" t="inlineStr">
        <is>
          <t>2022-02-01T15:02:57-06:00</t>
        </is>
      </c>
      <c r="X793">
        <f>IFERROR(1/COUNTIF($I:$I,@$I:$I), 0)</f>
        <v/>
      </c>
    </row>
    <row r="794">
      <c r="A794">
        <f>HYPERLINK("https://drivetime.tpondemand.com/entity/126928", "126928")</f>
        <v/>
      </c>
      <c r="B794" t="inlineStr">
        <is>
          <t>When user has multiples vehicles and one vehicle is PTC enrolled, that account is showing up on AutoPay select Account screen as option to choose</t>
        </is>
      </c>
      <c r="C794" t="inlineStr">
        <is>
          <t>Bug</t>
        </is>
      </c>
      <c r="D794" t="inlineStr">
        <is>
          <t>Servicing: BC Next</t>
        </is>
      </c>
      <c r="E794" t="inlineStr">
        <is>
          <t>BC Digital Comet</t>
        </is>
      </c>
      <c r="F794" t="inlineStr">
        <is>
          <t>06</t>
        </is>
      </c>
      <c r="G794" t="inlineStr"/>
      <c r="H794" t="inlineStr">
        <is>
          <t>[BC NEXT] Regression Testing &amp; App Bug Fixes</t>
        </is>
      </c>
      <c r="I794" t="inlineStr"/>
      <c r="J794" t="n">
        <v>0</v>
      </c>
      <c r="K794" t="inlineStr"/>
      <c r="L794">
        <f>HYPERLINK("https://drivetime.tpondemand.com/entity/126216", "126216")</f>
        <v/>
      </c>
      <c r="M794" t="n">
        <v>0</v>
      </c>
      <c r="N794" t="n">
        <v>116975</v>
      </c>
      <c r="O794" t="inlineStr">
        <is>
          <t>Done</t>
        </is>
      </c>
      <c r="P794" t="n">
        <v>1</v>
      </c>
      <c r="Q794" t="inlineStr">
        <is>
          <t>Comet 76</t>
        </is>
      </c>
      <c r="R794" t="inlineStr">
        <is>
          <t>2022-01-27</t>
        </is>
      </c>
      <c r="S794" t="inlineStr">
        <is>
          <t>2022-02-09</t>
        </is>
      </c>
      <c r="T794" t="inlineStr">
        <is>
          <t>Comet 76 : 2022-01-27 - 2022-02-09</t>
        </is>
      </c>
      <c r="U794" t="inlineStr"/>
      <c r="V794" t="inlineStr"/>
      <c r="W794" t="inlineStr">
        <is>
          <t>2022-02-09T13:43:26-06:00</t>
        </is>
      </c>
      <c r="X794">
        <f>IFERROR(1/COUNTIF($I:$I,@$I:$I), 0)</f>
        <v/>
      </c>
    </row>
    <row r="795">
      <c r="A795">
        <f>HYPERLINK("https://drivetime.tpondemand.com/entity/131355", "131355")</f>
        <v/>
      </c>
      <c r="B795" t="inlineStr">
        <is>
          <t>In correct links within library</t>
        </is>
      </c>
      <c r="C795" t="inlineStr">
        <is>
          <t>Bug</t>
        </is>
      </c>
      <c r="D795" t="inlineStr">
        <is>
          <t>Servicing: BC Next</t>
        </is>
      </c>
      <c r="E795" t="inlineStr">
        <is>
          <t>BC Digital Comet</t>
        </is>
      </c>
      <c r="F795" t="inlineStr">
        <is>
          <t>18</t>
        </is>
      </c>
      <c r="G795" t="inlineStr">
        <is>
          <t>Akshay Golash</t>
        </is>
      </c>
      <c r="H795" t="inlineStr">
        <is>
          <t>[BC NEXT] App Launch Communications</t>
        </is>
      </c>
      <c r="I795" t="inlineStr"/>
      <c r="J795" t="n">
        <v>0.2327546296296296</v>
      </c>
      <c r="K795" t="inlineStr"/>
      <c r="L795">
        <f>HYPERLINK("https://drivetime.tpondemand.com/entity/129752", "129752")</f>
        <v/>
      </c>
      <c r="M795" t="n">
        <v>0</v>
      </c>
      <c r="N795" t="n">
        <v>127315</v>
      </c>
      <c r="O795" t="inlineStr">
        <is>
          <t>Done</t>
        </is>
      </c>
      <c r="P795" t="n">
        <v>1</v>
      </c>
      <c r="Q795" t="inlineStr">
        <is>
          <t>Comet 83</t>
        </is>
      </c>
      <c r="R795" t="inlineStr">
        <is>
          <t>2022-05-05</t>
        </is>
      </c>
      <c r="S795" t="inlineStr">
        <is>
          <t>2022-05-18</t>
        </is>
      </c>
      <c r="T795" t="inlineStr">
        <is>
          <t>Comet 83 : 2022-05-05 - 2022-05-18</t>
        </is>
      </c>
      <c r="U795" t="inlineStr"/>
      <c r="V795" t="inlineStr"/>
      <c r="W795" t="inlineStr">
        <is>
          <t>2022-05-05T18:36:20-05:00</t>
        </is>
      </c>
      <c r="X795">
        <f>IFERROR(1/COUNTIF($I:$I,@$I:$I), 0)</f>
        <v/>
      </c>
    </row>
    <row r="796">
      <c r="A796">
        <f>HYPERLINK("https://drivetime.tpondemand.com/entity/135060", "135060")</f>
        <v/>
      </c>
      <c r="B796" t="inlineStr">
        <is>
          <t>Being forced to login again after validating email</t>
        </is>
      </c>
      <c r="C796" t="inlineStr">
        <is>
          <t>Bug</t>
        </is>
      </c>
      <c r="D796" t="inlineStr">
        <is>
          <t>Servicing: BC Next</t>
        </is>
      </c>
      <c r="E796" t="inlineStr">
        <is>
          <t>BC Digital Comet</t>
        </is>
      </c>
      <c r="F796" t="inlineStr">
        <is>
          <t>28</t>
        </is>
      </c>
      <c r="G796" t="inlineStr">
        <is>
          <t>Daniel Verhagen</t>
        </is>
      </c>
      <c r="H796" t="inlineStr">
        <is>
          <t>Register Email Deep Linking</t>
        </is>
      </c>
      <c r="I796" t="inlineStr"/>
      <c r="J796" t="n">
        <v>7.197835648148148</v>
      </c>
      <c r="K796" t="inlineStr"/>
      <c r="L796">
        <f>HYPERLINK("https://drivetime.tpondemand.com/entity/133813", "133813")</f>
        <v/>
      </c>
      <c r="M796" t="n">
        <v>0</v>
      </c>
      <c r="N796" t="n">
        <v>127319</v>
      </c>
      <c r="O796" t="inlineStr">
        <is>
          <t>Done</t>
        </is>
      </c>
      <c r="P796" t="n">
        <v>1</v>
      </c>
      <c r="Q796" t="inlineStr">
        <is>
          <t>Comet 87</t>
        </is>
      </c>
      <c r="R796" t="inlineStr">
        <is>
          <t>2022-06-30</t>
        </is>
      </c>
      <c r="S796" t="inlineStr">
        <is>
          <t>2022-07-13</t>
        </is>
      </c>
      <c r="T796" t="inlineStr">
        <is>
          <t>Comet 87 : 2022-06-30 - 2022-07-13</t>
        </is>
      </c>
      <c r="U796" t="inlineStr"/>
      <c r="V796" t="inlineStr"/>
      <c r="W796" t="inlineStr">
        <is>
          <t>2022-07-12T17:36:12-05:00</t>
        </is>
      </c>
      <c r="X796">
        <f>IFERROR(1/COUNTIF($I:$I,@$I:$I), 0)</f>
        <v/>
      </c>
    </row>
    <row r="797">
      <c r="A797">
        <f>HYPERLINK("https://drivetime.tpondemand.com/entity/135424", "135424")</f>
        <v/>
      </c>
      <c r="B797" t="inlineStr">
        <is>
          <t>Please add tags to the ADO test cases</t>
        </is>
      </c>
      <c r="C797" t="inlineStr">
        <is>
          <t>Bug</t>
        </is>
      </c>
      <c r="D797" t="inlineStr">
        <is>
          <t>Servicing: BC Next</t>
        </is>
      </c>
      <c r="E797" t="inlineStr">
        <is>
          <t>BC Digital Comet</t>
        </is>
      </c>
      <c r="F797" t="inlineStr">
        <is>
          <t>28</t>
        </is>
      </c>
      <c r="G797" t="inlineStr"/>
      <c r="H797" t="inlineStr">
        <is>
          <t>[BC NEXT] TWT Widget</t>
        </is>
      </c>
      <c r="I797" t="inlineStr"/>
      <c r="J797" t="n">
        <v>0</v>
      </c>
      <c r="K797" t="inlineStr"/>
      <c r="L797">
        <f>HYPERLINK("https://drivetime.tpondemand.com/entity/134480", "134480")</f>
        <v/>
      </c>
      <c r="M797" t="n">
        <v>0</v>
      </c>
      <c r="N797" t="n">
        <v>127319</v>
      </c>
      <c r="O797" t="inlineStr">
        <is>
          <t>Done</t>
        </is>
      </c>
      <c r="P797" t="n">
        <v>1</v>
      </c>
      <c r="Q797" t="inlineStr">
        <is>
          <t>Comet 87</t>
        </is>
      </c>
      <c r="R797" t="inlineStr">
        <is>
          <t>2022-06-30</t>
        </is>
      </c>
      <c r="S797" t="inlineStr">
        <is>
          <t>2022-07-13</t>
        </is>
      </c>
      <c r="T797" t="inlineStr">
        <is>
          <t>Comet 87 : 2022-06-30 - 2022-07-13</t>
        </is>
      </c>
      <c r="U797" t="inlineStr"/>
      <c r="V797" t="inlineStr"/>
      <c r="W797" t="inlineStr">
        <is>
          <t>2022-07-11T13:57:05-05:00</t>
        </is>
      </c>
      <c r="X797">
        <f>IFERROR(1/COUNTIF($I:$I,@$I:$I), 0)</f>
        <v/>
      </c>
    </row>
    <row r="798">
      <c r="A798">
        <f>HYPERLINK("https://drivetime.tpondemand.com/entity/140268", "140268")</f>
        <v/>
      </c>
      <c r="B798" t="inlineStr">
        <is>
          <t>Display analytic should be "DisplayModExpiredBanner" not "DisplayExpiredBanner"</t>
        </is>
      </c>
      <c r="C798" t="inlineStr">
        <is>
          <t>Bug</t>
        </is>
      </c>
      <c r="D798" t="inlineStr">
        <is>
          <t>Servicing: BC Next</t>
        </is>
      </c>
      <c r="E798" t="inlineStr">
        <is>
          <t>BC Digital Comet</t>
        </is>
      </c>
      <c r="F798" t="inlineStr">
        <is>
          <t>39</t>
        </is>
      </c>
      <c r="G798" t="inlineStr"/>
      <c r="H798" t="inlineStr">
        <is>
          <t>[BC NEXT]Phase 3: Manage Modifications Page</t>
        </is>
      </c>
      <c r="I798" t="inlineStr"/>
      <c r="J798" t="n">
        <v>0</v>
      </c>
      <c r="K798" t="inlineStr"/>
      <c r="L798">
        <f>HYPERLINK("https://drivetime.tpondemand.com/entity/134472", "134472")</f>
        <v/>
      </c>
      <c r="M798" t="n">
        <v>0</v>
      </c>
      <c r="N798" t="n">
        <v>127325</v>
      </c>
      <c r="O798" t="inlineStr">
        <is>
          <t>Done</t>
        </is>
      </c>
      <c r="P798" t="n">
        <v>1</v>
      </c>
      <c r="Q798" t="inlineStr">
        <is>
          <t>Comet 93</t>
        </is>
      </c>
      <c r="R798" t="inlineStr">
        <is>
          <t>2022-09-22</t>
        </is>
      </c>
      <c r="S798" t="inlineStr">
        <is>
          <t>2022-10-05</t>
        </is>
      </c>
      <c r="T798" t="inlineStr">
        <is>
          <t>Comet 93 : 2022-09-22 - 2022-10-05</t>
        </is>
      </c>
      <c r="U798" t="inlineStr"/>
      <c r="V798" t="inlineStr"/>
      <c r="W798" t="inlineStr">
        <is>
          <t>2022-09-27T14:10:11-05:00</t>
        </is>
      </c>
      <c r="X798">
        <f>IFERROR(1/COUNTIF($I:$I,@$I:$I), 0)</f>
        <v/>
      </c>
    </row>
    <row r="799">
      <c r="A799">
        <f>HYPERLINK("https://drivetime.tpondemand.com/entity/140269", "140269")</f>
        <v/>
      </c>
      <c r="B799" t="inlineStr">
        <is>
          <t>Banner icon should resize (smaller) for mobile</t>
        </is>
      </c>
      <c r="C799" t="inlineStr">
        <is>
          <t>Bug</t>
        </is>
      </c>
      <c r="D799" t="inlineStr">
        <is>
          <t>Servicing: BC Next</t>
        </is>
      </c>
      <c r="E799" t="inlineStr">
        <is>
          <t>BC Digital Comet</t>
        </is>
      </c>
      <c r="F799" t="inlineStr">
        <is>
          <t>39</t>
        </is>
      </c>
      <c r="G799" t="inlineStr"/>
      <c r="H799" t="inlineStr">
        <is>
          <t>[BC NEXT]Phase 3: Manage Modifications Page</t>
        </is>
      </c>
      <c r="I799" t="inlineStr"/>
      <c r="J799" t="n">
        <v>0</v>
      </c>
      <c r="K799" t="inlineStr"/>
      <c r="L799">
        <f>HYPERLINK("https://drivetime.tpondemand.com/entity/134472", "134472")</f>
        <v/>
      </c>
      <c r="M799" t="n">
        <v>0</v>
      </c>
      <c r="N799" t="n">
        <v>127325</v>
      </c>
      <c r="O799" t="inlineStr">
        <is>
          <t>Done</t>
        </is>
      </c>
      <c r="P799" t="n">
        <v>1</v>
      </c>
      <c r="Q799" t="inlineStr">
        <is>
          <t>Comet 93</t>
        </is>
      </c>
      <c r="R799" t="inlineStr">
        <is>
          <t>2022-09-22</t>
        </is>
      </c>
      <c r="S799" t="inlineStr">
        <is>
          <t>2022-10-05</t>
        </is>
      </c>
      <c r="T799" t="inlineStr">
        <is>
          <t>Comet 93 : 2022-09-22 - 2022-10-05</t>
        </is>
      </c>
      <c r="U799" t="inlineStr"/>
      <c r="V799" t="inlineStr"/>
      <c r="W799" t="inlineStr">
        <is>
          <t>2022-09-27T14:10:09-05:00</t>
        </is>
      </c>
      <c r="X799">
        <f>IFERROR(1/COUNTIF($I:$I,@$I:$I), 0)</f>
        <v/>
      </c>
    </row>
    <row r="800">
      <c r="A800">
        <f>HYPERLINK("https://drivetime.tpondemand.com/entity/143331", "143331")</f>
        <v/>
      </c>
      <c r="B800" t="inlineStr">
        <is>
          <t>[BUG] Loan Mod Experience to Show logic fix</t>
        </is>
      </c>
      <c r="C800" t="inlineStr">
        <is>
          <t>Bug</t>
        </is>
      </c>
      <c r="D800" t="inlineStr">
        <is>
          <t>Servicing: BC Next</t>
        </is>
      </c>
      <c r="E800" t="inlineStr">
        <is>
          <t>BC Digital Wyvern</t>
        </is>
      </c>
      <c r="F800" t="inlineStr">
        <is>
          <t>47</t>
        </is>
      </c>
      <c r="G800" t="inlineStr">
        <is>
          <t>Jonathan Escamilla</t>
        </is>
      </c>
      <c r="H800" t="inlineStr">
        <is>
          <t>null</t>
        </is>
      </c>
      <c r="I800" t="inlineStr"/>
      <c r="J800" t="n">
        <v>16.39974537037037</v>
      </c>
      <c r="K800">
        <f>HYPERLINK("https://drivetime.tpondemand.com/entity/144532", "144532")</f>
        <v/>
      </c>
      <c r="L800" t="inlineStr"/>
      <c r="M800" t="n">
        <v>2</v>
      </c>
      <c r="N800" t="n">
        <v>127352</v>
      </c>
      <c r="O800" t="inlineStr">
        <is>
          <t>Done</t>
        </is>
      </c>
      <c r="P800" t="n">
        <v>1</v>
      </c>
      <c r="Q800" t="inlineStr">
        <is>
          <t>Wyvern 34</t>
        </is>
      </c>
      <c r="R800" t="inlineStr">
        <is>
          <t>2022-11-03</t>
        </is>
      </c>
      <c r="S800" t="inlineStr">
        <is>
          <t>2022-11-16</t>
        </is>
      </c>
      <c r="T800" t="inlineStr">
        <is>
          <t>Wyvern 34 : 2022-11-03 - 2022-11-16</t>
        </is>
      </c>
      <c r="U800" t="inlineStr"/>
      <c r="V800" t="inlineStr"/>
      <c r="W800" t="inlineStr">
        <is>
          <t>2022-11-21T00:00:00-06:00</t>
        </is>
      </c>
      <c r="X800">
        <f>IFERROR(1/COUNTIF($I:$I,@$I:$I), 0)</f>
        <v/>
      </c>
    </row>
    <row r="801">
      <c r="A801">
        <f>HYPERLINK("https://drivetime.tpondemand.com/entity/126663", "126663")</f>
        <v/>
      </c>
      <c r="B801" t="inlineStr">
        <is>
          <t>Previous User Data still Persisting after logout</t>
        </is>
      </c>
      <c r="C801" t="inlineStr">
        <is>
          <t>Bug</t>
        </is>
      </c>
      <c r="D801" t="inlineStr">
        <is>
          <t>Servicing: BC Next</t>
        </is>
      </c>
      <c r="E801" t="inlineStr">
        <is>
          <t>BC Digital Wyvern</t>
        </is>
      </c>
      <c r="F801" t="inlineStr">
        <is>
          <t>05</t>
        </is>
      </c>
      <c r="G801" t="inlineStr"/>
      <c r="H801" t="inlineStr">
        <is>
          <t>[BC NEXT] Regression Testing &amp; App Bug Fixes</t>
        </is>
      </c>
      <c r="I801" t="inlineStr"/>
      <c r="J801" t="n">
        <v>3.089293981481481</v>
      </c>
      <c r="K801" t="inlineStr"/>
      <c r="L801">
        <f>HYPERLINK("https://drivetime.tpondemand.com/entity/125959", "125959")</f>
        <v/>
      </c>
      <c r="M801" t="n">
        <v>0</v>
      </c>
      <c r="N801" t="inlineStr"/>
      <c r="O801" t="inlineStr">
        <is>
          <t>Done</t>
        </is>
      </c>
      <c r="P801" t="n">
        <v>1</v>
      </c>
      <c r="Q801" t="inlineStr"/>
      <c r="R801" t="inlineStr"/>
      <c r="S801" t="inlineStr"/>
      <c r="T801" t="inlineStr"/>
      <c r="U801" t="inlineStr"/>
      <c r="V801" t="inlineStr"/>
      <c r="W801" t="inlineStr">
        <is>
          <t>2022-01-31T16:51:50-06:00</t>
        </is>
      </c>
      <c r="X801">
        <f>IFERROR(1/COUNTIF($I:$I,@$I:$I), 0)</f>
        <v/>
      </c>
    </row>
    <row r="802">
      <c r="A802">
        <f>HYPERLINK("https://drivetime.tpondemand.com/entity/126676", "126676")</f>
        <v/>
      </c>
      <c r="B802" t="inlineStr">
        <is>
          <t>User able to resume session if they don't have a connection</t>
        </is>
      </c>
      <c r="C802" t="inlineStr">
        <is>
          <t>Bug</t>
        </is>
      </c>
      <c r="D802" t="inlineStr">
        <is>
          <t>Servicing: BC Next</t>
        </is>
      </c>
      <c r="E802" t="inlineStr">
        <is>
          <t>BC Digital Wyvern</t>
        </is>
      </c>
      <c r="F802" t="inlineStr">
        <is>
          <t>05</t>
        </is>
      </c>
      <c r="G802" t="inlineStr"/>
      <c r="H802" t="inlineStr">
        <is>
          <t>[BC NEXT] Regression Testing &amp; App Bug Fixes</t>
        </is>
      </c>
      <c r="I802" t="inlineStr"/>
      <c r="J802" t="n">
        <v>0.003298611111111111</v>
      </c>
      <c r="K802" t="inlineStr"/>
      <c r="L802">
        <f>HYPERLINK("https://drivetime.tpondemand.com/entity/125959", "125959")</f>
        <v/>
      </c>
      <c r="M802" t="n">
        <v>0</v>
      </c>
      <c r="N802" t="n">
        <v>126668</v>
      </c>
      <c r="O802" t="inlineStr">
        <is>
          <t>Done</t>
        </is>
      </c>
      <c r="P802" t="n">
        <v>1</v>
      </c>
      <c r="Q802" t="inlineStr">
        <is>
          <t>Wyvern 14</t>
        </is>
      </c>
      <c r="R802" t="inlineStr">
        <is>
          <t>2022-01-20</t>
        </is>
      </c>
      <c r="S802" t="inlineStr">
        <is>
          <t>2022-02-02</t>
        </is>
      </c>
      <c r="T802" t="inlineStr">
        <is>
          <t>Wyvern 14 : 2022-01-20 - 2022-02-02</t>
        </is>
      </c>
      <c r="U802" t="inlineStr"/>
      <c r="V802" t="inlineStr"/>
      <c r="W802" t="inlineStr">
        <is>
          <t>2022-01-31T16:56:32-06:00</t>
        </is>
      </c>
      <c r="X802">
        <f>IFERROR(1/COUNTIF($I:$I,@$I:$I), 0)</f>
        <v/>
      </c>
    </row>
    <row r="803">
      <c r="A803">
        <f>HYPERLINK("https://drivetime.tpondemand.com/entity/127578", "127578")</f>
        <v/>
      </c>
      <c r="B803" t="inlineStr">
        <is>
          <t>Analytics are not flowing through to Snowflake</t>
        </is>
      </c>
      <c r="C803" t="inlineStr">
        <is>
          <t>Bug</t>
        </is>
      </c>
      <c r="D803" t="inlineStr">
        <is>
          <t>Servicing: BC Next</t>
        </is>
      </c>
      <c r="E803" t="inlineStr">
        <is>
          <t>BC Digital Wyvern</t>
        </is>
      </c>
      <c r="F803" t="inlineStr">
        <is>
          <t>07</t>
        </is>
      </c>
      <c r="G803" t="inlineStr"/>
      <c r="H803" t="inlineStr">
        <is>
          <t>[BC NEXT] Regression Testing &amp; App Bug Fixes</t>
        </is>
      </c>
      <c r="I803" t="inlineStr"/>
      <c r="J803" t="n">
        <v>0</v>
      </c>
      <c r="K803" t="inlineStr"/>
      <c r="L803">
        <f>HYPERLINK("https://drivetime.tpondemand.com/entity/127375", "127375")</f>
        <v/>
      </c>
      <c r="M803" t="n">
        <v>0</v>
      </c>
      <c r="N803" t="n">
        <v>127333</v>
      </c>
      <c r="O803" t="inlineStr">
        <is>
          <t>Done</t>
        </is>
      </c>
      <c r="P803" t="n">
        <v>1</v>
      </c>
      <c r="Q803" t="inlineStr">
        <is>
          <t>Wyvern 15</t>
        </is>
      </c>
      <c r="R803" t="inlineStr">
        <is>
          <t>2022-02-10</t>
        </is>
      </c>
      <c r="S803" t="inlineStr">
        <is>
          <t>2022-02-23</t>
        </is>
      </c>
      <c r="T803" t="inlineStr">
        <is>
          <t>Wyvern 15 : 2022-02-10 - 2022-02-23</t>
        </is>
      </c>
      <c r="U803" t="inlineStr"/>
      <c r="V803" t="inlineStr"/>
      <c r="W803" t="inlineStr">
        <is>
          <t>2022-02-17T13:05:31-06:00</t>
        </is>
      </c>
      <c r="X803">
        <f>IFERROR(1/COUNTIF($I:$I,@$I:$I), 0)</f>
        <v/>
      </c>
    </row>
    <row r="804">
      <c r="A804">
        <f>HYPERLINK("https://drivetime.tpondemand.com/entity/127760", "127760")</f>
        <v/>
      </c>
      <c r="B804" t="inlineStr">
        <is>
          <t>Out of sync with ADO</t>
        </is>
      </c>
      <c r="C804" t="inlineStr">
        <is>
          <t>Bug</t>
        </is>
      </c>
      <c r="D804" t="inlineStr">
        <is>
          <t>Servicing: BC Next</t>
        </is>
      </c>
      <c r="E804" t="inlineStr">
        <is>
          <t>BC Digital Wyvern</t>
        </is>
      </c>
      <c r="F804" t="inlineStr">
        <is>
          <t>08</t>
        </is>
      </c>
      <c r="G804" t="inlineStr"/>
      <c r="H804" t="inlineStr">
        <is>
          <t>[BC NEXT] BC Next Automation Tests</t>
        </is>
      </c>
      <c r="I804" t="inlineStr"/>
      <c r="J804" t="n">
        <v>0.07804398148148148</v>
      </c>
      <c r="K804" t="inlineStr"/>
      <c r="L804">
        <f>HYPERLINK("https://drivetime.tpondemand.com/entity/126565", "126565")</f>
        <v/>
      </c>
      <c r="M804" t="n">
        <v>0</v>
      </c>
      <c r="N804" t="n">
        <v>127333</v>
      </c>
      <c r="O804" t="inlineStr">
        <is>
          <t>Done</t>
        </is>
      </c>
      <c r="P804" t="n">
        <v>1</v>
      </c>
      <c r="Q804" t="inlineStr">
        <is>
          <t>Wyvern 15</t>
        </is>
      </c>
      <c r="R804" t="inlineStr">
        <is>
          <t>2022-02-10</t>
        </is>
      </c>
      <c r="S804" t="inlineStr">
        <is>
          <t>2022-02-23</t>
        </is>
      </c>
      <c r="T804" t="inlineStr">
        <is>
          <t>Wyvern 15 : 2022-02-10 - 2022-02-23</t>
        </is>
      </c>
      <c r="U804" t="inlineStr"/>
      <c r="V804" t="inlineStr"/>
      <c r="W804" t="inlineStr">
        <is>
          <t>2022-02-23T18:40:56-06:00</t>
        </is>
      </c>
      <c r="X804">
        <f>IFERROR(1/COUNTIF($I:$I,@$I:$I), 0)</f>
        <v/>
      </c>
    </row>
    <row r="805">
      <c r="A805">
        <f>HYPERLINK("https://drivetime.tpondemand.com/entity/127834", "127834")</f>
        <v/>
      </c>
      <c r="B805" t="inlineStr">
        <is>
          <t>Notification and Transaction History Dates are not dynamic for One Account with Payment Due User</t>
        </is>
      </c>
      <c r="C805" t="inlineStr">
        <is>
          <t>Bug</t>
        </is>
      </c>
      <c r="D805" t="inlineStr">
        <is>
          <t>Servicing: BC Next</t>
        </is>
      </c>
      <c r="E805" t="inlineStr">
        <is>
          <t>BC Digital Wyvern</t>
        </is>
      </c>
      <c r="F805" t="inlineStr">
        <is>
          <t>09</t>
        </is>
      </c>
      <c r="G805" t="inlineStr"/>
      <c r="H805" t="inlineStr">
        <is>
          <t>[BC NEXT] BC Next Automation Tests</t>
        </is>
      </c>
      <c r="I805" t="inlineStr"/>
      <c r="J805" t="n">
        <v>3.779027777777777</v>
      </c>
      <c r="K805" t="inlineStr"/>
      <c r="L805">
        <f>HYPERLINK("https://drivetime.tpondemand.com/entity/126565", "126565")</f>
        <v/>
      </c>
      <c r="M805" t="n">
        <v>0</v>
      </c>
      <c r="N805" t="n">
        <v>127333</v>
      </c>
      <c r="O805" t="inlineStr">
        <is>
          <t>Done</t>
        </is>
      </c>
      <c r="P805" t="n">
        <v>1</v>
      </c>
      <c r="Q805" t="inlineStr">
        <is>
          <t>Wyvern 15</t>
        </is>
      </c>
      <c r="R805" t="inlineStr">
        <is>
          <t>2022-02-10</t>
        </is>
      </c>
      <c r="S805" t="inlineStr">
        <is>
          <t>2022-02-23</t>
        </is>
      </c>
      <c r="T805" t="inlineStr">
        <is>
          <t>Wyvern 15 : 2022-02-10 - 2022-02-23</t>
        </is>
      </c>
      <c r="U805" t="inlineStr"/>
      <c r="V805" t="inlineStr"/>
      <c r="W805" t="inlineStr">
        <is>
          <t>2022-02-28T10:20:06-06:00</t>
        </is>
      </c>
      <c r="X805">
        <f>IFERROR(1/COUNTIF($I:$I,@$I:$I), 0)</f>
        <v/>
      </c>
    </row>
    <row r="806">
      <c r="A806">
        <f>HYPERLINK("https://drivetime.tpondemand.com/entity/127968", "127968")</f>
        <v/>
      </c>
      <c r="B806" t="inlineStr">
        <is>
          <t>ADO missing some updates</t>
        </is>
      </c>
      <c r="C806" t="inlineStr">
        <is>
          <t>Bug</t>
        </is>
      </c>
      <c r="D806" t="inlineStr">
        <is>
          <t>Servicing: BC Next</t>
        </is>
      </c>
      <c r="E806" t="inlineStr">
        <is>
          <t>BC Digital Wyvern</t>
        </is>
      </c>
      <c r="F806" t="inlineStr">
        <is>
          <t>09</t>
        </is>
      </c>
      <c r="G806" t="inlineStr"/>
      <c r="H806" t="inlineStr">
        <is>
          <t>[BC NEXT] BC Next Automation Tests</t>
        </is>
      </c>
      <c r="I806" t="inlineStr"/>
      <c r="J806" t="n">
        <v>0</v>
      </c>
      <c r="K806" t="inlineStr"/>
      <c r="L806">
        <f>HYPERLINK("https://drivetime.tpondemand.com/entity/126568", "126568")</f>
        <v/>
      </c>
      <c r="M806" t="n">
        <v>0</v>
      </c>
      <c r="N806" t="n">
        <v>127334</v>
      </c>
      <c r="O806" t="inlineStr">
        <is>
          <t>Done</t>
        </is>
      </c>
      <c r="P806" t="n">
        <v>1</v>
      </c>
      <c r="Q806" t="inlineStr">
        <is>
          <t>Wyvern 16</t>
        </is>
      </c>
      <c r="R806" t="inlineStr">
        <is>
          <t>2022-02-24</t>
        </is>
      </c>
      <c r="S806" t="inlineStr">
        <is>
          <t>2022-03-09</t>
        </is>
      </c>
      <c r="T806" t="inlineStr">
        <is>
          <t>Wyvern 16 : 2022-02-24 - 2022-03-09</t>
        </is>
      </c>
      <c r="U806" t="inlineStr"/>
      <c r="V806" t="inlineStr"/>
      <c r="W806" t="inlineStr">
        <is>
          <t>2022-03-02T10:01:07-06:00</t>
        </is>
      </c>
      <c r="X806">
        <f>IFERROR(1/COUNTIF($I:$I,@$I:$I), 0)</f>
        <v/>
      </c>
    </row>
    <row r="807">
      <c r="A807">
        <f>HYPERLINK("https://drivetime.tpondemand.com/entity/128259", "128259")</f>
        <v/>
      </c>
      <c r="B807" t="inlineStr">
        <is>
          <t>49236 Test Case is failing</t>
        </is>
      </c>
      <c r="C807" t="inlineStr">
        <is>
          <t>Bug</t>
        </is>
      </c>
      <c r="D807" t="inlineStr">
        <is>
          <t>Servicing: BC Next</t>
        </is>
      </c>
      <c r="E807" t="inlineStr">
        <is>
          <t>BC Digital Wyvern</t>
        </is>
      </c>
      <c r="F807" t="inlineStr">
        <is>
          <t>10</t>
        </is>
      </c>
      <c r="G807" t="inlineStr"/>
      <c r="H807" t="inlineStr">
        <is>
          <t>[BC NEXT] BC Next Automation Tests</t>
        </is>
      </c>
      <c r="I807" t="inlineStr"/>
      <c r="J807" t="n">
        <v>0</v>
      </c>
      <c r="K807" t="inlineStr"/>
      <c r="L807">
        <f>HYPERLINK("https://drivetime.tpondemand.com/entity/126566", "126566")</f>
        <v/>
      </c>
      <c r="M807" t="n">
        <v>0</v>
      </c>
      <c r="N807" t="n">
        <v>127334</v>
      </c>
      <c r="O807" t="inlineStr">
        <is>
          <t>Done</t>
        </is>
      </c>
      <c r="P807" t="n">
        <v>1</v>
      </c>
      <c r="Q807" t="inlineStr">
        <is>
          <t>Wyvern 16</t>
        </is>
      </c>
      <c r="R807" t="inlineStr">
        <is>
          <t>2022-02-24</t>
        </is>
      </c>
      <c r="S807" t="inlineStr">
        <is>
          <t>2022-03-09</t>
        </is>
      </c>
      <c r="T807" t="inlineStr">
        <is>
          <t>Wyvern 16 : 2022-02-24 - 2022-03-09</t>
        </is>
      </c>
      <c r="U807" t="inlineStr"/>
      <c r="V807" t="inlineStr"/>
      <c r="W807" t="inlineStr">
        <is>
          <t>2022-03-10T19:14:36-06:00</t>
        </is>
      </c>
      <c r="X807">
        <f>IFERROR(1/COUNTIF($I:$I,@$I:$I), 0)</f>
        <v/>
      </c>
    </row>
    <row r="808">
      <c r="A808">
        <f>HYPERLINK("https://drivetime.tpondemand.com/entity/128268", "128268")</f>
        <v/>
      </c>
      <c r="B808" t="inlineStr">
        <is>
          <t>Test case tags have not been updated from e2e-candidate to e2e-automated</t>
        </is>
      </c>
      <c r="C808" t="inlineStr">
        <is>
          <t>Bug</t>
        </is>
      </c>
      <c r="D808" t="inlineStr">
        <is>
          <t>Servicing: BC Next</t>
        </is>
      </c>
      <c r="E808" t="inlineStr">
        <is>
          <t>BC Digital Wyvern</t>
        </is>
      </c>
      <c r="F808" t="inlineStr">
        <is>
          <t>10</t>
        </is>
      </c>
      <c r="G808" t="inlineStr"/>
      <c r="H808" t="inlineStr">
        <is>
          <t>[BC NEXT] BC Next Automation Tests</t>
        </is>
      </c>
      <c r="I808" t="inlineStr"/>
      <c r="J808" t="n">
        <v>0</v>
      </c>
      <c r="K808" t="inlineStr"/>
      <c r="L808">
        <f>HYPERLINK("https://drivetime.tpondemand.com/entity/126896", "126896")</f>
        <v/>
      </c>
      <c r="M808" t="n">
        <v>0</v>
      </c>
      <c r="N808" t="n">
        <v>127334</v>
      </c>
      <c r="O808" t="inlineStr">
        <is>
          <t>Done</t>
        </is>
      </c>
      <c r="P808" t="n">
        <v>1</v>
      </c>
      <c r="Q808" t="inlineStr">
        <is>
          <t>Wyvern 16</t>
        </is>
      </c>
      <c r="R808" t="inlineStr">
        <is>
          <t>2022-02-24</t>
        </is>
      </c>
      <c r="S808" t="inlineStr">
        <is>
          <t>2022-03-09</t>
        </is>
      </c>
      <c r="T808" t="inlineStr">
        <is>
          <t>Wyvern 16 : 2022-02-24 - 2022-03-09</t>
        </is>
      </c>
      <c r="U808" t="inlineStr"/>
      <c r="V808" t="inlineStr"/>
      <c r="W808" t="inlineStr">
        <is>
          <t>2022-03-10T12:10:44-06:00</t>
        </is>
      </c>
      <c r="X808">
        <f>IFERROR(1/COUNTIF($I:$I,@$I:$I), 0)</f>
        <v/>
      </c>
    </row>
    <row r="809">
      <c r="A809">
        <f>HYPERLINK("https://drivetime.tpondemand.com/entity/128271", "128271")</f>
        <v/>
      </c>
      <c r="B809" t="inlineStr">
        <is>
          <t>Test case tags were not updated from e2e-candidate to e2e-automated</t>
        </is>
      </c>
      <c r="C809" t="inlineStr">
        <is>
          <t>Bug</t>
        </is>
      </c>
      <c r="D809" t="inlineStr">
        <is>
          <t>Servicing: BC Next</t>
        </is>
      </c>
      <c r="E809" t="inlineStr">
        <is>
          <t>BC Digital Wyvern</t>
        </is>
      </c>
      <c r="F809" t="inlineStr">
        <is>
          <t>10</t>
        </is>
      </c>
      <c r="G809" t="inlineStr"/>
      <c r="H809" t="inlineStr">
        <is>
          <t>[BC NEXT] BC Next Automation Tests</t>
        </is>
      </c>
      <c r="I809" t="inlineStr"/>
      <c r="J809" t="n">
        <v>1.101585648148148</v>
      </c>
      <c r="K809" t="inlineStr"/>
      <c r="L809">
        <f>HYPERLINK("https://drivetime.tpondemand.com/entity/126897", "126897")</f>
        <v/>
      </c>
      <c r="M809" t="n">
        <v>0</v>
      </c>
      <c r="N809" t="n">
        <v>127334</v>
      </c>
      <c r="O809" t="inlineStr">
        <is>
          <t>Done</t>
        </is>
      </c>
      <c r="P809" t="n">
        <v>1</v>
      </c>
      <c r="Q809" t="inlineStr">
        <is>
          <t>Wyvern 16</t>
        </is>
      </c>
      <c r="R809" t="inlineStr">
        <is>
          <t>2022-02-24</t>
        </is>
      </c>
      <c r="S809" t="inlineStr">
        <is>
          <t>2022-03-09</t>
        </is>
      </c>
      <c r="T809" t="inlineStr">
        <is>
          <t>Wyvern 16 : 2022-02-24 - 2022-03-09</t>
        </is>
      </c>
      <c r="U809" t="inlineStr"/>
      <c r="V809" t="inlineStr"/>
      <c r="W809" t="inlineStr">
        <is>
          <t>2022-03-10T13:56:12-06:00</t>
        </is>
      </c>
      <c r="X809">
        <f>IFERROR(1/COUNTIF($I:$I,@$I:$I), 0)</f>
        <v/>
      </c>
    </row>
    <row r="810">
      <c r="A810">
        <f>HYPERLINK("https://drivetime.tpondemand.com/entity/128272", "128272")</f>
        <v/>
      </c>
      <c r="B810" t="inlineStr">
        <is>
          <t>Did not see 58195 within the automation tests even though it was flagged to be automated</t>
        </is>
      </c>
      <c r="C810" t="inlineStr">
        <is>
          <t>Bug</t>
        </is>
      </c>
      <c r="D810" t="inlineStr">
        <is>
          <t>Servicing: BC Next</t>
        </is>
      </c>
      <c r="E810" t="inlineStr">
        <is>
          <t>BC Digital Wyvern</t>
        </is>
      </c>
      <c r="F810" t="inlineStr">
        <is>
          <t>10</t>
        </is>
      </c>
      <c r="G810" t="inlineStr"/>
      <c r="H810" t="inlineStr">
        <is>
          <t>[BC NEXT] BC Next Automation Tests</t>
        </is>
      </c>
      <c r="I810" t="inlineStr"/>
      <c r="J810" t="n">
        <v>1.032384259259259</v>
      </c>
      <c r="K810" t="inlineStr"/>
      <c r="L810">
        <f>HYPERLINK("https://drivetime.tpondemand.com/entity/126897", "126897")</f>
        <v/>
      </c>
      <c r="M810" t="n">
        <v>0</v>
      </c>
      <c r="N810" t="n">
        <v>127334</v>
      </c>
      <c r="O810" t="inlineStr">
        <is>
          <t>Done</t>
        </is>
      </c>
      <c r="P810" t="n">
        <v>1</v>
      </c>
      <c r="Q810" t="inlineStr">
        <is>
          <t>Wyvern 16</t>
        </is>
      </c>
      <c r="R810" t="inlineStr">
        <is>
          <t>2022-02-24</t>
        </is>
      </c>
      <c r="S810" t="inlineStr">
        <is>
          <t>2022-03-09</t>
        </is>
      </c>
      <c r="T810" t="inlineStr">
        <is>
          <t>Wyvern 16 : 2022-02-24 - 2022-03-09</t>
        </is>
      </c>
      <c r="U810" t="inlineStr"/>
      <c r="V810" t="inlineStr"/>
      <c r="W810" t="inlineStr">
        <is>
          <t>2022-03-10T12:16:44-06:00</t>
        </is>
      </c>
      <c r="X810">
        <f>IFERROR(1/COUNTIF($I:$I,@$I:$I), 0)</f>
        <v/>
      </c>
    </row>
    <row r="811">
      <c r="A811">
        <f>HYPERLINK("https://drivetime.tpondemand.com/entity/128341", "128341")</f>
        <v/>
      </c>
      <c r="B811" t="inlineStr">
        <is>
          <t>Test case were not automated but the tags were updated to e2e-automated</t>
        </is>
      </c>
      <c r="C811" t="inlineStr">
        <is>
          <t>Bug</t>
        </is>
      </c>
      <c r="D811" t="inlineStr">
        <is>
          <t>Servicing: BC Next</t>
        </is>
      </c>
      <c r="E811" t="inlineStr">
        <is>
          <t>BC Digital Wyvern</t>
        </is>
      </c>
      <c r="F811" t="inlineStr">
        <is>
          <t>10</t>
        </is>
      </c>
      <c r="G811" t="inlineStr">
        <is>
          <t>Jajati Routray</t>
        </is>
      </c>
      <c r="H811" t="inlineStr">
        <is>
          <t>[BC NEXT] BC Next Automation Tests</t>
        </is>
      </c>
      <c r="I811" t="inlineStr"/>
      <c r="J811" t="n">
        <v>0</v>
      </c>
      <c r="K811" t="inlineStr"/>
      <c r="L811">
        <f>HYPERLINK("https://drivetime.tpondemand.com/entity/126895", "126895")</f>
        <v/>
      </c>
      <c r="M811" t="n">
        <v>0</v>
      </c>
      <c r="N811" t="n">
        <v>127335</v>
      </c>
      <c r="O811" t="inlineStr">
        <is>
          <t>Done</t>
        </is>
      </c>
      <c r="P811" t="n">
        <v>1</v>
      </c>
      <c r="Q811" t="inlineStr">
        <is>
          <t>Wyvern 17</t>
        </is>
      </c>
      <c r="R811" t="inlineStr">
        <is>
          <t>2022-03-10</t>
        </is>
      </c>
      <c r="S811" t="inlineStr">
        <is>
          <t>2022-03-23</t>
        </is>
      </c>
      <c r="T811" t="inlineStr">
        <is>
          <t>Wyvern 17 : 2022-03-10 - 2022-03-23</t>
        </is>
      </c>
      <c r="U811" t="inlineStr"/>
      <c r="V811" t="inlineStr"/>
      <c r="W811" t="inlineStr">
        <is>
          <t>2022-03-11T15:04:35-06:00</t>
        </is>
      </c>
      <c r="X811">
        <f>IFERROR(1/COUNTIF($I:$I,@$I:$I), 0)</f>
        <v/>
      </c>
    </row>
    <row r="812">
      <c r="A812">
        <f>HYPERLINK("https://drivetime.tpondemand.com/entity/129204", "129204")</f>
        <v/>
      </c>
      <c r="B812" t="inlineStr">
        <is>
          <t>Not seeing test case 55753 in Client Integration Test Run</t>
        </is>
      </c>
      <c r="C812" t="inlineStr">
        <is>
          <t>Bug</t>
        </is>
      </c>
      <c r="D812" t="inlineStr">
        <is>
          <t>Servicing: BC Next</t>
        </is>
      </c>
      <c r="E812" t="inlineStr">
        <is>
          <t>BC Digital Wyvern</t>
        </is>
      </c>
      <c r="F812" t="inlineStr">
        <is>
          <t>13</t>
        </is>
      </c>
      <c r="G812" t="inlineStr"/>
      <c r="H812" t="inlineStr">
        <is>
          <t>[BC NEXT] BC Next Automation Tests</t>
        </is>
      </c>
      <c r="I812" t="inlineStr"/>
      <c r="J812" t="n">
        <v>4.629629629629629e-05</v>
      </c>
      <c r="K812" t="inlineStr"/>
      <c r="L812">
        <f>HYPERLINK("https://drivetime.tpondemand.com/entity/126888", "126888")</f>
        <v/>
      </c>
      <c r="M812" t="n">
        <v>0</v>
      </c>
      <c r="N812" t="n">
        <v>127336</v>
      </c>
      <c r="O812" t="inlineStr">
        <is>
          <t>Done</t>
        </is>
      </c>
      <c r="P812" t="n">
        <v>1</v>
      </c>
      <c r="Q812" t="inlineStr">
        <is>
          <t>Wyvern 18</t>
        </is>
      </c>
      <c r="R812" t="inlineStr">
        <is>
          <t>2022-03-24</t>
        </is>
      </c>
      <c r="S812" t="inlineStr">
        <is>
          <t>2022-04-06</t>
        </is>
      </c>
      <c r="T812" t="inlineStr">
        <is>
          <t>Wyvern 18 : 2022-03-24 - 2022-04-06</t>
        </is>
      </c>
      <c r="U812" t="inlineStr"/>
      <c r="V812" t="inlineStr"/>
      <c r="W812" t="inlineStr">
        <is>
          <t>2022-03-29T11:08:58-05:00</t>
        </is>
      </c>
      <c r="X812">
        <f>IFERROR(1/COUNTIF($I:$I,@$I:$I), 0)</f>
        <v/>
      </c>
    </row>
    <row r="813">
      <c r="A813">
        <f>HYPERLINK("https://drivetime.tpondemand.com/entity/129763", "129763")</f>
        <v/>
      </c>
      <c r="B813" t="inlineStr">
        <is>
          <t>I receive the "Issue Processing Your Request Page" Upon log in</t>
        </is>
      </c>
      <c r="C813" t="inlineStr">
        <is>
          <t>Bug</t>
        </is>
      </c>
      <c r="D813" t="inlineStr">
        <is>
          <t>Servicing: BC Next</t>
        </is>
      </c>
      <c r="E813" t="inlineStr">
        <is>
          <t>BC Digital Wyvern</t>
        </is>
      </c>
      <c r="F813" t="inlineStr">
        <is>
          <t>15</t>
        </is>
      </c>
      <c r="G813" t="inlineStr"/>
      <c r="H813" t="inlineStr">
        <is>
          <t>[BC NEXT] BC Next Automation Tests</t>
        </is>
      </c>
      <c r="I813" t="inlineStr"/>
      <c r="J813" t="n">
        <v>0</v>
      </c>
      <c r="K813" t="inlineStr"/>
      <c r="L813">
        <f>HYPERLINK("https://drivetime.tpondemand.com/entity/126899", "126899")</f>
        <v/>
      </c>
      <c r="M813" t="n">
        <v>0</v>
      </c>
      <c r="N813" t="n">
        <v>127337</v>
      </c>
      <c r="O813" t="inlineStr">
        <is>
          <t>Done</t>
        </is>
      </c>
      <c r="P813" t="n">
        <v>1</v>
      </c>
      <c r="Q813" t="inlineStr">
        <is>
          <t>Wyvern 19</t>
        </is>
      </c>
      <c r="R813" t="inlineStr">
        <is>
          <t>2022-04-07</t>
        </is>
      </c>
      <c r="S813" t="inlineStr">
        <is>
          <t>2022-04-20</t>
        </is>
      </c>
      <c r="T813" t="inlineStr">
        <is>
          <t>Wyvern 19 : 2022-04-07 - 2022-04-20</t>
        </is>
      </c>
      <c r="U813" t="inlineStr"/>
      <c r="V813" t="inlineStr"/>
      <c r="W813" t="inlineStr">
        <is>
          <t>2022-04-11T10:44:43-05:00</t>
        </is>
      </c>
      <c r="X813">
        <f>IFERROR(1/COUNTIF($I:$I,@$I:$I), 0)</f>
        <v/>
      </c>
    </row>
    <row r="814">
      <c r="A814">
        <f>HYPERLINK("https://drivetime.tpondemand.com/entity/131070", "131070")</f>
        <v/>
      </c>
      <c r="B814" t="inlineStr">
        <is>
          <t>Validation for Account Number (12 Numeric Characters)</t>
        </is>
      </c>
      <c r="C814" t="inlineStr">
        <is>
          <t>Bug</t>
        </is>
      </c>
      <c r="D814" t="inlineStr">
        <is>
          <t>Servicing: BC Next</t>
        </is>
      </c>
      <c r="E814" t="inlineStr">
        <is>
          <t>BC Digital Wyvern</t>
        </is>
      </c>
      <c r="F814" t="inlineStr">
        <is>
          <t>18</t>
        </is>
      </c>
      <c r="G814" t="inlineStr">
        <is>
          <t>Jonathan Escamilla</t>
        </is>
      </c>
      <c r="H814" t="inlineStr">
        <is>
          <t>[BC NEXT] Impersonation</t>
        </is>
      </c>
      <c r="I814" t="inlineStr"/>
      <c r="J814" t="n">
        <v>0</v>
      </c>
      <c r="K814" t="inlineStr"/>
      <c r="L814">
        <f>HYPERLINK("https://drivetime.tpondemand.com/entity/128118", "128118")</f>
        <v/>
      </c>
      <c r="M814" t="n">
        <v>0</v>
      </c>
      <c r="N814" t="n">
        <v>127338</v>
      </c>
      <c r="O814" t="inlineStr">
        <is>
          <t>Done</t>
        </is>
      </c>
      <c r="P814" t="n">
        <v>1</v>
      </c>
      <c r="Q814" t="inlineStr">
        <is>
          <t>Wyvern 20</t>
        </is>
      </c>
      <c r="R814" t="inlineStr">
        <is>
          <t>2022-04-21</t>
        </is>
      </c>
      <c r="S814" t="inlineStr">
        <is>
          <t>2022-05-04</t>
        </is>
      </c>
      <c r="T814" t="inlineStr">
        <is>
          <t>Wyvern 20 : 2022-04-21 - 2022-05-04</t>
        </is>
      </c>
      <c r="U814" t="inlineStr"/>
      <c r="V814" t="inlineStr"/>
      <c r="W814" t="inlineStr">
        <is>
          <t>2022-05-05T15:59:11-05:00</t>
        </is>
      </c>
      <c r="X814">
        <f>IFERROR(1/COUNTIF($I:$I,@$I:$I), 0)</f>
        <v/>
      </c>
    </row>
    <row r="815">
      <c r="A815">
        <f>HYPERLINK("https://drivetime.tpondemand.com/entity/131188", "131188")</f>
        <v/>
      </c>
      <c r="B815" t="inlineStr">
        <is>
          <t>Red Border for user search field upon Failure</t>
        </is>
      </c>
      <c r="C815" t="inlineStr">
        <is>
          <t>Bug</t>
        </is>
      </c>
      <c r="D815" t="inlineStr">
        <is>
          <t>Servicing: BC Next</t>
        </is>
      </c>
      <c r="E815" t="inlineStr">
        <is>
          <t>BC Digital Wyvern</t>
        </is>
      </c>
      <c r="F815" t="inlineStr">
        <is>
          <t>18</t>
        </is>
      </c>
      <c r="G815" t="inlineStr">
        <is>
          <t>Andrew Vu</t>
        </is>
      </c>
      <c r="H815" t="inlineStr">
        <is>
          <t>[BC NEXT] Impersonation</t>
        </is>
      </c>
      <c r="I815" t="inlineStr"/>
      <c r="J815" t="n">
        <v>0</v>
      </c>
      <c r="K815" t="inlineStr"/>
      <c r="L815">
        <f>HYPERLINK("https://drivetime.tpondemand.com/entity/128118", "128118")</f>
        <v/>
      </c>
      <c r="M815" t="n">
        <v>0</v>
      </c>
      <c r="N815" t="n">
        <v>127338</v>
      </c>
      <c r="O815" t="inlineStr">
        <is>
          <t>Done</t>
        </is>
      </c>
      <c r="P815" t="n">
        <v>1</v>
      </c>
      <c r="Q815" t="inlineStr">
        <is>
          <t>Wyvern 20</t>
        </is>
      </c>
      <c r="R815" t="inlineStr">
        <is>
          <t>2022-04-21</t>
        </is>
      </c>
      <c r="S815" t="inlineStr">
        <is>
          <t>2022-05-04</t>
        </is>
      </c>
      <c r="T815" t="inlineStr">
        <is>
          <t>Wyvern 20 : 2022-04-21 - 2022-05-04</t>
        </is>
      </c>
      <c r="U815" t="inlineStr"/>
      <c r="V815" t="inlineStr"/>
      <c r="W815" t="inlineStr">
        <is>
          <t>2022-05-05T15:59:43-05:00</t>
        </is>
      </c>
      <c r="X815">
        <f>IFERROR(1/COUNTIF($I:$I,@$I:$I), 0)</f>
        <v/>
      </c>
    </row>
    <row r="816">
      <c r="A816">
        <f>HYPERLINK("https://drivetime.tpondemand.com/entity/131399", "131399")</f>
        <v/>
      </c>
      <c r="B816" t="inlineStr">
        <is>
          <t>Components don't match Zeplin comps</t>
        </is>
      </c>
      <c r="C816" t="inlineStr">
        <is>
          <t>Bug</t>
        </is>
      </c>
      <c r="D816" t="inlineStr">
        <is>
          <t>Servicing: BC Next</t>
        </is>
      </c>
      <c r="E816" t="inlineStr">
        <is>
          <t>BC Digital Wyvern</t>
        </is>
      </c>
      <c r="F816" t="inlineStr">
        <is>
          <t>19</t>
        </is>
      </c>
      <c r="G816" t="inlineStr"/>
      <c r="H816" t="inlineStr">
        <is>
          <t>[BC NEXT] Impersonation</t>
        </is>
      </c>
      <c r="I816" t="inlineStr"/>
      <c r="J816" t="n">
        <v>0</v>
      </c>
      <c r="K816" t="inlineStr"/>
      <c r="L816">
        <f>HYPERLINK("https://drivetime.tpondemand.com/entity/128121", "128121")</f>
        <v/>
      </c>
      <c r="M816" t="n">
        <v>0</v>
      </c>
      <c r="N816" t="n">
        <v>127339</v>
      </c>
      <c r="O816" t="inlineStr">
        <is>
          <t>Done</t>
        </is>
      </c>
      <c r="P816" t="n">
        <v>1</v>
      </c>
      <c r="Q816" t="inlineStr">
        <is>
          <t>Wyvern 21</t>
        </is>
      </c>
      <c r="R816" t="inlineStr">
        <is>
          <t>2022-05-05</t>
        </is>
      </c>
      <c r="S816" t="inlineStr">
        <is>
          <t>2022-05-18</t>
        </is>
      </c>
      <c r="T816" t="inlineStr">
        <is>
          <t>Wyvern 21 : 2022-05-05 - 2022-05-18</t>
        </is>
      </c>
      <c r="U816" t="inlineStr"/>
      <c r="V816" t="inlineStr"/>
      <c r="W816" t="inlineStr">
        <is>
          <t>2022-05-09T11:11:13-05:00</t>
        </is>
      </c>
      <c r="X816">
        <f>IFERROR(1/COUNTIF($I:$I,@$I:$I), 0)</f>
        <v/>
      </c>
    </row>
    <row r="817">
      <c r="A817">
        <f>HYPERLINK("https://drivetime.tpondemand.com/entity/131441", "131441")</f>
        <v/>
      </c>
      <c r="B817" t="inlineStr">
        <is>
          <t>Cosmetic fixes</t>
        </is>
      </c>
      <c r="C817" t="inlineStr">
        <is>
          <t>Bug</t>
        </is>
      </c>
      <c r="D817" t="inlineStr">
        <is>
          <t>Servicing: BC Next</t>
        </is>
      </c>
      <c r="E817" t="inlineStr">
        <is>
          <t>BC Digital Wyvern</t>
        </is>
      </c>
      <c r="F817" t="inlineStr">
        <is>
          <t>19</t>
        </is>
      </c>
      <c r="G817" t="inlineStr"/>
      <c r="H817" t="inlineStr">
        <is>
          <t>[BC NEXT] Impersonation</t>
        </is>
      </c>
      <c r="I817" t="inlineStr"/>
      <c r="J817" t="n">
        <v>0.8640393518518518</v>
      </c>
      <c r="K817" t="inlineStr"/>
      <c r="L817">
        <f>HYPERLINK("https://drivetime.tpondemand.com/entity/128118", "128118")</f>
        <v/>
      </c>
      <c r="M817" t="n">
        <v>0</v>
      </c>
      <c r="N817" t="n">
        <v>127339</v>
      </c>
      <c r="O817" t="inlineStr">
        <is>
          <t>Done</t>
        </is>
      </c>
      <c r="P817" t="n">
        <v>1</v>
      </c>
      <c r="Q817" t="inlineStr">
        <is>
          <t>Wyvern 21</t>
        </is>
      </c>
      <c r="R817" t="inlineStr">
        <is>
          <t>2022-05-05</t>
        </is>
      </c>
      <c r="S817" t="inlineStr">
        <is>
          <t>2022-05-18</t>
        </is>
      </c>
      <c r="T817" t="inlineStr">
        <is>
          <t>Wyvern 21 : 2022-05-05 - 2022-05-18</t>
        </is>
      </c>
      <c r="U817" t="inlineStr"/>
      <c r="V817" t="inlineStr"/>
      <c r="W817" t="inlineStr">
        <is>
          <t>2022-05-10T11:06:23-05:00</t>
        </is>
      </c>
      <c r="X817">
        <f>IFERROR(1/COUNTIF($I:$I,@$I:$I), 0)</f>
        <v/>
      </c>
    </row>
    <row r="818">
      <c r="A818">
        <f>HYPERLINK("https://drivetime.tpondemand.com/entity/131442", "131442")</f>
        <v/>
      </c>
      <c r="B818" t="inlineStr">
        <is>
          <t>Status is showing as Not Linked when it should show as Unverified</t>
        </is>
      </c>
      <c r="C818" t="inlineStr">
        <is>
          <t>Bug</t>
        </is>
      </c>
      <c r="D818" t="inlineStr">
        <is>
          <t>Servicing: BC Next</t>
        </is>
      </c>
      <c r="E818" t="inlineStr">
        <is>
          <t>BC Digital Wyvern</t>
        </is>
      </c>
      <c r="F818" t="inlineStr">
        <is>
          <t>19</t>
        </is>
      </c>
      <c r="G818" t="inlineStr">
        <is>
          <t>Jajati Routray</t>
        </is>
      </c>
      <c r="H818" t="inlineStr">
        <is>
          <t>[BC NEXT] Impersonation</t>
        </is>
      </c>
      <c r="I818" t="inlineStr"/>
      <c r="J818" t="n">
        <v>0.8377893518518518</v>
      </c>
      <c r="K818" t="inlineStr"/>
      <c r="L818">
        <f>HYPERLINK("https://drivetime.tpondemand.com/entity/128119", "128119")</f>
        <v/>
      </c>
      <c r="M818" t="n">
        <v>0</v>
      </c>
      <c r="N818" t="n">
        <v>127339</v>
      </c>
      <c r="O818" t="inlineStr">
        <is>
          <t>Done</t>
        </is>
      </c>
      <c r="P818" t="n">
        <v>1</v>
      </c>
      <c r="Q818" t="inlineStr">
        <is>
          <t>Wyvern 21</t>
        </is>
      </c>
      <c r="R818" t="inlineStr">
        <is>
          <t>2022-05-05</t>
        </is>
      </c>
      <c r="S818" t="inlineStr">
        <is>
          <t>2022-05-18</t>
        </is>
      </c>
      <c r="T818" t="inlineStr">
        <is>
          <t>Wyvern 21 : 2022-05-05 - 2022-05-18</t>
        </is>
      </c>
      <c r="U818" t="inlineStr"/>
      <c r="V818" t="inlineStr"/>
      <c r="W818" t="inlineStr">
        <is>
          <t>2022-05-10T13:28:11-05:00</t>
        </is>
      </c>
      <c r="X818">
        <f>IFERROR(1/COUNTIF($I:$I,@$I:$I), 0)</f>
        <v/>
      </c>
    </row>
    <row r="819">
      <c r="A819">
        <f>HYPERLINK("https://drivetime.tpondemand.com/entity/131945", "131945")</f>
        <v/>
      </c>
      <c r="B819" t="inlineStr">
        <is>
          <t>Styling Fixes</t>
        </is>
      </c>
      <c r="C819" t="inlineStr">
        <is>
          <t>Bug</t>
        </is>
      </c>
      <c r="D819" t="inlineStr">
        <is>
          <t>Servicing: BC Next</t>
        </is>
      </c>
      <c r="E819" t="inlineStr">
        <is>
          <t>BC Digital Wyvern</t>
        </is>
      </c>
      <c r="F819" t="inlineStr">
        <is>
          <t>20</t>
        </is>
      </c>
      <c r="G819" t="inlineStr"/>
      <c r="H819" t="inlineStr">
        <is>
          <t>[BC NEXT] Impersonation</t>
        </is>
      </c>
      <c r="I819" t="inlineStr"/>
      <c r="J819" t="n">
        <v>7.918900462962963</v>
      </c>
      <c r="K819" t="inlineStr"/>
      <c r="L819">
        <f>HYPERLINK("https://drivetime.tpondemand.com/entity/128124", "128124")</f>
        <v/>
      </c>
      <c r="M819" t="n">
        <v>0</v>
      </c>
      <c r="N819" t="n">
        <v>127339</v>
      </c>
      <c r="O819" t="inlineStr">
        <is>
          <t>Done</t>
        </is>
      </c>
      <c r="P819" t="n">
        <v>1</v>
      </c>
      <c r="Q819" t="inlineStr">
        <is>
          <t>Wyvern 21</t>
        </is>
      </c>
      <c r="R819" t="inlineStr">
        <is>
          <t>2022-05-05</t>
        </is>
      </c>
      <c r="S819" t="inlineStr">
        <is>
          <t>2022-05-18</t>
        </is>
      </c>
      <c r="T819" t="inlineStr">
        <is>
          <t>Wyvern 21 : 2022-05-05 - 2022-05-18</t>
        </is>
      </c>
      <c r="U819" t="inlineStr"/>
      <c r="V819" t="inlineStr"/>
      <c r="W819" t="inlineStr">
        <is>
          <t>2022-05-20T16:08:50-05:00</t>
        </is>
      </c>
      <c r="X819">
        <f>IFERROR(1/COUNTIF($I:$I,@$I:$I), 0)</f>
        <v/>
      </c>
    </row>
    <row r="820">
      <c r="A820">
        <f>HYPERLINK("https://drivetime.tpondemand.com/entity/132397", "132397")</f>
        <v/>
      </c>
      <c r="B820" t="inlineStr">
        <is>
          <t>Unlock profile button should not be visible</t>
        </is>
      </c>
      <c r="C820" t="inlineStr">
        <is>
          <t>Bug</t>
        </is>
      </c>
      <c r="D820" t="inlineStr">
        <is>
          <t>Servicing: BC Next</t>
        </is>
      </c>
      <c r="E820" t="inlineStr">
        <is>
          <t>BC Digital Wyvern</t>
        </is>
      </c>
      <c r="F820" t="inlineStr">
        <is>
          <t>20</t>
        </is>
      </c>
      <c r="G820" t="inlineStr"/>
      <c r="H820" t="inlineStr">
        <is>
          <t>[BC NEXT] Impersonation</t>
        </is>
      </c>
      <c r="I820" t="inlineStr"/>
      <c r="J820" t="n">
        <v>0</v>
      </c>
      <c r="K820" t="inlineStr"/>
      <c r="L820">
        <f>HYPERLINK("https://drivetime.tpondemand.com/entity/128122", "128122")</f>
        <v/>
      </c>
      <c r="M820" t="n">
        <v>0</v>
      </c>
      <c r="N820" t="n">
        <v>127339</v>
      </c>
      <c r="O820" t="inlineStr">
        <is>
          <t>Done</t>
        </is>
      </c>
      <c r="P820" t="n">
        <v>1</v>
      </c>
      <c r="Q820" t="inlineStr">
        <is>
          <t>Wyvern 21</t>
        </is>
      </c>
      <c r="R820" t="inlineStr">
        <is>
          <t>2022-05-05</t>
        </is>
      </c>
      <c r="S820" t="inlineStr">
        <is>
          <t>2022-05-18</t>
        </is>
      </c>
      <c r="T820" t="inlineStr">
        <is>
          <t>Wyvern 21 : 2022-05-05 - 2022-05-18</t>
        </is>
      </c>
      <c r="U820" t="inlineStr"/>
      <c r="V820" t="inlineStr"/>
      <c r="W820" t="inlineStr">
        <is>
          <t>2022-05-19T14:54:28-05:00</t>
        </is>
      </c>
      <c r="X820">
        <f>IFERROR(1/COUNTIF($I:$I,@$I:$I), 0)</f>
        <v/>
      </c>
    </row>
    <row r="821">
      <c r="A821">
        <f>HYPERLINK("https://drivetime.tpondemand.com/entity/132420", "132420")</f>
        <v/>
      </c>
      <c r="B821" t="inlineStr">
        <is>
          <t>Add Bank Account Styling Fixes</t>
        </is>
      </c>
      <c r="C821" t="inlineStr">
        <is>
          <t>Bug</t>
        </is>
      </c>
      <c r="D821" t="inlineStr">
        <is>
          <t>Servicing: BC Next</t>
        </is>
      </c>
      <c r="E821" t="inlineStr">
        <is>
          <t>BC Digital Wyvern</t>
        </is>
      </c>
      <c r="F821" t="inlineStr">
        <is>
          <t>20</t>
        </is>
      </c>
      <c r="G821" t="inlineStr"/>
      <c r="H821" t="inlineStr">
        <is>
          <t>[BC NEXT] Impersonation</t>
        </is>
      </c>
      <c r="I821" t="inlineStr"/>
      <c r="J821" t="n">
        <v>0</v>
      </c>
      <c r="K821" t="inlineStr"/>
      <c r="L821">
        <f>HYPERLINK("https://drivetime.tpondemand.com/entity/128124", "128124")</f>
        <v/>
      </c>
      <c r="M821" t="n">
        <v>0</v>
      </c>
      <c r="N821" t="n">
        <v>127339</v>
      </c>
      <c r="O821" t="inlineStr">
        <is>
          <t>Done</t>
        </is>
      </c>
      <c r="P821" t="n">
        <v>1</v>
      </c>
      <c r="Q821" t="inlineStr">
        <is>
          <t>Wyvern 21</t>
        </is>
      </c>
      <c r="R821" t="inlineStr">
        <is>
          <t>2022-05-05</t>
        </is>
      </c>
      <c r="S821" t="inlineStr">
        <is>
          <t>2022-05-18</t>
        </is>
      </c>
      <c r="T821" t="inlineStr">
        <is>
          <t>Wyvern 21 : 2022-05-05 - 2022-05-18</t>
        </is>
      </c>
      <c r="U821" t="inlineStr"/>
      <c r="V821" t="inlineStr"/>
      <c r="W821" t="inlineStr">
        <is>
          <t>2022-05-20T16:08:53-05:00</t>
        </is>
      </c>
      <c r="X821">
        <f>IFERROR(1/COUNTIF($I:$I,@$I:$I), 0)</f>
        <v/>
      </c>
    </row>
    <row r="822">
      <c r="A822">
        <f>HYPERLINK("https://drivetime.tpondemand.com/entity/132421", "132421")</f>
        <v/>
      </c>
      <c r="B822" t="inlineStr">
        <is>
          <t>Payment Options Styling Fixes</t>
        </is>
      </c>
      <c r="C822" t="inlineStr">
        <is>
          <t>Bug</t>
        </is>
      </c>
      <c r="D822" t="inlineStr">
        <is>
          <t>Servicing: BC Next</t>
        </is>
      </c>
      <c r="E822" t="inlineStr">
        <is>
          <t>BC Digital Wyvern</t>
        </is>
      </c>
      <c r="F822" t="inlineStr">
        <is>
          <t>20</t>
        </is>
      </c>
      <c r="G822" t="inlineStr"/>
      <c r="H822" t="inlineStr">
        <is>
          <t>[BC NEXT] Impersonation</t>
        </is>
      </c>
      <c r="I822" t="inlineStr"/>
      <c r="J822" t="n">
        <v>0</v>
      </c>
      <c r="K822" t="inlineStr"/>
      <c r="L822">
        <f>HYPERLINK("https://drivetime.tpondemand.com/entity/128124", "128124")</f>
        <v/>
      </c>
      <c r="M822" t="n">
        <v>0</v>
      </c>
      <c r="N822" t="n">
        <v>127339</v>
      </c>
      <c r="O822" t="inlineStr">
        <is>
          <t>Done</t>
        </is>
      </c>
      <c r="P822" t="n">
        <v>1</v>
      </c>
      <c r="Q822" t="inlineStr">
        <is>
          <t>Wyvern 21</t>
        </is>
      </c>
      <c r="R822" t="inlineStr">
        <is>
          <t>2022-05-05</t>
        </is>
      </c>
      <c r="S822" t="inlineStr">
        <is>
          <t>2022-05-18</t>
        </is>
      </c>
      <c r="T822" t="inlineStr">
        <is>
          <t>Wyvern 21 : 2022-05-05 - 2022-05-18</t>
        </is>
      </c>
      <c r="U822" t="inlineStr"/>
      <c r="V822" t="inlineStr"/>
      <c r="W822" t="inlineStr">
        <is>
          <t>2022-05-20T16:08:52-05:00</t>
        </is>
      </c>
      <c r="X822">
        <f>IFERROR(1/COUNTIF($I:$I,@$I:$I), 0)</f>
        <v/>
      </c>
    </row>
    <row r="823">
      <c r="A823">
        <f>HYPERLINK("https://drivetime.tpondemand.com/entity/132493", "132493")</f>
        <v/>
      </c>
      <c r="B823" t="inlineStr">
        <is>
          <t>Device is shows as reassigned</t>
        </is>
      </c>
      <c r="C823" t="inlineStr">
        <is>
          <t>Bug</t>
        </is>
      </c>
      <c r="D823" t="inlineStr">
        <is>
          <t>Servicing: BC Next</t>
        </is>
      </c>
      <c r="E823" t="inlineStr">
        <is>
          <t>BC Digital Wyvern</t>
        </is>
      </c>
      <c r="F823" t="inlineStr">
        <is>
          <t>20</t>
        </is>
      </c>
      <c r="G823" t="inlineStr"/>
      <c r="H823" t="inlineStr">
        <is>
          <t>[BC NEXT] Impersonation</t>
        </is>
      </c>
      <c r="I823" t="inlineStr"/>
      <c r="J823" t="n">
        <v>1.08505787037037</v>
      </c>
      <c r="K823" t="inlineStr"/>
      <c r="L823">
        <f>HYPERLINK("https://drivetime.tpondemand.com/entity/128122", "128122")</f>
        <v/>
      </c>
      <c r="M823" t="n">
        <v>0</v>
      </c>
      <c r="N823" t="n">
        <v>127340</v>
      </c>
      <c r="O823" t="inlineStr">
        <is>
          <t>Done</t>
        </is>
      </c>
      <c r="P823" t="n">
        <v>1</v>
      </c>
      <c r="Q823" t="inlineStr">
        <is>
          <t>Wyvern 22</t>
        </is>
      </c>
      <c r="R823" t="inlineStr">
        <is>
          <t>2022-05-19</t>
        </is>
      </c>
      <c r="S823" t="inlineStr">
        <is>
          <t>2022-06-01</t>
        </is>
      </c>
      <c r="T823" t="inlineStr">
        <is>
          <t>Wyvern 22 : 2022-05-19 - 2022-06-01</t>
        </is>
      </c>
      <c r="U823" t="inlineStr"/>
      <c r="V823" t="inlineStr"/>
      <c r="W823" t="inlineStr">
        <is>
          <t>2022-05-20T19:24:48-05:00</t>
        </is>
      </c>
      <c r="X823">
        <f>IFERROR(1/COUNTIF($I:$I,@$I:$I), 0)</f>
        <v/>
      </c>
    </row>
    <row r="824">
      <c r="A824">
        <f>HYPERLINK("https://drivetime.tpondemand.com/entity/132593", "132593")</f>
        <v/>
      </c>
      <c r="B824" t="inlineStr">
        <is>
          <t>When 'Remove Device' button returns, it doesn't match comps</t>
        </is>
      </c>
      <c r="C824" t="inlineStr">
        <is>
          <t>Bug</t>
        </is>
      </c>
      <c r="D824" t="inlineStr">
        <is>
          <t>Servicing: BC Next</t>
        </is>
      </c>
      <c r="E824" t="inlineStr">
        <is>
          <t>BC Digital Wyvern</t>
        </is>
      </c>
      <c r="F824" t="inlineStr">
        <is>
          <t>21</t>
        </is>
      </c>
      <c r="G824" t="inlineStr">
        <is>
          <t>Jonathan Escamilla</t>
        </is>
      </c>
      <c r="H824" t="inlineStr">
        <is>
          <t>[BC NEXT] Impersonation</t>
        </is>
      </c>
      <c r="I824" t="inlineStr"/>
      <c r="J824" t="n">
        <v>0.1196990740740741</v>
      </c>
      <c r="K824" t="inlineStr"/>
      <c r="L824">
        <f>HYPERLINK("https://drivetime.tpondemand.com/entity/128122", "128122")</f>
        <v/>
      </c>
      <c r="M824" t="n">
        <v>0</v>
      </c>
      <c r="N824" t="n">
        <v>127340</v>
      </c>
      <c r="O824" t="inlineStr">
        <is>
          <t>Done</t>
        </is>
      </c>
      <c r="P824" t="n">
        <v>1</v>
      </c>
      <c r="Q824" t="inlineStr">
        <is>
          <t>Wyvern 22</t>
        </is>
      </c>
      <c r="R824" t="inlineStr">
        <is>
          <t>2022-05-19</t>
        </is>
      </c>
      <c r="S824" t="inlineStr">
        <is>
          <t>2022-06-01</t>
        </is>
      </c>
      <c r="T824" t="inlineStr">
        <is>
          <t>Wyvern 22 : 2022-05-19 - 2022-06-01</t>
        </is>
      </c>
      <c r="U824" t="inlineStr"/>
      <c r="V824" t="inlineStr"/>
      <c r="W824" t="inlineStr">
        <is>
          <t>2022-05-23T15:19:47-05:00</t>
        </is>
      </c>
      <c r="X824">
        <f>IFERROR(1/COUNTIF($I:$I,@$I:$I), 0)</f>
        <v/>
      </c>
    </row>
    <row r="825">
      <c r="A825">
        <f>HYPERLINK("https://drivetime.tpondemand.com/entity/132676", "132676")</f>
        <v/>
      </c>
      <c r="B825" t="inlineStr">
        <is>
          <t>UI on OTP page</t>
        </is>
      </c>
      <c r="C825" t="inlineStr">
        <is>
          <t>Bug</t>
        </is>
      </c>
      <c r="D825" t="inlineStr">
        <is>
          <t>Servicing: BC Next</t>
        </is>
      </c>
      <c r="E825" t="inlineStr">
        <is>
          <t>BC Digital Wyvern</t>
        </is>
      </c>
      <c r="F825" t="inlineStr">
        <is>
          <t>21</t>
        </is>
      </c>
      <c r="G825" t="inlineStr"/>
      <c r="H825" t="inlineStr">
        <is>
          <t>[BC NEXT] Impersonation</t>
        </is>
      </c>
      <c r="I825" t="inlineStr"/>
      <c r="J825" t="n">
        <v>0</v>
      </c>
      <c r="K825" t="inlineStr"/>
      <c r="L825">
        <f>HYPERLINK("https://drivetime.tpondemand.com/entity/128124", "128124")</f>
        <v/>
      </c>
      <c r="M825" t="n">
        <v>0</v>
      </c>
      <c r="N825" t="n">
        <v>127340</v>
      </c>
      <c r="O825" t="inlineStr">
        <is>
          <t>Done</t>
        </is>
      </c>
      <c r="P825" t="n">
        <v>1</v>
      </c>
      <c r="Q825" t="inlineStr">
        <is>
          <t>Wyvern 22</t>
        </is>
      </c>
      <c r="R825" t="inlineStr">
        <is>
          <t>2022-05-19</t>
        </is>
      </c>
      <c r="S825" t="inlineStr">
        <is>
          <t>2022-06-01</t>
        </is>
      </c>
      <c r="T825" t="inlineStr">
        <is>
          <t>Wyvern 22 : 2022-05-19 - 2022-06-01</t>
        </is>
      </c>
      <c r="U825" t="inlineStr"/>
      <c r="V825" t="inlineStr"/>
      <c r="W825" t="inlineStr">
        <is>
          <t>2022-05-25T18:14:02-05:00</t>
        </is>
      </c>
      <c r="X825">
        <f>IFERROR(1/COUNTIF($I:$I,@$I:$I), 0)</f>
        <v/>
      </c>
    </row>
    <row r="826">
      <c r="A826">
        <f>HYPERLINK("https://drivetime.tpondemand.com/entity/132737", "132737")</f>
        <v/>
      </c>
      <c r="B826" t="inlineStr">
        <is>
          <t>AutoPay and Autopay Past Due Styling Fixes</t>
        </is>
      </c>
      <c r="C826" t="inlineStr">
        <is>
          <t>Bug</t>
        </is>
      </c>
      <c r="D826" t="inlineStr">
        <is>
          <t>Servicing: BC Next</t>
        </is>
      </c>
      <c r="E826" t="inlineStr">
        <is>
          <t>BC Digital Wyvern</t>
        </is>
      </c>
      <c r="F826" t="inlineStr">
        <is>
          <t>21</t>
        </is>
      </c>
      <c r="G826" t="inlineStr"/>
      <c r="H826" t="inlineStr">
        <is>
          <t>[BC NEXT] Impersonation</t>
        </is>
      </c>
      <c r="I826" t="inlineStr"/>
      <c r="J826" t="n">
        <v>0</v>
      </c>
      <c r="K826" t="inlineStr"/>
      <c r="L826">
        <f>HYPERLINK("https://drivetime.tpondemand.com/entity/128124", "128124")</f>
        <v/>
      </c>
      <c r="M826" t="n">
        <v>0</v>
      </c>
      <c r="N826" t="n">
        <v>127340</v>
      </c>
      <c r="O826" t="inlineStr">
        <is>
          <t>Done</t>
        </is>
      </c>
      <c r="P826" t="n">
        <v>1</v>
      </c>
      <c r="Q826" t="inlineStr">
        <is>
          <t>Wyvern 22</t>
        </is>
      </c>
      <c r="R826" t="inlineStr">
        <is>
          <t>2022-05-19</t>
        </is>
      </c>
      <c r="S826" t="inlineStr">
        <is>
          <t>2022-06-01</t>
        </is>
      </c>
      <c r="T826" t="inlineStr">
        <is>
          <t>Wyvern 22 : 2022-05-19 - 2022-06-01</t>
        </is>
      </c>
      <c r="U826" t="inlineStr"/>
      <c r="V826" t="inlineStr"/>
      <c r="W826" t="inlineStr">
        <is>
          <t>2022-05-25T18:14:04-05:00</t>
        </is>
      </c>
      <c r="X826">
        <f>IFERROR(1/COUNTIF($I:$I,@$I:$I), 0)</f>
        <v/>
      </c>
    </row>
    <row r="827">
      <c r="A827">
        <f>HYPERLINK("https://drivetime.tpondemand.com/entity/132933", "132933")</f>
        <v/>
      </c>
      <c r="B827" t="inlineStr">
        <is>
          <t>Incorrect adminGUID</t>
        </is>
      </c>
      <c r="C827" t="inlineStr">
        <is>
          <t>Bug</t>
        </is>
      </c>
      <c r="D827" t="inlineStr">
        <is>
          <t>Servicing: BC Next</t>
        </is>
      </c>
      <c r="E827" t="inlineStr">
        <is>
          <t>BC Digital Wyvern</t>
        </is>
      </c>
      <c r="F827" t="inlineStr">
        <is>
          <t>22</t>
        </is>
      </c>
      <c r="G827" t="inlineStr"/>
      <c r="H827" t="inlineStr">
        <is>
          <t>[BC NEXT] Impersonation</t>
        </is>
      </c>
      <c r="I827" t="inlineStr"/>
      <c r="J827" t="n">
        <v>6.564305555555555</v>
      </c>
      <c r="K827" t="inlineStr"/>
      <c r="L827">
        <f>HYPERLINK("https://drivetime.tpondemand.com/entity/128125", "128125")</f>
        <v/>
      </c>
      <c r="M827" t="n">
        <v>0</v>
      </c>
      <c r="N827" t="n">
        <v>127340</v>
      </c>
      <c r="O827" t="inlineStr">
        <is>
          <t>Done</t>
        </is>
      </c>
      <c r="P827" t="n">
        <v>1</v>
      </c>
      <c r="Q827" t="inlineStr">
        <is>
          <t>Wyvern 22</t>
        </is>
      </c>
      <c r="R827" t="inlineStr">
        <is>
          <t>2022-05-19</t>
        </is>
      </c>
      <c r="S827" t="inlineStr">
        <is>
          <t>2022-06-01</t>
        </is>
      </c>
      <c r="T827" t="inlineStr">
        <is>
          <t>Wyvern 22 : 2022-05-19 - 2022-06-01</t>
        </is>
      </c>
      <c r="U827" t="inlineStr"/>
      <c r="V827" t="inlineStr"/>
      <c r="W827" t="inlineStr">
        <is>
          <t>2022-06-03T01:11:57-05:00</t>
        </is>
      </c>
      <c r="X827">
        <f>IFERROR(1/COUNTIF($I:$I,@$I:$I), 0)</f>
        <v/>
      </c>
    </row>
    <row r="828">
      <c r="A828">
        <f>HYPERLINK("https://drivetime.tpondemand.com/entity/132934", "132934")</f>
        <v/>
      </c>
      <c r="B828" t="inlineStr">
        <is>
          <t>Missing admin data for events</t>
        </is>
      </c>
      <c r="C828" t="inlineStr">
        <is>
          <t>Bug</t>
        </is>
      </c>
      <c r="D828" t="inlineStr">
        <is>
          <t>Servicing: BC Next</t>
        </is>
      </c>
      <c r="E828" t="inlineStr">
        <is>
          <t>BC Digital Wyvern</t>
        </is>
      </c>
      <c r="F828" t="inlineStr">
        <is>
          <t>22</t>
        </is>
      </c>
      <c r="G828" t="inlineStr"/>
      <c r="H828" t="inlineStr">
        <is>
          <t>[BC NEXT] Impersonation</t>
        </is>
      </c>
      <c r="I828" t="inlineStr"/>
      <c r="J828" t="n">
        <v>6.564293981481481</v>
      </c>
      <c r="K828" t="inlineStr"/>
      <c r="L828">
        <f>HYPERLINK("https://drivetime.tpondemand.com/entity/128125", "128125")</f>
        <v/>
      </c>
      <c r="M828" t="n">
        <v>0</v>
      </c>
      <c r="N828" t="n">
        <v>127340</v>
      </c>
      <c r="O828" t="inlineStr">
        <is>
          <t>Done</t>
        </is>
      </c>
      <c r="P828" t="n">
        <v>1</v>
      </c>
      <c r="Q828" t="inlineStr">
        <is>
          <t>Wyvern 22</t>
        </is>
      </c>
      <c r="R828" t="inlineStr">
        <is>
          <t>2022-05-19</t>
        </is>
      </c>
      <c r="S828" t="inlineStr">
        <is>
          <t>2022-06-01</t>
        </is>
      </c>
      <c r="T828" t="inlineStr">
        <is>
          <t>Wyvern 22 : 2022-05-19 - 2022-06-01</t>
        </is>
      </c>
      <c r="U828" t="inlineStr"/>
      <c r="V828" t="inlineStr"/>
      <c r="W828" t="inlineStr">
        <is>
          <t>2022-06-03T01:12:00-05:00</t>
        </is>
      </c>
      <c r="X828">
        <f>IFERROR(1/COUNTIF($I:$I,@$I:$I), 0)</f>
        <v/>
      </c>
    </row>
    <row r="829">
      <c r="A829">
        <f>HYPERLINK("https://drivetime.tpondemand.com/entity/132935", "132935")</f>
        <v/>
      </c>
      <c r="B829" t="inlineStr">
        <is>
          <t>Existing events should have Admin data when triggered by an admin during impersonation</t>
        </is>
      </c>
      <c r="C829" t="inlineStr">
        <is>
          <t>Bug</t>
        </is>
      </c>
      <c r="D829" t="inlineStr">
        <is>
          <t>Servicing: BC Next</t>
        </is>
      </c>
      <c r="E829" t="inlineStr">
        <is>
          <t>BC Digital Wyvern</t>
        </is>
      </c>
      <c r="F829" t="inlineStr">
        <is>
          <t>22</t>
        </is>
      </c>
      <c r="G829" t="inlineStr"/>
      <c r="H829" t="inlineStr">
        <is>
          <t>[BC NEXT] Impersonation</t>
        </is>
      </c>
      <c r="I829" t="inlineStr"/>
      <c r="J829" t="n">
        <v>0</v>
      </c>
      <c r="K829" t="inlineStr"/>
      <c r="L829">
        <f>HYPERLINK("https://drivetime.tpondemand.com/entity/128125", "128125")</f>
        <v/>
      </c>
      <c r="M829" t="n">
        <v>0</v>
      </c>
      <c r="N829" t="n">
        <v>127340</v>
      </c>
      <c r="O829" t="inlineStr">
        <is>
          <t>Done</t>
        </is>
      </c>
      <c r="P829" t="n">
        <v>1</v>
      </c>
      <c r="Q829" t="inlineStr">
        <is>
          <t>Wyvern 22</t>
        </is>
      </c>
      <c r="R829" t="inlineStr">
        <is>
          <t>2022-05-19</t>
        </is>
      </c>
      <c r="S829" t="inlineStr">
        <is>
          <t>2022-06-01</t>
        </is>
      </c>
      <c r="T829" t="inlineStr">
        <is>
          <t>Wyvern 22 : 2022-05-19 - 2022-06-01</t>
        </is>
      </c>
      <c r="U829" t="inlineStr"/>
      <c r="V829" t="inlineStr"/>
      <c r="W829" t="inlineStr">
        <is>
          <t>2022-06-03T01:12:03-05:00</t>
        </is>
      </c>
      <c r="X829">
        <f>IFERROR(1/COUNTIF($I:$I,@$I:$I), 0)</f>
        <v/>
      </c>
    </row>
    <row r="830">
      <c r="A830">
        <f>HYPERLINK("https://drivetime.tpondemand.com/entity/133059", "133059")</f>
        <v/>
      </c>
      <c r="B830" t="inlineStr">
        <is>
          <t>Not able to search by account+SSN</t>
        </is>
      </c>
      <c r="C830" t="inlineStr">
        <is>
          <t>Bug</t>
        </is>
      </c>
      <c r="D830" t="inlineStr">
        <is>
          <t>Servicing: BC Next</t>
        </is>
      </c>
      <c r="E830" t="inlineStr">
        <is>
          <t>BC Digital Wyvern</t>
        </is>
      </c>
      <c r="F830" t="inlineStr">
        <is>
          <t>22</t>
        </is>
      </c>
      <c r="G830" t="inlineStr"/>
      <c r="H830" t="inlineStr">
        <is>
          <t>[BC NEXT] Impersonation</t>
        </is>
      </c>
      <c r="I830" t="inlineStr"/>
      <c r="J830" t="n">
        <v>0</v>
      </c>
      <c r="K830" t="inlineStr"/>
      <c r="L830">
        <f>HYPERLINK("https://drivetime.tpondemand.com/entity/132898", "132898")</f>
        <v/>
      </c>
      <c r="M830" t="n">
        <v>0</v>
      </c>
      <c r="N830" t="n">
        <v>127340</v>
      </c>
      <c r="O830" t="inlineStr">
        <is>
          <t>Done</t>
        </is>
      </c>
      <c r="P830" t="n">
        <v>1</v>
      </c>
      <c r="Q830" t="inlineStr">
        <is>
          <t>Wyvern 22</t>
        </is>
      </c>
      <c r="R830" t="inlineStr">
        <is>
          <t>2022-05-19</t>
        </is>
      </c>
      <c r="S830" t="inlineStr">
        <is>
          <t>2022-06-01</t>
        </is>
      </c>
      <c r="T830" t="inlineStr">
        <is>
          <t>Wyvern 22 : 2022-05-19 - 2022-06-01</t>
        </is>
      </c>
      <c r="U830" t="inlineStr"/>
      <c r="V830" t="inlineStr"/>
      <c r="W830" t="inlineStr">
        <is>
          <t>2022-06-01T12:31:05-05:00</t>
        </is>
      </c>
      <c r="X830">
        <f>IFERROR(1/COUNTIF($I:$I,@$I:$I), 0)</f>
        <v/>
      </c>
    </row>
    <row r="831">
      <c r="A831">
        <f>HYPERLINK("https://drivetime.tpondemand.com/entity/133271", "133271")</f>
        <v/>
      </c>
      <c r="B831" t="inlineStr">
        <is>
          <t>Missing admin data elements for Admin Pageview</t>
        </is>
      </c>
      <c r="C831" t="inlineStr">
        <is>
          <t>Bug</t>
        </is>
      </c>
      <c r="D831" t="inlineStr">
        <is>
          <t>Servicing: BC Next</t>
        </is>
      </c>
      <c r="E831" t="inlineStr">
        <is>
          <t>BC Digital Wyvern</t>
        </is>
      </c>
      <c r="F831" t="inlineStr">
        <is>
          <t>23</t>
        </is>
      </c>
      <c r="G831" t="inlineStr">
        <is>
          <t>Jonathan Escamilla</t>
        </is>
      </c>
      <c r="H831" t="inlineStr">
        <is>
          <t>[BC NEXT] Impersonation</t>
        </is>
      </c>
      <c r="I831" t="inlineStr"/>
      <c r="J831" t="n">
        <v>0</v>
      </c>
      <c r="K831" t="inlineStr"/>
      <c r="L831">
        <f>HYPERLINK("https://drivetime.tpondemand.com/entity/133307", "133307")</f>
        <v/>
      </c>
      <c r="M831" t="n">
        <v>0</v>
      </c>
      <c r="N831" t="n">
        <v>127341</v>
      </c>
      <c r="O831" t="inlineStr">
        <is>
          <t>Done</t>
        </is>
      </c>
      <c r="P831" t="n">
        <v>1</v>
      </c>
      <c r="Q831" t="inlineStr">
        <is>
          <t>Wyvern 23</t>
        </is>
      </c>
      <c r="R831" t="inlineStr">
        <is>
          <t>2022-06-02</t>
        </is>
      </c>
      <c r="S831" t="inlineStr">
        <is>
          <t>2022-06-15</t>
        </is>
      </c>
      <c r="T831" t="inlineStr">
        <is>
          <t>Wyvern 23 : 2022-06-02 - 2022-06-15</t>
        </is>
      </c>
      <c r="U831" t="inlineStr"/>
      <c r="V831" t="inlineStr"/>
      <c r="W831" t="inlineStr">
        <is>
          <t>2022-06-06T16:38:48-05:00</t>
        </is>
      </c>
      <c r="X831">
        <f>IFERROR(1/COUNTIF($I:$I,@$I:$I), 0)</f>
        <v/>
      </c>
    </row>
    <row r="832">
      <c r="A832">
        <f>HYPERLINK("https://drivetime.tpondemand.com/entity/133272", "133272")</f>
        <v/>
      </c>
      <c r="B832" t="inlineStr">
        <is>
          <t>UI for Manage Payments not aligned correctly</t>
        </is>
      </c>
      <c r="C832" t="inlineStr">
        <is>
          <t>Bug</t>
        </is>
      </c>
      <c r="D832" t="inlineStr">
        <is>
          <t>Servicing: BC Next</t>
        </is>
      </c>
      <c r="E832" t="inlineStr">
        <is>
          <t>BC Digital Wyvern</t>
        </is>
      </c>
      <c r="F832" t="inlineStr">
        <is>
          <t>22</t>
        </is>
      </c>
      <c r="G832" t="inlineStr"/>
      <c r="H832" t="inlineStr">
        <is>
          <t>[BC NEXT] Impersonation</t>
        </is>
      </c>
      <c r="I832" t="inlineStr"/>
      <c r="J832" t="n">
        <v>0.2328587962962963</v>
      </c>
      <c r="K832" t="inlineStr"/>
      <c r="L832">
        <f>HYPERLINK("https://drivetime.tpondemand.com/entity/133307", "133307")</f>
        <v/>
      </c>
      <c r="M832" t="n">
        <v>0</v>
      </c>
      <c r="N832" t="n">
        <v>127341</v>
      </c>
      <c r="O832" t="inlineStr">
        <is>
          <t>Done</t>
        </is>
      </c>
      <c r="P832" t="n">
        <v>1</v>
      </c>
      <c r="Q832" t="inlineStr">
        <is>
          <t>Wyvern 23</t>
        </is>
      </c>
      <c r="R832" t="inlineStr">
        <is>
          <t>2022-06-02</t>
        </is>
      </c>
      <c r="S832" t="inlineStr">
        <is>
          <t>2022-06-15</t>
        </is>
      </c>
      <c r="T832" t="inlineStr">
        <is>
          <t>Wyvern 23 : 2022-06-02 - 2022-06-15</t>
        </is>
      </c>
      <c r="U832" t="inlineStr"/>
      <c r="V832" t="inlineStr"/>
      <c r="W832" t="inlineStr">
        <is>
          <t>2022-06-03T19:32:26-05:00</t>
        </is>
      </c>
      <c r="X832">
        <f>IFERROR(1/COUNTIF($I:$I,@$I:$I), 0)</f>
        <v/>
      </c>
    </row>
    <row r="833">
      <c r="A833">
        <f>HYPERLINK("https://drivetime.tpondemand.com/entity/133273", "133273")</f>
        <v/>
      </c>
      <c r="B833" t="inlineStr">
        <is>
          <t>No longer see menu</t>
        </is>
      </c>
      <c r="C833" t="inlineStr">
        <is>
          <t>Bug</t>
        </is>
      </c>
      <c r="D833" t="inlineStr">
        <is>
          <t>Servicing: BC Next</t>
        </is>
      </c>
      <c r="E833" t="inlineStr">
        <is>
          <t>BC Digital Wyvern</t>
        </is>
      </c>
      <c r="F833" t="inlineStr">
        <is>
          <t>22</t>
        </is>
      </c>
      <c r="G833" t="inlineStr"/>
      <c r="H833" t="inlineStr">
        <is>
          <t>[BC NEXT] Impersonation</t>
        </is>
      </c>
      <c r="I833" t="inlineStr"/>
      <c r="J833" t="n">
        <v>0.2196759259259259</v>
      </c>
      <c r="K833" t="inlineStr"/>
      <c r="L833">
        <f>HYPERLINK("https://drivetime.tpondemand.com/entity/133307", "133307")</f>
        <v/>
      </c>
      <c r="M833" t="n">
        <v>0</v>
      </c>
      <c r="N833" t="n">
        <v>127341</v>
      </c>
      <c r="O833" t="inlineStr">
        <is>
          <t>Done</t>
        </is>
      </c>
      <c r="P833" t="n">
        <v>1</v>
      </c>
      <c r="Q833" t="inlineStr">
        <is>
          <t>Wyvern 23</t>
        </is>
      </c>
      <c r="R833" t="inlineStr">
        <is>
          <t>2022-06-02</t>
        </is>
      </c>
      <c r="S833" t="inlineStr">
        <is>
          <t>2022-06-15</t>
        </is>
      </c>
      <c r="T833" t="inlineStr">
        <is>
          <t>Wyvern 23 : 2022-06-02 - 2022-06-15</t>
        </is>
      </c>
      <c r="U833" t="inlineStr"/>
      <c r="V833" t="inlineStr"/>
      <c r="W833" t="inlineStr">
        <is>
          <t>2022-06-03T19:32:28-05:00</t>
        </is>
      </c>
      <c r="X833">
        <f>IFERROR(1/COUNTIF($I:$I,@$I:$I), 0)</f>
        <v/>
      </c>
    </row>
    <row r="834">
      <c r="A834">
        <f>HYPERLINK("https://drivetime.tpondemand.com/entity/133342", "133342")</f>
        <v/>
      </c>
      <c r="B834" t="inlineStr">
        <is>
          <t>Unable to delete users from the Admin Portal</t>
        </is>
      </c>
      <c r="C834" t="inlineStr">
        <is>
          <t>Bug</t>
        </is>
      </c>
      <c r="D834" t="inlineStr">
        <is>
          <t>Servicing: BC Next</t>
        </is>
      </c>
      <c r="E834" t="inlineStr">
        <is>
          <t>BC Digital Wyvern</t>
        </is>
      </c>
      <c r="F834" t="inlineStr">
        <is>
          <t>23</t>
        </is>
      </c>
      <c r="G834" t="inlineStr">
        <is>
          <t>Jonathan Escamilla</t>
        </is>
      </c>
      <c r="H834" t="inlineStr">
        <is>
          <t>[BC NEXT] Impersonation</t>
        </is>
      </c>
      <c r="I834" t="inlineStr"/>
      <c r="J834" t="n">
        <v>0.0274074074074074</v>
      </c>
      <c r="K834" t="inlineStr"/>
      <c r="L834">
        <f>HYPERLINK("https://drivetime.tpondemand.com/entity/132842", "132842")</f>
        <v/>
      </c>
      <c r="M834" t="n">
        <v>0</v>
      </c>
      <c r="N834" t="n">
        <v>127341</v>
      </c>
      <c r="O834" t="inlineStr">
        <is>
          <t>Done</t>
        </is>
      </c>
      <c r="P834" t="n">
        <v>1</v>
      </c>
      <c r="Q834" t="inlineStr">
        <is>
          <t>Wyvern 23</t>
        </is>
      </c>
      <c r="R834" t="inlineStr">
        <is>
          <t>2022-06-02</t>
        </is>
      </c>
      <c r="S834" t="inlineStr">
        <is>
          <t>2022-06-15</t>
        </is>
      </c>
      <c r="T834" t="inlineStr">
        <is>
          <t>Wyvern 23 : 2022-06-02 - 2022-06-15</t>
        </is>
      </c>
      <c r="U834" t="inlineStr"/>
      <c r="V834" t="inlineStr"/>
      <c r="W834" t="inlineStr">
        <is>
          <t>2022-06-06T16:22:56-05:00</t>
        </is>
      </c>
      <c r="X834">
        <f>IFERROR(1/COUNTIF($I:$I,@$I:$I), 0)</f>
        <v/>
      </c>
    </row>
    <row r="835">
      <c r="A835">
        <f>HYPERLINK("https://drivetime.tpondemand.com/entity/133386", "133386")</f>
        <v/>
      </c>
      <c r="B835" t="inlineStr">
        <is>
          <t>Impersonation Search should not be case sensitive</t>
        </is>
      </c>
      <c r="C835" t="inlineStr">
        <is>
          <t>Bug</t>
        </is>
      </c>
      <c r="D835" t="inlineStr">
        <is>
          <t>Servicing: BC Next</t>
        </is>
      </c>
      <c r="E835" t="inlineStr">
        <is>
          <t>BC Digital Wyvern</t>
        </is>
      </c>
      <c r="F835" t="inlineStr">
        <is>
          <t>23</t>
        </is>
      </c>
      <c r="G835" t="inlineStr">
        <is>
          <t>Jajati Routray</t>
        </is>
      </c>
      <c r="H835" t="inlineStr">
        <is>
          <t>[BC NEXT] Impersonation</t>
        </is>
      </c>
      <c r="I835" t="inlineStr"/>
      <c r="J835" t="n">
        <v>0</v>
      </c>
      <c r="K835" t="inlineStr"/>
      <c r="L835">
        <f>HYPERLINK("https://drivetime.tpondemand.com/entity/133307", "133307")</f>
        <v/>
      </c>
      <c r="M835" t="n">
        <v>0</v>
      </c>
      <c r="N835" t="n">
        <v>127341</v>
      </c>
      <c r="O835" t="inlineStr">
        <is>
          <t>Done</t>
        </is>
      </c>
      <c r="P835" t="n">
        <v>1</v>
      </c>
      <c r="Q835" t="inlineStr">
        <is>
          <t>Wyvern 23</t>
        </is>
      </c>
      <c r="R835" t="inlineStr">
        <is>
          <t>2022-06-02</t>
        </is>
      </c>
      <c r="S835" t="inlineStr">
        <is>
          <t>2022-06-15</t>
        </is>
      </c>
      <c r="T835" t="inlineStr">
        <is>
          <t>Wyvern 23 : 2022-06-02 - 2022-06-15</t>
        </is>
      </c>
      <c r="U835" t="inlineStr"/>
      <c r="V835" t="inlineStr"/>
      <c r="W835" t="inlineStr">
        <is>
          <t>2022-06-06T16:31:29-05:00</t>
        </is>
      </c>
      <c r="X835">
        <f>IFERROR(1/COUNTIF($I:$I,@$I:$I), 0)</f>
        <v/>
      </c>
    </row>
    <row r="836">
      <c r="A836">
        <f>HYPERLINK("https://drivetime.tpondemand.com/entity/139591", "139591")</f>
        <v/>
      </c>
      <c r="B836" t="inlineStr">
        <is>
          <t>I am not seeing Current Maturity Date</t>
        </is>
      </c>
      <c r="C836" t="inlineStr">
        <is>
          <t>Bug</t>
        </is>
      </c>
      <c r="D836" t="inlineStr">
        <is>
          <t>Servicing: BC Next</t>
        </is>
      </c>
      <c r="E836" t="inlineStr">
        <is>
          <t>BC Digital Wyvern</t>
        </is>
      </c>
      <c r="F836" t="inlineStr">
        <is>
          <t>37</t>
        </is>
      </c>
      <c r="G836" t="inlineStr"/>
      <c r="H836" t="inlineStr">
        <is>
          <t>Expose Extension and Payment Frequency for BC Next to consume</t>
        </is>
      </c>
      <c r="I836" t="inlineStr"/>
      <c r="J836" t="n">
        <v>0</v>
      </c>
      <c r="K836" t="inlineStr"/>
      <c r="L836">
        <f>HYPERLINK("https://drivetime.tpondemand.com/entity/136512", "136512")</f>
        <v/>
      </c>
      <c r="M836" t="n">
        <v>0</v>
      </c>
      <c r="N836" t="n">
        <v>127348</v>
      </c>
      <c r="O836" t="inlineStr">
        <is>
          <t>Done</t>
        </is>
      </c>
      <c r="P836" t="n">
        <v>1</v>
      </c>
      <c r="Q836" t="inlineStr">
        <is>
          <t>Wyvern 30</t>
        </is>
      </c>
      <c r="R836" t="inlineStr">
        <is>
          <t>2022-09-08</t>
        </is>
      </c>
      <c r="S836" t="inlineStr">
        <is>
          <t>2022-09-21</t>
        </is>
      </c>
      <c r="T836" t="inlineStr">
        <is>
          <t>Wyvern 30 : 2022-09-08 - 2022-09-21</t>
        </is>
      </c>
      <c r="U836" t="inlineStr"/>
      <c r="V836" t="inlineStr"/>
      <c r="W836" t="inlineStr">
        <is>
          <t>2022-09-13T13:04:14-05:00</t>
        </is>
      </c>
      <c r="X836">
        <f>IFERROR(1/COUNTIF($I:$I,@$I:$I), 0)</f>
        <v/>
      </c>
    </row>
    <row r="837">
      <c r="A837">
        <f>HYPERLINK("https://drivetime.tpondemand.com/entity/139595", "139595")</f>
        <v/>
      </c>
      <c r="B837" t="inlineStr">
        <is>
          <t>Experience To Show is in accurate prior to signature</t>
        </is>
      </c>
      <c r="C837" t="inlineStr">
        <is>
          <t>Bug</t>
        </is>
      </c>
      <c r="D837" t="inlineStr">
        <is>
          <t>Servicing: BC Next</t>
        </is>
      </c>
      <c r="E837" t="inlineStr">
        <is>
          <t>BC Digital Wyvern</t>
        </is>
      </c>
      <c r="F837" t="inlineStr">
        <is>
          <t>37</t>
        </is>
      </c>
      <c r="G837" t="inlineStr"/>
      <c r="H837" t="inlineStr">
        <is>
          <t>Expose Extension and Payment Frequency for BC Next to consume</t>
        </is>
      </c>
      <c r="I837" t="inlineStr"/>
      <c r="J837" t="n">
        <v>0</v>
      </c>
      <c r="K837" t="inlineStr"/>
      <c r="L837">
        <f>HYPERLINK("https://drivetime.tpondemand.com/entity/136512", "136512")</f>
        <v/>
      </c>
      <c r="M837" t="n">
        <v>0</v>
      </c>
      <c r="N837" t="n">
        <v>127348</v>
      </c>
      <c r="O837" t="inlineStr">
        <is>
          <t>Done</t>
        </is>
      </c>
      <c r="P837" t="n">
        <v>1</v>
      </c>
      <c r="Q837" t="inlineStr">
        <is>
          <t>Wyvern 30</t>
        </is>
      </c>
      <c r="R837" t="inlineStr">
        <is>
          <t>2022-09-08</t>
        </is>
      </c>
      <c r="S837" t="inlineStr">
        <is>
          <t>2022-09-21</t>
        </is>
      </c>
      <c r="T837" t="inlineStr">
        <is>
          <t>Wyvern 30 : 2022-09-08 - 2022-09-21</t>
        </is>
      </c>
      <c r="U837" t="inlineStr"/>
      <c r="V837" t="inlineStr"/>
      <c r="W837" t="inlineStr">
        <is>
          <t>2022-09-13T17:37:53-05:00</t>
        </is>
      </c>
      <c r="X837">
        <f>IFERROR(1/COUNTIF($I:$I,@$I:$I), 0)</f>
        <v/>
      </c>
    </row>
    <row r="838">
      <c r="A838">
        <f>HYPERLINK("https://drivetime.tpondemand.com/entity/140466", "140466")</f>
        <v/>
      </c>
      <c r="B838" t="inlineStr">
        <is>
          <t>When  IsBCNextReq = true, the status does not change to signed and submitted</t>
        </is>
      </c>
      <c r="C838" t="inlineStr">
        <is>
          <t>Bug</t>
        </is>
      </c>
      <c r="D838" t="inlineStr">
        <is>
          <t>Servicing: BC Next</t>
        </is>
      </c>
      <c r="E838" t="inlineStr">
        <is>
          <t>BC Digital Wyvern</t>
        </is>
      </c>
      <c r="F838" t="inlineStr">
        <is>
          <t>39</t>
        </is>
      </c>
      <c r="G838" t="inlineStr"/>
      <c r="H838" t="inlineStr">
        <is>
          <t>Expose Extension and Payment Frequency for BC Next to consume</t>
        </is>
      </c>
      <c r="I838" t="inlineStr"/>
      <c r="J838" t="n">
        <v>0</v>
      </c>
      <c r="K838" t="inlineStr"/>
      <c r="L838">
        <f>HYPERLINK("https://drivetime.tpondemand.com/entity/138936", "138936")</f>
        <v/>
      </c>
      <c r="M838" t="n">
        <v>0</v>
      </c>
      <c r="N838" t="n">
        <v>127349</v>
      </c>
      <c r="O838" t="inlineStr">
        <is>
          <t>Done</t>
        </is>
      </c>
      <c r="P838" t="n">
        <v>1</v>
      </c>
      <c r="Q838" t="inlineStr">
        <is>
          <t>Wyvern 31</t>
        </is>
      </c>
      <c r="R838" t="inlineStr">
        <is>
          <t>2022-09-22</t>
        </is>
      </c>
      <c r="S838" t="inlineStr">
        <is>
          <t>2022-10-05</t>
        </is>
      </c>
      <c r="T838" t="inlineStr">
        <is>
          <t>Wyvern 31 : 2022-09-22 - 2022-10-05</t>
        </is>
      </c>
      <c r="U838" t="inlineStr"/>
      <c r="V838" t="inlineStr"/>
      <c r="W838" t="inlineStr">
        <is>
          <t>2022-09-29T10:32:41-05:00</t>
        </is>
      </c>
      <c r="X838">
        <f>IFERROR(1/COUNTIF($I:$I,@$I:$I), 0)</f>
        <v/>
      </c>
    </row>
    <row r="839">
      <c r="A839">
        <f>HYPERLINK("https://drivetime.tpondemand.com/entity/142112", "142112")</f>
        <v/>
      </c>
      <c r="B839" t="inlineStr">
        <is>
          <t>Invalid format for date within Cancel Reason</t>
        </is>
      </c>
      <c r="C839" t="inlineStr">
        <is>
          <t>Bug</t>
        </is>
      </c>
      <c r="D839" t="inlineStr">
        <is>
          <t>Servicing: BC Next</t>
        </is>
      </c>
      <c r="E839" t="inlineStr">
        <is>
          <t>BC Digital Wyvern</t>
        </is>
      </c>
      <c r="F839" t="inlineStr">
        <is>
          <t>42</t>
        </is>
      </c>
      <c r="G839" t="inlineStr"/>
      <c r="H839" t="inlineStr">
        <is>
          <t>Expose PTC for BC Next to consume</t>
        </is>
      </c>
      <c r="I839" t="inlineStr"/>
      <c r="J839" t="n">
        <v>0</v>
      </c>
      <c r="K839" t="inlineStr"/>
      <c r="L839">
        <f>HYPERLINK("https://drivetime.tpondemand.com/entity/140696", "140696")</f>
        <v/>
      </c>
      <c r="M839" t="n">
        <v>0</v>
      </c>
      <c r="N839" t="n">
        <v>127351</v>
      </c>
      <c r="O839" t="inlineStr">
        <is>
          <t>Done</t>
        </is>
      </c>
      <c r="P839" t="n">
        <v>1</v>
      </c>
      <c r="Q839" t="inlineStr">
        <is>
          <t>Wyvern 33</t>
        </is>
      </c>
      <c r="R839" t="inlineStr">
        <is>
          <t>2022-10-20</t>
        </is>
      </c>
      <c r="S839" t="inlineStr">
        <is>
          <t>2022-11-02</t>
        </is>
      </c>
      <c r="T839" t="inlineStr">
        <is>
          <t>Wyvern 33 : 2022-10-20 - 2022-11-02</t>
        </is>
      </c>
      <c r="U839" t="inlineStr"/>
      <c r="V839" t="inlineStr"/>
      <c r="W839" t="inlineStr">
        <is>
          <t>2022-10-21T15:38:02-05:00</t>
        </is>
      </c>
      <c r="X839">
        <f>IFERROR(1/COUNTIF($I:$I,@$I:$I), 0)</f>
        <v/>
      </c>
    </row>
    <row r="840">
      <c r="A840">
        <f>HYPERLINK("https://drivetime.tpondemand.com/entity/139928", "139928")</f>
        <v/>
      </c>
      <c r="B840" t="inlineStr">
        <is>
          <t>(Variation 1, Variation 3) Payment breakdown for non-past-due customers on Mobile view causes card content to be cut off at the top and bottom</t>
        </is>
      </c>
      <c r="C840" t="inlineStr">
        <is>
          <t>Bug</t>
        </is>
      </c>
      <c r="D840" t="inlineStr">
        <is>
          <t>Bridgecrest Experimentation</t>
        </is>
      </c>
      <c r="E840" t="inlineStr">
        <is>
          <t>BC Digital Drakon</t>
        </is>
      </c>
      <c r="F840" t="inlineStr">
        <is>
          <t>38</t>
        </is>
      </c>
      <c r="G840" t="inlineStr"/>
      <c r="H840" t="inlineStr">
        <is>
          <t>[BC NEXT][EXP] Account Balance</t>
        </is>
      </c>
      <c r="I840" t="inlineStr"/>
      <c r="J840" t="n">
        <v>0.8671875</v>
      </c>
      <c r="K840">
        <f>HYPERLINK("https://drivetime.tpondemand.com/entity/139925", "139925")</f>
        <v/>
      </c>
      <c r="L840">
        <f>HYPERLINK("https://drivetime.tpondemand.com/entity/137137", "137137")</f>
        <v/>
      </c>
      <c r="M840" t="n">
        <v>0</v>
      </c>
      <c r="N840" t="n">
        <v>136574</v>
      </c>
      <c r="O840" t="inlineStr">
        <is>
          <t>Done</t>
        </is>
      </c>
      <c r="P840" t="n">
        <v>1</v>
      </c>
      <c r="Q840" t="inlineStr">
        <is>
          <t>Drakon 15</t>
        </is>
      </c>
      <c r="R840" t="inlineStr">
        <is>
          <t>2022-09-08</t>
        </is>
      </c>
      <c r="S840" t="inlineStr">
        <is>
          <t>2022-09-21</t>
        </is>
      </c>
      <c r="T840" t="inlineStr">
        <is>
          <t>Drakon 15 : 2022-09-08 - 2022-09-21</t>
        </is>
      </c>
      <c r="U840" t="inlineStr"/>
      <c r="V840" t="inlineStr"/>
      <c r="W840" t="inlineStr">
        <is>
          <t>2022-09-20T15:30:48-05:00</t>
        </is>
      </c>
      <c r="X840">
        <f>IFERROR(1/COUNTIF($I:$I,@$I:$I), 0)</f>
        <v/>
      </c>
    </row>
    <row r="841">
      <c r="A841">
        <f>HYPERLINK("https://drivetime.tpondemand.com/entity/139889", "139889")</f>
        <v/>
      </c>
      <c r="B841" t="inlineStr">
        <is>
          <t>Extra space in terms box</t>
        </is>
      </c>
      <c r="C841" t="inlineStr">
        <is>
          <t>Bug</t>
        </is>
      </c>
      <c r="D841" t="inlineStr">
        <is>
          <t>BC Digital - Ongoing Fixes and Enhancements</t>
        </is>
      </c>
      <c r="E841" t="inlineStr">
        <is>
          <t>BC Digital Drakon</t>
        </is>
      </c>
      <c r="F841" t="inlineStr">
        <is>
          <t>38</t>
        </is>
      </c>
      <c r="G841" t="inlineStr">
        <is>
          <t>Abbas Shamshi</t>
        </is>
      </c>
      <c r="H841" t="inlineStr">
        <is>
          <t>[BC NEXT] Payment Authorization Updates</t>
        </is>
      </c>
      <c r="I841" t="inlineStr"/>
      <c r="J841" t="n">
        <v>0.401412037037037</v>
      </c>
      <c r="K841" t="inlineStr"/>
      <c r="L841">
        <f>HYPERLINK("https://drivetime.tpondemand.com/entity/133227", "133227")</f>
        <v/>
      </c>
      <c r="M841" t="n">
        <v>0</v>
      </c>
      <c r="N841" t="n">
        <v>136574</v>
      </c>
      <c r="O841" t="inlineStr">
        <is>
          <t>Done</t>
        </is>
      </c>
      <c r="P841" t="n">
        <v>1</v>
      </c>
      <c r="Q841" t="inlineStr">
        <is>
          <t>Drakon 15</t>
        </is>
      </c>
      <c r="R841" t="inlineStr">
        <is>
          <t>2022-09-08</t>
        </is>
      </c>
      <c r="S841" t="inlineStr">
        <is>
          <t>2022-09-21</t>
        </is>
      </c>
      <c r="T841" t="inlineStr">
        <is>
          <t>Drakon 15 : 2022-09-08 - 2022-09-21</t>
        </is>
      </c>
      <c r="U841" t="inlineStr"/>
      <c r="V841" t="inlineStr"/>
      <c r="W841" t="inlineStr">
        <is>
          <t>2022-09-19T21:23:55-05:00</t>
        </is>
      </c>
      <c r="X841">
        <f>IFERROR(1/COUNTIF($I:$I,@$I:$I), 0)</f>
        <v/>
      </c>
    </row>
    <row r="842">
      <c r="A842">
        <f>HYPERLINK("https://drivetime.tpondemand.com/entity/141461", "141461")</f>
        <v/>
      </c>
      <c r="B842" t="inlineStr">
        <is>
          <t>[BC NEXT] Multiple Modals Open when Spam Clicking Paymentus Redirect Modal</t>
        </is>
      </c>
      <c r="C842" t="inlineStr">
        <is>
          <t>Bug</t>
        </is>
      </c>
      <c r="D842" t="inlineStr">
        <is>
          <t>BC Digital - Ongoing Fixes and Enhancements</t>
        </is>
      </c>
      <c r="E842" t="inlineStr">
        <is>
          <t>BC Digital Drakon</t>
        </is>
      </c>
      <c r="F842" t="inlineStr">
        <is>
          <t>41</t>
        </is>
      </c>
      <c r="G842" t="inlineStr">
        <is>
          <t>Abbas Shamshi</t>
        </is>
      </c>
      <c r="H842" t="inlineStr">
        <is>
          <t>[BC NEXT] Bug Fixes/Enhancements for November/December</t>
        </is>
      </c>
      <c r="I842" t="inlineStr"/>
      <c r="J842" t="n">
        <v>1.013715277777778</v>
      </c>
      <c r="K842">
        <f>HYPERLINK("https://drivetime.tpondemand.com/entity/142204", "142204")</f>
        <v/>
      </c>
      <c r="L842">
        <f>HYPERLINK("https://drivetime.tpondemand.com/entity/138659", "138659")</f>
        <v/>
      </c>
      <c r="M842" t="n">
        <v>0</v>
      </c>
      <c r="N842" t="n">
        <v>136576</v>
      </c>
      <c r="O842" t="inlineStr">
        <is>
          <t>Done</t>
        </is>
      </c>
      <c r="P842" t="n">
        <v>1</v>
      </c>
      <c r="Q842" t="inlineStr">
        <is>
          <t>Drakon 17</t>
        </is>
      </c>
      <c r="R842" t="inlineStr">
        <is>
          <t>2022-10-06</t>
        </is>
      </c>
      <c r="S842" t="inlineStr">
        <is>
          <t>2022-10-19</t>
        </is>
      </c>
      <c r="T842" t="inlineStr">
        <is>
          <t>Drakon 17 : 2022-10-06 - 2022-10-19</t>
        </is>
      </c>
      <c r="U842" t="inlineStr"/>
      <c r="V842" t="inlineStr"/>
      <c r="W842" t="inlineStr">
        <is>
          <t>2022-10-13T11:08:32-05:00</t>
        </is>
      </c>
      <c r="X842">
        <f>IFERROR(1/COUNTIF($I:$I,@$I:$I), 0)</f>
        <v/>
      </c>
    </row>
    <row r="843">
      <c r="A843">
        <f>HYPERLINK("https://drivetime.tpondemand.com/entity/141813", "141813")</f>
        <v/>
      </c>
      <c r="B843" t="inlineStr">
        <is>
          <t>Invalid error message, when user hit confirm without filling any data</t>
        </is>
      </c>
      <c r="C843" t="inlineStr">
        <is>
          <t>Bug</t>
        </is>
      </c>
      <c r="D843" t="inlineStr">
        <is>
          <t>BC Digital - Ongoing Fixes and Enhancements</t>
        </is>
      </c>
      <c r="E843" t="inlineStr">
        <is>
          <t>BC Digital Drakon</t>
        </is>
      </c>
      <c r="F843" t="inlineStr">
        <is>
          <t>42</t>
        </is>
      </c>
      <c r="G843" t="inlineStr">
        <is>
          <t>Yokeshwaran Lokanathan</t>
        </is>
      </c>
      <c r="H843" t="inlineStr">
        <is>
          <t>null</t>
        </is>
      </c>
      <c r="I843" t="inlineStr"/>
      <c r="J843" t="n">
        <v>1.912291666666667</v>
      </c>
      <c r="K843">
        <f>HYPERLINK("https://drivetime.tpondemand.com/entity/142204", "142204")</f>
        <v/>
      </c>
      <c r="L843">
        <f>HYPERLINK("https://drivetime.tpondemand.com/entity/138658", "138658")</f>
        <v/>
      </c>
      <c r="M843" t="n">
        <v>0</v>
      </c>
      <c r="N843" t="n">
        <v>136576</v>
      </c>
      <c r="O843" t="inlineStr">
        <is>
          <t>Done</t>
        </is>
      </c>
      <c r="P843" t="n">
        <v>1</v>
      </c>
      <c r="Q843" t="inlineStr">
        <is>
          <t>Drakon 17</t>
        </is>
      </c>
      <c r="R843" t="inlineStr">
        <is>
          <t>2022-10-06</t>
        </is>
      </c>
      <c r="S843" t="inlineStr">
        <is>
          <t>2022-10-19</t>
        </is>
      </c>
      <c r="T843" t="inlineStr">
        <is>
          <t>Drakon 17 : 2022-10-06 - 2022-10-19</t>
        </is>
      </c>
      <c r="U843" t="inlineStr"/>
      <c r="V843" t="inlineStr"/>
      <c r="W843" t="inlineStr">
        <is>
          <t>2022-10-20T14:46:12-05:00</t>
        </is>
      </c>
      <c r="X843">
        <f>IFERROR(1/COUNTIF($I:$I,@$I:$I), 0)</f>
        <v/>
      </c>
    </row>
    <row r="844">
      <c r="A844">
        <f>HYPERLINK("https://drivetime.tpondemand.com/entity/142134", "142134")</f>
        <v/>
      </c>
      <c r="B844" t="inlineStr">
        <is>
          <t>[BC NEXT] Auto-close modal when Yes, Proceed to Site CTA is clicked</t>
        </is>
      </c>
      <c r="C844" t="inlineStr">
        <is>
          <t>Bug</t>
        </is>
      </c>
      <c r="D844" t="inlineStr">
        <is>
          <t>BC Digital - Ongoing Fixes and Enhancements</t>
        </is>
      </c>
      <c r="E844" t="inlineStr">
        <is>
          <t>BC Digital Drakon</t>
        </is>
      </c>
      <c r="F844" t="inlineStr">
        <is>
          <t>42</t>
        </is>
      </c>
      <c r="G844" t="inlineStr">
        <is>
          <t>Abbas Shamshi</t>
        </is>
      </c>
      <c r="H844" t="inlineStr">
        <is>
          <t>[BC NEXT] Bug Fixes/Enhancements for November/December</t>
        </is>
      </c>
      <c r="I844" t="inlineStr"/>
      <c r="J844" t="n">
        <v>0.2203819444444444</v>
      </c>
      <c r="K844">
        <f>HYPERLINK("https://drivetime.tpondemand.com/entity/142204", "142204")</f>
        <v/>
      </c>
      <c r="L844">
        <f>HYPERLINK("https://drivetime.tpondemand.com/entity/138659", "138659")</f>
        <v/>
      </c>
      <c r="M844" t="n">
        <v>0</v>
      </c>
      <c r="N844" t="n">
        <v>136577</v>
      </c>
      <c r="O844" t="inlineStr">
        <is>
          <t>Done</t>
        </is>
      </c>
      <c r="P844" t="n">
        <v>1</v>
      </c>
      <c r="Q844" t="inlineStr">
        <is>
          <t>Drakon 18</t>
        </is>
      </c>
      <c r="R844" t="inlineStr">
        <is>
          <t>2022-10-20</t>
        </is>
      </c>
      <c r="S844" t="inlineStr">
        <is>
          <t>2022-11-02</t>
        </is>
      </c>
      <c r="T844" t="inlineStr">
        <is>
          <t>Drakon 18 : 2022-10-20 - 2022-11-02</t>
        </is>
      </c>
      <c r="U844" t="inlineStr"/>
      <c r="V844" t="inlineStr"/>
      <c r="W844" t="inlineStr">
        <is>
          <t>2022-10-21T16:42:05-05:00</t>
        </is>
      </c>
      <c r="X844">
        <f>IFERROR(1/COUNTIF($I:$I,@$I:$I), 0)</f>
        <v/>
      </c>
    </row>
    <row r="845">
      <c r="A845">
        <f>HYPERLINK("https://drivetime.tpondemand.com/entity/145444", "145444")</f>
        <v/>
      </c>
      <c r="B845" t="inlineStr">
        <is>
          <t>[BC NEXT] Payoff Quote - Update footer from 'email' to 'letter'</t>
        </is>
      </c>
      <c r="C845" t="inlineStr">
        <is>
          <t>Bug</t>
        </is>
      </c>
      <c r="D845" t="inlineStr">
        <is>
          <t>BC Digital - Ongoing Fixes and Enhancements</t>
        </is>
      </c>
      <c r="E845" t="inlineStr">
        <is>
          <t>BC Digital Drakon</t>
        </is>
      </c>
      <c r="F845" t="inlineStr">
        <is>
          <t>48</t>
        </is>
      </c>
      <c r="G845" t="inlineStr">
        <is>
          <t>Chirag Khandhar</t>
        </is>
      </c>
      <c r="H845" t="inlineStr">
        <is>
          <t>[BC NEXT] Bug Fixes/Enhancements for November/December</t>
        </is>
      </c>
      <c r="I845" t="inlineStr"/>
      <c r="J845" t="n">
        <v>0.1128009259259259</v>
      </c>
      <c r="K845" t="inlineStr"/>
      <c r="L845">
        <f>HYPERLINK("https://drivetime.tpondemand.com/entity/144459", "144459")</f>
        <v/>
      </c>
      <c r="M845" t="n">
        <v>0</v>
      </c>
      <c r="N845" t="n">
        <v>136579</v>
      </c>
      <c r="O845" t="inlineStr">
        <is>
          <t>Done</t>
        </is>
      </c>
      <c r="P845" t="n">
        <v>1</v>
      </c>
      <c r="Q845" t="inlineStr">
        <is>
          <t>Drakon 20</t>
        </is>
      </c>
      <c r="R845" t="inlineStr">
        <is>
          <t>2022-11-17</t>
        </is>
      </c>
      <c r="S845" t="inlineStr">
        <is>
          <t>2022-11-30</t>
        </is>
      </c>
      <c r="T845" t="inlineStr">
        <is>
          <t>Drakon 20 : 2022-11-17 - 2022-11-30</t>
        </is>
      </c>
      <c r="U845" t="inlineStr"/>
      <c r="V845" t="inlineStr"/>
      <c r="W845" t="inlineStr">
        <is>
          <t>2022-11-30T16:06:58-06:00</t>
        </is>
      </c>
      <c r="X845">
        <f>IFERROR(1/COUNTIF($I:$I,@$I:$I), 0)</f>
        <v/>
      </c>
    </row>
    <row r="846">
      <c r="A846">
        <f>HYPERLINK("https://drivetime.tpondemand.com/entity/141338", "141338")</f>
        <v/>
      </c>
      <c r="B846" t="inlineStr">
        <is>
          <t>SP returns incorrect value for the HomeState of cobuyer</t>
        </is>
      </c>
      <c r="C846" t="inlineStr">
        <is>
          <t>Bug</t>
        </is>
      </c>
      <c r="D846" t="inlineStr">
        <is>
          <t>BC Digital - Ongoing Fixes and Enhancements</t>
        </is>
      </c>
      <c r="E846" t="inlineStr">
        <is>
          <t>BC Digital Comet</t>
        </is>
      </c>
      <c r="F846" t="inlineStr">
        <is>
          <t>41</t>
        </is>
      </c>
      <c r="G846" t="inlineStr">
        <is>
          <t>Sushma Gurram</t>
        </is>
      </c>
      <c r="H846" t="inlineStr">
        <is>
          <t>[COMMUNICATIONS] Mini Miranda</t>
        </is>
      </c>
      <c r="I846" t="inlineStr"/>
      <c r="J846" t="n">
        <v>2.037361111111111</v>
      </c>
      <c r="K846" t="inlineStr"/>
      <c r="L846">
        <f>HYPERLINK("https://drivetime.tpondemand.com/entity/139494", "139494")</f>
        <v/>
      </c>
      <c r="M846" t="n">
        <v>2</v>
      </c>
      <c r="N846" t="n">
        <v>127326</v>
      </c>
      <c r="O846" t="inlineStr">
        <is>
          <t>Done</t>
        </is>
      </c>
      <c r="P846" t="n">
        <v>1</v>
      </c>
      <c r="Q846" t="inlineStr">
        <is>
          <t>Comet 94</t>
        </is>
      </c>
      <c r="R846" t="inlineStr">
        <is>
          <t>2022-10-06</t>
        </is>
      </c>
      <c r="S846" t="inlineStr">
        <is>
          <t>2022-10-19</t>
        </is>
      </c>
      <c r="T846" t="inlineStr">
        <is>
          <t>Comet 94 : 2022-10-06 - 2022-10-19</t>
        </is>
      </c>
      <c r="U846" t="inlineStr"/>
      <c r="V846" t="inlineStr"/>
      <c r="W846" t="inlineStr">
        <is>
          <t>2022-10-13T11:29:30-05:00</t>
        </is>
      </c>
      <c r="X846">
        <f>IFERROR(1/COUNTIF($I:$I,@$I:$I), 0)</f>
        <v/>
      </c>
    </row>
    <row r="847">
      <c r="A847">
        <f>HYPERLINK("https://drivetime.tpondemand.com/entity/141256", "141256")</f>
        <v/>
      </c>
      <c r="B847" t="inlineStr">
        <is>
          <t>DTSE - SendContractModificationEmail throws an exception</t>
        </is>
      </c>
      <c r="C847" t="inlineStr">
        <is>
          <t>Bug</t>
        </is>
      </c>
      <c r="D847" t="inlineStr">
        <is>
          <t>BC Digital - Ongoing Fixes and Enhancements</t>
        </is>
      </c>
      <c r="E847" t="inlineStr">
        <is>
          <t>BC Digital Comet</t>
        </is>
      </c>
      <c r="F847" t="inlineStr">
        <is>
          <t>41</t>
        </is>
      </c>
      <c r="G847" t="inlineStr"/>
      <c r="H847" t="inlineStr">
        <is>
          <t>[COMMUNICATIONS] Mini Miranda</t>
        </is>
      </c>
      <c r="I847" t="inlineStr"/>
      <c r="J847" t="n">
        <v>0</v>
      </c>
      <c r="K847" t="inlineStr"/>
      <c r="L847">
        <f>HYPERLINK("https://drivetime.tpondemand.com/entity/139493", "139493")</f>
        <v/>
      </c>
      <c r="M847" t="n">
        <v>0</v>
      </c>
      <c r="N847" t="n">
        <v>127326</v>
      </c>
      <c r="O847" t="inlineStr">
        <is>
          <t>Done</t>
        </is>
      </c>
      <c r="P847" t="n">
        <v>1</v>
      </c>
      <c r="Q847" t="inlineStr">
        <is>
          <t>Comet 94</t>
        </is>
      </c>
      <c r="R847" t="inlineStr">
        <is>
          <t>2022-10-06</t>
        </is>
      </c>
      <c r="S847" t="inlineStr">
        <is>
          <t>2022-10-19</t>
        </is>
      </c>
      <c r="T847" t="inlineStr">
        <is>
          <t>Comet 94 : 2022-10-06 - 2022-10-19</t>
        </is>
      </c>
      <c r="U847" t="inlineStr"/>
      <c r="V847" t="inlineStr"/>
      <c r="W847" t="inlineStr">
        <is>
          <t>2022-10-10T11:55:47-05:00</t>
        </is>
      </c>
      <c r="X847">
        <f>IFERROR(1/COUNTIF($I:$I,@$I:$I), 0)</f>
        <v/>
      </c>
    </row>
    <row r="848">
      <c r="A848">
        <f>HYPERLINK("https://drivetime.tpondemand.com/entity/145766", "145766")</f>
        <v/>
      </c>
      <c r="B848" t="inlineStr">
        <is>
          <t>Seeing missing legal disclosure and phone number and app icons changes are not up to date</t>
        </is>
      </c>
      <c r="C848" t="inlineStr">
        <is>
          <t>Bug</t>
        </is>
      </c>
      <c r="D848" t="inlineStr">
        <is>
          <t>BC Digital - Ongoing Fixes and Enhancements</t>
        </is>
      </c>
      <c r="E848" t="inlineStr">
        <is>
          <t>BC Digital Comet</t>
        </is>
      </c>
      <c r="F848" t="inlineStr">
        <is>
          <t>49</t>
        </is>
      </c>
      <c r="G848" t="inlineStr"/>
      <c r="H848" t="inlineStr">
        <is>
          <t>[COMMUNICATIONS] CSO Update</t>
        </is>
      </c>
      <c r="I848" t="inlineStr"/>
      <c r="J848" t="n">
        <v>0</v>
      </c>
      <c r="K848" t="inlineStr"/>
      <c r="L848">
        <f>HYPERLINK("https://drivetime.tpondemand.com/entity/138283", "138283")</f>
        <v/>
      </c>
      <c r="M848" t="n">
        <v>0</v>
      </c>
      <c r="N848" t="n">
        <v>127330</v>
      </c>
      <c r="O848" t="inlineStr">
        <is>
          <t>Done</t>
        </is>
      </c>
      <c r="P848" t="n">
        <v>1</v>
      </c>
      <c r="Q848" t="inlineStr">
        <is>
          <t>Comet 98</t>
        </is>
      </c>
      <c r="R848" t="inlineStr">
        <is>
          <t>2022-12-01</t>
        </is>
      </c>
      <c r="S848" t="inlineStr">
        <is>
          <t>2022-12-14</t>
        </is>
      </c>
      <c r="T848" t="inlineStr">
        <is>
          <t>Comet 98 : 2022-12-01 - 2022-12-14</t>
        </is>
      </c>
      <c r="U848" t="inlineStr"/>
      <c r="V848" t="inlineStr"/>
      <c r="W848" t="inlineStr">
        <is>
          <t>2022-12-05T17:03:59-06:00</t>
        </is>
      </c>
      <c r="X848">
        <f>IFERROR(1/COUNTIF($I:$I,@$I:$I), 0)</f>
        <v/>
      </c>
    </row>
    <row r="849">
      <c r="A849">
        <f>HYPERLINK("https://drivetime.tpondemand.com/entity/137386", "137386")</f>
        <v/>
      </c>
      <c r="B849" t="inlineStr">
        <is>
          <t>PROD BUG: BFF Server Telemetry Client Memory Leak Issue</t>
        </is>
      </c>
      <c r="C849" t="inlineStr">
        <is>
          <t>Bug</t>
        </is>
      </c>
      <c r="D849" t="inlineStr">
        <is>
          <t>BC Digital - Ongoing Fixes and Enhancements</t>
        </is>
      </c>
      <c r="E849" t="inlineStr">
        <is>
          <t>BC Digital Wyvern</t>
        </is>
      </c>
      <c r="F849" t="inlineStr">
        <is>
          <t>32</t>
        </is>
      </c>
      <c r="G849" t="inlineStr">
        <is>
          <t>Venkatmahesh Polur</t>
        </is>
      </c>
      <c r="H849" t="inlineStr">
        <is>
          <t>null</t>
        </is>
      </c>
      <c r="I849" t="inlineStr"/>
      <c r="J849" t="n">
        <v>2.050694444444444</v>
      </c>
      <c r="K849">
        <f>HYPERLINK("https://drivetime.tpondemand.com/entity/137387", "137387")</f>
        <v/>
      </c>
      <c r="L849" t="inlineStr"/>
      <c r="M849" t="n">
        <v>2</v>
      </c>
      <c r="N849" t="n">
        <v>127345</v>
      </c>
      <c r="O849" t="inlineStr">
        <is>
          <t>Done</t>
        </is>
      </c>
      <c r="P849" t="n">
        <v>1</v>
      </c>
      <c r="Q849" t="inlineStr">
        <is>
          <t>Wyvern 27</t>
        </is>
      </c>
      <c r="R849" t="inlineStr">
        <is>
          <t>2022-07-28</t>
        </is>
      </c>
      <c r="S849" t="inlineStr">
        <is>
          <t>2022-08-10</t>
        </is>
      </c>
      <c r="T849" t="inlineStr">
        <is>
          <t>Wyvern 27 : 2022-07-28 - 2022-08-10</t>
        </is>
      </c>
      <c r="U849" t="inlineStr"/>
      <c r="V849" t="inlineStr"/>
      <c r="W849" t="inlineStr">
        <is>
          <t>2022-08-10T17:35:08-05:00</t>
        </is>
      </c>
      <c r="X849">
        <f>IFERROR(1/COUNTIF($I:$I,@$I:$I), 0)</f>
        <v/>
      </c>
    </row>
    <row r="850">
      <c r="A850">
        <f>HYPERLINK("https://drivetime.tpondemand.com/entity/145765", "145765")</f>
        <v/>
      </c>
      <c r="B850" t="inlineStr">
        <is>
          <t>Some items are masked that were not designated to be - Part 1</t>
        </is>
      </c>
      <c r="C850" t="inlineStr">
        <is>
          <t>Bug</t>
        </is>
      </c>
      <c r="D850" t="inlineStr">
        <is>
          <t>BC Digital - Ongoing Fixes and Enhancements</t>
        </is>
      </c>
      <c r="E850" t="inlineStr">
        <is>
          <t>BC Digital Wyvern</t>
        </is>
      </c>
      <c r="F850" t="inlineStr"/>
      <c r="G850" t="inlineStr"/>
      <c r="H850" t="inlineStr">
        <is>
          <t>[PLATFORM] Implement Fullstory</t>
        </is>
      </c>
      <c r="I850" t="inlineStr"/>
      <c r="J850" t="n">
        <v>21.88372839739931</v>
      </c>
      <c r="K850">
        <f>HYPERLINK("https://drivetime.tpondemand.com/entity/147079", "147079")</f>
        <v/>
      </c>
      <c r="L850" t="inlineStr"/>
      <c r="M850" t="n">
        <v>2</v>
      </c>
      <c r="N850" t="n">
        <v>127354</v>
      </c>
      <c r="O850" t="inlineStr">
        <is>
          <t>Ready for Deploy</t>
        </is>
      </c>
      <c r="P850" t="n">
        <v>1</v>
      </c>
      <c r="Q850" t="inlineStr">
        <is>
          <t>Wyvern 36</t>
        </is>
      </c>
      <c r="R850" t="inlineStr">
        <is>
          <t>2022-12-01</t>
        </is>
      </c>
      <c r="S850" t="inlineStr">
        <is>
          <t>2022-12-14</t>
        </is>
      </c>
      <c r="T850" t="inlineStr">
        <is>
          <t>Wyvern 36 : 2022-12-01 - 2022-12-14</t>
        </is>
      </c>
      <c r="U850" t="inlineStr"/>
      <c r="V850" t="inlineStr"/>
      <c r="X850">
        <f>IFERROR(1/COUNTIF($I:$I,@$I:$I), 0)</f>
        <v/>
      </c>
    </row>
    <row r="851">
      <c r="A851">
        <f>HYPERLINK("https://drivetime.tpondemand.com/entity/146264", "146264")</f>
        <v/>
      </c>
      <c r="B851" t="inlineStr">
        <is>
          <t>Some items are masked that were not designated to be - Part 2</t>
        </is>
      </c>
      <c r="C851" t="inlineStr">
        <is>
          <t>Bug</t>
        </is>
      </c>
      <c r="D851" t="inlineStr">
        <is>
          <t>BC Digital - Ongoing Fixes and Enhancements</t>
        </is>
      </c>
      <c r="E851" t="inlineStr">
        <is>
          <t>BC Digital Wyvern</t>
        </is>
      </c>
      <c r="F851" t="inlineStr"/>
      <c r="G851" t="inlineStr">
        <is>
          <t>Sri Charan Simha Velpur</t>
        </is>
      </c>
      <c r="H851" t="inlineStr">
        <is>
          <t>[PLATFORM] Implement Fullstory</t>
        </is>
      </c>
      <c r="I851" t="inlineStr"/>
      <c r="J851" t="n">
        <v>24.88180710110301</v>
      </c>
      <c r="K851">
        <f>HYPERLINK("https://drivetime.tpondemand.com/entity/147079", "147079")</f>
        <v/>
      </c>
      <c r="L851">
        <f>HYPERLINK("https://drivetime.tpondemand.com/entity/145174", "145174")</f>
        <v/>
      </c>
      <c r="M851" t="n">
        <v>1</v>
      </c>
      <c r="N851" t="n">
        <v>127354</v>
      </c>
      <c r="O851" t="inlineStr">
        <is>
          <t>Ready for Deploy</t>
        </is>
      </c>
      <c r="P851" t="n">
        <v>1</v>
      </c>
      <c r="Q851" t="inlineStr">
        <is>
          <t>Wyvern 36</t>
        </is>
      </c>
      <c r="R851" t="inlineStr">
        <is>
          <t>2022-12-01</t>
        </is>
      </c>
      <c r="S851" t="inlineStr">
        <is>
          <t>2022-12-14</t>
        </is>
      </c>
      <c r="T851" t="inlineStr">
        <is>
          <t>Wyvern 36 : 2022-12-01 - 2022-12-14</t>
        </is>
      </c>
      <c r="U851" t="inlineStr"/>
      <c r="V851" t="inlineStr"/>
      <c r="X851">
        <f>IFERROR(1/COUNTIF($I:$I,@$I:$I), 0)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229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r="1">
      <c r="A1" s="74" t="inlineStr">
        <is>
          <t>Id</t>
        </is>
      </c>
      <c r="B1" s="74" t="inlineStr">
        <is>
          <t>Name</t>
        </is>
      </c>
      <c r="C1" s="74" t="inlineStr">
        <is>
          <t>EndDate</t>
        </is>
      </c>
      <c r="D1" s="74" t="inlineStr">
        <is>
          <t>Team</t>
        </is>
      </c>
      <c r="E1" s="74" t="inlineStr">
        <is>
          <t>Week</t>
        </is>
      </c>
      <c r="F1" s="74" t="inlineStr">
        <is>
          <t>BuildMaster</t>
        </is>
      </c>
      <c r="G1" s="74" t="inlineStr">
        <is>
          <t>Status</t>
        </is>
      </c>
      <c r="H1" s="74" t="inlineStr">
        <is>
          <t>Effort</t>
        </is>
      </c>
      <c r="I1" s="74" t="inlineStr">
        <is>
          <t>IsRolledBack</t>
        </is>
      </c>
    </row>
    <row r="2">
      <c r="A2">
        <f>HYPERLINK("https://drivetime.tpondemand.com/entity/147266", "147266")</f>
        <v/>
      </c>
      <c r="B2" t="inlineStr">
        <is>
          <t>[BC NEXT] 01.03.2023 |Cannot open signing room or view signed loan modification documents when impersonating, PPM enhancements, add address modals, CSC page, OTP payoff today persisting incorrectly.</t>
        </is>
      </c>
      <c r="C2" t="inlineStr">
        <is>
          <t>2023-01-03</t>
        </is>
      </c>
      <c r="D2" t="inlineStr">
        <is>
          <t>BC Digital Drakon</t>
        </is>
      </c>
      <c r="E2" t="inlineStr">
        <is>
          <t>01</t>
        </is>
      </c>
      <c r="F2" t="inlineStr">
        <is>
          <t>Antonio Posada</t>
        </is>
      </c>
      <c r="G2" t="inlineStr">
        <is>
          <t>Scheduled</t>
        </is>
      </c>
      <c r="H2" t="n">
        <v>18</v>
      </c>
      <c r="I2" t="b">
        <v>0</v>
      </c>
    </row>
    <row r="3">
      <c r="A3">
        <f>HYPERLINK("https://drivetime.tpondemand.com/entity/147208", "147208")</f>
        <v/>
      </c>
      <c r="B3" t="inlineStr">
        <is>
          <t>[BC NEXT] 12.27.22 Payoff Quote footer with CA specific disclosure</t>
        </is>
      </c>
      <c r="C3" t="inlineStr">
        <is>
          <t>2022-12-27</t>
        </is>
      </c>
      <c r="D3" t="inlineStr">
        <is>
          <t>BC Digital Drakon</t>
        </is>
      </c>
      <c r="E3" t="inlineStr">
        <is>
          <t>52</t>
        </is>
      </c>
      <c r="F3" t="inlineStr">
        <is>
          <t>Abbas Shamshi</t>
        </is>
      </c>
      <c r="G3" t="inlineStr">
        <is>
          <t>Deployed</t>
        </is>
      </c>
      <c r="H3" t="n">
        <v>2</v>
      </c>
      <c r="I3" t="b">
        <v>0</v>
      </c>
    </row>
    <row r="4">
      <c r="A4">
        <f>HYPERLINK("https://drivetime.tpondemand.com/entity/146744", "146744")</f>
        <v/>
      </c>
      <c r="B4" t="inlineStr">
        <is>
          <t>[BC NEXT] 12.20.22 - Payment Plan</t>
        </is>
      </c>
      <c r="C4" t="inlineStr">
        <is>
          <t>2022-12-20</t>
        </is>
      </c>
      <c r="D4" t="inlineStr">
        <is>
          <t>BC Digital Drakon</t>
        </is>
      </c>
      <c r="E4" t="inlineStr">
        <is>
          <t>51</t>
        </is>
      </c>
      <c r="F4" t="inlineStr">
        <is>
          <t>Yokeshwaran Lokanathan</t>
        </is>
      </c>
      <c r="G4" t="inlineStr">
        <is>
          <t>Deployed</t>
        </is>
      </c>
      <c r="H4" t="n">
        <v>13</v>
      </c>
      <c r="I4" t="b">
        <v>0</v>
      </c>
    </row>
    <row r="5">
      <c r="A5">
        <f>HYPERLINK("https://drivetime.tpondemand.com/entity/146999", "146999")</f>
        <v/>
      </c>
      <c r="B5" t="inlineStr">
        <is>
          <t>[APP RELEASE] 12/21/22 App Release</t>
        </is>
      </c>
      <c r="C5" t="inlineStr">
        <is>
          <t>2022-12-21</t>
        </is>
      </c>
      <c r="D5" t="inlineStr">
        <is>
          <t>BC Digital Drakon</t>
        </is>
      </c>
      <c r="E5" t="inlineStr">
        <is>
          <t>51</t>
        </is>
      </c>
      <c r="F5" t="inlineStr">
        <is>
          <t>Camilo Guerrero</t>
        </is>
      </c>
      <c r="G5" t="inlineStr">
        <is>
          <t>Deployed</t>
        </is>
      </c>
      <c r="H5" t="n">
        <v>0</v>
      </c>
      <c r="I5" t="b">
        <v>0</v>
      </c>
    </row>
    <row r="6">
      <c r="A6">
        <f>HYPERLINK("https://drivetime.tpondemand.com/entity/146647", "146647")</f>
        <v/>
      </c>
      <c r="B6" t="inlineStr">
        <is>
          <t>[BC API] 12.15.22 - Include Identifiers for Customer Address, Email &amp; Phone</t>
        </is>
      </c>
      <c r="C6" t="inlineStr">
        <is>
          <t>2022-12-15</t>
        </is>
      </c>
      <c r="D6" t="inlineStr">
        <is>
          <t>BC Digital Drakon</t>
        </is>
      </c>
      <c r="E6" t="inlineStr">
        <is>
          <t>50</t>
        </is>
      </c>
      <c r="F6" t="inlineStr">
        <is>
          <t>Pete Wesselius</t>
        </is>
      </c>
      <c r="G6" t="inlineStr">
        <is>
          <t>Deployed</t>
        </is>
      </c>
      <c r="H6" t="n">
        <v>3</v>
      </c>
      <c r="I6" t="b">
        <v>0</v>
      </c>
    </row>
    <row r="7">
      <c r="A7">
        <f>HYPERLINK("https://drivetime.tpondemand.com/entity/146568", "146568")</f>
        <v/>
      </c>
      <c r="B7" t="inlineStr">
        <is>
          <t>[BC Next] 12.14.22 - CSC landing page | Unit Test email.validation | My Profile bugs | Manage Modifications Integration tests</t>
        </is>
      </c>
      <c r="C7" t="inlineStr">
        <is>
          <t>2022-12-14</t>
        </is>
      </c>
      <c r="D7" t="inlineStr">
        <is>
          <t>BC Digital Drakon</t>
        </is>
      </c>
      <c r="E7" t="inlineStr">
        <is>
          <t>50</t>
        </is>
      </c>
      <c r="F7" t="inlineStr">
        <is>
          <t>Abbas Shamshi</t>
        </is>
      </c>
      <c r="G7" t="inlineStr">
        <is>
          <t>Deployed</t>
        </is>
      </c>
      <c r="H7" t="n">
        <v>9</v>
      </c>
      <c r="I7" t="b">
        <v>0</v>
      </c>
    </row>
    <row r="8">
      <c r="A8">
        <f>HYPERLINK("https://drivetime.tpondemand.com/entity/145895", "145895")</f>
        <v/>
      </c>
      <c r="B8" t="inlineStr">
        <is>
          <t>[BC NEXT] 12.07.22 - Manage Modifications Fixes and Automation, Email Validation Fixes, State-specific Payoff Quote Footer</t>
        </is>
      </c>
      <c r="C8" t="inlineStr">
        <is>
          <t>2022-12-07</t>
        </is>
      </c>
      <c r="D8" t="inlineStr">
        <is>
          <t>BC Digital Drakon</t>
        </is>
      </c>
      <c r="E8" t="inlineStr">
        <is>
          <t>49</t>
        </is>
      </c>
      <c r="F8" t="inlineStr">
        <is>
          <t>Connor Golobich</t>
        </is>
      </c>
      <c r="G8" t="inlineStr">
        <is>
          <t>Deployed</t>
        </is>
      </c>
      <c r="H8" t="n">
        <v>14</v>
      </c>
      <c r="I8" t="b">
        <v>0</v>
      </c>
    </row>
    <row r="9">
      <c r="A9">
        <f>HYPERLINK("https://drivetime.tpondemand.com/entity/145791", "145791")</f>
        <v/>
      </c>
      <c r="B9" t="inlineStr">
        <is>
          <t>[BC NEXT] 12.06.2022 Payment Plan</t>
        </is>
      </c>
      <c r="C9" t="inlineStr">
        <is>
          <t>2022-12-06</t>
        </is>
      </c>
      <c r="D9" t="inlineStr">
        <is>
          <t>BC Digital Drakon</t>
        </is>
      </c>
      <c r="E9" t="inlineStr">
        <is>
          <t>49</t>
        </is>
      </c>
      <c r="F9" t="inlineStr">
        <is>
          <t>Yokeshwaran Lokanathan</t>
        </is>
      </c>
      <c r="G9" t="inlineStr">
        <is>
          <t>Deployed</t>
        </is>
      </c>
      <c r="H9" t="n">
        <v>15</v>
      </c>
      <c r="I9" t="b">
        <v>0</v>
      </c>
    </row>
    <row r="10">
      <c r="A10">
        <f>HYPERLINK("https://drivetime.tpondemand.com/entity/144706", "144706")</f>
        <v/>
      </c>
      <c r="B10" t="inlineStr">
        <is>
          <t>[SSP] 11.22.22 - Manage Modifications redirects</t>
        </is>
      </c>
      <c r="C10" t="inlineStr">
        <is>
          <t>2022-11-22</t>
        </is>
      </c>
      <c r="D10" t="inlineStr">
        <is>
          <t>BC Digital Drakon</t>
        </is>
      </c>
      <c r="E10" t="inlineStr">
        <is>
          <t>47</t>
        </is>
      </c>
      <c r="F10" t="inlineStr">
        <is>
          <t>Connor Golobich</t>
        </is>
      </c>
      <c r="G10" t="inlineStr">
        <is>
          <t>Deployed</t>
        </is>
      </c>
      <c r="H10" t="n">
        <v>1</v>
      </c>
      <c r="I10" t="b">
        <v>0</v>
      </c>
    </row>
    <row r="11">
      <c r="A11">
        <f>HYPERLINK("https://drivetime.tpondemand.com/entity/144897", "144897")</f>
        <v/>
      </c>
      <c r="B11" t="inlineStr">
        <is>
          <t>2022.11.22 [BC NEXT] My Profile - Create Email Address Modals</t>
        </is>
      </c>
      <c r="C11" t="inlineStr">
        <is>
          <t>2022-11-22</t>
        </is>
      </c>
      <c r="D11" t="inlineStr">
        <is>
          <t>BC Digital Drakon</t>
        </is>
      </c>
      <c r="E11" t="inlineStr">
        <is>
          <t>47</t>
        </is>
      </c>
      <c r="F11" t="inlineStr">
        <is>
          <t>Shyam Senthil Nathan</t>
        </is>
      </c>
      <c r="G11" t="inlineStr">
        <is>
          <t>Deployed</t>
        </is>
      </c>
      <c r="H11" t="n">
        <v>0</v>
      </c>
      <c r="I11" t="b">
        <v>0</v>
      </c>
    </row>
    <row r="12">
      <c r="A12">
        <f>HYPERLINK("https://drivetime.tpondemand.com/entity/144834", "144834")</f>
        <v/>
      </c>
      <c r="B12" t="inlineStr">
        <is>
          <t>[SSP] 11.21.22 - Add PTP/PDP Question to FAQ</t>
        </is>
      </c>
      <c r="C12" t="inlineStr">
        <is>
          <t>2022-11-21</t>
        </is>
      </c>
      <c r="D12" t="inlineStr">
        <is>
          <t>BC Digital Drakon</t>
        </is>
      </c>
      <c r="E12" t="inlineStr">
        <is>
          <t>47</t>
        </is>
      </c>
      <c r="F12" t="inlineStr">
        <is>
          <t>Connor Golobich</t>
        </is>
      </c>
      <c r="G12" t="inlineStr">
        <is>
          <t>Deployed</t>
        </is>
      </c>
      <c r="H12" t="n">
        <v>1</v>
      </c>
      <c r="I12" t="b">
        <v>0</v>
      </c>
    </row>
    <row r="13">
      <c r="A13">
        <f>HYPERLINK("https://drivetime.tpondemand.com/entity/144410", "144410")</f>
        <v/>
      </c>
      <c r="B13" t="inlineStr">
        <is>
          <t>[BC NEXT] 11.17.22 - My Profile - Phone Modal | Cypress Upgrade | Top/Side Nav Automation | Analytics Fix</t>
        </is>
      </c>
      <c r="C13" t="inlineStr">
        <is>
          <t>2022-11-17</t>
        </is>
      </c>
      <c r="D13" t="inlineStr">
        <is>
          <t>BC Digital Drakon</t>
        </is>
      </c>
      <c r="E13" t="inlineStr">
        <is>
          <t>46</t>
        </is>
      </c>
      <c r="F13" t="inlineStr">
        <is>
          <t>Chirag Khandhar</t>
        </is>
      </c>
      <c r="G13" t="inlineStr">
        <is>
          <t>Deployed</t>
        </is>
      </c>
      <c r="H13" t="n">
        <v>14</v>
      </c>
      <c r="I13" t="b">
        <v>0</v>
      </c>
    </row>
    <row r="14">
      <c r="A14">
        <f>HYPERLINK("https://drivetime.tpondemand.com/entity/144279", "144279")</f>
        <v/>
      </c>
      <c r="B14" t="inlineStr">
        <is>
          <t>[BC:NEXT] 11/16/22 My Profile - Delete modals | My Address UI | My phone number UI | Create My Vehicles and My Email Addresses UI</t>
        </is>
      </c>
      <c r="C14" t="inlineStr">
        <is>
          <t>2022-11-16</t>
        </is>
      </c>
      <c r="D14" t="inlineStr">
        <is>
          <t>BC Digital Drakon</t>
        </is>
      </c>
      <c r="E14" t="inlineStr">
        <is>
          <t>46</t>
        </is>
      </c>
      <c r="F14" t="inlineStr">
        <is>
          <t>Abbas Shamshi</t>
        </is>
      </c>
      <c r="G14" t="inlineStr">
        <is>
          <t>Deployed</t>
        </is>
      </c>
      <c r="H14" t="n">
        <v>18</v>
      </c>
      <c r="I14" t="b">
        <v>0</v>
      </c>
    </row>
    <row r="15">
      <c r="A15">
        <f>HYPERLINK("https://drivetime.tpondemand.com/entity/144073", "144073")</f>
        <v/>
      </c>
      <c r="B15" t="inlineStr">
        <is>
          <t>[BCNEXT] 11.14.22 - Loan Mods DocuSign Integration, Disclaimer Bugfix, PTC Scaffolding</t>
        </is>
      </c>
      <c r="C15" t="inlineStr">
        <is>
          <t>2022-11-14</t>
        </is>
      </c>
      <c r="D15" t="inlineStr">
        <is>
          <t>BC Digital Drakon</t>
        </is>
      </c>
      <c r="E15" t="inlineStr">
        <is>
          <t>46</t>
        </is>
      </c>
      <c r="F15" t="inlineStr">
        <is>
          <t>Connor Golobich</t>
        </is>
      </c>
      <c r="G15" t="inlineStr">
        <is>
          <t>Deployed</t>
        </is>
      </c>
      <c r="H15" t="n">
        <v>10</v>
      </c>
      <c r="I15" t="b">
        <v>0</v>
      </c>
    </row>
    <row r="16">
      <c r="A16">
        <f>HYPERLINK("https://drivetime.tpondemand.com/entity/141288", "141288")</f>
        <v/>
      </c>
      <c r="B16" t="inlineStr">
        <is>
          <t>[APP RELEASE] 11/17/22 App Release</t>
        </is>
      </c>
      <c r="C16" t="inlineStr">
        <is>
          <t>2022-11-17</t>
        </is>
      </c>
      <c r="D16" t="inlineStr">
        <is>
          <t>BC Digital Drakon</t>
        </is>
      </c>
      <c r="E16" t="inlineStr">
        <is>
          <t>46</t>
        </is>
      </c>
      <c r="F16" t="inlineStr">
        <is>
          <t>Camilo Guerrero</t>
        </is>
      </c>
      <c r="G16" t="inlineStr">
        <is>
          <t>Deployed</t>
        </is>
      </c>
      <c r="H16" t="n">
        <v>0</v>
      </c>
      <c r="I16" t="b">
        <v>0</v>
      </c>
    </row>
    <row r="17">
      <c r="A17">
        <f>HYPERLINK("https://drivetime.tpondemand.com/entity/143326", "143326")</f>
        <v/>
      </c>
      <c r="B17" t="inlineStr">
        <is>
          <t>[BC NEXT] 11.08.22 | Manage Mods Opt Out &amp; Connect logic with API; Customer Support scaffolding</t>
        </is>
      </c>
      <c r="C17" t="inlineStr">
        <is>
          <t>2022-11-08</t>
        </is>
      </c>
      <c r="D17" t="inlineStr">
        <is>
          <t>BC Digital Drakon</t>
        </is>
      </c>
      <c r="E17" t="inlineStr">
        <is>
          <t>45</t>
        </is>
      </c>
      <c r="F17" t="inlineStr">
        <is>
          <t>Joseph Kranak</t>
        </is>
      </c>
      <c r="G17" t="inlineStr">
        <is>
          <t>Deployed</t>
        </is>
      </c>
      <c r="H17" t="n">
        <v>11</v>
      </c>
      <c r="I17" t="b">
        <v>0</v>
      </c>
    </row>
    <row r="18">
      <c r="A18">
        <f>HYPERLINK("https://drivetime.tpondemand.com/entity/142204", "142204")</f>
        <v/>
      </c>
      <c r="B18" t="inlineStr">
        <is>
          <t>[BC NEXT] 10.24.22 | Text component update, Paymentus Redirect Modal, Pay off quote Letter</t>
        </is>
      </c>
      <c r="C18" t="inlineStr">
        <is>
          <t>2022-10-24</t>
        </is>
      </c>
      <c r="D18" t="inlineStr">
        <is>
          <t>BC Digital Drakon</t>
        </is>
      </c>
      <c r="E18" t="inlineStr">
        <is>
          <t>43</t>
        </is>
      </c>
      <c r="F18" t="inlineStr">
        <is>
          <t>Yokeshwaran Lokanathan</t>
        </is>
      </c>
      <c r="G18" t="inlineStr">
        <is>
          <t>Deployed</t>
        </is>
      </c>
      <c r="H18" t="n">
        <v>10</v>
      </c>
      <c r="I18" t="b">
        <v>0</v>
      </c>
    </row>
    <row r="19">
      <c r="A19">
        <f>HYPERLINK("https://drivetime.tpondemand.com/entity/141937", "141937")</f>
        <v/>
      </c>
      <c r="B19" t="inlineStr">
        <is>
          <t>2022.10.19 [BC Next] Ac Settings My Profile update, Ac Settings automation testing, APPD automation testing</t>
        </is>
      </c>
      <c r="C19" t="inlineStr">
        <is>
          <t>2022-10-19</t>
        </is>
      </c>
      <c r="D19" t="inlineStr">
        <is>
          <t>BC Digital Drakon</t>
        </is>
      </c>
      <c r="E19" t="inlineStr">
        <is>
          <t>42</t>
        </is>
      </c>
      <c r="F19" t="inlineStr">
        <is>
          <t>Abbas Shamshi</t>
        </is>
      </c>
      <c r="G19" t="inlineStr">
        <is>
          <t>Deployed</t>
        </is>
      </c>
      <c r="H19" t="n">
        <v>11</v>
      </c>
      <c r="I19" t="b">
        <v>0</v>
      </c>
    </row>
    <row r="20">
      <c r="A20">
        <f>HYPERLINK("https://drivetime.tpondemand.com/entity/141731", "141731")</f>
        <v/>
      </c>
      <c r="B20" t="inlineStr">
        <is>
          <t>[BC NEXT] 10.18.22 | My Profile - Routes, Metadata, Scaffolding</t>
        </is>
      </c>
      <c r="C20" t="inlineStr">
        <is>
          <t>2022-10-18</t>
        </is>
      </c>
      <c r="D20" t="inlineStr">
        <is>
          <t>BC Digital Drakon</t>
        </is>
      </c>
      <c r="E20" t="inlineStr">
        <is>
          <t>42</t>
        </is>
      </c>
      <c r="F20" t="inlineStr">
        <is>
          <t>Yokeshwaran Lokanathan</t>
        </is>
      </c>
      <c r="G20" t="inlineStr">
        <is>
          <t>Deployed</t>
        </is>
      </c>
      <c r="H20" t="n">
        <v>3</v>
      </c>
      <c r="I20" t="b">
        <v>0</v>
      </c>
    </row>
    <row r="21">
      <c r="A21">
        <f>HYPERLINK("https://drivetime.tpondemand.com/entity/141476", "141476")</f>
        <v/>
      </c>
      <c r="B21" t="inlineStr">
        <is>
          <t>[BC NEXT] 10.17.22 | Payoff Quote Integration</t>
        </is>
      </c>
      <c r="C21" t="inlineStr">
        <is>
          <t>2022-10-17</t>
        </is>
      </c>
      <c r="D21" t="inlineStr">
        <is>
          <t>BC Digital Drakon</t>
        </is>
      </c>
      <c r="E21" t="inlineStr">
        <is>
          <t>42</t>
        </is>
      </c>
      <c r="F21" t="inlineStr">
        <is>
          <t>Chirag Khandhar</t>
        </is>
      </c>
      <c r="G21" t="inlineStr">
        <is>
          <t>Deployed</t>
        </is>
      </c>
      <c r="H21" t="n">
        <v>15</v>
      </c>
      <c r="I21" t="b">
        <v>0</v>
      </c>
    </row>
    <row r="22">
      <c r="A22">
        <f>HYPERLINK("https://drivetime.tpondemand.com/entity/141527", "141527")</f>
        <v/>
      </c>
      <c r="B22" t="inlineStr">
        <is>
          <t>[BC NEXT][SSP] Paymentus Quick Access URLs to redirect flag</t>
        </is>
      </c>
      <c r="C22" t="inlineStr">
        <is>
          <t>2022-10-13</t>
        </is>
      </c>
      <c r="D22" t="inlineStr">
        <is>
          <t>BC Digital Drakon</t>
        </is>
      </c>
      <c r="E22" t="inlineStr">
        <is>
          <t>41</t>
        </is>
      </c>
      <c r="F22" t="inlineStr">
        <is>
          <t>Pete Wesselius</t>
        </is>
      </c>
      <c r="G22" t="inlineStr">
        <is>
          <t>Deployed</t>
        </is>
      </c>
      <c r="H22" t="n">
        <v>2</v>
      </c>
      <c r="I22" t="b">
        <v>0</v>
      </c>
    </row>
    <row r="23">
      <c r="A23">
        <f>HYPERLINK("https://drivetime.tpondemand.com/entity/141481", "141481")</f>
        <v/>
      </c>
      <c r="B23" t="inlineStr">
        <is>
          <t>[BCAPI] 10.12.22 - Allow querying of PayoffQuote within SelfServiceCustomer Queries</t>
        </is>
      </c>
      <c r="C23" t="inlineStr">
        <is>
          <t>2022-10-12</t>
        </is>
      </c>
      <c r="D23" t="inlineStr">
        <is>
          <t>BC Digital Drakon</t>
        </is>
      </c>
      <c r="E23" t="inlineStr">
        <is>
          <t>41</t>
        </is>
      </c>
      <c r="F23" t="inlineStr">
        <is>
          <t>Connor Golobich</t>
        </is>
      </c>
      <c r="G23" t="inlineStr">
        <is>
          <t>Deployed</t>
        </is>
      </c>
      <c r="H23" t="n">
        <v>3</v>
      </c>
      <c r="I23" t="b">
        <v>0</v>
      </c>
    </row>
    <row r="24">
      <c r="A24">
        <f>HYPERLINK("https://drivetime.tpondemand.com/entity/141385", "141385")</f>
        <v/>
      </c>
      <c r="B24" t="inlineStr">
        <is>
          <t>2022.10.11 [BC Next] PageName and PageSubname using where you are being directed to vs. the page you took the action</t>
        </is>
      </c>
      <c r="C24" t="inlineStr">
        <is>
          <t>2022-10-11</t>
        </is>
      </c>
      <c r="D24" t="inlineStr">
        <is>
          <t>BC Digital Drakon</t>
        </is>
      </c>
      <c r="E24" t="inlineStr">
        <is>
          <t>41</t>
        </is>
      </c>
      <c r="F24" t="inlineStr">
        <is>
          <t>Shyam Senthil Nathan</t>
        </is>
      </c>
      <c r="G24" t="inlineStr">
        <is>
          <t>Deployed</t>
        </is>
      </c>
      <c r="H24" t="n">
        <v>3</v>
      </c>
      <c r="I24" t="b">
        <v>0</v>
      </c>
    </row>
    <row r="25">
      <c r="A25">
        <f>HYPERLINK("https://drivetime.tpondemand.com/entity/140487", "140487")</f>
        <v/>
      </c>
      <c r="B25" t="inlineStr">
        <is>
          <t>[BC NEXT] 10.05.2022 - Account Balance Experiment Analytics Fix</t>
        </is>
      </c>
      <c r="C25" t="inlineStr">
        <is>
          <t>2022-10-05</t>
        </is>
      </c>
      <c r="D25" t="inlineStr">
        <is>
          <t>BC Digital Drakon</t>
        </is>
      </c>
      <c r="E25" t="inlineStr">
        <is>
          <t>40</t>
        </is>
      </c>
      <c r="F25" t="inlineStr">
        <is>
          <t>Joseph Kranak</t>
        </is>
      </c>
      <c r="G25" t="inlineStr">
        <is>
          <t>Deployed</t>
        </is>
      </c>
      <c r="H25" t="n">
        <v>3</v>
      </c>
      <c r="I25" t="b">
        <v>0</v>
      </c>
    </row>
    <row r="26">
      <c r="A26">
        <f>HYPERLINK("https://drivetime.tpondemand.com/entity/140516", "140516")</f>
        <v/>
      </c>
      <c r="B26" t="inlineStr">
        <is>
          <t>[BC NEXT] 10.04.2022 - Impersonation Delete User / Skeleton Text / Lookup page disclaimer</t>
        </is>
      </c>
      <c r="C26" t="inlineStr">
        <is>
          <t>2022-10-04</t>
        </is>
      </c>
      <c r="D26" t="inlineStr">
        <is>
          <t>BC Digital Drakon</t>
        </is>
      </c>
      <c r="E26" t="inlineStr">
        <is>
          <t>40</t>
        </is>
      </c>
      <c r="F26" t="inlineStr">
        <is>
          <t>Antonio Posada</t>
        </is>
      </c>
      <c r="G26" t="inlineStr">
        <is>
          <t>Deployed</t>
        </is>
      </c>
      <c r="H26" t="n">
        <v>8</v>
      </c>
      <c r="I26" t="b">
        <v>0</v>
      </c>
    </row>
    <row r="27">
      <c r="A27">
        <f>HYPERLINK("https://drivetime.tpondemand.com/entity/140854", "140854")</f>
        <v/>
      </c>
      <c r="B27" t="inlineStr">
        <is>
          <t>[BCAPI] 10.04.2022 - Charge-off Customer Paymentus Quick Access Fix</t>
        </is>
      </c>
      <c r="C27" t="inlineStr">
        <is>
          <t>2022-10-04</t>
        </is>
      </c>
      <c r="D27" t="inlineStr">
        <is>
          <t>BC Digital Drakon</t>
        </is>
      </c>
      <c r="E27" t="inlineStr">
        <is>
          <t>40</t>
        </is>
      </c>
      <c r="F27" t="inlineStr">
        <is>
          <t>Connor Golobich</t>
        </is>
      </c>
      <c r="G27" t="inlineStr">
        <is>
          <t>Deployed</t>
        </is>
      </c>
      <c r="H27" t="n">
        <v>5</v>
      </c>
      <c r="I27" t="b">
        <v>0</v>
      </c>
    </row>
    <row r="28">
      <c r="A28">
        <f>HYPERLINK("https://drivetime.tpondemand.com/entity/139925", "139925")</f>
        <v/>
      </c>
      <c r="B28" t="inlineStr">
        <is>
          <t>[BC NEXT] 9.21.2022 Account Balance Experiments and Updates to AP/APPD Enrollment Auth &amp; Payment Auth Modal</t>
        </is>
      </c>
      <c r="C28" t="inlineStr">
        <is>
          <t>2022-09-21</t>
        </is>
      </c>
      <c r="D28" t="inlineStr">
        <is>
          <t>BC Digital Drakon</t>
        </is>
      </c>
      <c r="E28" t="inlineStr">
        <is>
          <t>38</t>
        </is>
      </c>
      <c r="F28" t="inlineStr">
        <is>
          <t>Joseph Kranak</t>
        </is>
      </c>
      <c r="G28" t="inlineStr">
        <is>
          <t>Deployed</t>
        </is>
      </c>
      <c r="H28" t="n">
        <v>15</v>
      </c>
      <c r="I28" t="b">
        <v>0</v>
      </c>
    </row>
    <row r="29">
      <c r="A29">
        <f>HYPERLINK("https://drivetime.tpondemand.com/entity/139973", "139973")</f>
        <v/>
      </c>
      <c r="B29" t="inlineStr">
        <is>
          <t>[BC-Next] 09.20.2022 - AUTOMATION (Manage Bank Accounts, ManagePayment) , Linting</t>
        </is>
      </c>
      <c r="C29" t="inlineStr">
        <is>
          <t>2022-09-20</t>
        </is>
      </c>
      <c r="D29" t="inlineStr">
        <is>
          <t>BC Digital Drakon</t>
        </is>
      </c>
      <c r="E29" t="inlineStr">
        <is>
          <t>38</t>
        </is>
      </c>
      <c r="F29" t="inlineStr">
        <is>
          <t>Yokeshwaran Lokanathan</t>
        </is>
      </c>
      <c r="G29" t="inlineStr">
        <is>
          <t>Deployed</t>
        </is>
      </c>
      <c r="H29" t="n">
        <v>0</v>
      </c>
      <c r="I29" t="b">
        <v>0</v>
      </c>
    </row>
    <row r="30">
      <c r="A30">
        <f>HYPERLINK("https://drivetime.tpondemand.com/entity/139803", "139803")</f>
        <v/>
      </c>
      <c r="B30" t="inlineStr">
        <is>
          <t>[BC-Next] 09.16.2022 Hot Fix for Non Logged-In Debit Card Experience</t>
        </is>
      </c>
      <c r="C30" t="inlineStr">
        <is>
          <t>2022-09-16</t>
        </is>
      </c>
      <c r="D30" t="inlineStr">
        <is>
          <t>BC Digital Drakon</t>
        </is>
      </c>
      <c r="E30" t="inlineStr">
        <is>
          <t>37</t>
        </is>
      </c>
      <c r="F30" t="inlineStr">
        <is>
          <t>Abbas Shamshi</t>
        </is>
      </c>
      <c r="G30" t="inlineStr">
        <is>
          <t>Deployed</t>
        </is>
      </c>
      <c r="H30" t="n">
        <v>2</v>
      </c>
      <c r="I30" t="b">
        <v>0</v>
      </c>
    </row>
    <row r="31">
      <c r="A31">
        <f>HYPERLINK("https://drivetime.tpondemand.com/entity/139752", "139752")</f>
        <v/>
      </c>
      <c r="B31" t="inlineStr">
        <is>
          <t>[BC NEXT][HOT FIX] 09.15.2022 Hide Non Logged-in Debit Card Experience</t>
        </is>
      </c>
      <c r="C31" t="inlineStr">
        <is>
          <t>2022-09-15</t>
        </is>
      </c>
      <c r="D31" t="inlineStr">
        <is>
          <t>BC Digital Drakon</t>
        </is>
      </c>
      <c r="E31" t="inlineStr">
        <is>
          <t>37</t>
        </is>
      </c>
      <c r="F31" t="inlineStr">
        <is>
          <t>Abbas Shamshi</t>
        </is>
      </c>
      <c r="G31" t="inlineStr">
        <is>
          <t>Deployed</t>
        </is>
      </c>
      <c r="H31" t="n">
        <v>2</v>
      </c>
      <c r="I31" t="b">
        <v>0</v>
      </c>
    </row>
    <row r="32">
      <c r="A32">
        <f>HYPERLINK("https://drivetime.tpondemand.com/entity/139500", "139500")</f>
        <v/>
      </c>
      <c r="B32" t="inlineStr">
        <is>
          <t>[BC NEXT] 09.14.2022 - UI Fixes</t>
        </is>
      </c>
      <c r="C32" t="inlineStr">
        <is>
          <t>2022-09-14</t>
        </is>
      </c>
      <c r="D32" t="inlineStr">
        <is>
          <t>BC Digital Drakon</t>
        </is>
      </c>
      <c r="E32" t="inlineStr">
        <is>
          <t>37</t>
        </is>
      </c>
      <c r="F32" t="inlineStr">
        <is>
          <t>Pete Wesselius</t>
        </is>
      </c>
      <c r="G32" t="inlineStr">
        <is>
          <t>Deployed</t>
        </is>
      </c>
      <c r="H32" t="n">
        <v>8</v>
      </c>
      <c r="I32" t="b">
        <v>0</v>
      </c>
    </row>
    <row r="33">
      <c r="A33">
        <f>HYPERLINK("https://drivetime.tpondemand.com/entity/136946", "136946")</f>
        <v/>
      </c>
      <c r="B33" t="inlineStr">
        <is>
          <t>[BC Next] 09.12.2022 - Manage Modifications</t>
        </is>
      </c>
      <c r="C33" t="inlineStr">
        <is>
          <t>2022-09-12</t>
        </is>
      </c>
      <c r="D33" t="inlineStr">
        <is>
          <t>BC Digital Drakon</t>
        </is>
      </c>
      <c r="E33" t="inlineStr">
        <is>
          <t>37</t>
        </is>
      </c>
      <c r="F33" t="inlineStr">
        <is>
          <t>Chirag Khandhar</t>
        </is>
      </c>
      <c r="G33" t="inlineStr">
        <is>
          <t>Deployed</t>
        </is>
      </c>
      <c r="H33" t="n">
        <v>28</v>
      </c>
      <c r="I33" t="b">
        <v>0</v>
      </c>
    </row>
    <row r="34">
      <c r="A34">
        <f>HYPERLINK("https://drivetime.tpondemand.com/entity/138993", "138993")</f>
        <v/>
      </c>
      <c r="B34" t="inlineStr">
        <is>
          <t>[BC Next] 09.06.2022 - Paymentus Quick Access</t>
        </is>
      </c>
      <c r="C34" t="inlineStr">
        <is>
          <t>2022-09-06</t>
        </is>
      </c>
      <c r="D34" t="inlineStr">
        <is>
          <t>BC Digital Drakon</t>
        </is>
      </c>
      <c r="E34" t="inlineStr">
        <is>
          <t>36</t>
        </is>
      </c>
      <c r="F34" t="inlineStr">
        <is>
          <t>Chirag Khandhar</t>
        </is>
      </c>
      <c r="G34" t="inlineStr">
        <is>
          <t>Deployed</t>
        </is>
      </c>
      <c r="H34" t="n">
        <v>18</v>
      </c>
      <c r="I34" t="b">
        <v>0</v>
      </c>
    </row>
    <row r="35">
      <c r="A35">
        <f>HYPERLINK("https://drivetime.tpondemand.com/entity/138637", "138637")</f>
        <v/>
      </c>
      <c r="B35" t="inlineStr">
        <is>
          <t>[BC NEXT] [HOT FIX] 8.27.22 - Paymentus not opening in some mobile broswers</t>
        </is>
      </c>
      <c r="C35" t="inlineStr">
        <is>
          <t>2022-08-27</t>
        </is>
      </c>
      <c r="D35" t="inlineStr">
        <is>
          <t>BC Digital Drakon</t>
        </is>
      </c>
      <c r="E35" t="inlineStr">
        <is>
          <t>34</t>
        </is>
      </c>
      <c r="F35" t="inlineStr">
        <is>
          <t>Ari Pace</t>
        </is>
      </c>
      <c r="G35" t="inlineStr">
        <is>
          <t>Deployed</t>
        </is>
      </c>
      <c r="H35" t="n">
        <v>0</v>
      </c>
      <c r="I35" t="b">
        <v>0</v>
      </c>
    </row>
    <row r="36">
      <c r="A36">
        <f>HYPERLINK("https://drivetime.tpondemand.com/entity/138605", "138605")</f>
        <v/>
      </c>
      <c r="B36" t="inlineStr">
        <is>
          <t>[BC NEXT][APP RELEASE] 8.29.22 - Android Hot Fix</t>
        </is>
      </c>
      <c r="C36" t="inlineStr">
        <is>
          <t>2022-08-29</t>
        </is>
      </c>
      <c r="D36" t="inlineStr">
        <is>
          <t>BC Digital Drakon</t>
        </is>
      </c>
      <c r="E36" t="inlineStr">
        <is>
          <t>35</t>
        </is>
      </c>
      <c r="F36" t="inlineStr">
        <is>
          <t>Ari Pace</t>
        </is>
      </c>
      <c r="G36" t="inlineStr">
        <is>
          <t>Deployed</t>
        </is>
      </c>
      <c r="H36" t="n">
        <v>0</v>
      </c>
      <c r="I36" t="b">
        <v>0</v>
      </c>
    </row>
    <row r="37">
      <c r="A37">
        <f>HYPERLINK("https://drivetime.tpondemand.com/entity/138249", "138249")</f>
        <v/>
      </c>
      <c r="B37" t="inlineStr">
        <is>
          <t>[BC Next] 08.24.22 - Test Automation and Analytics and spinner fixes</t>
        </is>
      </c>
      <c r="C37" t="inlineStr">
        <is>
          <t>2022-08-24</t>
        </is>
      </c>
      <c r="D37" t="inlineStr">
        <is>
          <t>BC Digital Drakon</t>
        </is>
      </c>
      <c r="E37" t="inlineStr">
        <is>
          <t>34</t>
        </is>
      </c>
      <c r="F37" t="inlineStr">
        <is>
          <t>Joseph Kranak</t>
        </is>
      </c>
      <c r="G37" t="inlineStr">
        <is>
          <t>Deployed</t>
        </is>
      </c>
      <c r="H37" t="n">
        <v>6</v>
      </c>
      <c r="I37" t="b">
        <v>0</v>
      </c>
    </row>
    <row r="38">
      <c r="A38">
        <f>HYPERLINK("https://drivetime.tpondemand.com/entity/138287", "138287")</f>
        <v/>
      </c>
      <c r="B38" t="inlineStr">
        <is>
          <t>[APP RELEASE] 08.24.22 - August App Release</t>
        </is>
      </c>
      <c r="C38" t="inlineStr">
        <is>
          <t>2022-08-24</t>
        </is>
      </c>
      <c r="D38" t="inlineStr">
        <is>
          <t>BC Digital Drakon</t>
        </is>
      </c>
      <c r="E38" t="inlineStr">
        <is>
          <t>34</t>
        </is>
      </c>
      <c r="F38" t="inlineStr">
        <is>
          <t>Camilo Guerrero</t>
        </is>
      </c>
      <c r="G38" t="inlineStr">
        <is>
          <t>Deployed</t>
        </is>
      </c>
      <c r="H38" t="n">
        <v>0</v>
      </c>
      <c r="I38" t="b">
        <v>0</v>
      </c>
    </row>
    <row r="39">
      <c r="A39">
        <f>HYPERLINK("https://drivetime.tpondemand.com/entity/138158", "138158")</f>
        <v/>
      </c>
      <c r="B39" t="inlineStr">
        <is>
          <t>[BC Next] 08.22.22 - App Update Modals</t>
        </is>
      </c>
      <c r="C39" t="inlineStr">
        <is>
          <t>2022-08-22</t>
        </is>
      </c>
      <c r="D39" t="inlineStr">
        <is>
          <t>BC Digital Drakon</t>
        </is>
      </c>
      <c r="E39" t="inlineStr">
        <is>
          <t>34</t>
        </is>
      </c>
      <c r="F39" t="inlineStr">
        <is>
          <t>Connor Golobich</t>
        </is>
      </c>
      <c r="G39" t="inlineStr">
        <is>
          <t>Deployed</t>
        </is>
      </c>
      <c r="H39" t="n">
        <v>5</v>
      </c>
      <c r="I39" t="b">
        <v>0</v>
      </c>
    </row>
    <row r="40">
      <c r="A40">
        <f>HYPERLINK("https://drivetime.tpondemand.com/entity/137715", "137715")</f>
        <v/>
      </c>
      <c r="B40" t="inlineStr">
        <is>
          <t>[BC NEXT] 08.16.2022 AP Automation | Account setting Version | Pending payments modal fix | Robots and sitemap</t>
        </is>
      </c>
      <c r="C40" t="inlineStr">
        <is>
          <t>2022-08-17</t>
        </is>
      </c>
      <c r="D40" t="inlineStr">
        <is>
          <t>BC Digital Drakon</t>
        </is>
      </c>
      <c r="E40" t="inlineStr">
        <is>
          <t>33</t>
        </is>
      </c>
      <c r="F40" t="inlineStr">
        <is>
          <t>Abbas Shamshi</t>
        </is>
      </c>
      <c r="G40" t="inlineStr">
        <is>
          <t>Deployed</t>
        </is>
      </c>
      <c r="H40" t="n">
        <v>8</v>
      </c>
      <c r="I40" t="b">
        <v>0</v>
      </c>
    </row>
    <row r="41">
      <c r="A41">
        <f>HYPERLINK("https://drivetime.tpondemand.com/entity/137348", "137348")</f>
        <v/>
      </c>
      <c r="B41" t="inlineStr">
        <is>
          <t>[BC NEXT] 08.09.2022 Ionic and Capacitor Updates</t>
        </is>
      </c>
      <c r="C41" t="inlineStr">
        <is>
          <t>2022-08-09</t>
        </is>
      </c>
      <c r="D41" t="inlineStr">
        <is>
          <t>BC Digital Drakon</t>
        </is>
      </c>
      <c r="E41" t="inlineStr">
        <is>
          <t>32</t>
        </is>
      </c>
      <c r="F41" t="inlineStr">
        <is>
          <t>Connor Golobich</t>
        </is>
      </c>
      <c r="G41" t="inlineStr">
        <is>
          <t>Deployed</t>
        </is>
      </c>
      <c r="H41" t="n">
        <v>11</v>
      </c>
      <c r="I41" t="b">
        <v>0</v>
      </c>
    </row>
    <row r="42">
      <c r="A42">
        <f>HYPERLINK("https://drivetime.tpondemand.com/entity/136925", "136925")</f>
        <v/>
      </c>
      <c r="B42" t="inlineStr">
        <is>
          <t>[Bc NEXT] [08.02.2022]- Bypass/Hide Pre-Login Page, Redirect after login when hitting direct routes, Debit Cards not syncing with Paymentus</t>
        </is>
      </c>
      <c r="C42" t="inlineStr">
        <is>
          <t>2022-08-02</t>
        </is>
      </c>
      <c r="D42" t="inlineStr">
        <is>
          <t>BC Digital Drakon</t>
        </is>
      </c>
      <c r="E42" t="inlineStr">
        <is>
          <t>31</t>
        </is>
      </c>
      <c r="F42" t="inlineStr">
        <is>
          <t>Yokeshwaran Lokanathan</t>
        </is>
      </c>
      <c r="G42" t="inlineStr">
        <is>
          <t>Deployed</t>
        </is>
      </c>
      <c r="H42" t="n">
        <v>10</v>
      </c>
      <c r="I42" t="b">
        <v>0</v>
      </c>
    </row>
    <row r="43">
      <c r="A43">
        <f>HYPERLINK("https://drivetime.tpondemand.com/entity/136362", "136362")</f>
        <v/>
      </c>
      <c r="B43" t="inlineStr">
        <is>
          <t>[BC NEXT] 07.25.22 - HOT FIX: AP for same day sales</t>
        </is>
      </c>
      <c r="C43" t="inlineStr">
        <is>
          <t>2022-07-25</t>
        </is>
      </c>
      <c r="D43" t="inlineStr">
        <is>
          <t>BC Digital Drakon</t>
        </is>
      </c>
      <c r="E43" t="inlineStr">
        <is>
          <t>30</t>
        </is>
      </c>
      <c r="F43" t="inlineStr">
        <is>
          <t>Camilo Guerrero</t>
        </is>
      </c>
      <c r="G43" t="inlineStr">
        <is>
          <t>Deployed</t>
        </is>
      </c>
      <c r="H43" t="n">
        <v>0</v>
      </c>
      <c r="I43" t="b">
        <v>0</v>
      </c>
    </row>
    <row r="44">
      <c r="A44">
        <f>HYPERLINK("https://drivetime.tpondemand.com/entity/136364", "136364")</f>
        <v/>
      </c>
      <c r="B44" t="inlineStr">
        <is>
          <t>[APP RELEASE] 7.25.22 - HOT FIX: AP for same day sales</t>
        </is>
      </c>
      <c r="C44" t="inlineStr">
        <is>
          <t>2022-07-25</t>
        </is>
      </c>
      <c r="D44" t="inlineStr">
        <is>
          <t>BC Digital Drakon</t>
        </is>
      </c>
      <c r="E44" t="inlineStr">
        <is>
          <t>30</t>
        </is>
      </c>
      <c r="F44" t="inlineStr">
        <is>
          <t>Camilo Guerrero</t>
        </is>
      </c>
      <c r="G44" t="inlineStr">
        <is>
          <t>Deployed</t>
        </is>
      </c>
      <c r="H44" t="n">
        <v>0</v>
      </c>
      <c r="I44" t="b">
        <v>0</v>
      </c>
    </row>
    <row r="45">
      <c r="A45">
        <f>HYPERLINK("https://drivetime.tpondemand.com/entity/135896", "135896")</f>
        <v/>
      </c>
      <c r="B45" t="inlineStr">
        <is>
          <t>[SSP] 07.19.22 - MoneyGram link update</t>
        </is>
      </c>
      <c r="C45" t="inlineStr">
        <is>
          <t>2022-07-19</t>
        </is>
      </c>
      <c r="D45" t="inlineStr">
        <is>
          <t>BC Digital Drakon</t>
        </is>
      </c>
      <c r="E45" t="inlineStr">
        <is>
          <t>29</t>
        </is>
      </c>
      <c r="F45" t="inlineStr">
        <is>
          <t>Connor Golobich</t>
        </is>
      </c>
      <c r="G45" t="inlineStr">
        <is>
          <t>Deployed</t>
        </is>
      </c>
      <c r="H45" t="n">
        <v>2</v>
      </c>
      <c r="I45" t="b">
        <v>0</v>
      </c>
    </row>
    <row r="46">
      <c r="A46">
        <f>HYPERLINK("https://drivetime.tpondemand.com/entity/135788", "135788")</f>
        <v/>
      </c>
      <c r="B46" t="inlineStr">
        <is>
          <t>[BC NEXT][HOT FIX] 07.18.22 - Fix for Dup Payments in Web</t>
        </is>
      </c>
      <c r="C46" t="inlineStr">
        <is>
          <t>2022-07-18</t>
        </is>
      </c>
      <c r="D46" t="inlineStr">
        <is>
          <t>BC Digital Drakon</t>
        </is>
      </c>
      <c r="E46" t="inlineStr">
        <is>
          <t>29</t>
        </is>
      </c>
      <c r="F46" t="inlineStr">
        <is>
          <t>Camilo Guerrero</t>
        </is>
      </c>
      <c r="G46" t="inlineStr">
        <is>
          <t>Deployed</t>
        </is>
      </c>
      <c r="H46" t="n">
        <v>3</v>
      </c>
      <c r="I46" t="b">
        <v>0</v>
      </c>
    </row>
    <row r="47">
      <c r="A47">
        <f>HYPERLINK("https://drivetime.tpondemand.com/entity/135384", "135384")</f>
        <v/>
      </c>
      <c r="B47" t="inlineStr">
        <is>
          <t>[BC NEXT] 07.12.22 - First July Deployment</t>
        </is>
      </c>
      <c r="C47" t="inlineStr">
        <is>
          <t>2022-07-12</t>
        </is>
      </c>
      <c r="D47" t="inlineStr">
        <is>
          <t>BC Digital Drakon</t>
        </is>
      </c>
      <c r="E47" t="inlineStr">
        <is>
          <t>28</t>
        </is>
      </c>
      <c r="F47" t="inlineStr">
        <is>
          <t>Joseph Kranak</t>
        </is>
      </c>
      <c r="G47" t="inlineStr">
        <is>
          <t>Deployed</t>
        </is>
      </c>
      <c r="H47" t="n">
        <v>16</v>
      </c>
      <c r="I47" t="b">
        <v>0</v>
      </c>
    </row>
    <row r="48">
      <c r="A48">
        <f>HYPERLINK("https://drivetime.tpondemand.com/entity/134997", "134997")</f>
        <v/>
      </c>
      <c r="B48" t="inlineStr">
        <is>
          <t>[SSP] 07.05.22 - LaunchDarkly Bucketing Updates, ACH Authorization Verbiage Update</t>
        </is>
      </c>
      <c r="C48" t="inlineStr">
        <is>
          <t>2022-07-05</t>
        </is>
      </c>
      <c r="D48" t="inlineStr">
        <is>
          <t>BC Digital Drakon</t>
        </is>
      </c>
      <c r="E48" t="inlineStr">
        <is>
          <t>27</t>
        </is>
      </c>
      <c r="F48" t="inlineStr">
        <is>
          <t>Pete Wesselius</t>
        </is>
      </c>
      <c r="G48" t="inlineStr">
        <is>
          <t>Deployed</t>
        </is>
      </c>
      <c r="H48" t="n">
        <v>6</v>
      </c>
      <c r="I48" t="b">
        <v>0</v>
      </c>
    </row>
    <row r="49">
      <c r="A49">
        <f>HYPERLINK("https://drivetime.tpondemand.com/entity/134694", "134694")</f>
        <v/>
      </c>
      <c r="B49" t="inlineStr">
        <is>
          <t>[BC NEXT][2022.06.27] Moneygram fix, Invalid routes, Footer fix</t>
        </is>
      </c>
      <c r="C49" t="inlineStr">
        <is>
          <t>2022-06-27</t>
        </is>
      </c>
      <c r="D49" t="inlineStr">
        <is>
          <t>BC Digital Drakon</t>
        </is>
      </c>
      <c r="E49" t="inlineStr">
        <is>
          <t>26</t>
        </is>
      </c>
      <c r="F49" t="inlineStr">
        <is>
          <t>Shyam Senthil Nathan</t>
        </is>
      </c>
      <c r="G49" t="inlineStr">
        <is>
          <t>Deployed</t>
        </is>
      </c>
      <c r="H49" t="n">
        <v>9</v>
      </c>
      <c r="I49" t="b">
        <v>0</v>
      </c>
    </row>
    <row r="50">
      <c r="A50">
        <f>HYPERLINK("https://drivetime.tpondemand.com/entity/134248", "134248")</f>
        <v/>
      </c>
      <c r="B50" t="inlineStr">
        <is>
          <t>[BC NEXT] 06.22.22 - Dashboard Print Option | Account Settings: Manage Debit Cards + Bank Accounts | Subdomain Changes</t>
        </is>
      </c>
      <c r="C50" t="inlineStr">
        <is>
          <t>2022-06-22</t>
        </is>
      </c>
      <c r="D50" t="inlineStr">
        <is>
          <t>BC Digital Drakon</t>
        </is>
      </c>
      <c r="E50" t="inlineStr">
        <is>
          <t>25</t>
        </is>
      </c>
      <c r="F50" t="inlineStr">
        <is>
          <t>Chirag Khandhar</t>
        </is>
      </c>
      <c r="G50" t="inlineStr">
        <is>
          <t>Deployed</t>
        </is>
      </c>
      <c r="H50" t="n">
        <v>13</v>
      </c>
      <c r="I50" t="b">
        <v>0</v>
      </c>
    </row>
    <row r="51">
      <c r="A51">
        <f>HYPERLINK("https://drivetime.tpondemand.com/entity/134534", "134534")</f>
        <v/>
      </c>
      <c r="B51" t="inlineStr">
        <is>
          <t>[SSP] Update FAQ for co-buyer/co-signer</t>
        </is>
      </c>
      <c r="C51" t="inlineStr">
        <is>
          <t>2022-06-22</t>
        </is>
      </c>
      <c r="D51" t="inlineStr">
        <is>
          <t>BC Digital Drakon</t>
        </is>
      </c>
      <c r="E51" t="inlineStr">
        <is>
          <t>25</t>
        </is>
      </c>
      <c r="F51" t="inlineStr">
        <is>
          <t>Unknown</t>
        </is>
      </c>
      <c r="G51" t="inlineStr">
        <is>
          <t>Deployed</t>
        </is>
      </c>
      <c r="H51" t="n">
        <v>1</v>
      </c>
      <c r="I51" t="b">
        <v>0</v>
      </c>
    </row>
    <row r="52">
      <c r="A52">
        <f>HYPERLINK("https://drivetime.tpondemand.com/entity/134413", "134413")</f>
        <v/>
      </c>
      <c r="B52" t="inlineStr">
        <is>
          <t>[SSP] Update LaunchDarkly to use ServerSdk 6.3.2, update SmartyStreets auth ID and token</t>
        </is>
      </c>
      <c r="C52" t="inlineStr">
        <is>
          <t>2022-06-21</t>
        </is>
      </c>
      <c r="D52" t="inlineStr">
        <is>
          <t>BC Digital Drakon</t>
        </is>
      </c>
      <c r="E52" t="inlineStr">
        <is>
          <t>25</t>
        </is>
      </c>
      <c r="F52" t="inlineStr">
        <is>
          <t>Connor Golobich</t>
        </is>
      </c>
      <c r="G52" t="inlineStr">
        <is>
          <t>Deployed</t>
        </is>
      </c>
      <c r="H52" t="n">
        <v>2</v>
      </c>
      <c r="I52" t="b">
        <v>0</v>
      </c>
    </row>
    <row r="53">
      <c r="A53">
        <f>HYPERLINK("https://drivetime.tpondemand.com/entity/134034", "134034")</f>
        <v/>
      </c>
      <c r="B53" t="inlineStr">
        <is>
          <t>[BC NEXT][2022.06.16] Bypass Select Account, Open link in new tab, New linting underscore rule</t>
        </is>
      </c>
      <c r="C53" t="inlineStr">
        <is>
          <t>2022-06-16</t>
        </is>
      </c>
      <c r="D53" t="inlineStr">
        <is>
          <t>BC Digital Drakon</t>
        </is>
      </c>
      <c r="E53" t="inlineStr">
        <is>
          <t>24</t>
        </is>
      </c>
      <c r="F53" t="inlineStr">
        <is>
          <t>Antonio Posada</t>
        </is>
      </c>
      <c r="G53" t="inlineStr">
        <is>
          <t>Deployed</t>
        </is>
      </c>
      <c r="H53" t="n">
        <v>8</v>
      </c>
      <c r="I53" t="b">
        <v>0</v>
      </c>
    </row>
    <row r="54">
      <c r="A54">
        <f>HYPERLINK("https://drivetime.tpondemand.com/entity/133957", "133957")</f>
        <v/>
      </c>
      <c r="B54" t="inlineStr">
        <is>
          <t>[BC NEXT][2022.06.14] Logged-in SSP Contact Us, OTP data persistence issue, Skip to Content issue, PTC pending payments modal</t>
        </is>
      </c>
      <c r="C54" t="inlineStr">
        <is>
          <t>2022-06-14</t>
        </is>
      </c>
      <c r="D54" t="inlineStr">
        <is>
          <t>BC Digital Drakon</t>
        </is>
      </c>
      <c r="E54" t="inlineStr">
        <is>
          <t>24</t>
        </is>
      </c>
      <c r="F54" t="inlineStr">
        <is>
          <t>Shyam Senthil Nathan</t>
        </is>
      </c>
      <c r="G54" t="inlineStr">
        <is>
          <t>Deployed</t>
        </is>
      </c>
      <c r="H54" t="n">
        <v>11</v>
      </c>
      <c r="I54" t="b">
        <v>0</v>
      </c>
    </row>
    <row r="55">
      <c r="A55">
        <f>HYPERLINK("https://drivetime.tpondemand.com/entity/133564", "133564")</f>
        <v/>
      </c>
      <c r="B55" t="inlineStr">
        <is>
          <t>[BC NEXT] 06.08.2022 - Pre-login button, Other Amount Errors, Relative Paths &amp;  Pay with Debit Card Link</t>
        </is>
      </c>
      <c r="C55" t="inlineStr">
        <is>
          <t>2022-06-08</t>
        </is>
      </c>
      <c r="D55" t="inlineStr">
        <is>
          <t>BC Digital Drakon</t>
        </is>
      </c>
      <c r="E55" t="inlineStr">
        <is>
          <t>23</t>
        </is>
      </c>
      <c r="F55" t="inlineStr">
        <is>
          <t>Joseph Kranak</t>
        </is>
      </c>
      <c r="G55" t="inlineStr">
        <is>
          <t>Deployed</t>
        </is>
      </c>
      <c r="H55" t="n">
        <v>8</v>
      </c>
      <c r="I55" t="b">
        <v>0</v>
      </c>
    </row>
    <row r="56">
      <c r="A56">
        <f>HYPERLINK("https://drivetime.tpondemand.com/entity/133076", "133076")</f>
        <v/>
      </c>
      <c r="B56" t="inlineStr">
        <is>
          <t>[BC Next] 06.01.2022 - Account Settings, Outage Modal &amp; Favicon</t>
        </is>
      </c>
      <c r="C56" t="inlineStr">
        <is>
          <t>2022-06-01</t>
        </is>
      </c>
      <c r="D56" t="inlineStr">
        <is>
          <t>BC Digital Drakon</t>
        </is>
      </c>
      <c r="E56" t="inlineStr">
        <is>
          <t>22</t>
        </is>
      </c>
      <c r="F56" t="inlineStr">
        <is>
          <t>Joseph Kranak</t>
        </is>
      </c>
      <c r="G56" t="inlineStr">
        <is>
          <t>Deployed</t>
        </is>
      </c>
      <c r="H56" t="n">
        <v>8</v>
      </c>
      <c r="I56" t="b">
        <v>0</v>
      </c>
    </row>
    <row r="57">
      <c r="A57">
        <f>HYPERLINK("https://drivetime.tpondemand.com/entity/133005", "133005")</f>
        <v/>
      </c>
      <c r="B57" t="inlineStr">
        <is>
          <t>[BC NEXT] 05.31.22- LegalPage, Dashboard Update, ManagePayment</t>
        </is>
      </c>
      <c r="C57" t="inlineStr">
        <is>
          <t>2022-05-31</t>
        </is>
      </c>
      <c r="D57" t="inlineStr">
        <is>
          <t>BC Digital Drakon</t>
        </is>
      </c>
      <c r="E57" t="inlineStr">
        <is>
          <t>22</t>
        </is>
      </c>
      <c r="F57" t="inlineStr">
        <is>
          <t>Yokeshwaran Lokanathan</t>
        </is>
      </c>
      <c r="G57" t="inlineStr">
        <is>
          <t>Deployed</t>
        </is>
      </c>
      <c r="H57" t="n">
        <v>12</v>
      </c>
      <c r="I57" t="b">
        <v>0</v>
      </c>
    </row>
    <row r="58">
      <c r="A58">
        <f>HYPERLINK("https://drivetime.tpondemand.com/entity/132955", "132955")</f>
        <v/>
      </c>
      <c r="B58" t="inlineStr">
        <is>
          <t>[BC NEXT][RC RELEASE] 5.27.22 - RC 1.4 to stores for approval</t>
        </is>
      </c>
      <c r="C58" t="inlineStr">
        <is>
          <t>2022-05-31</t>
        </is>
      </c>
      <c r="D58" t="inlineStr">
        <is>
          <t>BC Digital Drakon</t>
        </is>
      </c>
      <c r="E58" t="inlineStr">
        <is>
          <t>22</t>
        </is>
      </c>
      <c r="F58" t="inlineStr">
        <is>
          <t>Akshay Golash</t>
        </is>
      </c>
      <c r="G58" t="inlineStr">
        <is>
          <t>Deployed</t>
        </is>
      </c>
      <c r="H58" t="n">
        <v>0</v>
      </c>
      <c r="I58" t="b">
        <v>0</v>
      </c>
    </row>
    <row r="59">
      <c r="A59">
        <f>HYPERLINK("https://drivetime.tpondemand.com/entity/132710", "132710")</f>
        <v/>
      </c>
      <c r="B59" t="inlineStr">
        <is>
          <t>[BC Next] 05.25.22 - Verify Email | Account Lookup | Delete Demo Pages</t>
        </is>
      </c>
      <c r="C59" t="inlineStr">
        <is>
          <t>2022-05-25</t>
        </is>
      </c>
      <c r="D59" t="inlineStr">
        <is>
          <t>BC Digital Drakon</t>
        </is>
      </c>
      <c r="E59" t="inlineStr">
        <is>
          <t>21</t>
        </is>
      </c>
      <c r="F59" t="inlineStr">
        <is>
          <t>Chirag Khandhar</t>
        </is>
      </c>
      <c r="G59" t="inlineStr">
        <is>
          <t>Deployed</t>
        </is>
      </c>
      <c r="H59" t="n">
        <v>5</v>
      </c>
      <c r="I59" t="b">
        <v>0</v>
      </c>
    </row>
    <row r="60">
      <c r="A60">
        <f>HYPERLINK("https://drivetime.tpondemand.com/entity/132448", "132448")</f>
        <v/>
      </c>
      <c r="B60" t="inlineStr">
        <is>
          <t>[BC NEXT] 05.20.220 - OTP-PP/More Payment Options/Payment Ineligibility/APPD-PP</t>
        </is>
      </c>
      <c r="C60" t="inlineStr">
        <is>
          <t>2022-05-20</t>
        </is>
      </c>
      <c r="D60" t="inlineStr">
        <is>
          <t>BC Digital Drakon</t>
        </is>
      </c>
      <c r="E60" t="inlineStr">
        <is>
          <t>20</t>
        </is>
      </c>
      <c r="F60" t="inlineStr">
        <is>
          <t>Antonio Posada</t>
        </is>
      </c>
      <c r="G60" t="inlineStr">
        <is>
          <t>Deployed</t>
        </is>
      </c>
      <c r="H60" t="n">
        <v>11</v>
      </c>
      <c r="I60" t="b">
        <v>0</v>
      </c>
    </row>
    <row r="61">
      <c r="A61">
        <f>HYPERLINK("https://drivetime.tpondemand.com/entity/132143", "132143")</f>
        <v/>
      </c>
      <c r="B61" t="inlineStr">
        <is>
          <t>[SSP] Payoff Quote Survey, Redirect Query String</t>
        </is>
      </c>
      <c r="C61" t="inlineStr">
        <is>
          <t>2022-05-16</t>
        </is>
      </c>
      <c r="D61" t="inlineStr">
        <is>
          <t>BC Digital Drakon</t>
        </is>
      </c>
      <c r="E61" t="inlineStr">
        <is>
          <t>20</t>
        </is>
      </c>
      <c r="F61" t="inlineStr">
        <is>
          <t>Connor Golobich</t>
        </is>
      </c>
      <c r="G61" t="inlineStr">
        <is>
          <t>Deployed</t>
        </is>
      </c>
      <c r="H61" t="n">
        <v>8</v>
      </c>
      <c r="I61" t="b">
        <v>0</v>
      </c>
    </row>
    <row r="62">
      <c r="A62">
        <f>HYPERLINK("https://drivetime.tpondemand.com/entity/132045", "132045")</f>
        <v/>
      </c>
      <c r="B62" t="inlineStr">
        <is>
          <t>[BC NEXT][WEB] Logout Modals</t>
        </is>
      </c>
      <c r="C62" t="inlineStr">
        <is>
          <t>2022-05-13</t>
        </is>
      </c>
      <c r="D62" t="inlineStr">
        <is>
          <t>BC Digital Drakon</t>
        </is>
      </c>
      <c r="E62" t="inlineStr">
        <is>
          <t>19</t>
        </is>
      </c>
      <c r="F62" t="inlineStr">
        <is>
          <t>Abbas Shamshi</t>
        </is>
      </c>
      <c r="G62" t="inlineStr">
        <is>
          <t>Deployed</t>
        </is>
      </c>
      <c r="H62" t="n">
        <v>3</v>
      </c>
      <c r="I62" t="b">
        <v>0</v>
      </c>
    </row>
    <row r="63">
      <c r="A63">
        <f>HYPERLINK("https://drivetime.tpondemand.com/entity/131615", "131615")</f>
        <v/>
      </c>
      <c r="B63" t="inlineStr">
        <is>
          <t>[BC NEXT] 05.11.22 - Four Flows Int Deployment</t>
        </is>
      </c>
      <c r="C63" t="inlineStr">
        <is>
          <t>2022-05-11</t>
        </is>
      </c>
      <c r="D63" t="inlineStr">
        <is>
          <t>BC Digital Drakon</t>
        </is>
      </c>
      <c r="E63" t="inlineStr">
        <is>
          <t>19</t>
        </is>
      </c>
      <c r="F63" t="inlineStr">
        <is>
          <t>Chirag Khandhar</t>
        </is>
      </c>
      <c r="G63" t="inlineStr">
        <is>
          <t>Deployed</t>
        </is>
      </c>
      <c r="H63" t="n">
        <v>11</v>
      </c>
      <c r="I63" t="b">
        <v>0</v>
      </c>
    </row>
    <row r="64">
      <c r="A64">
        <f>HYPERLINK("https://drivetime.tpondemand.com/entity/131354", "131354")</f>
        <v/>
      </c>
      <c r="B64" t="inlineStr">
        <is>
          <t>[BC NEXT]05.06.22 - AutoPay</t>
        </is>
      </c>
      <c r="C64" t="inlineStr">
        <is>
          <t>2022-05-06</t>
        </is>
      </c>
      <c r="D64" t="inlineStr">
        <is>
          <t>BC Digital Drakon</t>
        </is>
      </c>
      <c r="E64" t="inlineStr">
        <is>
          <t>18</t>
        </is>
      </c>
      <c r="F64" t="inlineStr">
        <is>
          <t>Joseph Kranak</t>
        </is>
      </c>
      <c r="G64" t="inlineStr">
        <is>
          <t>Deployed</t>
        </is>
      </c>
      <c r="H64" t="n">
        <v>21</v>
      </c>
      <c r="I64" t="b">
        <v>0</v>
      </c>
    </row>
    <row r="65">
      <c r="A65">
        <f>HYPERLINK("https://drivetime.tpondemand.com/entity/130431", "130431")</f>
        <v/>
      </c>
      <c r="B65" t="inlineStr">
        <is>
          <t>[BC NEXT] OTP - Step 1: Account Summary Card &amp; Maintain one global selected vehicle</t>
        </is>
      </c>
      <c r="C65" t="inlineStr">
        <is>
          <t>2022-04-25</t>
        </is>
      </c>
      <c r="D65" t="inlineStr">
        <is>
          <t>BC Digital Drakon</t>
        </is>
      </c>
      <c r="E65" t="inlineStr">
        <is>
          <t>17</t>
        </is>
      </c>
      <c r="F65" t="inlineStr">
        <is>
          <t>Shyam Senthil Nathan</t>
        </is>
      </c>
      <c r="G65" t="inlineStr">
        <is>
          <t>Deployed</t>
        </is>
      </c>
      <c r="H65" t="n">
        <v>8</v>
      </c>
      <c r="I65" t="b">
        <v>0</v>
      </c>
    </row>
    <row r="66">
      <c r="A66">
        <f>HYPERLINK("https://drivetime.tpondemand.com/entity/130138", "130138")</f>
        <v/>
      </c>
      <c r="B66" t="inlineStr">
        <is>
          <t>[BC-NEXT] 4-18-22 - Hide links in Top/Side Nav for No Accounts Found Experience</t>
        </is>
      </c>
      <c r="C66" t="inlineStr">
        <is>
          <t>2022-04-18</t>
        </is>
      </c>
      <c r="D66" t="inlineStr">
        <is>
          <t>BC Digital Drakon</t>
        </is>
      </c>
      <c r="E66" t="inlineStr">
        <is>
          <t>16</t>
        </is>
      </c>
      <c r="F66" t="inlineStr">
        <is>
          <t>Abbas Shamshi</t>
        </is>
      </c>
      <c r="G66" t="inlineStr">
        <is>
          <t>Deployed</t>
        </is>
      </c>
      <c r="H66" t="n">
        <v>5</v>
      </c>
      <c r="I66" t="b">
        <v>0</v>
      </c>
    </row>
    <row r="67">
      <c r="A67">
        <f>HYPERLINK("https://drivetime.tpondemand.com/entity/129660", "129660")</f>
        <v/>
      </c>
      <c r="B67" t="inlineStr">
        <is>
          <t>[BC NEXT]APP HOT FIX 4.6.22 - Login Loop</t>
        </is>
      </c>
      <c r="C67" t="inlineStr">
        <is>
          <t>2022-04-06</t>
        </is>
      </c>
      <c r="D67" t="inlineStr">
        <is>
          <t>BC Digital Drakon</t>
        </is>
      </c>
      <c r="E67" t="inlineStr">
        <is>
          <t>14</t>
        </is>
      </c>
      <c r="F67" t="inlineStr">
        <is>
          <t>Pete Wesselius</t>
        </is>
      </c>
      <c r="G67" t="inlineStr">
        <is>
          <t>Deployed</t>
        </is>
      </c>
      <c r="H67" t="n">
        <v>3</v>
      </c>
      <c r="I67" t="b">
        <v>0</v>
      </c>
    </row>
    <row r="68">
      <c r="A68">
        <f>HYPERLINK("https://drivetime.tpondemand.com/entity/129522", "129522")</f>
        <v/>
      </c>
      <c r="B68" t="inlineStr">
        <is>
          <t>[APR RC][BC NEXT] 04.01.22 - New Dashboard</t>
        </is>
      </c>
      <c r="C68" t="inlineStr">
        <is>
          <t>2022-04-01</t>
        </is>
      </c>
      <c r="D68" t="inlineStr">
        <is>
          <t>BC Digital Drakon</t>
        </is>
      </c>
      <c r="E68" t="inlineStr">
        <is>
          <t>13</t>
        </is>
      </c>
      <c r="F68" t="inlineStr">
        <is>
          <t>Chirag Khandhar</t>
        </is>
      </c>
      <c r="G68" t="inlineStr">
        <is>
          <t>Deployed</t>
        </is>
      </c>
      <c r="H68" t="n">
        <v>3</v>
      </c>
      <c r="I68" t="b">
        <v>0</v>
      </c>
    </row>
    <row r="69">
      <c r="A69">
        <f>HYPERLINK("https://drivetime.tpondemand.com/entity/129428", "129428")</f>
        <v/>
      </c>
      <c r="B69" t="inlineStr">
        <is>
          <t>[APR RC][BC NEXT] 03.31.22 Feature flag flows, OTP S2, success, commons, amount due update</t>
        </is>
      </c>
      <c r="C69" t="inlineStr">
        <is>
          <t>2022-03-31</t>
        </is>
      </c>
      <c r="D69" t="inlineStr">
        <is>
          <t>BC Digital Drakon</t>
        </is>
      </c>
      <c r="E69" t="inlineStr">
        <is>
          <t>13</t>
        </is>
      </c>
      <c r="F69" t="inlineStr">
        <is>
          <t>Shyam Senthil Nathan</t>
        </is>
      </c>
      <c r="G69" t="inlineStr">
        <is>
          <t>Deployed</t>
        </is>
      </c>
      <c r="H69" t="n">
        <v>15</v>
      </c>
      <c r="I69" t="b">
        <v>0</v>
      </c>
    </row>
    <row r="70">
      <c r="A70">
        <f>HYPERLINK("https://drivetime.tpondemand.com/entity/129294", "129294")</f>
        <v/>
      </c>
      <c r="B70" t="inlineStr">
        <is>
          <t>[BC NEXT] 03.30.2022- OTP Spinner, Android space below &amp; Amount Due Logic</t>
        </is>
      </c>
      <c r="C70" t="inlineStr">
        <is>
          <t>2022-03-30</t>
        </is>
      </c>
      <c r="D70" t="inlineStr">
        <is>
          <t>BC Digital Drakon</t>
        </is>
      </c>
      <c r="E70" t="inlineStr">
        <is>
          <t>13</t>
        </is>
      </c>
      <c r="F70" t="inlineStr">
        <is>
          <t>Yokeshwaran Lokanathan</t>
        </is>
      </c>
      <c r="G70" t="inlineStr">
        <is>
          <t>Deployed</t>
        </is>
      </c>
      <c r="H70" t="n">
        <v>7</v>
      </c>
      <c r="I70" t="b">
        <v>0</v>
      </c>
    </row>
    <row r="71">
      <c r="A71">
        <f>HYPERLINK("https://drivetime.tpondemand.com/entity/129029", "129029")</f>
        <v/>
      </c>
      <c r="B71" t="inlineStr">
        <is>
          <t>[BC Next] 03.28.22 - Dashboard Enhancements, Sign Up Button Fix, Remove Auth0 Bypass</t>
        </is>
      </c>
      <c r="C71" t="inlineStr">
        <is>
          <t>2022-03-28</t>
        </is>
      </c>
      <c r="D71" t="inlineStr">
        <is>
          <t>BC Digital Drakon</t>
        </is>
      </c>
      <c r="E71" t="inlineStr">
        <is>
          <t>13</t>
        </is>
      </c>
      <c r="F71" t="inlineStr">
        <is>
          <t>Connor Golobich</t>
        </is>
      </c>
      <c r="G71" t="inlineStr">
        <is>
          <t>Deployed</t>
        </is>
      </c>
      <c r="H71" t="n">
        <v>8</v>
      </c>
      <c r="I71" t="b">
        <v>0</v>
      </c>
    </row>
    <row r="72">
      <c r="A72">
        <f>HYPERLINK("https://drivetime.tpondemand.com/entity/128571", "128571")</f>
        <v/>
      </c>
      <c r="B72" t="inlineStr">
        <is>
          <t>[APR RC][BC NEXT] 03.15.22 - OTP Modals, Logo on prelogin page, Rename Cookie service and Search Engine Optimization - Open Graph Data.</t>
        </is>
      </c>
      <c r="C72" t="inlineStr">
        <is>
          <t>2022-03-16</t>
        </is>
      </c>
      <c r="D72" t="inlineStr">
        <is>
          <t>BC Digital Drakon</t>
        </is>
      </c>
      <c r="E72" t="inlineStr">
        <is>
          <t>11</t>
        </is>
      </c>
      <c r="F72" t="inlineStr">
        <is>
          <t>Abbas Shamshi</t>
        </is>
      </c>
      <c r="G72" t="inlineStr">
        <is>
          <t>Deployed</t>
        </is>
      </c>
      <c r="H72" t="n">
        <v>4</v>
      </c>
      <c r="I72" t="b">
        <v>0</v>
      </c>
    </row>
    <row r="73">
      <c r="A73">
        <f>HYPERLINK("https://drivetime.tpondemand.com/entity/128278", "128278")</f>
        <v/>
      </c>
      <c r="B73" t="inlineStr">
        <is>
          <t>[APR RC][BC NEXT]Homepage pixel perfect</t>
        </is>
      </c>
      <c r="C73" t="inlineStr">
        <is>
          <t>2022-03-10</t>
        </is>
      </c>
      <c r="D73" t="inlineStr">
        <is>
          <t>BC Digital Drakon</t>
        </is>
      </c>
      <c r="E73" t="inlineStr">
        <is>
          <t>10</t>
        </is>
      </c>
      <c r="F73" t="inlineStr">
        <is>
          <t>Jesse Mcmahon</t>
        </is>
      </c>
      <c r="G73" t="inlineStr">
        <is>
          <t>Deployed</t>
        </is>
      </c>
      <c r="H73" t="n">
        <v>3</v>
      </c>
      <c r="I73" t="b">
        <v>0</v>
      </c>
    </row>
    <row r="74">
      <c r="A74">
        <f>HYPERLINK("https://drivetime.tpondemand.com/entity/128241", "128241")</f>
        <v/>
      </c>
      <c r="B74" t="inlineStr">
        <is>
          <t>[APR RC][BC NEXT]Account Registration match comps, Side nav, Keep user logged in after page refresh</t>
        </is>
      </c>
      <c r="C74" t="inlineStr">
        <is>
          <t>2022-03-09</t>
        </is>
      </c>
      <c r="D74" t="inlineStr">
        <is>
          <t>BC Digital Drakon</t>
        </is>
      </c>
      <c r="E74" t="inlineStr">
        <is>
          <t>10</t>
        </is>
      </c>
      <c r="F74" t="inlineStr">
        <is>
          <t>Antonio Posada</t>
        </is>
      </c>
      <c r="G74" t="inlineStr">
        <is>
          <t>Deployed</t>
        </is>
      </c>
      <c r="H74" t="n">
        <v>13</v>
      </c>
      <c r="I74" t="b">
        <v>0</v>
      </c>
    </row>
    <row r="75">
      <c r="A75">
        <f>HYPERLINK("https://drivetime.tpondemand.com/entity/128244", "128244")</f>
        <v/>
      </c>
      <c r="B75" t="inlineStr">
        <is>
          <t>[BC NEXT][SSP]Redirect Between Subdomain and Primary</t>
        </is>
      </c>
      <c r="C75" t="inlineStr">
        <is>
          <t>2022-03-09</t>
        </is>
      </c>
      <c r="D75" t="inlineStr">
        <is>
          <t>BC Digital Drakon</t>
        </is>
      </c>
      <c r="E75" t="inlineStr">
        <is>
          <t>10</t>
        </is>
      </c>
      <c r="F75" t="inlineStr">
        <is>
          <t>Connor Golobich</t>
        </is>
      </c>
      <c r="G75" t="inlineStr">
        <is>
          <t>Deployed</t>
        </is>
      </c>
      <c r="H75" t="n">
        <v>3</v>
      </c>
      <c r="I75" t="b">
        <v>0</v>
      </c>
    </row>
    <row r="76">
      <c r="A76">
        <f>HYPERLINK("https://drivetime.tpondemand.com/entity/128068", "128068")</f>
        <v/>
      </c>
      <c r="B76" t="inlineStr">
        <is>
          <t>[APR RC][BC NEXT] AutoPay routing fix &amp; fault injection</t>
        </is>
      </c>
      <c r="C76" t="inlineStr">
        <is>
          <t>2022-03-03</t>
        </is>
      </c>
      <c r="D76" t="inlineStr">
        <is>
          <t>BC Digital Drakon</t>
        </is>
      </c>
      <c r="E76" t="inlineStr">
        <is>
          <t>09</t>
        </is>
      </c>
      <c r="F76" t="inlineStr">
        <is>
          <t>Shyam Senthil Nathan</t>
        </is>
      </c>
      <c r="G76" t="inlineStr">
        <is>
          <t>Deployed</t>
        </is>
      </c>
      <c r="H76" t="n">
        <v>4</v>
      </c>
      <c r="I76" t="b">
        <v>0</v>
      </c>
    </row>
    <row r="77">
      <c r="A77">
        <f>HYPERLINK("https://drivetime.tpondemand.com/entity/127782", "127782")</f>
        <v/>
      </c>
      <c r="B77" t="inlineStr">
        <is>
          <t>[APR RC][BC NEXT] Pending Payment Modal for AutoPay flows, ADA Compliance</t>
        </is>
      </c>
      <c r="C77" t="inlineStr">
        <is>
          <t>2022-02-24</t>
        </is>
      </c>
      <c r="D77" t="inlineStr">
        <is>
          <t>BC Digital Drakon</t>
        </is>
      </c>
      <c r="E77" t="inlineStr">
        <is>
          <t>08</t>
        </is>
      </c>
      <c r="F77" t="inlineStr">
        <is>
          <t>Antonio Posada</t>
        </is>
      </c>
      <c r="G77" t="inlineStr">
        <is>
          <t>Deployed</t>
        </is>
      </c>
      <c r="H77" t="n">
        <v>8</v>
      </c>
      <c r="I77" t="b">
        <v>0</v>
      </c>
    </row>
    <row r="78">
      <c r="A78">
        <f>HYPERLINK("https://drivetime.tpondemand.com/entity/127674", "127674")</f>
        <v/>
      </c>
      <c r="B78" t="inlineStr">
        <is>
          <t>[APR RC][BC NEXT] Logout Analytic, Homepage Footer, Routing Through Login</t>
        </is>
      </c>
      <c r="C78" t="inlineStr">
        <is>
          <t>2022-02-22</t>
        </is>
      </c>
      <c r="D78" t="inlineStr">
        <is>
          <t>BC Digital Drakon</t>
        </is>
      </c>
      <c r="E78" t="inlineStr">
        <is>
          <t>08</t>
        </is>
      </c>
      <c r="F78" t="inlineStr">
        <is>
          <t>Connor Golobich</t>
        </is>
      </c>
      <c r="G78" t="inlineStr">
        <is>
          <t>Deployed</t>
        </is>
      </c>
      <c r="H78" t="n">
        <v>11</v>
      </c>
      <c r="I78" t="b">
        <v>0</v>
      </c>
    </row>
    <row r="79">
      <c r="A79">
        <f>HYPERLINK("https://drivetime.tpondemand.com/entity/127658", "127658")</f>
        <v/>
      </c>
      <c r="B79" t="inlineStr">
        <is>
          <t>[FEB RC][BC NEXT] 02.18.22 - RC Bug Fixes</t>
        </is>
      </c>
      <c r="C79" t="inlineStr">
        <is>
          <t>2022-02-18</t>
        </is>
      </c>
      <c r="D79" t="inlineStr">
        <is>
          <t>BC Digital Drakon</t>
        </is>
      </c>
      <c r="E79" t="inlineStr">
        <is>
          <t>07</t>
        </is>
      </c>
      <c r="F79" t="inlineStr">
        <is>
          <t>Yokeshwaran Lokanathan</t>
        </is>
      </c>
      <c r="G79" t="inlineStr">
        <is>
          <t>Deployed</t>
        </is>
      </c>
      <c r="H79" t="n">
        <v>5</v>
      </c>
      <c r="I79" t="b">
        <v>0</v>
      </c>
    </row>
    <row r="80">
      <c r="A80">
        <f>HYPERLINK("https://drivetime.tpondemand.com/entity/146832", "146832")</f>
        <v/>
      </c>
      <c r="B80" t="inlineStr">
        <is>
          <t>[EMAIL] 1.31.23 - Manual End-of-Month Charge Off Send</t>
        </is>
      </c>
      <c r="C80" t="inlineStr">
        <is>
          <t>2023-01-31</t>
        </is>
      </c>
      <c r="D80" t="inlineStr">
        <is>
          <t>BC Digital Comet</t>
        </is>
      </c>
      <c r="E80" t="inlineStr">
        <is>
          <t>05</t>
        </is>
      </c>
      <c r="F80" t="inlineStr">
        <is>
          <t>Aditi Sharma</t>
        </is>
      </c>
      <c r="G80" t="inlineStr">
        <is>
          <t>Planned</t>
        </is>
      </c>
      <c r="H80" t="n">
        <v>0</v>
      </c>
      <c r="I80" t="b">
        <v>0</v>
      </c>
    </row>
    <row r="81">
      <c r="A81">
        <f>HYPERLINK("https://drivetime.tpondemand.com/entity/146831", "146831")</f>
        <v/>
      </c>
      <c r="B81" t="inlineStr">
        <is>
          <t>[EMAIL] 1.13.23 - Manual Mid-Month Charge Off Send</t>
        </is>
      </c>
      <c r="C81" t="inlineStr">
        <is>
          <t>2023-01-13</t>
        </is>
      </c>
      <c r="D81" t="inlineStr">
        <is>
          <t>BC Digital Comet</t>
        </is>
      </c>
      <c r="E81" t="inlineStr">
        <is>
          <t>02</t>
        </is>
      </c>
      <c r="F81" t="inlineStr">
        <is>
          <t>Aditi Sharma</t>
        </is>
      </c>
      <c r="G81" t="inlineStr">
        <is>
          <t>Planned</t>
        </is>
      </c>
      <c r="H81" t="n">
        <v>0</v>
      </c>
      <c r="I81" t="b">
        <v>0</v>
      </c>
    </row>
    <row r="82">
      <c r="A82">
        <f>HYPERLINK("https://drivetime.tpondemand.com/entity/146703", "146703")</f>
        <v/>
      </c>
      <c r="B82" t="inlineStr">
        <is>
          <t>Post Repo Assignment Texts - Recovery Api, BC Comm Api &amp; Digital function app</t>
        </is>
      </c>
      <c r="C82" t="inlineStr">
        <is>
          <t>2023-01-03</t>
        </is>
      </c>
      <c r="D82" t="inlineStr">
        <is>
          <t>BC Digital Comet</t>
        </is>
      </c>
      <c r="E82" t="inlineStr">
        <is>
          <t>01</t>
        </is>
      </c>
      <c r="F82" t="inlineStr">
        <is>
          <t>Aditi Sharma</t>
        </is>
      </c>
      <c r="G82" t="inlineStr">
        <is>
          <t>Planned</t>
        </is>
      </c>
      <c r="H82" t="n">
        <v>13</v>
      </c>
      <c r="I82" t="b">
        <v>0</v>
      </c>
    </row>
    <row r="83">
      <c r="A83">
        <f>HYPERLINK("https://drivetime.tpondemand.com/entity/147179", "147179")</f>
        <v/>
      </c>
      <c r="B83" t="inlineStr">
        <is>
          <t>Implement updated verbiage to text campaigns</t>
        </is>
      </c>
      <c r="C83" t="inlineStr">
        <is>
          <t>2023-01-03</t>
        </is>
      </c>
      <c r="D83" t="inlineStr">
        <is>
          <t>BC Digital Comet</t>
        </is>
      </c>
      <c r="E83" t="inlineStr">
        <is>
          <t>01</t>
        </is>
      </c>
      <c r="F83" t="inlineStr">
        <is>
          <t>Unknown</t>
        </is>
      </c>
      <c r="G83" t="inlineStr">
        <is>
          <t>Scheduled</t>
        </is>
      </c>
      <c r="H83" t="n">
        <v>3</v>
      </c>
      <c r="I83" t="b">
        <v>0</v>
      </c>
    </row>
    <row r="84">
      <c r="A84">
        <f>HYPERLINK("https://drivetime.tpondemand.com/entity/147076", "147076")</f>
        <v/>
      </c>
      <c r="B84" t="inlineStr">
        <is>
          <t>[TEXT] 1.2.23 - CSO Text</t>
        </is>
      </c>
      <c r="C84" t="inlineStr">
        <is>
          <t>2023-01-02</t>
        </is>
      </c>
      <c r="D84" t="inlineStr">
        <is>
          <t>BC Digital Comet</t>
        </is>
      </c>
      <c r="E84" t="inlineStr">
        <is>
          <t>01</t>
        </is>
      </c>
      <c r="F84" t="inlineStr">
        <is>
          <t>Aditi Sharma</t>
        </is>
      </c>
      <c r="G84" t="inlineStr">
        <is>
          <t>Planned</t>
        </is>
      </c>
      <c r="H84" t="n">
        <v>0</v>
      </c>
      <c r="I84" t="b">
        <v>0</v>
      </c>
    </row>
    <row r="85">
      <c r="A85">
        <f>HYPERLINK("https://drivetime.tpondemand.com/entity/143537", "143537")</f>
        <v/>
      </c>
      <c r="B85" t="inlineStr">
        <is>
          <t>[EMAIL] 12.31.22 - Manual End-of-Month Charge Off Send</t>
        </is>
      </c>
      <c r="C85" t="inlineStr">
        <is>
          <t>2022-12-31</t>
        </is>
      </c>
      <c r="D85" t="inlineStr">
        <is>
          <t>BC Digital Comet</t>
        </is>
      </c>
      <c r="E85" t="inlineStr">
        <is>
          <t>52</t>
        </is>
      </c>
      <c r="F85" t="inlineStr">
        <is>
          <t>Marcus Rogers</t>
        </is>
      </c>
      <c r="G85" t="inlineStr">
        <is>
          <t>Planned</t>
        </is>
      </c>
      <c r="H85" t="n">
        <v>0</v>
      </c>
      <c r="I85" t="b">
        <v>0</v>
      </c>
    </row>
    <row r="86">
      <c r="A86">
        <f>HYPERLINK("https://drivetime.tpondemand.com/entity/147161", "147161")</f>
        <v/>
      </c>
      <c r="B86" t="inlineStr">
        <is>
          <t>[EMAIL] 12.31.22 - Hard code disclaimer to payoff quote email</t>
        </is>
      </c>
      <c r="C86" t="inlineStr">
        <is>
          <t>2022-12-31</t>
        </is>
      </c>
      <c r="D86" t="inlineStr">
        <is>
          <t>BC Digital Comet</t>
        </is>
      </c>
      <c r="E86" t="inlineStr">
        <is>
          <t>52</t>
        </is>
      </c>
      <c r="F86" t="inlineStr">
        <is>
          <t>Marcus Rogers</t>
        </is>
      </c>
      <c r="G86" t="inlineStr">
        <is>
          <t>Planned</t>
        </is>
      </c>
      <c r="H86" t="n">
        <v>0</v>
      </c>
      <c r="I86" t="b">
        <v>0</v>
      </c>
    </row>
    <row r="87">
      <c r="A87">
        <f>HYPERLINK("https://drivetime.tpondemand.com/entity/147075", "147075")</f>
        <v/>
      </c>
      <c r="B87" t="inlineStr">
        <is>
          <t>[TEXT] 12.26.22 - CSO Text</t>
        </is>
      </c>
      <c r="C87" t="inlineStr">
        <is>
          <t>2022-12-26</t>
        </is>
      </c>
      <c r="D87" t="inlineStr">
        <is>
          <t>BC Digital Comet</t>
        </is>
      </c>
      <c r="E87" t="inlineStr">
        <is>
          <t>52</t>
        </is>
      </c>
      <c r="F87" t="inlineStr">
        <is>
          <t>Aditi Sharma</t>
        </is>
      </c>
      <c r="G87" t="inlineStr">
        <is>
          <t>Deployed</t>
        </is>
      </c>
      <c r="H87" t="n">
        <v>0</v>
      </c>
      <c r="I87" t="b">
        <v>0</v>
      </c>
    </row>
    <row r="88">
      <c r="A88">
        <f>HYPERLINK("https://drivetime.tpondemand.com/entity/143536", "143536")</f>
        <v/>
      </c>
      <c r="B88" t="inlineStr">
        <is>
          <t>[EMAIL] 12.16.22 - Manual Mid-Month Charge Off Send</t>
        </is>
      </c>
      <c r="C88" t="inlineStr">
        <is>
          <t>2022-12-16</t>
        </is>
      </c>
      <c r="D88" t="inlineStr">
        <is>
          <t>BC Digital Comet</t>
        </is>
      </c>
      <c r="E88" t="inlineStr">
        <is>
          <t>50</t>
        </is>
      </c>
      <c r="F88" t="inlineStr">
        <is>
          <t>Unknown</t>
        </is>
      </c>
      <c r="G88" t="inlineStr">
        <is>
          <t>Deployed</t>
        </is>
      </c>
      <c r="H88" t="n">
        <v>0</v>
      </c>
      <c r="I88" t="b">
        <v>0</v>
      </c>
    </row>
    <row r="89">
      <c r="A89">
        <f>HYPERLINK("https://drivetime.tpondemand.com/entity/146428", "146428")</f>
        <v/>
      </c>
      <c r="B89" t="inlineStr">
        <is>
          <t>[Email] 12.14.22 - Send Annual Privacy Policy Email</t>
        </is>
      </c>
      <c r="C89" t="inlineStr">
        <is>
          <t>2022-12-14</t>
        </is>
      </c>
      <c r="D89" t="inlineStr">
        <is>
          <t>BC Digital Comet</t>
        </is>
      </c>
      <c r="E89" t="inlineStr">
        <is>
          <t>50</t>
        </is>
      </c>
      <c r="F89" t="inlineStr">
        <is>
          <t>Marcus Rogers</t>
        </is>
      </c>
      <c r="G89" t="inlineStr">
        <is>
          <t>Deployed</t>
        </is>
      </c>
      <c r="H89" t="n">
        <v>3</v>
      </c>
      <c r="I89" t="b">
        <v>0</v>
      </c>
    </row>
    <row r="90">
      <c r="A90">
        <f>HYPERLINK("https://drivetime.tpondemand.com/entity/146175", "146175")</f>
        <v/>
      </c>
      <c r="B90" t="inlineStr">
        <is>
          <t>Deploy Mini Miranda Changes to CCO (Clear Charge Off) Emails</t>
        </is>
      </c>
      <c r="C90" t="inlineStr">
        <is>
          <t>2022-12-08</t>
        </is>
      </c>
      <c r="D90" t="inlineStr">
        <is>
          <t>BC Digital Comet</t>
        </is>
      </c>
      <c r="E90" t="inlineStr">
        <is>
          <t>49</t>
        </is>
      </c>
      <c r="F90" t="inlineStr">
        <is>
          <t>Sushma Gurram</t>
        </is>
      </c>
      <c r="G90" t="inlineStr">
        <is>
          <t>Deployed</t>
        </is>
      </c>
      <c r="H90" t="n">
        <v>8</v>
      </c>
      <c r="I90" t="b">
        <v>0</v>
      </c>
    </row>
    <row r="91">
      <c r="A91">
        <f>HYPERLINK("https://drivetime.tpondemand.com/entity/143293", "143293")</f>
        <v/>
      </c>
      <c r="B91" t="inlineStr">
        <is>
          <t>DE &amp; Salesforce CSO Automation</t>
        </is>
      </c>
      <c r="C91" t="inlineStr">
        <is>
          <t>2022-12-05</t>
        </is>
      </c>
      <c r="D91" t="inlineStr">
        <is>
          <t>BC Digital Comet</t>
        </is>
      </c>
      <c r="E91" t="inlineStr">
        <is>
          <t>49</t>
        </is>
      </c>
      <c r="F91" t="inlineStr">
        <is>
          <t>Sushma Gurram</t>
        </is>
      </c>
      <c r="G91" t="inlineStr">
        <is>
          <t>Deployed</t>
        </is>
      </c>
      <c r="H91" t="n">
        <v>6</v>
      </c>
      <c r="I91" t="b">
        <v>0</v>
      </c>
    </row>
    <row r="92">
      <c r="A92">
        <f>HYPERLINK("https://drivetime.tpondemand.com/entity/143535", "143535")</f>
        <v/>
      </c>
      <c r="B92" t="inlineStr">
        <is>
          <t>[EMAIL] 11.30.22 - Manual End-of-Month Charge Off Send</t>
        </is>
      </c>
      <c r="C92" t="inlineStr">
        <is>
          <t>2022-11-30</t>
        </is>
      </c>
      <c r="D92" t="inlineStr">
        <is>
          <t>BC Digital Comet</t>
        </is>
      </c>
      <c r="E92" t="inlineStr">
        <is>
          <t>48</t>
        </is>
      </c>
      <c r="F92" t="inlineStr">
        <is>
          <t>Unknown</t>
        </is>
      </c>
      <c r="G92" t="inlineStr">
        <is>
          <t>Deployed</t>
        </is>
      </c>
      <c r="H92" t="n">
        <v>0</v>
      </c>
      <c r="I92" t="b">
        <v>0</v>
      </c>
    </row>
    <row r="93">
      <c r="A93">
        <f>HYPERLINK("https://drivetime.tpondemand.com/entity/145131", "145131")</f>
        <v/>
      </c>
      <c r="B93" t="inlineStr">
        <is>
          <t>[Communication Pipeline] - Message ID re-ordering &amp; Post repo text update</t>
        </is>
      </c>
      <c r="C93" t="inlineStr">
        <is>
          <t>2022-11-28</t>
        </is>
      </c>
      <c r="D93" t="inlineStr">
        <is>
          <t>BC Digital Comet</t>
        </is>
      </c>
      <c r="E93" t="inlineStr">
        <is>
          <t>48</t>
        </is>
      </c>
      <c r="F93" t="inlineStr">
        <is>
          <t>Aditi Sharma</t>
        </is>
      </c>
      <c r="G93" t="inlineStr">
        <is>
          <t>Deployed</t>
        </is>
      </c>
      <c r="H93" t="n">
        <v>0</v>
      </c>
      <c r="I93" t="b">
        <v>0</v>
      </c>
    </row>
    <row r="94">
      <c r="A94">
        <f>HYPERLINK("https://drivetime.tpondemand.com/entity/143534", "143534")</f>
        <v/>
      </c>
      <c r="B94" t="inlineStr">
        <is>
          <t>[EMAIL] 11.18.22 - Manual Mid-Month Charge Off Send</t>
        </is>
      </c>
      <c r="C94" t="inlineStr">
        <is>
          <t>2022-11-18</t>
        </is>
      </c>
      <c r="D94" t="inlineStr">
        <is>
          <t>BC Digital Comet</t>
        </is>
      </c>
      <c r="E94" t="inlineStr">
        <is>
          <t>46</t>
        </is>
      </c>
      <c r="F94" t="inlineStr">
        <is>
          <t>Unknown</t>
        </is>
      </c>
      <c r="G94" t="inlineStr">
        <is>
          <t>Deployed</t>
        </is>
      </c>
      <c r="H94" t="n">
        <v>0</v>
      </c>
      <c r="I94" t="b">
        <v>0</v>
      </c>
    </row>
    <row r="95">
      <c r="A95">
        <f>HYPERLINK("https://drivetime.tpondemand.com/entity/144719", "144719")</f>
        <v/>
      </c>
      <c r="B95" t="inlineStr">
        <is>
          <t>[Database] Add Post Repo Template &amp; Update template descriptions for template ids 56, 57 &amp; 58</t>
        </is>
      </c>
      <c r="C95" t="inlineStr">
        <is>
          <t>2022-11-17</t>
        </is>
      </c>
      <c r="D95" t="inlineStr">
        <is>
          <t>BC Digital Comet</t>
        </is>
      </c>
      <c r="E95" t="inlineStr">
        <is>
          <t>46</t>
        </is>
      </c>
      <c r="F95" t="inlineStr">
        <is>
          <t>Sushma Gurram</t>
        </is>
      </c>
      <c r="G95" t="inlineStr">
        <is>
          <t>Deployed</t>
        </is>
      </c>
      <c r="H95" t="n">
        <v>2</v>
      </c>
      <c r="I95" t="b">
        <v>0</v>
      </c>
    </row>
    <row r="96">
      <c r="A96">
        <f>HYPERLINK("https://drivetime.tpondemand.com/entity/143290", "143290")</f>
        <v/>
      </c>
      <c r="B96" t="inlineStr">
        <is>
          <t>[Vision &amp; Salesforce] Payoff Quote Email Redesign</t>
        </is>
      </c>
      <c r="C96" t="inlineStr">
        <is>
          <t>2022-11-08</t>
        </is>
      </c>
      <c r="D96" t="inlineStr">
        <is>
          <t>BC Digital Comet</t>
        </is>
      </c>
      <c r="E96" t="inlineStr">
        <is>
          <t>45</t>
        </is>
      </c>
      <c r="F96" t="inlineStr">
        <is>
          <t>Manuel Tenorio</t>
        </is>
      </c>
      <c r="G96" t="inlineStr">
        <is>
          <t>Deployed</t>
        </is>
      </c>
      <c r="H96" t="n">
        <v>13</v>
      </c>
      <c r="I96" t="b">
        <v>0</v>
      </c>
    </row>
    <row r="97">
      <c r="A97">
        <f>HYPERLINK("https://drivetime.tpondemand.com/entity/143291", "143291")</f>
        <v/>
      </c>
      <c r="B97" t="inlineStr">
        <is>
          <t>[DTSE ,BC Comm Api] PTC, Clear Repo &amp; Small Balance New Legal Disclosure changes</t>
        </is>
      </c>
      <c r="C97" t="inlineStr">
        <is>
          <t>2022-11-08</t>
        </is>
      </c>
      <c r="D97" t="inlineStr">
        <is>
          <t>BC Digital Comet</t>
        </is>
      </c>
      <c r="E97" t="inlineStr">
        <is>
          <t>45</t>
        </is>
      </c>
      <c r="F97" t="inlineStr">
        <is>
          <t>Daniel Verhagen</t>
        </is>
      </c>
      <c r="G97" t="inlineStr">
        <is>
          <t>Deployed</t>
        </is>
      </c>
      <c r="H97" t="n">
        <v>5</v>
      </c>
      <c r="I97" t="b">
        <v>0</v>
      </c>
    </row>
    <row r="98">
      <c r="A98">
        <f>HYPERLINK("https://drivetime.tpondemand.com/entity/142983", "142983")</f>
        <v/>
      </c>
      <c r="B98" t="inlineStr">
        <is>
          <t>[MJML, Salesforce, Auth0] Add App Links to and Remove Phone Number from Emails</t>
        </is>
      </c>
      <c r="C98" t="inlineStr">
        <is>
          <t>2022-11-07</t>
        </is>
      </c>
      <c r="D98" t="inlineStr">
        <is>
          <t>BC Digital Comet</t>
        </is>
      </c>
      <c r="E98" t="inlineStr">
        <is>
          <t>45</t>
        </is>
      </c>
      <c r="F98" t="inlineStr">
        <is>
          <t>Aditi Sharma</t>
        </is>
      </c>
      <c r="G98" t="inlineStr">
        <is>
          <t>Deployed</t>
        </is>
      </c>
      <c r="H98" t="n">
        <v>5</v>
      </c>
      <c r="I98" t="b">
        <v>0</v>
      </c>
    </row>
    <row r="99">
      <c r="A99">
        <f>HYPERLINK("https://drivetime.tpondemand.com/entity/142157", "142157")</f>
        <v/>
      </c>
      <c r="B99" t="inlineStr">
        <is>
          <t>[Salesforce &amp; DB] Update Mini Miranda emails in Salesforce Prod folder &amp; run DB automation</t>
        </is>
      </c>
      <c r="C99" t="inlineStr">
        <is>
          <t>2022-10-24</t>
        </is>
      </c>
      <c r="D99" t="inlineStr">
        <is>
          <t>BC Digital Comet</t>
        </is>
      </c>
      <c r="E99" t="inlineStr">
        <is>
          <t>43</t>
        </is>
      </c>
      <c r="F99" t="inlineStr">
        <is>
          <t>Aditi Sharma</t>
        </is>
      </c>
      <c r="G99" t="inlineStr">
        <is>
          <t>Deployed</t>
        </is>
      </c>
      <c r="H99" t="n">
        <v>19</v>
      </c>
      <c r="I99" t="b">
        <v>0</v>
      </c>
    </row>
    <row r="100">
      <c r="A100">
        <f>HYPERLINK("https://drivetime.tpondemand.com/entity/141623", "141623")</f>
        <v/>
      </c>
      <c r="B100" t="inlineStr">
        <is>
          <t>[DTSE,Comm API &amp; BCAPI] - Adding Legal Disclosure Attribute to Email Payload</t>
        </is>
      </c>
      <c r="C100" t="inlineStr">
        <is>
          <t>2022-10-17</t>
        </is>
      </c>
      <c r="D100" t="inlineStr">
        <is>
          <t>BC Digital Comet</t>
        </is>
      </c>
      <c r="E100" t="inlineStr">
        <is>
          <t>42</t>
        </is>
      </c>
      <c r="F100" t="inlineStr">
        <is>
          <t>Aditi Sharma</t>
        </is>
      </c>
      <c r="G100" t="inlineStr">
        <is>
          <t>Deployed</t>
        </is>
      </c>
      <c r="H100" t="n">
        <v>5</v>
      </c>
      <c r="I100" t="b">
        <v>0</v>
      </c>
    </row>
    <row r="101">
      <c r="A101">
        <f>HYPERLINK("https://drivetime.tpondemand.com/entity/141154", "141154")</f>
        <v/>
      </c>
      <c r="B101" t="inlineStr">
        <is>
          <t>[EMAIL] 10.14.22 - Manual Mid-Month Charge Off Send</t>
        </is>
      </c>
      <c r="C101" t="inlineStr">
        <is>
          <t>2022-10-14</t>
        </is>
      </c>
      <c r="D101" t="inlineStr">
        <is>
          <t>BC Digital Comet</t>
        </is>
      </c>
      <c r="E101" t="inlineStr">
        <is>
          <t>41</t>
        </is>
      </c>
      <c r="F101" t="inlineStr">
        <is>
          <t>Unknown</t>
        </is>
      </c>
      <c r="G101" t="inlineStr">
        <is>
          <t>Deployed</t>
        </is>
      </c>
      <c r="H101" t="n">
        <v>5</v>
      </c>
      <c r="I101" t="b">
        <v>0</v>
      </c>
    </row>
    <row r="102">
      <c r="A102">
        <f>HYPERLINK("https://drivetime.tpondemand.com/entity/141565", "141565")</f>
        <v/>
      </c>
      <c r="B102" t="inlineStr">
        <is>
          <t>[SLD-API &amp; Stored Proc - SQLProdLoan] Customer home state endpoint</t>
        </is>
      </c>
      <c r="C102" t="inlineStr">
        <is>
          <t>2022-10-13</t>
        </is>
      </c>
      <c r="D102" t="inlineStr">
        <is>
          <t>BC Digital Comet</t>
        </is>
      </c>
      <c r="E102" t="inlineStr">
        <is>
          <t>41</t>
        </is>
      </c>
      <c r="F102" t="inlineStr">
        <is>
          <t>Manuel Tenorio</t>
        </is>
      </c>
      <c r="G102" t="inlineStr">
        <is>
          <t>Deployed</t>
        </is>
      </c>
      <c r="H102" t="n">
        <v>5</v>
      </c>
      <c r="I102" t="b">
        <v>0</v>
      </c>
    </row>
    <row r="103">
      <c r="A103">
        <f>HYPERLINK("https://drivetime.tpondemand.com/entity/140775", "140775")</f>
        <v/>
      </c>
      <c r="B103" t="inlineStr">
        <is>
          <t>[BC NEXT] Manage Mods - Processing, Complete &amp; Expired Modification Banner</t>
        </is>
      </c>
      <c r="C103" t="inlineStr">
        <is>
          <t>2022-10-03</t>
        </is>
      </c>
      <c r="D103" t="inlineStr">
        <is>
          <t>BC Digital Comet</t>
        </is>
      </c>
      <c r="E103" t="inlineStr">
        <is>
          <t>40</t>
        </is>
      </c>
      <c r="F103" t="inlineStr">
        <is>
          <t>Marcus Rogers</t>
        </is>
      </c>
      <c r="G103" t="inlineStr">
        <is>
          <t>Deployed</t>
        </is>
      </c>
      <c r="H103" t="n">
        <v>10</v>
      </c>
      <c r="I103" t="b">
        <v>0</v>
      </c>
    </row>
    <row r="104">
      <c r="A104">
        <f>HYPERLINK("https://drivetime.tpondemand.com/entity/141155", "141155")</f>
        <v/>
      </c>
      <c r="B104" t="inlineStr">
        <is>
          <t>[EMAIL] 09.30.22 - Manual End of Month Charge Off Send</t>
        </is>
      </c>
      <c r="C104" t="inlineStr">
        <is>
          <t>2022-09-30</t>
        </is>
      </c>
      <c r="D104" t="inlineStr">
        <is>
          <t>BC Digital Comet</t>
        </is>
      </c>
      <c r="E104" t="inlineStr">
        <is>
          <t>39</t>
        </is>
      </c>
      <c r="F104" t="inlineStr">
        <is>
          <t>Unknown</t>
        </is>
      </c>
      <c r="G104" t="inlineStr">
        <is>
          <t>Deployed</t>
        </is>
      </c>
      <c r="H104" t="n">
        <v>0</v>
      </c>
      <c r="I104" t="b">
        <v>0</v>
      </c>
    </row>
    <row r="105">
      <c r="A105">
        <f>HYPERLINK("https://drivetime.tpondemand.com/entity/139874", "139874")</f>
        <v/>
      </c>
      <c r="B105" t="inlineStr">
        <is>
          <t>[EMAIL] 09.24.22 - Send Saturday CSO</t>
        </is>
      </c>
      <c r="C105" t="inlineStr">
        <is>
          <t>2022-09-24</t>
        </is>
      </c>
      <c r="D105" t="inlineStr">
        <is>
          <t>BC Digital Comet</t>
        </is>
      </c>
      <c r="E105" t="inlineStr">
        <is>
          <t>38</t>
        </is>
      </c>
      <c r="F105" t="inlineStr">
        <is>
          <t>Sushma Gurram</t>
        </is>
      </c>
      <c r="G105" t="inlineStr">
        <is>
          <t>Deployed</t>
        </is>
      </c>
      <c r="H105" t="n">
        <v>2</v>
      </c>
      <c r="I105" t="b">
        <v>0</v>
      </c>
    </row>
    <row r="106">
      <c r="A106">
        <f>HYPERLINK("https://drivetime.tpondemand.com/entity/139969", "139969")</f>
        <v/>
      </c>
      <c r="B106" t="inlineStr">
        <is>
          <t>[Function] Chore - Disable AI Sampling &amp; add exception logging</t>
        </is>
      </c>
      <c r="C106" t="inlineStr">
        <is>
          <t>2022-09-20</t>
        </is>
      </c>
      <c r="D106" t="inlineStr">
        <is>
          <t>BC Digital Comet</t>
        </is>
      </c>
      <c r="E106" t="inlineStr">
        <is>
          <t>38</t>
        </is>
      </c>
      <c r="F106" t="inlineStr">
        <is>
          <t>Aditi Sharma</t>
        </is>
      </c>
      <c r="G106" t="inlineStr">
        <is>
          <t>Deployed</t>
        </is>
      </c>
      <c r="H106" t="n">
        <v>1</v>
      </c>
      <c r="I106" t="b">
        <v>0</v>
      </c>
    </row>
    <row r="107">
      <c r="A107">
        <f>HYPERLINK("https://drivetime.tpondemand.com/entity/139612", "139612")</f>
        <v/>
      </c>
      <c r="B107" t="inlineStr">
        <is>
          <t>[Platform SMS] Update twilio validation to accept custom attributes</t>
        </is>
      </c>
      <c r="C107" t="inlineStr">
        <is>
          <t>2022-09-19</t>
        </is>
      </c>
      <c r="D107" t="inlineStr">
        <is>
          <t>BC Digital Comet</t>
        </is>
      </c>
      <c r="E107" t="inlineStr">
        <is>
          <t>38</t>
        </is>
      </c>
      <c r="F107" t="inlineStr">
        <is>
          <t>Aditi Sharma</t>
        </is>
      </c>
      <c r="G107" t="inlineStr">
        <is>
          <t>Deployed</t>
        </is>
      </c>
      <c r="H107" t="n">
        <v>2</v>
      </c>
      <c r="I107" t="b">
        <v>0</v>
      </c>
    </row>
    <row r="108">
      <c r="A108">
        <f>HYPERLINK("https://drivetime.tpondemand.com/entity/139740", "139740")</f>
        <v/>
      </c>
      <c r="B108" t="inlineStr">
        <is>
          <t>[TEXT] 09.19.22 - Update Repo Text Verbiage</t>
        </is>
      </c>
      <c r="C108" t="inlineStr">
        <is>
          <t>2022-09-19</t>
        </is>
      </c>
      <c r="D108" t="inlineStr">
        <is>
          <t>BC Digital Comet</t>
        </is>
      </c>
      <c r="E108" t="inlineStr">
        <is>
          <t>38</t>
        </is>
      </c>
      <c r="F108" t="inlineStr">
        <is>
          <t>Sushma Gurram</t>
        </is>
      </c>
      <c r="G108" t="inlineStr">
        <is>
          <t>Deployed</t>
        </is>
      </c>
      <c r="H108" t="n">
        <v>2</v>
      </c>
      <c r="I108" t="b">
        <v>0</v>
      </c>
    </row>
    <row r="109">
      <c r="A109">
        <f>HYPERLINK("https://drivetime.tpondemand.com/entity/139902", "139902")</f>
        <v/>
      </c>
      <c r="B109" t="inlineStr">
        <is>
          <t>[DTSE] Clean up loan mod redesign FFs</t>
        </is>
      </c>
      <c r="C109" t="inlineStr">
        <is>
          <t>2022-09-19</t>
        </is>
      </c>
      <c r="D109" t="inlineStr">
        <is>
          <t>BC Digital Comet</t>
        </is>
      </c>
      <c r="E109" t="inlineStr">
        <is>
          <t>38</t>
        </is>
      </c>
      <c r="F109" t="inlineStr">
        <is>
          <t>Manuel Tenorio</t>
        </is>
      </c>
      <c r="G109" t="inlineStr">
        <is>
          <t>Deployed</t>
        </is>
      </c>
      <c r="H109" t="n">
        <v>5</v>
      </c>
      <c r="I109" t="b">
        <v>0</v>
      </c>
    </row>
    <row r="110">
      <c r="A110">
        <f>HYPERLINK("https://drivetime.tpondemand.com/entity/139739", "139739")</f>
        <v/>
      </c>
      <c r="B110" t="inlineStr">
        <is>
          <t>[EMAIL] 09.17.22 - Send Saturday CSO</t>
        </is>
      </c>
      <c r="C110" t="inlineStr">
        <is>
          <t>2022-09-17</t>
        </is>
      </c>
      <c r="D110" t="inlineStr">
        <is>
          <t>BC Digital Comet</t>
        </is>
      </c>
      <c r="E110" t="inlineStr">
        <is>
          <t>37</t>
        </is>
      </c>
      <c r="F110" t="inlineStr">
        <is>
          <t>Sushma Gurram</t>
        </is>
      </c>
      <c r="G110" t="inlineStr">
        <is>
          <t>Deployed</t>
        </is>
      </c>
      <c r="H110" t="n">
        <v>0</v>
      </c>
      <c r="I110" t="b">
        <v>0</v>
      </c>
    </row>
    <row r="111">
      <c r="A111">
        <f>HYPERLINK("https://drivetime.tpondemand.com/entity/139737", "139737")</f>
        <v/>
      </c>
      <c r="B111" t="inlineStr">
        <is>
          <t>[EMAIL] 09.16.22 - Send Mid Month Charge Off Emails</t>
        </is>
      </c>
      <c r="C111" t="inlineStr">
        <is>
          <t>2022-09-16</t>
        </is>
      </c>
      <c r="D111" t="inlineStr">
        <is>
          <t>BC Digital Comet</t>
        </is>
      </c>
      <c r="E111" t="inlineStr">
        <is>
          <t>37</t>
        </is>
      </c>
      <c r="F111" t="inlineStr">
        <is>
          <t>Sushma Gurram</t>
        </is>
      </c>
      <c r="G111" t="inlineStr">
        <is>
          <t>Deployed</t>
        </is>
      </c>
      <c r="H111" t="n">
        <v>0</v>
      </c>
      <c r="I111" t="b">
        <v>0</v>
      </c>
    </row>
    <row r="112">
      <c r="A112">
        <f>HYPERLINK("https://drivetime.tpondemand.com/entity/139036", "139036")</f>
        <v/>
      </c>
      <c r="B112" t="inlineStr">
        <is>
          <t>Trigger 24 and 48 hour reminder texts - Platform SMS, Comm Api &amp; DTSE</t>
        </is>
      </c>
      <c r="C112" t="inlineStr">
        <is>
          <t>2022-09-06</t>
        </is>
      </c>
      <c r="D112" t="inlineStr">
        <is>
          <t>BC Digital Comet</t>
        </is>
      </c>
      <c r="E112" t="inlineStr">
        <is>
          <t>36</t>
        </is>
      </c>
      <c r="F112" t="inlineStr">
        <is>
          <t>Aditi Sharma</t>
        </is>
      </c>
      <c r="G112" t="inlineStr">
        <is>
          <t>Deployed</t>
        </is>
      </c>
      <c r="H112" t="n">
        <v>13</v>
      </c>
      <c r="I112" t="b">
        <v>0</v>
      </c>
    </row>
    <row r="113">
      <c r="A113">
        <f>HYPERLINK("https://drivetime.tpondemand.com/entity/138950", "138950")</f>
        <v/>
      </c>
      <c r="B113" t="inlineStr">
        <is>
          <t>Trigger 24 and 48 hour reminder texts - Function App and CC's</t>
        </is>
      </c>
      <c r="C113" t="inlineStr">
        <is>
          <t>2022-09-01</t>
        </is>
      </c>
      <c r="D113" t="inlineStr">
        <is>
          <t>BC Digital Comet</t>
        </is>
      </c>
      <c r="E113" t="inlineStr">
        <is>
          <t>35</t>
        </is>
      </c>
      <c r="F113" t="inlineStr">
        <is>
          <t>Michael Wang</t>
        </is>
      </c>
      <c r="G113" t="inlineStr">
        <is>
          <t>Deployed</t>
        </is>
      </c>
      <c r="H113" t="n">
        <v>0</v>
      </c>
      <c r="I113" t="b">
        <v>0</v>
      </c>
    </row>
    <row r="114">
      <c r="A114">
        <f>HYPERLINK("https://drivetime.tpondemand.com/entity/133902", "133902")</f>
        <v/>
      </c>
      <c r="B114" t="inlineStr">
        <is>
          <t>[EMAIL] 08.24.22 - Web Launch Email</t>
        </is>
      </c>
      <c r="C114" t="inlineStr">
        <is>
          <t>2022-08-24</t>
        </is>
      </c>
      <c r="D114" t="inlineStr">
        <is>
          <t>BC Digital Comet</t>
        </is>
      </c>
      <c r="E114" t="inlineStr">
        <is>
          <t>34</t>
        </is>
      </c>
      <c r="F114" t="inlineStr">
        <is>
          <t>Unknown</t>
        </is>
      </c>
      <c r="G114" t="inlineStr">
        <is>
          <t>Deployed</t>
        </is>
      </c>
      <c r="H114" t="n">
        <v>3</v>
      </c>
      <c r="I114" t="b">
        <v>0</v>
      </c>
    </row>
    <row r="115">
      <c r="A115">
        <f>HYPERLINK("https://drivetime.tpondemand.com/entity/138348", "138348")</f>
        <v/>
      </c>
      <c r="B115" t="inlineStr">
        <is>
          <t>[DTSE] [Informatica CC] Loan mod enhancements - Success &amp; Unsuccess emails</t>
        </is>
      </c>
      <c r="C115" t="inlineStr">
        <is>
          <t>2022-08-24</t>
        </is>
      </c>
      <c r="D115" t="inlineStr">
        <is>
          <t>BC Digital Comet</t>
        </is>
      </c>
      <c r="E115" t="inlineStr">
        <is>
          <t>34</t>
        </is>
      </c>
      <c r="F115" t="inlineStr">
        <is>
          <t>Daniel Verhagen</t>
        </is>
      </c>
      <c r="G115" t="inlineStr">
        <is>
          <t>Deployed</t>
        </is>
      </c>
      <c r="H115" t="n">
        <v>8</v>
      </c>
      <c r="I115" t="b">
        <v>0</v>
      </c>
    </row>
    <row r="116">
      <c r="A116">
        <f>HYPERLINK("https://drivetime.tpondemand.com/entity/138014", "138014")</f>
        <v/>
      </c>
      <c r="B116" t="inlineStr">
        <is>
          <t>[DTSE &amp; Informatica CC] Loan mod Extension &amp; Payment frequency emails</t>
        </is>
      </c>
      <c r="C116" t="inlineStr">
        <is>
          <t>2022-08-22</t>
        </is>
      </c>
      <c r="D116" t="inlineStr">
        <is>
          <t>BC Digital Comet</t>
        </is>
      </c>
      <c r="E116" t="inlineStr">
        <is>
          <t>34</t>
        </is>
      </c>
      <c r="F116" t="inlineStr">
        <is>
          <t>Michael Wang</t>
        </is>
      </c>
      <c r="G116" t="inlineStr">
        <is>
          <t>Deployed</t>
        </is>
      </c>
      <c r="H116" t="n">
        <v>13</v>
      </c>
      <c r="I116" t="b">
        <v>0</v>
      </c>
    </row>
    <row r="117">
      <c r="A117">
        <f>HYPERLINK("https://drivetime.tpondemand.com/entity/135038", "135038")</f>
        <v/>
      </c>
      <c r="B117" t="inlineStr">
        <is>
          <t>[EMAIL] 08.17.22 - App Launch Email</t>
        </is>
      </c>
      <c r="C117" t="inlineStr">
        <is>
          <t>2022-08-17</t>
        </is>
      </c>
      <c r="D117" t="inlineStr">
        <is>
          <t>BC Digital Comet</t>
        </is>
      </c>
      <c r="E117" t="inlineStr">
        <is>
          <t>33</t>
        </is>
      </c>
      <c r="F117" t="inlineStr">
        <is>
          <t>Unknown</t>
        </is>
      </c>
      <c r="G117" t="inlineStr">
        <is>
          <t>Deployed</t>
        </is>
      </c>
      <c r="H117" t="n">
        <v>0</v>
      </c>
      <c r="I117" t="b">
        <v>0</v>
      </c>
    </row>
    <row r="118">
      <c r="A118">
        <f>HYPERLINK("https://drivetime.tpondemand.com/entity/137613", "137613")</f>
        <v/>
      </c>
      <c r="B118" t="inlineStr">
        <is>
          <t>[VisionClassic &amp; DTSE] New endpoint for red eligibility text</t>
        </is>
      </c>
      <c r="C118" t="inlineStr">
        <is>
          <t>2022-08-16</t>
        </is>
      </c>
      <c r="D118" t="inlineStr">
        <is>
          <t>BC Digital Comet</t>
        </is>
      </c>
      <c r="E118" t="inlineStr">
        <is>
          <t>33</t>
        </is>
      </c>
      <c r="F118" t="inlineStr">
        <is>
          <t>Aditi Sharma</t>
        </is>
      </c>
      <c r="G118" t="inlineStr">
        <is>
          <t>Deployed</t>
        </is>
      </c>
      <c r="H118" t="n">
        <v>0</v>
      </c>
      <c r="I118" t="b">
        <v>0</v>
      </c>
    </row>
    <row r="119">
      <c r="A119">
        <f>HYPERLINK("https://drivetime.tpondemand.com/entity/137618", "137618")</f>
        <v/>
      </c>
      <c r="B119" t="inlineStr">
        <is>
          <t>[DTSE &amp; Vision Classic &amp; Function App] Create and trigger Red Eligibility Extension Text</t>
        </is>
      </c>
      <c r="C119" t="inlineStr">
        <is>
          <t>2022-08-16</t>
        </is>
      </c>
      <c r="D119" t="inlineStr">
        <is>
          <t>BC Digital Comet</t>
        </is>
      </c>
      <c r="E119" t="inlineStr">
        <is>
          <t>33</t>
        </is>
      </c>
      <c r="F119" t="inlineStr">
        <is>
          <t>Daniel Verhagen</t>
        </is>
      </c>
      <c r="G119" t="inlineStr">
        <is>
          <t>Deployed</t>
        </is>
      </c>
      <c r="H119" t="n">
        <v>8</v>
      </c>
      <c r="I119" t="b">
        <v>0</v>
      </c>
    </row>
    <row r="120">
      <c r="A120">
        <f>HYPERLINK("https://drivetime.tpondemand.com/entity/137482", "137482")</f>
        <v/>
      </c>
      <c r="B120" t="inlineStr">
        <is>
          <t>[BcNext] CTA for iOS smart banner</t>
        </is>
      </c>
      <c r="C120" t="inlineStr">
        <is>
          <t>2022-08-15</t>
        </is>
      </c>
      <c r="D120" t="inlineStr">
        <is>
          <t>BC Digital Comet</t>
        </is>
      </c>
      <c r="E120" t="inlineStr">
        <is>
          <t>33</t>
        </is>
      </c>
      <c r="F120" t="inlineStr">
        <is>
          <t>Daniel Verhagen</t>
        </is>
      </c>
      <c r="G120" t="inlineStr">
        <is>
          <t>Deployed</t>
        </is>
      </c>
      <c r="H120" t="n">
        <v>3</v>
      </c>
      <c r="I120" t="b">
        <v>0</v>
      </c>
    </row>
    <row r="121">
      <c r="A121">
        <f>HYPERLINK("https://drivetime.tpondemand.com/entity/137691", "137691")</f>
        <v/>
      </c>
      <c r="B121" t="inlineStr">
        <is>
          <t>Update Privacy Notice on BC Next and SSP - new GoFi name</t>
        </is>
      </c>
      <c r="C121" t="inlineStr">
        <is>
          <t>2022-08-15</t>
        </is>
      </c>
      <c r="D121" t="inlineStr">
        <is>
          <t>BC Digital Comet</t>
        </is>
      </c>
      <c r="E121" t="inlineStr">
        <is>
          <t>33</t>
        </is>
      </c>
      <c r="F121" t="inlineStr">
        <is>
          <t>Akshay Golash</t>
        </is>
      </c>
      <c r="G121" t="inlineStr">
        <is>
          <t>Deployed</t>
        </is>
      </c>
      <c r="H121" t="n">
        <v>1</v>
      </c>
      <c r="I121" t="b">
        <v>0</v>
      </c>
    </row>
    <row r="122">
      <c r="A122">
        <f>HYPERLINK("https://drivetime.tpondemand.com/entity/135037", "135037")</f>
        <v/>
      </c>
      <c r="B122" t="inlineStr">
        <is>
          <t>[TEXT] 08.10.22 - App Launch Text</t>
        </is>
      </c>
      <c r="C122" t="inlineStr">
        <is>
          <t>2022-08-10</t>
        </is>
      </c>
      <c r="D122" t="inlineStr">
        <is>
          <t>BC Digital Comet</t>
        </is>
      </c>
      <c r="E122" t="inlineStr">
        <is>
          <t>32</t>
        </is>
      </c>
      <c r="F122" t="inlineStr">
        <is>
          <t>Unknown</t>
        </is>
      </c>
      <c r="G122" t="inlineStr">
        <is>
          <t>Deployed</t>
        </is>
      </c>
      <c r="H122" t="n">
        <v>0</v>
      </c>
      <c r="I122" t="b">
        <v>0</v>
      </c>
    </row>
    <row r="123">
      <c r="A123">
        <f>HYPERLINK("https://drivetime.tpondemand.com/entity/137421", "137421")</f>
        <v/>
      </c>
      <c r="B123" t="inlineStr">
        <is>
          <t>[FF] 08.10.22 - TWT Exposure Updated from 70% to 50%</t>
        </is>
      </c>
      <c r="C123" t="inlineStr">
        <is>
          <t>2022-08-10</t>
        </is>
      </c>
      <c r="D123" t="inlineStr">
        <is>
          <t>BC Digital Comet</t>
        </is>
      </c>
      <c r="E123" t="inlineStr">
        <is>
          <t>32</t>
        </is>
      </c>
      <c r="F123" t="inlineStr">
        <is>
          <t>Unknown</t>
        </is>
      </c>
      <c r="G123" t="inlineStr">
        <is>
          <t>Deployed</t>
        </is>
      </c>
      <c r="H123" t="n">
        <v>0</v>
      </c>
      <c r="I123" t="b">
        <v>0</v>
      </c>
    </row>
    <row r="124">
      <c r="A124">
        <f>HYPERLINK("https://drivetime.tpondemand.com/entity/133901", "133901")</f>
        <v/>
      </c>
      <c r="B124" t="inlineStr">
        <is>
          <t>[EMAIL] 08.03.22 - App Launch Email</t>
        </is>
      </c>
      <c r="C124" t="inlineStr">
        <is>
          <t>2022-08-03</t>
        </is>
      </c>
      <c r="D124" t="inlineStr">
        <is>
          <t>BC Digital Comet</t>
        </is>
      </c>
      <c r="E124" t="inlineStr">
        <is>
          <t>31</t>
        </is>
      </c>
      <c r="F124" t="inlineStr">
        <is>
          <t>Unknown</t>
        </is>
      </c>
      <c r="G124" t="inlineStr">
        <is>
          <t>Deployed</t>
        </is>
      </c>
      <c r="H124" t="n">
        <v>0</v>
      </c>
      <c r="I124" t="b">
        <v>0</v>
      </c>
    </row>
    <row r="125">
      <c r="A125">
        <f>HYPERLINK("https://drivetime.tpondemand.com/entity/136788", "136788")</f>
        <v/>
      </c>
      <c r="B125" t="inlineStr">
        <is>
          <t>[BcNext] [WEB] - Smart app banner</t>
        </is>
      </c>
      <c r="C125" t="inlineStr">
        <is>
          <t>2022-08-01</t>
        </is>
      </c>
      <c r="D125" t="inlineStr">
        <is>
          <t>BC Digital Comet</t>
        </is>
      </c>
      <c r="E125" t="inlineStr">
        <is>
          <t>31</t>
        </is>
      </c>
      <c r="F125" t="inlineStr">
        <is>
          <t>Aditi Sharma</t>
        </is>
      </c>
      <c r="G125" t="inlineStr">
        <is>
          <t>Deployed</t>
        </is>
      </c>
      <c r="H125" t="n">
        <v>5</v>
      </c>
      <c r="I125" t="b">
        <v>0</v>
      </c>
    </row>
    <row r="126">
      <c r="A126">
        <f>HYPERLINK("https://drivetime.tpondemand.com/entity/135959", "135959")</f>
        <v/>
      </c>
      <c r="B126" t="inlineStr">
        <is>
          <t>[APP RELEASE] 07.19.22 - July App Release</t>
        </is>
      </c>
      <c r="C126" t="inlineStr">
        <is>
          <t>2022-07-20</t>
        </is>
      </c>
      <c r="D126" t="inlineStr">
        <is>
          <t>BC Digital Comet</t>
        </is>
      </c>
      <c r="E126" t="inlineStr">
        <is>
          <t>29</t>
        </is>
      </c>
      <c r="F126" t="inlineStr">
        <is>
          <t>Akshay Golash</t>
        </is>
      </c>
      <c r="G126" t="inlineStr">
        <is>
          <t>Deployed</t>
        </is>
      </c>
      <c r="H126" t="n">
        <v>0</v>
      </c>
      <c r="I126" t="b">
        <v>0</v>
      </c>
    </row>
    <row r="127">
      <c r="A127">
        <f>HYPERLINK("https://drivetime.tpondemand.com/entity/135225", "135225")</f>
        <v/>
      </c>
      <c r="B127" t="inlineStr">
        <is>
          <t>[BC Next] TWT Component for iOS and Android</t>
        </is>
      </c>
      <c r="C127" t="inlineStr">
        <is>
          <t>2022-07-19</t>
        </is>
      </c>
      <c r="D127" t="inlineStr">
        <is>
          <t>BC Digital Comet</t>
        </is>
      </c>
      <c r="E127" t="inlineStr">
        <is>
          <t>29</t>
        </is>
      </c>
      <c r="F127" t="inlineStr">
        <is>
          <t>Michael Wang</t>
        </is>
      </c>
      <c r="G127" t="inlineStr">
        <is>
          <t>Deployed</t>
        </is>
      </c>
      <c r="H127" t="n">
        <v>27</v>
      </c>
      <c r="I127" t="b">
        <v>0</v>
      </c>
    </row>
    <row r="128">
      <c r="A128">
        <f>HYPERLINK("https://drivetime.tpondemand.com/entity/135749", "135749")</f>
        <v/>
      </c>
      <c r="B128" t="inlineStr">
        <is>
          <t>[FUNCTION] 07.15.22 - MMS Pipeline</t>
        </is>
      </c>
      <c r="C128" t="inlineStr">
        <is>
          <t>2022-07-18</t>
        </is>
      </c>
      <c r="D128" t="inlineStr">
        <is>
          <t>BC Digital Comet</t>
        </is>
      </c>
      <c r="E128" t="inlineStr">
        <is>
          <t>29</t>
        </is>
      </c>
      <c r="F128" t="inlineStr">
        <is>
          <t>Marcus Rogers</t>
        </is>
      </c>
      <c r="G128" t="inlineStr">
        <is>
          <t>Deployed</t>
        </is>
      </c>
      <c r="H128" t="n">
        <v>0</v>
      </c>
      <c r="I128" t="b">
        <v>0</v>
      </c>
    </row>
    <row r="129">
      <c r="A129">
        <f>HYPERLINK("https://drivetime.tpondemand.com/entity/134382", "134382")</f>
        <v/>
      </c>
      <c r="B129" t="inlineStr">
        <is>
          <t>[BcNext] TWT widget</t>
        </is>
      </c>
      <c r="C129" t="inlineStr">
        <is>
          <t>2022-06-21</t>
        </is>
      </c>
      <c r="D129" t="inlineStr">
        <is>
          <t>BC Digital Comet</t>
        </is>
      </c>
      <c r="E129" t="inlineStr">
        <is>
          <t>25</t>
        </is>
      </c>
      <c r="F129" t="inlineStr">
        <is>
          <t>Michael Wang</t>
        </is>
      </c>
      <c r="G129" t="inlineStr">
        <is>
          <t>Deployed</t>
        </is>
      </c>
      <c r="H129" t="n">
        <v>5</v>
      </c>
      <c r="I129" t="b">
        <v>0</v>
      </c>
    </row>
    <row r="130">
      <c r="A130">
        <f>HYPERLINK("https://drivetime.tpondemand.com/entity/134334", "134334")</f>
        <v/>
      </c>
      <c r="B130" t="inlineStr">
        <is>
          <t>[BcNext] Banner priority</t>
        </is>
      </c>
      <c r="C130" t="inlineStr">
        <is>
          <t>2022-06-20</t>
        </is>
      </c>
      <c r="D130" t="inlineStr">
        <is>
          <t>BC Digital Comet</t>
        </is>
      </c>
      <c r="E130" t="inlineStr">
        <is>
          <t>25</t>
        </is>
      </c>
      <c r="F130" t="inlineStr">
        <is>
          <t>Michael Wang</t>
        </is>
      </c>
      <c r="G130" t="inlineStr">
        <is>
          <t>Deployed</t>
        </is>
      </c>
      <c r="H130" t="n">
        <v>3</v>
      </c>
      <c r="I130" t="b">
        <v>0</v>
      </c>
    </row>
    <row r="131">
      <c r="A131">
        <f>HYPERLINK("https://drivetime.tpondemand.com/entity/133939", "133939")</f>
        <v/>
      </c>
      <c r="B131" t="inlineStr">
        <is>
          <t>[BcNex] Communicaton API - Remove timestamp from CCR emails</t>
        </is>
      </c>
      <c r="C131" t="inlineStr">
        <is>
          <t>2022-06-14</t>
        </is>
      </c>
      <c r="D131" t="inlineStr">
        <is>
          <t>BC Digital Comet</t>
        </is>
      </c>
      <c r="E131" t="inlineStr">
        <is>
          <t>24</t>
        </is>
      </c>
      <c r="F131" t="inlineStr">
        <is>
          <t>Aditi Sharma</t>
        </is>
      </c>
      <c r="G131" t="inlineStr">
        <is>
          <t>Deployed</t>
        </is>
      </c>
      <c r="H131" t="n">
        <v>0</v>
      </c>
      <c r="I131" t="b">
        <v>0</v>
      </c>
    </row>
    <row r="132">
      <c r="A132">
        <f>HYPERLINK("https://drivetime.tpondemand.com/entity/133585", "133585")</f>
        <v/>
      </c>
      <c r="B132" t="inlineStr">
        <is>
          <t>[BcNext] MMS pipeline alerts</t>
        </is>
      </c>
      <c r="C132" t="inlineStr">
        <is>
          <t>2022-06-09</t>
        </is>
      </c>
      <c r="D132" t="inlineStr">
        <is>
          <t>BC Digital Comet</t>
        </is>
      </c>
      <c r="E132" t="inlineStr">
        <is>
          <t>23</t>
        </is>
      </c>
      <c r="F132" t="inlineStr">
        <is>
          <t>Aditi Sharma</t>
        </is>
      </c>
      <c r="G132" t="inlineStr">
        <is>
          <t>Deployed</t>
        </is>
      </c>
      <c r="H132" t="n">
        <v>0</v>
      </c>
      <c r="I132" t="b">
        <v>0</v>
      </c>
    </row>
    <row r="133">
      <c r="A133">
        <f>HYPERLINK("https://drivetime.tpondemand.com/entity/133201", "133201")</f>
        <v/>
      </c>
      <c r="B133" t="inlineStr">
        <is>
          <t>[BcNext] Payment options banner</t>
        </is>
      </c>
      <c r="C133" t="inlineStr">
        <is>
          <t>2022-06-02</t>
        </is>
      </c>
      <c r="D133" t="inlineStr">
        <is>
          <t>BC Digital Comet</t>
        </is>
      </c>
      <c r="E133" t="inlineStr">
        <is>
          <t>22</t>
        </is>
      </c>
      <c r="F133" t="inlineStr">
        <is>
          <t>Aditi Sharma</t>
        </is>
      </c>
      <c r="G133" t="inlineStr">
        <is>
          <t>Deployed</t>
        </is>
      </c>
      <c r="H133" t="n">
        <v>5</v>
      </c>
      <c r="I133" t="b">
        <v>0</v>
      </c>
    </row>
    <row r="134">
      <c r="A134">
        <f>HYPERLINK("https://drivetime.tpondemand.com/entity/133055", "133055")</f>
        <v/>
      </c>
      <c r="B134" t="inlineStr">
        <is>
          <t>REL 06-02-2022 | DB - SharedLoanData| [BCNext] MMS - Update Nuestar DNC logic &amp; Payment Plan Options Banner</t>
        </is>
      </c>
      <c r="C134" t="inlineStr">
        <is>
          <t>2022-06-02</t>
        </is>
      </c>
      <c r="D134" t="inlineStr">
        <is>
          <t>BC Digital Comet</t>
        </is>
      </c>
      <c r="E134" t="inlineStr">
        <is>
          <t>22</t>
        </is>
      </c>
      <c r="F134" t="inlineStr">
        <is>
          <t>Sushma Gurram</t>
        </is>
      </c>
      <c r="G134" t="inlineStr">
        <is>
          <t>Deployed</t>
        </is>
      </c>
      <c r="H134" t="n">
        <v>0</v>
      </c>
      <c r="I134" t="b">
        <v>0</v>
      </c>
    </row>
    <row r="135">
      <c r="A135">
        <f>HYPERLINK("https://drivetime.tpondemand.com/entity/132566", "132566")</f>
        <v/>
      </c>
      <c r="B135" t="inlineStr">
        <is>
          <t>[BcNext] Enable PTC and LoanMod banner</t>
        </is>
      </c>
      <c r="C135" t="inlineStr">
        <is>
          <t>2022-05-24</t>
        </is>
      </c>
      <c r="D135" t="inlineStr">
        <is>
          <t>BC Digital Comet</t>
        </is>
      </c>
      <c r="E135" t="inlineStr">
        <is>
          <t>21</t>
        </is>
      </c>
      <c r="F135" t="inlineStr">
        <is>
          <t>Aditi Sharma</t>
        </is>
      </c>
      <c r="G135" t="inlineStr">
        <is>
          <t>Deployed</t>
        </is>
      </c>
      <c r="H135" t="n">
        <v>8</v>
      </c>
      <c r="I135" t="b">
        <v>0</v>
      </c>
    </row>
    <row r="136">
      <c r="A136">
        <f>HYPERLINK("https://drivetime.tpondemand.com/entity/132623", "132623")</f>
        <v/>
      </c>
      <c r="B136" t="inlineStr">
        <is>
          <t>[MMS] CC for MMS app launch audience template, DNC tuning &amp; MMS snowflake events</t>
        </is>
      </c>
      <c r="C136" t="inlineStr">
        <is>
          <t>2022-05-24</t>
        </is>
      </c>
      <c r="D136" t="inlineStr">
        <is>
          <t>BC Digital Comet</t>
        </is>
      </c>
      <c r="E136" t="inlineStr">
        <is>
          <t>21</t>
        </is>
      </c>
      <c r="F136" t="inlineStr">
        <is>
          <t>Unknown</t>
        </is>
      </c>
      <c r="G136" t="inlineStr">
        <is>
          <t>Deployed</t>
        </is>
      </c>
      <c r="H136" t="n">
        <v>4</v>
      </c>
      <c r="I136" t="b">
        <v>0</v>
      </c>
    </row>
    <row r="137">
      <c r="A137">
        <f>HYPERLINK("https://drivetime.tpondemand.com/entity/132547", "132547")</f>
        <v/>
      </c>
      <c r="B137" t="inlineStr">
        <is>
          <t>[BC-API] Extend account graph to expose loan mod summary information</t>
        </is>
      </c>
      <c r="C137" t="inlineStr">
        <is>
          <t>2022-05-23</t>
        </is>
      </c>
      <c r="D137" t="inlineStr">
        <is>
          <t>BC Digital Comet</t>
        </is>
      </c>
      <c r="E137" t="inlineStr">
        <is>
          <t>21</t>
        </is>
      </c>
      <c r="F137" t="inlineStr">
        <is>
          <t>Akshay Golash</t>
        </is>
      </c>
      <c r="G137" t="inlineStr">
        <is>
          <t>Deployed</t>
        </is>
      </c>
      <c r="H137" t="n">
        <v>3</v>
      </c>
      <c r="I137" t="b">
        <v>0</v>
      </c>
    </row>
    <row r="138">
      <c r="A138">
        <f>HYPERLINK("https://drivetime.tpondemand.com/entity/132412", "132412")</f>
        <v/>
      </c>
      <c r="B138" t="inlineStr">
        <is>
          <t>[Platform SMS SVC] Update twilio status callback</t>
        </is>
      </c>
      <c r="C138" t="inlineStr">
        <is>
          <t>2022-05-19</t>
        </is>
      </c>
      <c r="D138" t="inlineStr">
        <is>
          <t>BC Digital Comet</t>
        </is>
      </c>
      <c r="E138" t="inlineStr">
        <is>
          <t>20</t>
        </is>
      </c>
      <c r="F138" t="inlineStr">
        <is>
          <t>Aditi Sharma</t>
        </is>
      </c>
      <c r="G138" t="inlineStr">
        <is>
          <t>Deployed</t>
        </is>
      </c>
      <c r="H138" t="n">
        <v>1</v>
      </c>
      <c r="I138" t="b">
        <v>0</v>
      </c>
    </row>
    <row r="139">
      <c r="A139">
        <f>HYPERLINK("https://drivetime.tpondemand.com/entity/132158", "132158")</f>
        <v/>
      </c>
      <c r="B139" t="inlineStr">
        <is>
          <t>[CommunicationsAPI][SharedLoanDataAPI][DigitalFunction][PlatformSMSAPI] MMS foundation</t>
        </is>
      </c>
      <c r="C139" t="inlineStr">
        <is>
          <t>2022-05-17</t>
        </is>
      </c>
      <c r="D139" t="inlineStr">
        <is>
          <t>BC Digital Comet</t>
        </is>
      </c>
      <c r="E139" t="inlineStr">
        <is>
          <t>20</t>
        </is>
      </c>
      <c r="F139" t="inlineStr">
        <is>
          <t>Marcus Rogers</t>
        </is>
      </c>
      <c r="G139" t="inlineStr">
        <is>
          <t>Deployed</t>
        </is>
      </c>
      <c r="H139" t="n">
        <v>21</v>
      </c>
      <c r="I139" t="b">
        <v>0</v>
      </c>
    </row>
    <row r="140">
      <c r="A140">
        <f>HYPERLINK("https://drivetime.tpondemand.com/entity/131751", "131751")</f>
        <v/>
      </c>
      <c r="B140" t="inlineStr">
        <is>
          <t>[SSP] Host android deep linking configuration</t>
        </is>
      </c>
      <c r="C140" t="inlineStr">
        <is>
          <t>2022-05-10</t>
        </is>
      </c>
      <c r="D140" t="inlineStr">
        <is>
          <t>BC Digital Comet</t>
        </is>
      </c>
      <c r="E140" t="inlineStr">
        <is>
          <t>19</t>
        </is>
      </c>
      <c r="F140" t="inlineStr">
        <is>
          <t>Marcus Rogers</t>
        </is>
      </c>
      <c r="G140" t="inlineStr">
        <is>
          <t>Deployed</t>
        </is>
      </c>
      <c r="H140" t="n">
        <v>0</v>
      </c>
      <c r="I140" t="b">
        <v>0</v>
      </c>
    </row>
    <row r="141">
      <c r="A141">
        <f>HYPERLINK("https://drivetime.tpondemand.com/entity/131757", "131757")</f>
        <v/>
      </c>
      <c r="B141" t="inlineStr">
        <is>
          <t>[BcNext] Host android deep linking config</t>
        </is>
      </c>
      <c r="C141" t="inlineStr">
        <is>
          <t>2022-05-10</t>
        </is>
      </c>
      <c r="D141" t="inlineStr">
        <is>
          <t>BC Digital Comet</t>
        </is>
      </c>
      <c r="E141" t="inlineStr">
        <is>
          <t>19</t>
        </is>
      </c>
      <c r="F141" t="inlineStr">
        <is>
          <t>Marcus Rogers</t>
        </is>
      </c>
      <c r="G141" t="inlineStr">
        <is>
          <t>Deployed</t>
        </is>
      </c>
      <c r="H141" t="n">
        <v>0</v>
      </c>
      <c r="I141" t="b">
        <v>0</v>
      </c>
    </row>
    <row r="142">
      <c r="A142">
        <f>HYPERLINK("https://drivetime.tpondemand.com/entity/131389", "131389")</f>
        <v/>
      </c>
      <c r="B142" t="inlineStr">
        <is>
          <t>[BCNext][SSP] Deeplinking for android and iOS</t>
        </is>
      </c>
      <c r="C142" t="inlineStr">
        <is>
          <t>2022-05-09</t>
        </is>
      </c>
      <c r="D142" t="inlineStr">
        <is>
          <t>BC Digital Comet</t>
        </is>
      </c>
      <c r="E142" t="inlineStr">
        <is>
          <t>19</t>
        </is>
      </c>
      <c r="F142" t="inlineStr">
        <is>
          <t>Marcus Rogers</t>
        </is>
      </c>
      <c r="G142" t="inlineStr">
        <is>
          <t>Deployed</t>
        </is>
      </c>
      <c r="H142" t="n">
        <v>11</v>
      </c>
      <c r="I142" t="b">
        <v>0</v>
      </c>
    </row>
    <row r="143">
      <c r="A143">
        <f>HYPERLINK("https://drivetime.tpondemand.com/entity/130368", "130368")</f>
        <v/>
      </c>
      <c r="B143" t="inlineStr">
        <is>
          <t>[VISION] 04.25.22 - Remove Pilot App Msg</t>
        </is>
      </c>
      <c r="C143" t="inlineStr">
        <is>
          <t>2022-04-25</t>
        </is>
      </c>
      <c r="D143" t="inlineStr">
        <is>
          <t>BC Digital Comet</t>
        </is>
      </c>
      <c r="E143" t="inlineStr">
        <is>
          <t>17</t>
        </is>
      </c>
      <c r="F143" t="inlineStr">
        <is>
          <t>Unknown</t>
        </is>
      </c>
      <c r="G143" t="inlineStr">
        <is>
          <t>Deployed</t>
        </is>
      </c>
      <c r="H143" t="n">
        <v>2</v>
      </c>
      <c r="I143" t="b">
        <v>0</v>
      </c>
    </row>
    <row r="144">
      <c r="A144">
        <f>HYPERLINK("https://drivetime.tpondemand.com/entity/130147", "130147")</f>
        <v/>
      </c>
      <c r="B144" t="inlineStr">
        <is>
          <t>[BC EMAIL] Update Modification Qualify email</t>
        </is>
      </c>
      <c r="C144" t="inlineStr">
        <is>
          <t>2022-04-19</t>
        </is>
      </c>
      <c r="D144" t="inlineStr">
        <is>
          <t>BC Digital Comet</t>
        </is>
      </c>
      <c r="E144" t="inlineStr">
        <is>
          <t>16</t>
        </is>
      </c>
      <c r="F144" t="inlineStr">
        <is>
          <t>Unknown</t>
        </is>
      </c>
      <c r="G144" t="inlineStr">
        <is>
          <t>Deployed</t>
        </is>
      </c>
      <c r="H144" t="n">
        <v>3</v>
      </c>
      <c r="I144" t="b">
        <v>0</v>
      </c>
    </row>
    <row r="145">
      <c r="A145">
        <f>HYPERLINK("https://drivetime.tpondemand.com/entity/129889", "129889")</f>
        <v/>
      </c>
      <c r="B145" t="inlineStr">
        <is>
          <t>[SSP] - Turn off SSP tax time banner and modal</t>
        </is>
      </c>
      <c r="C145" t="inlineStr">
        <is>
          <t>2022-04-11</t>
        </is>
      </c>
      <c r="D145" t="inlineStr">
        <is>
          <t>BC Digital Comet</t>
        </is>
      </c>
      <c r="E145" t="inlineStr">
        <is>
          <t>15</t>
        </is>
      </c>
      <c r="F145" t="inlineStr">
        <is>
          <t>Marcus Rogers</t>
        </is>
      </c>
      <c r="G145" t="inlineStr">
        <is>
          <t>Deployed</t>
        </is>
      </c>
      <c r="H145" t="n">
        <v>1</v>
      </c>
      <c r="I145" t="b">
        <v>0</v>
      </c>
    </row>
    <row r="146">
      <c r="A146">
        <f>HYPERLINK("https://drivetime.tpondemand.com/entity/129255", "129255")</f>
        <v/>
      </c>
      <c r="B146" t="inlineStr">
        <is>
          <t>[Contact Strategy - Servicing] Enable emoji</t>
        </is>
      </c>
      <c r="C146" t="inlineStr">
        <is>
          <t>2022-04-05</t>
        </is>
      </c>
      <c r="D146" t="inlineStr">
        <is>
          <t>BC Digital Comet</t>
        </is>
      </c>
      <c r="E146" t="inlineStr">
        <is>
          <t>14</t>
        </is>
      </c>
      <c r="F146" t="inlineStr">
        <is>
          <t>Marcus Rogers</t>
        </is>
      </c>
      <c r="G146" t="inlineStr">
        <is>
          <t>Deployed</t>
        </is>
      </c>
      <c r="H146" t="n">
        <v>5</v>
      </c>
      <c r="I146" t="b">
        <v>0</v>
      </c>
    </row>
    <row r="147">
      <c r="A147">
        <f>HYPERLINK("https://drivetime.tpondemand.com/entity/128000", "128000")</f>
        <v/>
      </c>
      <c r="B147" t="inlineStr">
        <is>
          <t>[MAR RC][BCNEXT] Analytic bug bunch</t>
        </is>
      </c>
      <c r="C147" t="inlineStr">
        <is>
          <t>2022-03-02</t>
        </is>
      </c>
      <c r="D147" t="inlineStr">
        <is>
          <t>BC Digital Comet</t>
        </is>
      </c>
      <c r="E147" t="inlineStr">
        <is>
          <t>09</t>
        </is>
      </c>
      <c r="F147" t="inlineStr">
        <is>
          <t>Marcus Rogers</t>
        </is>
      </c>
      <c r="G147" t="inlineStr">
        <is>
          <t>Deployed</t>
        </is>
      </c>
      <c r="H147" t="n">
        <v>3</v>
      </c>
      <c r="I147" t="b">
        <v>0</v>
      </c>
    </row>
    <row r="148">
      <c r="A148">
        <f>HYPERLINK("https://drivetime.tpondemand.com/entity/127779", "127779")</f>
        <v/>
      </c>
      <c r="B148" t="inlineStr">
        <is>
          <t>[MAR RC] [BC NEXT] Cancel is not clearing AutoPay cache | SSP FAQ Tax Communication</t>
        </is>
      </c>
      <c r="C148" t="inlineStr">
        <is>
          <t>2022-02-23</t>
        </is>
      </c>
      <c r="D148" t="inlineStr">
        <is>
          <t>BC Digital Comet</t>
        </is>
      </c>
      <c r="E148" t="inlineStr">
        <is>
          <t>08</t>
        </is>
      </c>
      <c r="F148" t="inlineStr">
        <is>
          <t>Marcus Rogers</t>
        </is>
      </c>
      <c r="G148" t="inlineStr">
        <is>
          <t>Deployed</t>
        </is>
      </c>
      <c r="H148" t="n">
        <v>4</v>
      </c>
      <c r="I148" t="b">
        <v>0</v>
      </c>
    </row>
    <row r="149">
      <c r="A149">
        <f>HYPERLINK("https://drivetime.tpondemand.com/entity/127656", "127656")</f>
        <v/>
      </c>
      <c r="B149" t="inlineStr">
        <is>
          <t>[MARCH RC][BC NEXT] Handle Nacha error, Cosmetic issuses</t>
        </is>
      </c>
      <c r="C149" t="inlineStr">
        <is>
          <t>2022-02-21</t>
        </is>
      </c>
      <c r="D149" t="inlineStr">
        <is>
          <t>BC Digital Comet</t>
        </is>
      </c>
      <c r="E149" t="inlineStr">
        <is>
          <t>08</t>
        </is>
      </c>
      <c r="F149" t="inlineStr">
        <is>
          <t>Michael Wang</t>
        </is>
      </c>
      <c r="G149" t="inlineStr">
        <is>
          <t>Deployed</t>
        </is>
      </c>
      <c r="H149" t="n">
        <v>4</v>
      </c>
      <c r="I149" t="b">
        <v>0</v>
      </c>
    </row>
    <row r="150">
      <c r="A150">
        <f>HYPERLINK("https://drivetime.tpondemand.com/entity/127103", "127103")</f>
        <v/>
      </c>
      <c r="B150" t="inlineStr">
        <is>
          <t>[BC NEXT] 02.15.22 - Additional Payment Options</t>
        </is>
      </c>
      <c r="C150" t="inlineStr">
        <is>
          <t>2022-02-15</t>
        </is>
      </c>
      <c r="D150" t="inlineStr">
        <is>
          <t>BC Digital Comet</t>
        </is>
      </c>
      <c r="E150" t="inlineStr">
        <is>
          <t>07</t>
        </is>
      </c>
      <c r="F150" t="inlineStr">
        <is>
          <t>Aditi Sharma</t>
        </is>
      </c>
      <c r="G150" t="inlineStr">
        <is>
          <t>Deployed</t>
        </is>
      </c>
      <c r="H150" t="n">
        <v>2</v>
      </c>
      <c r="I150" t="b">
        <v>0</v>
      </c>
    </row>
    <row r="151">
      <c r="A151">
        <f>HYPERLINK("https://drivetime.tpondemand.com/entity/127077", "127077")</f>
        <v/>
      </c>
      <c r="B151" t="inlineStr">
        <is>
          <t>[BC NEXT] 02.10.22 - Amount Due + Dashboard AutoPay Eligibility</t>
        </is>
      </c>
      <c r="C151" t="inlineStr">
        <is>
          <t>2022-02-10</t>
        </is>
      </c>
      <c r="D151" t="inlineStr">
        <is>
          <t>BC Digital Comet</t>
        </is>
      </c>
      <c r="E151" t="inlineStr">
        <is>
          <t>06</t>
        </is>
      </c>
      <c r="F151" t="inlineStr">
        <is>
          <t>Aditi Sharma</t>
        </is>
      </c>
      <c r="G151" t="inlineStr">
        <is>
          <t>Deployed</t>
        </is>
      </c>
      <c r="H151" t="n">
        <v>3</v>
      </c>
      <c r="I151" t="b">
        <v>0</v>
      </c>
    </row>
    <row r="152">
      <c r="A152">
        <f>HYPERLINK("https://drivetime.tpondemand.com/entity/127043", "127043")</f>
        <v/>
      </c>
      <c r="B152" t="inlineStr">
        <is>
          <t>[SSP] 02.09.22 - SSP Tax Communication</t>
        </is>
      </c>
      <c r="C152" t="inlineStr">
        <is>
          <t>2022-02-09</t>
        </is>
      </c>
      <c r="D152" t="inlineStr">
        <is>
          <t>BC Digital Comet</t>
        </is>
      </c>
      <c r="E152" t="inlineStr">
        <is>
          <t>06</t>
        </is>
      </c>
      <c r="F152" t="inlineStr">
        <is>
          <t>Marcus Rogers</t>
        </is>
      </c>
      <c r="G152" t="inlineStr">
        <is>
          <t>Deployed</t>
        </is>
      </c>
      <c r="H152" t="n">
        <v>3</v>
      </c>
      <c r="I152" t="b">
        <v>0</v>
      </c>
    </row>
    <row r="153">
      <c r="A153">
        <f>HYPERLINK("https://drivetime.tpondemand.com/entity/126944", "126944")</f>
        <v/>
      </c>
      <c r="B153" t="inlineStr">
        <is>
          <t>[BC NEXT][FEB RC] 02.04.22 - New registered accounts + Calendar date</t>
        </is>
      </c>
      <c r="C153" t="inlineStr">
        <is>
          <t>2022-02-04</t>
        </is>
      </c>
      <c r="D153" t="inlineStr">
        <is>
          <t>BC Digital Comet</t>
        </is>
      </c>
      <c r="E153" t="inlineStr">
        <is>
          <t>05</t>
        </is>
      </c>
      <c r="F153" t="inlineStr">
        <is>
          <t>Akshay Golash</t>
        </is>
      </c>
      <c r="G153" t="inlineStr">
        <is>
          <t>Deployed</t>
        </is>
      </c>
      <c r="H153" t="n">
        <v>3</v>
      </c>
      <c r="I153" t="b">
        <v>0</v>
      </c>
    </row>
    <row r="154">
      <c r="A154">
        <f>HYPERLINK("https://drivetime.tpondemand.com/entity/126785", "126785")</f>
        <v/>
      </c>
      <c r="B154" t="inlineStr">
        <is>
          <t>[BC NEXT][MAR RC] 02.03.22 - Delete Routing</t>
        </is>
      </c>
      <c r="C154" t="inlineStr">
        <is>
          <t>2022-02-03</t>
        </is>
      </c>
      <c r="D154" t="inlineStr">
        <is>
          <t>BC Digital Comet</t>
        </is>
      </c>
      <c r="E154" t="inlineStr">
        <is>
          <t>05</t>
        </is>
      </c>
      <c r="F154" t="inlineStr">
        <is>
          <t>Daniel Verhagen</t>
        </is>
      </c>
      <c r="G154" t="inlineStr">
        <is>
          <t>Deployed</t>
        </is>
      </c>
      <c r="H154" t="n">
        <v>2</v>
      </c>
      <c r="I154" t="b">
        <v>0</v>
      </c>
    </row>
    <row r="155">
      <c r="A155">
        <f>HYPERLINK("https://drivetime.tpondemand.com/entity/126784", "126784")</f>
        <v/>
      </c>
      <c r="B155" t="inlineStr">
        <is>
          <t>[BC API] 02.02.22 - BC API for Same Day Sale Fix</t>
        </is>
      </c>
      <c r="C155" t="inlineStr">
        <is>
          <t>2022-02-02</t>
        </is>
      </c>
      <c r="D155" t="inlineStr">
        <is>
          <t>BC Digital Comet</t>
        </is>
      </c>
      <c r="E155" t="inlineStr">
        <is>
          <t>05</t>
        </is>
      </c>
      <c r="F155" t="inlineStr">
        <is>
          <t>Akshay Golash</t>
        </is>
      </c>
      <c r="G155" t="inlineStr">
        <is>
          <t>Deployed</t>
        </is>
      </c>
      <c r="H155" t="n">
        <v>1</v>
      </c>
      <c r="I155" t="b">
        <v>0</v>
      </c>
    </row>
    <row r="156">
      <c r="A156">
        <f>HYPERLINK("https://drivetime.tpondemand.com/entity/126570", "126570")</f>
        <v/>
      </c>
      <c r="B156" t="inlineStr">
        <is>
          <t>[SSP] 02.01.22 - Plan to Cure</t>
        </is>
      </c>
      <c r="C156" t="inlineStr">
        <is>
          <t>2022-02-01</t>
        </is>
      </c>
      <c r="D156" t="inlineStr">
        <is>
          <t>BC Digital Comet</t>
        </is>
      </c>
      <c r="E156" t="inlineStr">
        <is>
          <t>05</t>
        </is>
      </c>
      <c r="F156" t="inlineStr">
        <is>
          <t>Marcus Rogers</t>
        </is>
      </c>
      <c r="G156" t="inlineStr">
        <is>
          <t>Deployed</t>
        </is>
      </c>
      <c r="H156" t="n">
        <v>2</v>
      </c>
      <c r="I156" t="b">
        <v>0</v>
      </c>
    </row>
    <row r="157">
      <c r="A157">
        <f>HYPERLINK("https://drivetime.tpondemand.com/entity/126564", "126564")</f>
        <v/>
      </c>
      <c r="B157" t="inlineStr">
        <is>
          <t>[BC NEXT][MAR RC] 01.28.22 - Events for Account Lookup and Email Verification</t>
        </is>
      </c>
      <c r="C157" t="inlineStr">
        <is>
          <t>2022-01-28</t>
        </is>
      </c>
      <c r="D157" t="inlineStr">
        <is>
          <t>BC Digital Comet</t>
        </is>
      </c>
      <c r="E157" t="inlineStr">
        <is>
          <t>04</t>
        </is>
      </c>
      <c r="F157" t="inlineStr">
        <is>
          <t>Marcus Rogers</t>
        </is>
      </c>
      <c r="G157" t="inlineStr">
        <is>
          <t>Deployed</t>
        </is>
      </c>
      <c r="H157" t="n">
        <v>3</v>
      </c>
      <c r="I157" t="b">
        <v>0</v>
      </c>
    </row>
    <row r="158">
      <c r="A158">
        <f>HYPERLINK("https://drivetime.tpondemand.com/entity/126417", "126417")</f>
        <v/>
      </c>
      <c r="B158" t="inlineStr">
        <is>
          <t>[BC NEXT][MAR RC] 01.27.22 - Hello World</t>
        </is>
      </c>
      <c r="C158" t="inlineStr">
        <is>
          <t>2022-01-27</t>
        </is>
      </c>
      <c r="D158" t="inlineStr">
        <is>
          <t>BC Digital Comet</t>
        </is>
      </c>
      <c r="E158" t="inlineStr">
        <is>
          <t>04</t>
        </is>
      </c>
      <c r="F158" t="inlineStr">
        <is>
          <t>Daniel Verhagen</t>
        </is>
      </c>
      <c r="G158" t="inlineStr">
        <is>
          <t>Deployed</t>
        </is>
      </c>
      <c r="H158" t="n">
        <v>2</v>
      </c>
      <c r="I158" t="b">
        <v>0</v>
      </c>
    </row>
    <row r="159">
      <c r="A159">
        <f>HYPERLINK("https://drivetime.tpondemand.com/entity/126335", "126335")</f>
        <v/>
      </c>
      <c r="B159" t="inlineStr">
        <is>
          <t>[BC NEXT][FEB RC] 01.26.22 Same Day Sale</t>
        </is>
      </c>
      <c r="C159" t="inlineStr">
        <is>
          <t>2022-01-26</t>
        </is>
      </c>
      <c r="D159" t="inlineStr">
        <is>
          <t>BC Digital Comet</t>
        </is>
      </c>
      <c r="E159" t="inlineStr">
        <is>
          <t>04</t>
        </is>
      </c>
      <c r="F159" t="inlineStr">
        <is>
          <t>Akshay Golash</t>
        </is>
      </c>
      <c r="G159" t="inlineStr">
        <is>
          <t>Deployed</t>
        </is>
      </c>
      <c r="H159" t="n">
        <v>5</v>
      </c>
      <c r="I159" t="b">
        <v>0</v>
      </c>
    </row>
    <row r="160">
      <c r="A160">
        <f>HYPERLINK("https://drivetime.tpondemand.com/entity/126128", "126128")</f>
        <v/>
      </c>
      <c r="B160" t="inlineStr">
        <is>
          <t>[BC NEXT][MAR RC] 01.21.22 - Manage Payment Exceptions</t>
        </is>
      </c>
      <c r="C160" t="inlineStr">
        <is>
          <t>2022-01-21</t>
        </is>
      </c>
      <c r="D160" t="inlineStr">
        <is>
          <t>BC Digital Comet</t>
        </is>
      </c>
      <c r="E160" t="inlineStr">
        <is>
          <t>03</t>
        </is>
      </c>
      <c r="F160" t="inlineStr">
        <is>
          <t>Michael Wang</t>
        </is>
      </c>
      <c r="G160" t="inlineStr">
        <is>
          <t>Deployed</t>
        </is>
      </c>
      <c r="H160" t="n">
        <v>3</v>
      </c>
      <c r="I160" t="b">
        <v>0</v>
      </c>
    </row>
    <row r="161">
      <c r="A161">
        <f>HYPERLINK("https://drivetime.tpondemand.com/entity/125594", "125594")</f>
        <v/>
      </c>
      <c r="B161" t="inlineStr">
        <is>
          <t>[BC NEXT] 01.14.22 - Showing previously logged in vehicle info</t>
        </is>
      </c>
      <c r="C161" t="inlineStr">
        <is>
          <t>2022-01-14</t>
        </is>
      </c>
      <c r="D161" t="inlineStr">
        <is>
          <t>BC Digital Comet</t>
        </is>
      </c>
      <c r="E161" t="inlineStr">
        <is>
          <t>02</t>
        </is>
      </c>
      <c r="F161" t="inlineStr">
        <is>
          <t>Marcus Rogers</t>
        </is>
      </c>
      <c r="G161" t="inlineStr">
        <is>
          <t>Deployed</t>
        </is>
      </c>
      <c r="H161" t="n">
        <v>8</v>
      </c>
      <c r="I161" t="b">
        <v>0</v>
      </c>
    </row>
    <row r="162">
      <c r="A162">
        <f>HYPERLINK("https://drivetime.tpondemand.com/entity/125457", "125457")</f>
        <v/>
      </c>
      <c r="B162" t="inlineStr">
        <is>
          <t>[BC NEXT] 01.12.22 - No Events + Default Selected Vehicle + Cosmetic Android Issues + Hello World</t>
        </is>
      </c>
      <c r="C162" t="inlineStr">
        <is>
          <t>2022-01-12</t>
        </is>
      </c>
      <c r="D162" t="inlineStr">
        <is>
          <t>BC Digital Comet</t>
        </is>
      </c>
      <c r="E162" t="inlineStr">
        <is>
          <t>02</t>
        </is>
      </c>
      <c r="F162" t="inlineStr">
        <is>
          <t>Marcus Rogers</t>
        </is>
      </c>
      <c r="G162" t="inlineStr">
        <is>
          <t>Deployed</t>
        </is>
      </c>
      <c r="H162" t="n">
        <v>9</v>
      </c>
      <c r="I162" t="b">
        <v>0</v>
      </c>
    </row>
    <row r="163">
      <c r="A163">
        <f>HYPERLINK("https://drivetime.tpondemand.com/entity/125456", "125456")</f>
        <v/>
      </c>
      <c r="B163" t="inlineStr">
        <is>
          <t>[BC NEXT] 01.11.22 - Date not persisted + Top &amp; Bottom Nav</t>
        </is>
      </c>
      <c r="C163" t="inlineStr">
        <is>
          <t>2022-01-11</t>
        </is>
      </c>
      <c r="D163" t="inlineStr">
        <is>
          <t>BC Digital Comet</t>
        </is>
      </c>
      <c r="E163" t="inlineStr">
        <is>
          <t>02</t>
        </is>
      </c>
      <c r="F163" t="inlineStr">
        <is>
          <t>Daniel Verhagen</t>
        </is>
      </c>
      <c r="G163" t="inlineStr">
        <is>
          <t>Deployed</t>
        </is>
      </c>
      <c r="H163" t="n">
        <v>2</v>
      </c>
      <c r="I163" t="b">
        <v>0</v>
      </c>
    </row>
    <row r="164">
      <c r="A164">
        <f>HYPERLINK("https://drivetime.tpondemand.com/entity/125143", "125143")</f>
        <v/>
      </c>
      <c r="B164" t="inlineStr">
        <is>
          <t>[BC NEXT] 01.10.22 - GQL V4</t>
        </is>
      </c>
      <c r="C164" t="inlineStr">
        <is>
          <t>2022-01-10</t>
        </is>
      </c>
      <c r="D164" t="inlineStr">
        <is>
          <t>BC Digital Comet</t>
        </is>
      </c>
      <c r="E164" t="inlineStr">
        <is>
          <t>02</t>
        </is>
      </c>
      <c r="F164" t="inlineStr">
        <is>
          <t>Akshay Golash</t>
        </is>
      </c>
      <c r="G164" t="inlineStr">
        <is>
          <t>Deployed</t>
        </is>
      </c>
      <c r="H164" t="n">
        <v>5</v>
      </c>
      <c r="I164" t="b">
        <v>0</v>
      </c>
    </row>
    <row r="165">
      <c r="A165">
        <f>HYPERLINK("https://drivetime.tpondemand.com/entity/124920", "124920")</f>
        <v/>
      </c>
      <c r="B165" t="inlineStr">
        <is>
          <t>[BC NEXT] 01.05.22 - Add Icon + Remove Debit Cards from OTP + OTP Cancel + Other Amount + Static Top Nav</t>
        </is>
      </c>
      <c r="C165" t="inlineStr">
        <is>
          <t>2022-01-05</t>
        </is>
      </c>
      <c r="D165" t="inlineStr">
        <is>
          <t>BC Digital Comet</t>
        </is>
      </c>
      <c r="E165" t="inlineStr">
        <is>
          <t>01</t>
        </is>
      </c>
      <c r="F165" t="inlineStr">
        <is>
          <t>Daniel Verhagen</t>
        </is>
      </c>
      <c r="G165" t="inlineStr">
        <is>
          <t>Deployed</t>
        </is>
      </c>
      <c r="H165" t="n">
        <v>11</v>
      </c>
      <c r="I165" t="b">
        <v>0</v>
      </c>
    </row>
    <row r="166">
      <c r="A166">
        <f>HYPERLINK("https://drivetime.tpondemand.com/entity/124919", "124919")</f>
        <v/>
      </c>
      <c r="B166" t="inlineStr">
        <is>
          <t>[BC NEXT] 12.23.21 - Unauthorized Users + BackToDashboard Analytic</t>
        </is>
      </c>
      <c r="C166" t="inlineStr">
        <is>
          <t>2021-12-23</t>
        </is>
      </c>
      <c r="D166" t="inlineStr">
        <is>
          <t>BC Digital Comet</t>
        </is>
      </c>
      <c r="E166" t="inlineStr">
        <is>
          <t>51</t>
        </is>
      </c>
      <c r="F166" t="inlineStr">
        <is>
          <t>Marcus Rogers</t>
        </is>
      </c>
      <c r="G166" t="inlineStr">
        <is>
          <t>Deployed</t>
        </is>
      </c>
      <c r="H166" t="n">
        <v>4</v>
      </c>
      <c r="I166" t="b">
        <v>0</v>
      </c>
    </row>
    <row r="167">
      <c r="A167">
        <f>HYPERLINK("https://drivetime.tpondemand.com/entity/124822", "124822")</f>
        <v/>
      </c>
      <c r="B167" t="inlineStr">
        <is>
          <t>[BC NEXT] 12.23.21- Kmart link</t>
        </is>
      </c>
      <c r="C167" t="inlineStr">
        <is>
          <t>2021-12-22</t>
        </is>
      </c>
      <c r="D167" t="inlineStr">
        <is>
          <t>BC Digital Comet</t>
        </is>
      </c>
      <c r="E167" t="inlineStr">
        <is>
          <t>51</t>
        </is>
      </c>
      <c r="F167" t="inlineStr">
        <is>
          <t>Daniel Verhagen</t>
        </is>
      </c>
      <c r="G167" t="inlineStr">
        <is>
          <t>Deployed</t>
        </is>
      </c>
      <c r="H167" t="n">
        <v>2</v>
      </c>
      <c r="I167" t="b">
        <v>0</v>
      </c>
    </row>
    <row r="168">
      <c r="A168">
        <f>HYPERLINK("https://drivetime.tpondemand.com/entity/147079", "147079")</f>
        <v/>
      </c>
      <c r="B168" t="inlineStr">
        <is>
          <t>[BC NEXT] 01.03.2023 FullStory asset uploader &amp; bug fixes</t>
        </is>
      </c>
      <c r="C168" t="inlineStr">
        <is>
          <t>2023-01-03</t>
        </is>
      </c>
      <c r="D168" t="inlineStr">
        <is>
          <t>BC Digital Wyvern</t>
        </is>
      </c>
      <c r="E168" t="inlineStr">
        <is>
          <t>01</t>
        </is>
      </c>
      <c r="F168" t="inlineStr">
        <is>
          <t>Jajati Routray</t>
        </is>
      </c>
      <c r="G168" t="inlineStr">
        <is>
          <t>Planned</t>
        </is>
      </c>
      <c r="H168" t="n">
        <v>10</v>
      </c>
      <c r="I168" t="b">
        <v>0</v>
      </c>
    </row>
    <row r="169">
      <c r="A169">
        <f>HYPERLINK("https://drivetime.tpondemand.com/entity/145775", "145775")</f>
        <v/>
      </c>
      <c r="B169" t="inlineStr">
        <is>
          <t>[BC NEXT] 12.06.2022 My Profile - Set up Person subgraph</t>
        </is>
      </c>
      <c r="C169" t="inlineStr">
        <is>
          <t>2022-12-06</t>
        </is>
      </c>
      <c r="D169" t="inlineStr">
        <is>
          <t>BC Digital Wyvern</t>
        </is>
      </c>
      <c r="E169" t="inlineStr">
        <is>
          <t>49</t>
        </is>
      </c>
      <c r="F169" t="inlineStr">
        <is>
          <t>Sri Charan</t>
        </is>
      </c>
      <c r="G169" t="inlineStr">
        <is>
          <t>Deployed</t>
        </is>
      </c>
      <c r="H169" t="n">
        <v>3</v>
      </c>
      <c r="I169" t="b">
        <v>0</v>
      </c>
    </row>
    <row r="170">
      <c r="A170">
        <f>HYPERLINK("https://drivetime.tpondemand.com/entity/145704", "145704")</f>
        <v/>
      </c>
      <c r="B170" t="inlineStr">
        <is>
          <t>[BC NEXT] 12.05.2022 [PCO] Onboard Charge-off customers into BCNext Application - Auth0</t>
        </is>
      </c>
      <c r="C170" t="inlineStr">
        <is>
          <t>2022-12-05</t>
        </is>
      </c>
      <c r="D170" t="inlineStr">
        <is>
          <t>BC Digital Wyvern</t>
        </is>
      </c>
      <c r="E170" t="inlineStr">
        <is>
          <t>49</t>
        </is>
      </c>
      <c r="F170" t="inlineStr">
        <is>
          <t>Jonathan Escamilla</t>
        </is>
      </c>
      <c r="G170" t="inlineStr">
        <is>
          <t>Deployed</t>
        </is>
      </c>
      <c r="H170" t="n">
        <v>3</v>
      </c>
      <c r="I170" t="b">
        <v>0</v>
      </c>
    </row>
    <row r="171">
      <c r="A171">
        <f>HYPERLINK("https://drivetime.tpondemand.com/entity/145789", "145789")</f>
        <v/>
      </c>
      <c r="B171" t="inlineStr">
        <is>
          <t>[BC NEXT] 12.05.2022 Fullstory: Integrate SDK into BC-Next &amp; Hide only PII data</t>
        </is>
      </c>
      <c r="C171" t="inlineStr">
        <is>
          <t>2022-12-05</t>
        </is>
      </c>
      <c r="D171" t="inlineStr">
        <is>
          <t>BC Digital Wyvern</t>
        </is>
      </c>
      <c r="E171" t="inlineStr">
        <is>
          <t>49</t>
        </is>
      </c>
      <c r="F171" t="inlineStr">
        <is>
          <t>Isaac Ng</t>
        </is>
      </c>
      <c r="G171" t="inlineStr">
        <is>
          <t>Deployed</t>
        </is>
      </c>
      <c r="H171" t="n">
        <v>8</v>
      </c>
      <c r="I171" t="b">
        <v>0</v>
      </c>
    </row>
    <row r="172">
      <c r="A172">
        <f>HYPERLINK("https://drivetime.tpondemand.com/entity/144532", "144532")</f>
        <v/>
      </c>
      <c r="B172" t="inlineStr">
        <is>
          <t>[BUG] Loan Mod Experience to Show Logic fix</t>
        </is>
      </c>
      <c r="C172" t="inlineStr">
        <is>
          <t>2022-11-21</t>
        </is>
      </c>
      <c r="D172" t="inlineStr">
        <is>
          <t>BC Digital Wyvern</t>
        </is>
      </c>
      <c r="E172" t="inlineStr">
        <is>
          <t>47</t>
        </is>
      </c>
      <c r="F172" t="inlineStr">
        <is>
          <t>Jonathan Escamilla</t>
        </is>
      </c>
      <c r="G172" t="inlineStr">
        <is>
          <t>Deployed</t>
        </is>
      </c>
      <c r="H172" t="n">
        <v>2</v>
      </c>
      <c r="I172" t="b">
        <v>0</v>
      </c>
    </row>
    <row r="173">
      <c r="A173">
        <f>HYPERLINK("https://drivetime.tpondemand.com/entity/142977", "142977")</f>
        <v/>
      </c>
      <c r="B173" t="inlineStr">
        <is>
          <t>[Loan Mod] BCAPI - Provide ability for BC Next to filter out loan mod types not equal to Payment Frequency or Extension</t>
        </is>
      </c>
      <c r="C173" t="inlineStr">
        <is>
          <t>2022-11-07</t>
        </is>
      </c>
      <c r="D173" t="inlineStr">
        <is>
          <t>BC Digital Wyvern</t>
        </is>
      </c>
      <c r="E173" t="inlineStr">
        <is>
          <t>45</t>
        </is>
      </c>
      <c r="F173" t="inlineStr">
        <is>
          <t>Jajati Routray</t>
        </is>
      </c>
      <c r="G173" t="inlineStr">
        <is>
          <t>Deployed</t>
        </is>
      </c>
      <c r="H173" t="n">
        <v>2</v>
      </c>
      <c r="I173" t="b">
        <v>0</v>
      </c>
    </row>
    <row r="174">
      <c r="A174">
        <f>HYPERLINK("https://drivetime.tpondemand.com/entity/143271", "143271")</f>
        <v/>
      </c>
      <c r="B174" t="inlineStr">
        <is>
          <t>[PTC] Integrate PTC changes into BFF</t>
        </is>
      </c>
      <c r="C174" t="inlineStr">
        <is>
          <t>2022-11-07</t>
        </is>
      </c>
      <c r="D174" t="inlineStr">
        <is>
          <t>BC Digital Wyvern</t>
        </is>
      </c>
      <c r="E174" t="inlineStr">
        <is>
          <t>45</t>
        </is>
      </c>
      <c r="F174" t="inlineStr">
        <is>
          <t>Jonathan Escamilla</t>
        </is>
      </c>
      <c r="G174" t="inlineStr">
        <is>
          <t>Deployed</t>
        </is>
      </c>
      <c r="H174" t="n">
        <v>2</v>
      </c>
      <c r="I174" t="b">
        <v>0</v>
      </c>
    </row>
    <row r="175">
      <c r="A175">
        <f>HYPERLINK("https://drivetime.tpondemand.com/entity/142193", "142193")</f>
        <v/>
      </c>
      <c r="B175" t="inlineStr">
        <is>
          <t>[BC NEXT] 10.24.22 - Expose PTC for BC Next</t>
        </is>
      </c>
      <c r="C175" t="inlineStr">
        <is>
          <t>2022-10-24</t>
        </is>
      </c>
      <c r="D175" t="inlineStr">
        <is>
          <t>BC Digital Wyvern</t>
        </is>
      </c>
      <c r="E175" t="inlineStr">
        <is>
          <t>43</t>
        </is>
      </c>
      <c r="F175" t="inlineStr">
        <is>
          <t>Jonathan Escamilla</t>
        </is>
      </c>
      <c r="G175" t="inlineStr">
        <is>
          <t>Deployed</t>
        </is>
      </c>
      <c r="H175" t="n">
        <v>11</v>
      </c>
      <c r="I175" t="b">
        <v>0</v>
      </c>
    </row>
    <row r="176">
      <c r="A176">
        <f>HYPERLINK("https://drivetime.tpondemand.com/entity/141157", "141157")</f>
        <v/>
      </c>
      <c r="B176" t="inlineStr">
        <is>
          <t>10.10.2022 Enable additional MFA options &amp; send communications</t>
        </is>
      </c>
      <c r="C176" t="inlineStr">
        <is>
          <t>2022-10-10</t>
        </is>
      </c>
      <c r="D176" t="inlineStr">
        <is>
          <t>BC Digital Wyvern</t>
        </is>
      </c>
      <c r="E176" t="inlineStr">
        <is>
          <t>41</t>
        </is>
      </c>
      <c r="F176" t="inlineStr">
        <is>
          <t>Unknown</t>
        </is>
      </c>
      <c r="G176" t="inlineStr">
        <is>
          <t>Deployed</t>
        </is>
      </c>
      <c r="H176" t="n">
        <v>3</v>
      </c>
      <c r="I176" t="b">
        <v>0</v>
      </c>
    </row>
    <row r="177">
      <c r="A177">
        <f>HYPERLINK("https://drivetime.tpondemand.com/entity/140049", "140049")</f>
        <v/>
      </c>
      <c r="B177" t="inlineStr">
        <is>
          <t>[BC NEXT] 10.03.2022 [EXPOSE MOD STATUS] Integrate Apollo Server into BFF server/Add DocuSign Webhook into BFF Server</t>
        </is>
      </c>
      <c r="C177" t="inlineStr">
        <is>
          <t>2022-10-03</t>
        </is>
      </c>
      <c r="D177" t="inlineStr">
        <is>
          <t>BC Digital Wyvern</t>
        </is>
      </c>
      <c r="E177" t="inlineStr">
        <is>
          <t>40</t>
        </is>
      </c>
      <c r="F177" t="inlineStr">
        <is>
          <t>Isaac Ng</t>
        </is>
      </c>
      <c r="G177" t="inlineStr">
        <is>
          <t>Deployed</t>
        </is>
      </c>
      <c r="H177" t="n">
        <v>3</v>
      </c>
      <c r="I177" t="b">
        <v>0</v>
      </c>
    </row>
    <row r="178">
      <c r="A178">
        <f>HYPERLINK("https://drivetime.tpondemand.com/entity/140001", "140001")</f>
        <v/>
      </c>
      <c r="B178" t="inlineStr">
        <is>
          <t>[BC NEXT] 09.30.2022 - [EXPOSE MOD STATUS] Move SSP-DTSE update loan mod logic to Hardship API</t>
        </is>
      </c>
      <c r="C178" t="inlineStr">
        <is>
          <t>2022-09-30</t>
        </is>
      </c>
      <c r="D178" t="inlineStr">
        <is>
          <t>BC Digital Wyvern</t>
        </is>
      </c>
      <c r="E178" t="inlineStr">
        <is>
          <t>39</t>
        </is>
      </c>
      <c r="F178" t="inlineStr">
        <is>
          <t>Jonathan Escamilla</t>
        </is>
      </c>
      <c r="G178" t="inlineStr">
        <is>
          <t>Deployed</t>
        </is>
      </c>
      <c r="H178" t="n">
        <v>3</v>
      </c>
      <c r="I178" t="b">
        <v>0</v>
      </c>
    </row>
    <row r="179">
      <c r="A179">
        <f>HYPERLINK("https://drivetime.tpondemand.com/entity/139999", "139999")</f>
        <v/>
      </c>
      <c r="B179" t="inlineStr">
        <is>
          <t>[BC NEXT] 09.21.2022 Implement Prod-Canary and Get Signed Status save documents in Smart Search</t>
        </is>
      </c>
      <c r="C179" t="inlineStr">
        <is>
          <t>2022-09-21</t>
        </is>
      </c>
      <c r="D179" t="inlineStr">
        <is>
          <t>BC Digital Wyvern</t>
        </is>
      </c>
      <c r="E179" t="inlineStr">
        <is>
          <t>38</t>
        </is>
      </c>
      <c r="F179" t="inlineStr">
        <is>
          <t>Sri Charan</t>
        </is>
      </c>
      <c r="G179" t="inlineStr">
        <is>
          <t>Deployed</t>
        </is>
      </c>
      <c r="H179" t="n">
        <v>5</v>
      </c>
      <c r="I179" t="b">
        <v>0</v>
      </c>
    </row>
    <row r="180">
      <c r="A180">
        <f>HYPERLINK("https://drivetime.tpondemand.com/entity/140012", "140012")</f>
        <v/>
      </c>
      <c r="B180" t="inlineStr">
        <is>
          <t>[BC NEXT] 09.21.2022 - [EXPOSE MOD STATUS] Add Docusign Webhook and forwarding logic changes to DTSE, BC Next BFF, Hardship API</t>
        </is>
      </c>
      <c r="C180" t="inlineStr">
        <is>
          <t>2022-09-30</t>
        </is>
      </c>
      <c r="D180" t="inlineStr">
        <is>
          <t>BC Digital Wyvern</t>
        </is>
      </c>
      <c r="E180" t="inlineStr">
        <is>
          <t>39</t>
        </is>
      </c>
      <c r="F180" t="inlineStr">
        <is>
          <t>Andrew Vu</t>
        </is>
      </c>
      <c r="G180" t="inlineStr">
        <is>
          <t>Deployed</t>
        </is>
      </c>
      <c r="H180" t="n">
        <v>3</v>
      </c>
      <c r="I180" t="b">
        <v>0</v>
      </c>
    </row>
    <row r="181">
      <c r="A181">
        <f>HYPERLINK("https://drivetime.tpondemand.com/entity/139623", "139623")</f>
        <v/>
      </c>
      <c r="B181" t="inlineStr">
        <is>
          <t>[BC NEXT] 09.14.2022 Introduce authentication in BC Apollo Federation Gateway</t>
        </is>
      </c>
      <c r="C181" t="inlineStr">
        <is>
          <t>2022-09-14</t>
        </is>
      </c>
      <c r="D181" t="inlineStr">
        <is>
          <t>BC Digital Wyvern</t>
        </is>
      </c>
      <c r="E181" t="inlineStr">
        <is>
          <t>37</t>
        </is>
      </c>
      <c r="F181" t="inlineStr">
        <is>
          <t>Jajati Routray</t>
        </is>
      </c>
      <c r="G181" t="inlineStr">
        <is>
          <t>Deployed</t>
        </is>
      </c>
      <c r="H181" t="n">
        <v>1</v>
      </c>
      <c r="I181" t="b">
        <v>0</v>
      </c>
    </row>
    <row r="182">
      <c r="A182">
        <f>HYPERLINK("https://drivetime.tpondemand.com/entity/139625", "139625")</f>
        <v/>
      </c>
      <c r="B182" t="inlineStr">
        <is>
          <t>[BC NEXT] 09.14.2022 Calling DTSE API for loan mod in hardships subgraph</t>
        </is>
      </c>
      <c r="C182" t="inlineStr">
        <is>
          <t>2022-09-16</t>
        </is>
      </c>
      <c r="D182" t="inlineStr">
        <is>
          <t>BC Digital Wyvern</t>
        </is>
      </c>
      <c r="E182" t="inlineStr">
        <is>
          <t>37</t>
        </is>
      </c>
      <c r="F182" t="inlineStr">
        <is>
          <t>Andrew Vu</t>
        </is>
      </c>
      <c r="G182" t="inlineStr">
        <is>
          <t>Deployed</t>
        </is>
      </c>
      <c r="H182" t="n">
        <v>8</v>
      </c>
      <c r="I182" t="b">
        <v>0</v>
      </c>
    </row>
    <row r="183">
      <c r="A183">
        <f>HYPERLINK("https://drivetime.tpondemand.com/entity/138940", "138940")</f>
        <v/>
      </c>
      <c r="B183" t="inlineStr">
        <is>
          <t>[BC NEXT] 09.06.2022 [EXPOSE MOD STATUS] Implement Process Type Logic</t>
        </is>
      </c>
      <c r="C183" t="inlineStr">
        <is>
          <t>2022-09-14</t>
        </is>
      </c>
      <c r="D183" t="inlineStr">
        <is>
          <t>BC Digital Wyvern</t>
        </is>
      </c>
      <c r="E183" t="inlineStr">
        <is>
          <t>37</t>
        </is>
      </c>
      <c r="F183" t="inlineStr">
        <is>
          <t>Sri Charan</t>
        </is>
      </c>
      <c r="G183" t="inlineStr">
        <is>
          <t>Deployed</t>
        </is>
      </c>
      <c r="H183" t="n">
        <v>3</v>
      </c>
      <c r="I183" t="b">
        <v>0</v>
      </c>
    </row>
    <row r="184">
      <c r="A184">
        <f>HYPERLINK("https://drivetime.tpondemand.com/entity/138677", "138677")</f>
        <v/>
      </c>
      <c r="B184" t="inlineStr">
        <is>
          <t>[BC NEXT] 08.29.2022 Federate BCAPI Subgraph into gateway</t>
        </is>
      </c>
      <c r="C184" t="inlineStr">
        <is>
          <t>2022-08-29</t>
        </is>
      </c>
      <c r="D184" t="inlineStr">
        <is>
          <t>BC Digital Wyvern</t>
        </is>
      </c>
      <c r="E184" t="inlineStr">
        <is>
          <t>35</t>
        </is>
      </c>
      <c r="F184" t="inlineStr">
        <is>
          <t>Andrew Vu</t>
        </is>
      </c>
      <c r="G184" t="inlineStr">
        <is>
          <t>Deployed</t>
        </is>
      </c>
      <c r="H184" t="n">
        <v>3</v>
      </c>
      <c r="I184" t="b">
        <v>0</v>
      </c>
    </row>
    <row r="185">
      <c r="A185">
        <f>HYPERLINK("https://drivetime.tpondemand.com/entity/138360", "138360")</f>
        <v/>
      </c>
      <c r="B185" t="inlineStr">
        <is>
          <t>[BC NEXT][MFA FIX] Skip MFA for Roxanne's account in prod due to App store review</t>
        </is>
      </c>
      <c r="C185" t="inlineStr">
        <is>
          <t>2022-08-24</t>
        </is>
      </c>
      <c r="D185" t="inlineStr">
        <is>
          <t>BC Digital Wyvern</t>
        </is>
      </c>
      <c r="E185" t="inlineStr">
        <is>
          <t>34</t>
        </is>
      </c>
      <c r="F185" t="inlineStr">
        <is>
          <t>Jajati Routray</t>
        </is>
      </c>
      <c r="G185" t="inlineStr">
        <is>
          <t>Deployed</t>
        </is>
      </c>
      <c r="H185" t="n">
        <v>1</v>
      </c>
      <c r="I185" t="b">
        <v>0</v>
      </c>
    </row>
    <row r="186">
      <c r="A186">
        <f>HYPERLINK("https://drivetime.tpondemand.com/entity/138042", "138042")</f>
        <v/>
      </c>
      <c r="B186" t="inlineStr">
        <is>
          <t>[BC NEXT] 08.19.2022 BC Apollo Federation Gateway &amp; Hardship API setup</t>
        </is>
      </c>
      <c r="C186" t="inlineStr">
        <is>
          <t>2022-08-19</t>
        </is>
      </c>
      <c r="D186" t="inlineStr">
        <is>
          <t>BC Digital Wyvern</t>
        </is>
      </c>
      <c r="E186" t="inlineStr">
        <is>
          <t>33</t>
        </is>
      </c>
      <c r="F186" t="inlineStr">
        <is>
          <t>Isaac Ng</t>
        </is>
      </c>
      <c r="G186" t="inlineStr">
        <is>
          <t>Deployed</t>
        </is>
      </c>
      <c r="H186" t="n">
        <v>5</v>
      </c>
      <c r="I186" t="b">
        <v>0</v>
      </c>
    </row>
    <row r="187">
      <c r="A187">
        <f>HYPERLINK("https://drivetime.tpondemand.com/entity/137608", "137608")</f>
        <v/>
      </c>
      <c r="B187" t="inlineStr">
        <is>
          <t>TEST Apollo deployment pipeline</t>
        </is>
      </c>
      <c r="C187" t="inlineStr">
        <is>
          <t>2022-08-12</t>
        </is>
      </c>
      <c r="D187" t="inlineStr">
        <is>
          <t>BC Digital Wyvern</t>
        </is>
      </c>
      <c r="E187" t="inlineStr">
        <is>
          <t>32</t>
        </is>
      </c>
      <c r="F187" t="inlineStr">
        <is>
          <t>Unknown</t>
        </is>
      </c>
      <c r="G187" t="inlineStr">
        <is>
          <t>Deployed</t>
        </is>
      </c>
      <c r="H187" t="n">
        <v>0</v>
      </c>
      <c r="I187" t="b">
        <v>0</v>
      </c>
    </row>
    <row r="188">
      <c r="A188">
        <f>HYPERLINK("https://drivetime.tpondemand.com/entity/137479", "137479")</f>
        <v/>
      </c>
      <c r="B188" t="inlineStr">
        <is>
          <t>[BC NEXT] 08.11.2022 [EXPOSE MOD STATUS] Add missing fields into Collection API to get Mod Data and expose them through BC API</t>
        </is>
      </c>
      <c r="C188" t="inlineStr">
        <is>
          <t>2022-08-11</t>
        </is>
      </c>
      <c r="D188" t="inlineStr">
        <is>
          <t>BC Digital Wyvern</t>
        </is>
      </c>
      <c r="E188" t="inlineStr">
        <is>
          <t>32</t>
        </is>
      </c>
      <c r="F188" t="inlineStr">
        <is>
          <t>Andrew Vu</t>
        </is>
      </c>
      <c r="G188" t="inlineStr">
        <is>
          <t>Deployed</t>
        </is>
      </c>
      <c r="H188" t="n">
        <v>2</v>
      </c>
      <c r="I188" t="b">
        <v>0</v>
      </c>
    </row>
    <row r="189">
      <c r="A189">
        <f>HYPERLINK("https://drivetime.tpondemand.com/entity/137480", "137480")</f>
        <v/>
      </c>
      <c r="B189" t="inlineStr">
        <is>
          <t>[BC NEXT] 08.11.2022 FORCE invoke the MFA process only for sessions that are deemed high risk</t>
        </is>
      </c>
      <c r="C189" t="inlineStr">
        <is>
          <t>2022-08-11</t>
        </is>
      </c>
      <c r="D189" t="inlineStr">
        <is>
          <t>BC Digital Wyvern</t>
        </is>
      </c>
      <c r="E189" t="inlineStr">
        <is>
          <t>32</t>
        </is>
      </c>
      <c r="F189" t="inlineStr">
        <is>
          <t>Jajati Routray</t>
        </is>
      </c>
      <c r="G189" t="inlineStr">
        <is>
          <t>Deployed</t>
        </is>
      </c>
      <c r="H189" t="n">
        <v>2</v>
      </c>
      <c r="I189" t="b">
        <v>0</v>
      </c>
    </row>
    <row r="190">
      <c r="A190">
        <f>HYPERLINK("https://drivetime.tpondemand.com/entity/137387", "137387")</f>
        <v/>
      </c>
      <c r="B190" t="inlineStr">
        <is>
          <t>[BC NEXT] 08.10.2022 - BFF Server Telemetry Client Memory Leak Bug</t>
        </is>
      </c>
      <c r="C190" t="inlineStr">
        <is>
          <t>2022-08-10</t>
        </is>
      </c>
      <c r="D190" t="inlineStr">
        <is>
          <t>BC Digital Wyvern</t>
        </is>
      </c>
      <c r="E190" t="inlineStr">
        <is>
          <t>32</t>
        </is>
      </c>
      <c r="F190" t="inlineStr">
        <is>
          <t>Venkat Polur</t>
        </is>
      </c>
      <c r="G190" t="inlineStr">
        <is>
          <t>Deployed</t>
        </is>
      </c>
      <c r="H190" t="n">
        <v>2</v>
      </c>
      <c r="I190" t="b">
        <v>0</v>
      </c>
    </row>
    <row r="191">
      <c r="A191">
        <f>HYPERLINK("https://drivetime.tpondemand.com/entity/136956", "136956")</f>
        <v/>
      </c>
      <c r="B191" t="inlineStr">
        <is>
          <t>[BC NEXT] 08.08.2022 PROD BUG: Issues logging into Customer Admin Portal</t>
        </is>
      </c>
      <c r="C191" t="inlineStr">
        <is>
          <t>2022-08-08</t>
        </is>
      </c>
      <c r="D191" t="inlineStr">
        <is>
          <t>BC Digital Wyvern</t>
        </is>
      </c>
      <c r="E191" t="inlineStr">
        <is>
          <t>32</t>
        </is>
      </c>
      <c r="F191" t="inlineStr">
        <is>
          <t>Jonathan Escamilla</t>
        </is>
      </c>
      <c r="G191" t="inlineStr">
        <is>
          <t>Deployed</t>
        </is>
      </c>
      <c r="H191" t="n">
        <v>2</v>
      </c>
      <c r="I191" t="b">
        <v>0</v>
      </c>
    </row>
    <row r="192">
      <c r="A192">
        <f>HYPERLINK("https://drivetime.tpondemand.com/entity/137313", "137313")</f>
        <v/>
      </c>
      <c r="B192" t="inlineStr">
        <is>
          <t>[BC NEXT] 08.05.2022 Add Healthcheck</t>
        </is>
      </c>
      <c r="C192" t="inlineStr">
        <is>
          <t>2022-08-05</t>
        </is>
      </c>
      <c r="D192" t="inlineStr">
        <is>
          <t>BC Digital Wyvern</t>
        </is>
      </c>
      <c r="E192" t="inlineStr">
        <is>
          <t>31</t>
        </is>
      </c>
      <c r="F192" t="inlineStr">
        <is>
          <t>Venkat Polur</t>
        </is>
      </c>
      <c r="G192" t="inlineStr">
        <is>
          <t>Deployed</t>
        </is>
      </c>
      <c r="H192" t="n">
        <v>3</v>
      </c>
      <c r="I192" t="b">
        <v>0</v>
      </c>
    </row>
    <row r="193">
      <c r="A193">
        <f>HYPERLINK("https://drivetime.tpondemand.com/entity/136028", "136028")</f>
        <v/>
      </c>
      <c r="B193" t="inlineStr">
        <is>
          <t>DO NOT invoke the MFA process for internal emails</t>
        </is>
      </c>
      <c r="C193" t="inlineStr">
        <is>
          <t>2022-07-20</t>
        </is>
      </c>
      <c r="D193" t="inlineStr">
        <is>
          <t>BC Digital Wyvern</t>
        </is>
      </c>
      <c r="E193" t="inlineStr">
        <is>
          <t>29</t>
        </is>
      </c>
      <c r="F193" t="inlineStr">
        <is>
          <t>Jonathan Escamilla</t>
        </is>
      </c>
      <c r="G193" t="inlineStr">
        <is>
          <t>Deployed</t>
        </is>
      </c>
      <c r="H193" t="n">
        <v>3</v>
      </c>
      <c r="I193" t="b">
        <v>0</v>
      </c>
    </row>
    <row r="194">
      <c r="A194">
        <f>HYPERLINK("https://drivetime.tpondemand.com/entity/135512", "135512")</f>
        <v/>
      </c>
      <c r="B194" t="inlineStr">
        <is>
          <t>[BC NEXT] 07.12.22 BC Next - Google Analytics 4</t>
        </is>
      </c>
      <c r="C194" t="inlineStr">
        <is>
          <t>2022-07-13</t>
        </is>
      </c>
      <c r="D194" t="inlineStr">
        <is>
          <t>BC Digital Wyvern</t>
        </is>
      </c>
      <c r="E194" t="inlineStr">
        <is>
          <t>28</t>
        </is>
      </c>
      <c r="F194" t="inlineStr">
        <is>
          <t>Sri Charan</t>
        </is>
      </c>
      <c r="G194" t="inlineStr">
        <is>
          <t>Deployed</t>
        </is>
      </c>
      <c r="H194" t="n">
        <v>3</v>
      </c>
      <c r="I194" t="b">
        <v>0</v>
      </c>
    </row>
    <row r="195">
      <c r="A195">
        <f>HYPERLINK("https://drivetime.tpondemand.com/entity/135018", "135018")</f>
        <v/>
      </c>
      <c r="B195" t="inlineStr">
        <is>
          <t>[BC NEXT] MFA Configuration</t>
        </is>
      </c>
      <c r="C195" t="inlineStr">
        <is>
          <t>2022-07-05</t>
        </is>
      </c>
      <c r="D195" t="inlineStr">
        <is>
          <t>BC Digital Wyvern</t>
        </is>
      </c>
      <c r="E195" t="inlineStr">
        <is>
          <t>27</t>
        </is>
      </c>
      <c r="F195" t="inlineStr">
        <is>
          <t>Isaac Ng</t>
        </is>
      </c>
      <c r="G195" t="inlineStr">
        <is>
          <t>Deployed</t>
        </is>
      </c>
      <c r="H195" t="n">
        <v>3</v>
      </c>
      <c r="I195" t="b">
        <v>0</v>
      </c>
    </row>
    <row r="196">
      <c r="A196">
        <f>HYPERLINK("https://drivetime.tpondemand.com/entity/134254", "134254")</f>
        <v/>
      </c>
      <c r="B196" t="inlineStr">
        <is>
          <t>[BC NEXT] 06.28.2022 New Registration Workflow &amp; related impersonation fix</t>
        </is>
      </c>
      <c r="C196" t="inlineStr">
        <is>
          <t>2022-06-28</t>
        </is>
      </c>
      <c r="D196" t="inlineStr">
        <is>
          <t>BC Digital Wyvern</t>
        </is>
      </c>
      <c r="E196" t="inlineStr">
        <is>
          <t>26</t>
        </is>
      </c>
      <c r="F196" t="inlineStr">
        <is>
          <t>Andrew Vu</t>
        </is>
      </c>
      <c r="G196" t="inlineStr">
        <is>
          <t>Deployed</t>
        </is>
      </c>
      <c r="H196" t="n">
        <v>6</v>
      </c>
      <c r="I196" t="b">
        <v>0</v>
      </c>
    </row>
    <row r="197">
      <c r="A197">
        <f>HYPERLINK("https://drivetime.tpondemand.com/entity/133872", "133872")</f>
        <v/>
      </c>
      <c r="B197" t="inlineStr">
        <is>
          <t>[BC NEXT] 06.13.2022 Ability to search for email without case sensitivity restrictions</t>
        </is>
      </c>
      <c r="C197" t="inlineStr">
        <is>
          <t>2022-06-13</t>
        </is>
      </c>
      <c r="D197" t="inlineStr">
        <is>
          <t>BC Digital Wyvern</t>
        </is>
      </c>
      <c r="E197" t="inlineStr">
        <is>
          <t>24</t>
        </is>
      </c>
      <c r="F197" t="inlineStr">
        <is>
          <t>Jajati Routray</t>
        </is>
      </c>
      <c r="G197" t="inlineStr">
        <is>
          <t>Deployed</t>
        </is>
      </c>
      <c r="H197" t="n">
        <v>0</v>
      </c>
      <c r="I197" t="b">
        <v>0</v>
      </c>
    </row>
    <row r="198">
      <c r="A198">
        <f>HYPERLINK("https://drivetime.tpondemand.com/entity/133366", "133366")</f>
        <v/>
      </c>
      <c r="B198" t="inlineStr">
        <is>
          <t>[BC NEXT] 06.07.2022 Dev/Loan Advisor Admin &amp; Bug Fixes</t>
        </is>
      </c>
      <c r="C198" t="inlineStr">
        <is>
          <t>2022-06-07</t>
        </is>
      </c>
      <c r="D198" t="inlineStr">
        <is>
          <t>BC Digital Wyvern</t>
        </is>
      </c>
      <c r="E198" t="inlineStr">
        <is>
          <t>23</t>
        </is>
      </c>
      <c r="F198" t="inlineStr">
        <is>
          <t>Jonathan Escamilla</t>
        </is>
      </c>
      <c r="G198" t="inlineStr">
        <is>
          <t>Deployed</t>
        </is>
      </c>
      <c r="H198" t="n">
        <v>6</v>
      </c>
      <c r="I198" t="b">
        <v>0</v>
      </c>
    </row>
    <row r="199">
      <c r="A199">
        <f>HYPERLINK("https://drivetime.tpondemand.com/entity/133298", "133298")</f>
        <v/>
      </c>
      <c r="B199" t="inlineStr">
        <is>
          <t>[BC NEXT] 06.03.2022 Impersonation: Analytic Events</t>
        </is>
      </c>
      <c r="C199" t="inlineStr">
        <is>
          <t>2022-06-03</t>
        </is>
      </c>
      <c r="D199" t="inlineStr">
        <is>
          <t>BC Digital Wyvern</t>
        </is>
      </c>
      <c r="E199" t="inlineStr">
        <is>
          <t>22</t>
        </is>
      </c>
      <c r="F199" t="inlineStr">
        <is>
          <t>Jonathan Escamilla</t>
        </is>
      </c>
      <c r="G199" t="inlineStr">
        <is>
          <t>Deployed</t>
        </is>
      </c>
      <c r="H199" t="n">
        <v>3</v>
      </c>
      <c r="I199" t="b">
        <v>0</v>
      </c>
    </row>
    <row r="200">
      <c r="A200">
        <f>HYPERLINK("https://drivetime.tpondemand.com/entity/133152", "133152")</f>
        <v/>
      </c>
      <c r="B200" t="inlineStr">
        <is>
          <t>[BC NEXT] 06.02.2022 Impersonation: Correlation ID + Fix UI banner alignment</t>
        </is>
      </c>
      <c r="C200" t="inlineStr">
        <is>
          <t>2022-06-02</t>
        </is>
      </c>
      <c r="D200" t="inlineStr">
        <is>
          <t>BC Digital Wyvern</t>
        </is>
      </c>
      <c r="E200" t="inlineStr">
        <is>
          <t>22</t>
        </is>
      </c>
      <c r="F200" t="inlineStr">
        <is>
          <t>Jajati Routray</t>
        </is>
      </c>
      <c r="G200" t="inlineStr">
        <is>
          <t>Deployed</t>
        </is>
      </c>
      <c r="H200" t="n">
        <v>3</v>
      </c>
      <c r="I200" t="b">
        <v>0</v>
      </c>
    </row>
    <row r="201">
      <c r="A201">
        <f>HYPERLINK("https://drivetime.tpondemand.com/entity/132477", "132477")</f>
        <v/>
      </c>
      <c r="B201" t="inlineStr">
        <is>
          <t>[BC NEXT] 05.27.2022 Impersonation: Delete User + Auto SSP Admin + Logout</t>
        </is>
      </c>
      <c r="C201" t="inlineStr">
        <is>
          <t>2022-05-27</t>
        </is>
      </c>
      <c r="D201" t="inlineStr">
        <is>
          <t>BC Digital Wyvern</t>
        </is>
      </c>
      <c r="E201" t="inlineStr">
        <is>
          <t>21</t>
        </is>
      </c>
      <c r="F201" t="inlineStr">
        <is>
          <t>Jajati Routray</t>
        </is>
      </c>
      <c r="G201" t="inlineStr">
        <is>
          <t>Deployed</t>
        </is>
      </c>
      <c r="H201" t="n">
        <v>9</v>
      </c>
      <c r="I201" t="b">
        <v>0</v>
      </c>
    </row>
    <row r="202">
      <c r="A202">
        <f>HYPERLINK("https://drivetime.tpondemand.com/entity/132267", "132267")</f>
        <v/>
      </c>
      <c r="B202" t="inlineStr">
        <is>
          <t>[BC NEXT] 05.26.2022 Impersonate &amp; Bio Auth Status</t>
        </is>
      </c>
      <c r="C202" t="inlineStr">
        <is>
          <t>2022-05-26</t>
        </is>
      </c>
      <c r="D202" t="inlineStr">
        <is>
          <t>BC Digital Wyvern</t>
        </is>
      </c>
      <c r="E202" t="inlineStr">
        <is>
          <t>21</t>
        </is>
      </c>
      <c r="F202" t="inlineStr">
        <is>
          <t>Jonathan Escamilla</t>
        </is>
      </c>
      <c r="G202" t="inlineStr">
        <is>
          <t>Deployed</t>
        </is>
      </c>
      <c r="H202" t="n">
        <v>7</v>
      </c>
      <c r="I202" t="b">
        <v>0</v>
      </c>
    </row>
    <row r="203">
      <c r="A203">
        <f>HYPERLINK("https://drivetime.tpondemand.com/entity/132574", "132574")</f>
        <v/>
      </c>
      <c r="B203" t="inlineStr">
        <is>
          <t>[BC NEXT] 05.23.2022 Delete User - Shared Loan Data API &amp; BCAPI</t>
        </is>
      </c>
      <c r="C203" t="inlineStr">
        <is>
          <t>2022-05-23</t>
        </is>
      </c>
      <c r="D203" t="inlineStr">
        <is>
          <t>BC Digital Wyvern</t>
        </is>
      </c>
      <c r="E203" t="inlineStr">
        <is>
          <t>21</t>
        </is>
      </c>
      <c r="F203" t="inlineStr">
        <is>
          <t>Sri Charan</t>
        </is>
      </c>
      <c r="G203" t="inlineStr">
        <is>
          <t>Deployed</t>
        </is>
      </c>
      <c r="H203" t="n">
        <v>0</v>
      </c>
      <c r="I203" t="b">
        <v>0</v>
      </c>
    </row>
    <row r="204">
      <c r="A204">
        <f>HYPERLINK("https://drivetime.tpondemand.com/entity/131894", "131894")</f>
        <v/>
      </c>
      <c r="B204" t="inlineStr">
        <is>
          <t>[BC NEXT] 05.12.22 Impersonation - Unlock profile</t>
        </is>
      </c>
      <c r="C204" t="inlineStr">
        <is>
          <t>2022-05-12</t>
        </is>
      </c>
      <c r="D204" t="inlineStr">
        <is>
          <t>BC Digital Wyvern</t>
        </is>
      </c>
      <c r="E204" t="inlineStr">
        <is>
          <t>19</t>
        </is>
      </c>
      <c r="F204" t="inlineStr">
        <is>
          <t>Sri Charan</t>
        </is>
      </c>
      <c r="G204" t="inlineStr">
        <is>
          <t>Deployed</t>
        </is>
      </c>
      <c r="H204" t="n">
        <v>2</v>
      </c>
      <c r="I204" t="b">
        <v>0</v>
      </c>
    </row>
    <row r="205">
      <c r="A205">
        <f>HYPERLINK("https://drivetime.tpondemand.com/entity/131728", "131728")</f>
        <v/>
      </c>
      <c r="B205" t="inlineStr">
        <is>
          <t>[BC NEXT] 05.10.22 Impersonation Manage Users &amp; pre-commit hook</t>
        </is>
      </c>
      <c r="C205" t="inlineStr">
        <is>
          <t>2022-05-11</t>
        </is>
      </c>
      <c r="D205" t="inlineStr">
        <is>
          <t>BC Digital Wyvern</t>
        </is>
      </c>
      <c r="E205" t="inlineStr">
        <is>
          <t>19</t>
        </is>
      </c>
      <c r="F205" t="inlineStr">
        <is>
          <t>Jonathan Escamilla</t>
        </is>
      </c>
      <c r="G205" t="inlineStr">
        <is>
          <t>Deployed</t>
        </is>
      </c>
      <c r="H205" t="n">
        <v>10</v>
      </c>
      <c r="I205" t="b">
        <v>0</v>
      </c>
    </row>
    <row r="206">
      <c r="A206">
        <f>HYPERLINK("https://drivetime.tpondemand.com/entity/130896", "130896")</f>
        <v/>
      </c>
      <c r="B206" t="inlineStr">
        <is>
          <t>[BC NEXT] 05.02.22 Login/Logout of BC Admin Portal</t>
        </is>
      </c>
      <c r="C206" t="inlineStr">
        <is>
          <t>2022-05-02</t>
        </is>
      </c>
      <c r="D206" t="inlineStr">
        <is>
          <t>BC Digital Wyvern</t>
        </is>
      </c>
      <c r="E206" t="inlineStr">
        <is>
          <t>18</t>
        </is>
      </c>
      <c r="F206" t="inlineStr">
        <is>
          <t>Andrew Vu</t>
        </is>
      </c>
      <c r="G206" t="inlineStr">
        <is>
          <t>Deployed</t>
        </is>
      </c>
      <c r="H206" t="n">
        <v>6</v>
      </c>
      <c r="I206" t="b">
        <v>0</v>
      </c>
    </row>
    <row r="207">
      <c r="A207">
        <f>HYPERLINK("https://drivetime.tpondemand.com/entity/130330", "130330")</f>
        <v/>
      </c>
      <c r="B207" t="inlineStr">
        <is>
          <t>[BC NEXT] 04.22.22 Build Optimize - Tests Import Paths</t>
        </is>
      </c>
      <c r="C207" t="inlineStr">
        <is>
          <t>2022-04-22</t>
        </is>
      </c>
      <c r="D207" t="inlineStr">
        <is>
          <t>BC Digital Wyvern</t>
        </is>
      </c>
      <c r="E207" t="inlineStr">
        <is>
          <t>16</t>
        </is>
      </c>
      <c r="F207" t="inlineStr">
        <is>
          <t>Jajati Routray</t>
        </is>
      </c>
      <c r="G207" t="inlineStr">
        <is>
          <t>Deployed</t>
        </is>
      </c>
      <c r="H207" t="n">
        <v>3</v>
      </c>
      <c r="I207" t="b">
        <v>0</v>
      </c>
    </row>
    <row r="208">
      <c r="A208">
        <f>HYPERLINK("https://drivetime.tpondemand.com/entity/129670", "129670")</f>
        <v/>
      </c>
      <c r="B208" t="inlineStr">
        <is>
          <t>[BC NEXT] BFF Server Swagger Deployment</t>
        </is>
      </c>
      <c r="C208" t="inlineStr">
        <is>
          <t>2022-04-19</t>
        </is>
      </c>
      <c r="D208" t="inlineStr">
        <is>
          <t>BC Digital Wyvern</t>
        </is>
      </c>
      <c r="E208" t="inlineStr">
        <is>
          <t>16</t>
        </is>
      </c>
      <c r="F208" t="inlineStr">
        <is>
          <t>Jonathan Escamilla</t>
        </is>
      </c>
      <c r="G208" t="inlineStr">
        <is>
          <t>Deployed</t>
        </is>
      </c>
      <c r="H208" t="n">
        <v>1</v>
      </c>
      <c r="I208" t="b">
        <v>0</v>
      </c>
    </row>
    <row r="209">
      <c r="A209">
        <f>HYPERLINK("https://drivetime.tpondemand.com/entity/129974", "129974")</f>
        <v/>
      </c>
      <c r="B209" t="inlineStr">
        <is>
          <t>[BC-NEXT] AutoPay Past Due</t>
        </is>
      </c>
      <c r="C209" t="inlineStr">
        <is>
          <t>2022-04-13</t>
        </is>
      </c>
      <c r="D209" t="inlineStr">
        <is>
          <t>BC Digital Wyvern</t>
        </is>
      </c>
      <c r="E209" t="inlineStr">
        <is>
          <t>15</t>
        </is>
      </c>
      <c r="F209" t="inlineStr">
        <is>
          <t>Jajati Routray</t>
        </is>
      </c>
      <c r="G209" t="inlineStr">
        <is>
          <t>Deployed</t>
        </is>
      </c>
      <c r="H209" t="n">
        <v>5</v>
      </c>
      <c r="I209" t="b">
        <v>0</v>
      </c>
    </row>
    <row r="210">
      <c r="A210">
        <f>HYPERLINK("https://drivetime.tpondemand.com/entity/129805", "129805")</f>
        <v/>
      </c>
      <c r="B210" t="inlineStr">
        <is>
          <t>[BC NEXT] [AUTO TEST] Manage Payments</t>
        </is>
      </c>
      <c r="C210" t="inlineStr">
        <is>
          <t>2022-04-11</t>
        </is>
      </c>
      <c r="D210" t="inlineStr">
        <is>
          <t>BC Digital Wyvern</t>
        </is>
      </c>
      <c r="E210" t="inlineStr">
        <is>
          <t>15</t>
        </is>
      </c>
      <c r="F210" t="inlineStr">
        <is>
          <t>Andrew Vu</t>
        </is>
      </c>
      <c r="G210" t="inlineStr">
        <is>
          <t>Deployed</t>
        </is>
      </c>
      <c r="H210" t="n">
        <v>5</v>
      </c>
      <c r="I210" t="b">
        <v>0</v>
      </c>
    </row>
    <row r="211">
      <c r="A211">
        <f>HYPERLINK("https://drivetime.tpondemand.com/entity/129373", "129373")</f>
        <v/>
      </c>
      <c r="B211" t="inlineStr">
        <is>
          <t>[BcNext][Auto-Tests] Privacy policy + Session timeout</t>
        </is>
      </c>
      <c r="C211" t="inlineStr">
        <is>
          <t>2022-04-01</t>
        </is>
      </c>
      <c r="D211" t="inlineStr">
        <is>
          <t>BC Digital Wyvern</t>
        </is>
      </c>
      <c r="E211" t="inlineStr">
        <is>
          <t>13</t>
        </is>
      </c>
      <c r="F211" t="inlineStr">
        <is>
          <t>Sri Charan</t>
        </is>
      </c>
      <c r="G211" t="inlineStr">
        <is>
          <t>Deployed</t>
        </is>
      </c>
      <c r="H211" t="n">
        <v>8</v>
      </c>
      <c r="I211" t="b">
        <v>0</v>
      </c>
    </row>
    <row r="212">
      <c r="A212">
        <f>HYPERLINK("https://drivetime.tpondemand.com/entity/129247", "129247")</f>
        <v/>
      </c>
      <c r="B212" t="inlineStr">
        <is>
          <t>[BC NEXT][AUTO TESTS] Auto pay</t>
        </is>
      </c>
      <c r="C212" t="inlineStr">
        <is>
          <t>2022-03-29</t>
        </is>
      </c>
      <c r="D212" t="inlineStr">
        <is>
          <t>BC Digital Wyvern</t>
        </is>
      </c>
      <c r="E212" t="inlineStr">
        <is>
          <t>13</t>
        </is>
      </c>
      <c r="F212" t="inlineStr">
        <is>
          <t>Jonathan Escamilla</t>
        </is>
      </c>
      <c r="G212" t="inlineStr">
        <is>
          <t>Deployed</t>
        </is>
      </c>
      <c r="H212" t="n">
        <v>5</v>
      </c>
      <c r="I212" t="b">
        <v>0</v>
      </c>
    </row>
    <row r="213">
      <c r="A213">
        <f>HYPERLINK("https://drivetime.tpondemand.com/entity/128896", "128896")</f>
        <v/>
      </c>
      <c r="B213" t="inlineStr">
        <is>
          <t>[BC Next][Auto tests] Manage bank accounts + Account settings</t>
        </is>
      </c>
      <c r="C213" t="inlineStr">
        <is>
          <t>2022-03-21</t>
        </is>
      </c>
      <c r="D213" t="inlineStr">
        <is>
          <t>BC Digital Wyvern</t>
        </is>
      </c>
      <c r="E213" t="inlineStr">
        <is>
          <t>12</t>
        </is>
      </c>
      <c r="F213" t="inlineStr">
        <is>
          <t>Sri Charan</t>
        </is>
      </c>
      <c r="G213" t="inlineStr">
        <is>
          <t>Deployed</t>
        </is>
      </c>
      <c r="H213" t="n">
        <v>6</v>
      </c>
      <c r="I213" t="b">
        <v>0</v>
      </c>
    </row>
    <row r="214">
      <c r="A214">
        <f>HYPERLINK("https://drivetime.tpondemand.com/entity/128579", "128579")</f>
        <v/>
      </c>
      <c r="B214" t="inlineStr">
        <is>
          <t>[BC NEXT][AUTPO TEST] Dashboard tests</t>
        </is>
      </c>
      <c r="C214" t="inlineStr">
        <is>
          <t>2022-03-15</t>
        </is>
      </c>
      <c r="D214" t="inlineStr">
        <is>
          <t>BC Digital Wyvern</t>
        </is>
      </c>
      <c r="E214" t="inlineStr">
        <is>
          <t>11</t>
        </is>
      </c>
      <c r="F214" t="inlineStr">
        <is>
          <t>Jajati Routray</t>
        </is>
      </c>
      <c r="G214" t="inlineStr">
        <is>
          <t>Deployed</t>
        </is>
      </c>
      <c r="H214" t="n">
        <v>5</v>
      </c>
      <c r="I214" t="b">
        <v>0</v>
      </c>
    </row>
    <row r="215">
      <c r="A215">
        <f>HYPERLINK("https://drivetime.tpondemand.com/entity/128386", "128386")</f>
        <v/>
      </c>
      <c r="B215" t="inlineStr">
        <is>
          <t>[BC NEXT][AUTO TEST] OTP review page</t>
        </is>
      </c>
      <c r="C215" t="inlineStr">
        <is>
          <t>2022-03-11</t>
        </is>
      </c>
      <c r="D215" t="inlineStr">
        <is>
          <t>BC Digital Wyvern</t>
        </is>
      </c>
      <c r="E215" t="inlineStr">
        <is>
          <t>10</t>
        </is>
      </c>
      <c r="F215" t="inlineStr">
        <is>
          <t>Unknown</t>
        </is>
      </c>
      <c r="G215" t="inlineStr">
        <is>
          <t>Deployed</t>
        </is>
      </c>
      <c r="H215" t="n">
        <v>3</v>
      </c>
      <c r="I215" t="b">
        <v>0</v>
      </c>
    </row>
    <row r="216">
      <c r="A216">
        <f>HYPERLINK("https://drivetime.tpondemand.com/entity/128286", "128286")</f>
        <v/>
      </c>
      <c r="B216" t="inlineStr">
        <is>
          <t>[BC NEXT][AUTO TESTS] Manage debit cards + Payment options</t>
        </is>
      </c>
      <c r="C216" t="inlineStr">
        <is>
          <t>2022-03-10</t>
        </is>
      </c>
      <c r="D216" t="inlineStr">
        <is>
          <t>BC Digital Wyvern</t>
        </is>
      </c>
      <c r="E216" t="inlineStr">
        <is>
          <t>10</t>
        </is>
      </c>
      <c r="F216" t="inlineStr">
        <is>
          <t>Sri Charan</t>
        </is>
      </c>
      <c r="G216" t="inlineStr">
        <is>
          <t>Deployed</t>
        </is>
      </c>
      <c r="H216" t="n">
        <v>6</v>
      </c>
      <c r="I216" t="b">
        <v>0</v>
      </c>
    </row>
    <row r="217">
      <c r="A217">
        <f>HYPERLINK("https://drivetime.tpondemand.com/entity/128035", "128035")</f>
        <v/>
      </c>
      <c r="B217" t="inlineStr">
        <is>
          <t>[MAR RC][BCNEXT] OTP Success page</t>
        </is>
      </c>
      <c r="C217" t="inlineStr">
        <is>
          <t>2022-03-02</t>
        </is>
      </c>
      <c r="D217" t="inlineStr">
        <is>
          <t>BC Digital Wyvern</t>
        </is>
      </c>
      <c r="E217" t="inlineStr">
        <is>
          <t>09</t>
        </is>
      </c>
      <c r="F217" t="inlineStr">
        <is>
          <t>Sri Charan</t>
        </is>
      </c>
      <c r="G217" t="inlineStr">
        <is>
          <t>Deployed</t>
        </is>
      </c>
      <c r="H217" t="n">
        <v>3</v>
      </c>
      <c r="I217" t="b">
        <v>0</v>
      </c>
    </row>
    <row r="218">
      <c r="A218">
        <f>HYPERLINK("https://drivetime.tpondemand.com/entity/127984", "127984")</f>
        <v/>
      </c>
      <c r="B218" t="inlineStr">
        <is>
          <t>[BC NEXT] Terms page</t>
        </is>
      </c>
      <c r="C218" t="inlineStr">
        <is>
          <t>2022-03-01</t>
        </is>
      </c>
      <c r="D218" t="inlineStr">
        <is>
          <t>BC Digital Wyvern</t>
        </is>
      </c>
      <c r="E218" t="inlineStr">
        <is>
          <t>09</t>
        </is>
      </c>
      <c r="F218" t="inlineStr">
        <is>
          <t>Andrew Vu</t>
        </is>
      </c>
      <c r="G218" t="inlineStr">
        <is>
          <t>Deployed</t>
        </is>
      </c>
      <c r="H218" t="n">
        <v>3</v>
      </c>
      <c r="I218" t="b">
        <v>0</v>
      </c>
    </row>
    <row r="219">
      <c r="A219">
        <f>HYPERLINK("https://drivetime.tpondemand.com/entity/127489", "127489")</f>
        <v/>
      </c>
      <c r="B219" t="inlineStr">
        <is>
          <t>[MAR RC] [BC NEXT] POC for current automation test</t>
        </is>
      </c>
      <c r="C219" t="inlineStr">
        <is>
          <t>2022-02-18</t>
        </is>
      </c>
      <c r="D219" t="inlineStr">
        <is>
          <t>BC Digital Wyvern</t>
        </is>
      </c>
      <c r="E219" t="inlineStr">
        <is>
          <t>07</t>
        </is>
      </c>
      <c r="F219" t="inlineStr">
        <is>
          <t>Jonathan Escamilla</t>
        </is>
      </c>
      <c r="G219" t="inlineStr">
        <is>
          <t>Deployed</t>
        </is>
      </c>
      <c r="H219" t="n">
        <v>3</v>
      </c>
      <c r="I219" t="b">
        <v>0</v>
      </c>
    </row>
    <row r="220">
      <c r="A220">
        <f>HYPERLINK("https://drivetime.tpondemand.com/entity/127378", "127378")</f>
        <v/>
      </c>
      <c r="B220" t="inlineStr">
        <is>
          <t>[BC NEXT][MARCH RC] 02.17.22 - Analytic Event Fix</t>
        </is>
      </c>
      <c r="C220" t="inlineStr">
        <is>
          <t>2022-02-17</t>
        </is>
      </c>
      <c r="D220" t="inlineStr">
        <is>
          <t>BC Digital Wyvern</t>
        </is>
      </c>
      <c r="E220" t="inlineStr">
        <is>
          <t>07</t>
        </is>
      </c>
      <c r="F220" t="inlineStr">
        <is>
          <t>Jajati Routray</t>
        </is>
      </c>
      <c r="G220" t="inlineStr">
        <is>
          <t>Deployed</t>
        </is>
      </c>
      <c r="H220" t="n">
        <v>2</v>
      </c>
      <c r="I220" t="b">
        <v>0</v>
      </c>
    </row>
    <row r="221">
      <c r="A221">
        <f>HYPERLINK("https://drivetime.tpondemand.com/entity/127042", "127042")</f>
        <v/>
      </c>
      <c r="B221" t="inlineStr">
        <is>
          <t>[FEB RC][BC NEXT] 02.09.22 - User stuck on login loop</t>
        </is>
      </c>
      <c r="C221" t="inlineStr">
        <is>
          <t>2022-02-09</t>
        </is>
      </c>
      <c r="D221" t="inlineStr">
        <is>
          <t>BC Digital Wyvern</t>
        </is>
      </c>
      <c r="E221" t="inlineStr">
        <is>
          <t>06</t>
        </is>
      </c>
      <c r="F221" t="inlineStr">
        <is>
          <t>Sri Charan</t>
        </is>
      </c>
      <c r="G221" t="inlineStr">
        <is>
          <t>Deployed</t>
        </is>
      </c>
      <c r="H221" t="n">
        <v>0</v>
      </c>
      <c r="I221" t="b">
        <v>0</v>
      </c>
    </row>
    <row r="222">
      <c r="A222">
        <f>HYPERLINK("https://drivetime.tpondemand.com/entity/127099", "127099")</f>
        <v/>
      </c>
      <c r="B222" t="inlineStr">
        <is>
          <t>[FEB RC][BC NEXT] 02.09.22 - Android/iOS compatibility</t>
        </is>
      </c>
      <c r="C222" t="inlineStr">
        <is>
          <t>2022-02-09</t>
        </is>
      </c>
      <c r="D222" t="inlineStr">
        <is>
          <t>BC Digital Wyvern</t>
        </is>
      </c>
      <c r="E222" t="inlineStr">
        <is>
          <t>06</t>
        </is>
      </c>
      <c r="F222" t="inlineStr">
        <is>
          <t>Jajati Routray</t>
        </is>
      </c>
      <c r="G222" t="inlineStr">
        <is>
          <t>Deployed</t>
        </is>
      </c>
      <c r="H222" t="n">
        <v>2</v>
      </c>
      <c r="I222" t="b">
        <v>0</v>
      </c>
    </row>
    <row r="223">
      <c r="A223">
        <f>HYPERLINK("https://drivetime.tpondemand.com/entity/126701", "126701")</f>
        <v/>
      </c>
      <c r="B223" t="inlineStr">
        <is>
          <t>[BC NEXT][MAR RC] 02.02.22 - Back end &amp; OTP exceptions</t>
        </is>
      </c>
      <c r="C223" t="inlineStr">
        <is>
          <t>2022-02-02</t>
        </is>
      </c>
      <c r="D223" t="inlineStr">
        <is>
          <t>BC Digital Wyvern</t>
        </is>
      </c>
      <c r="E223" t="inlineStr">
        <is>
          <t>05</t>
        </is>
      </c>
      <c r="F223" t="inlineStr">
        <is>
          <t>Jajati Routray</t>
        </is>
      </c>
      <c r="G223" t="inlineStr">
        <is>
          <t>Deployed</t>
        </is>
      </c>
      <c r="H223" t="n">
        <v>8</v>
      </c>
      <c r="I223" t="b">
        <v>0</v>
      </c>
    </row>
    <row r="224">
      <c r="A224">
        <f>HYPERLINK("https://drivetime.tpondemand.com/entity/126609", "126609")</f>
        <v/>
      </c>
      <c r="B224" t="inlineStr">
        <is>
          <t>[BC NEXT][FEB RC] Previous customer persisted</t>
        </is>
      </c>
      <c r="C224" t="inlineStr">
        <is>
          <t>2022-01-31</t>
        </is>
      </c>
      <c r="D224" t="inlineStr">
        <is>
          <t>BC Digital Wyvern</t>
        </is>
      </c>
      <c r="E224" t="inlineStr">
        <is>
          <t>05</t>
        </is>
      </c>
      <c r="F224" t="inlineStr">
        <is>
          <t>Sri Charan</t>
        </is>
      </c>
      <c r="G224" t="inlineStr">
        <is>
          <t>Deployed</t>
        </is>
      </c>
      <c r="H224" t="n">
        <v>3</v>
      </c>
      <c r="I224" t="b">
        <v>0</v>
      </c>
    </row>
    <row r="225">
      <c r="A225">
        <f>HYPERLINK("https://drivetime.tpondemand.com/entity/126102", "126102")</f>
        <v/>
      </c>
      <c r="B225" t="inlineStr">
        <is>
          <t>[BC NEXT][MAR RC] 01.25.22 - Log in/out &amp; PD AutoPay Exceptions</t>
        </is>
      </c>
      <c r="C225" t="inlineStr">
        <is>
          <t>2022-01-25</t>
        </is>
      </c>
      <c r="D225" t="inlineStr">
        <is>
          <t>BC Digital Wyvern</t>
        </is>
      </c>
      <c r="E225" t="inlineStr">
        <is>
          <t>04</t>
        </is>
      </c>
      <c r="F225" t="inlineStr">
        <is>
          <t>Sri Charan</t>
        </is>
      </c>
      <c r="G225" t="inlineStr">
        <is>
          <t>Deployed</t>
        </is>
      </c>
      <c r="H225" t="n">
        <v>6</v>
      </c>
      <c r="I225" t="b">
        <v>0</v>
      </c>
    </row>
    <row r="226">
      <c r="A226">
        <f>HYPERLINK("https://drivetime.tpondemand.com/entity/126101", "126101")</f>
        <v/>
      </c>
      <c r="B226" t="inlineStr">
        <is>
          <t>[BC NEXT][MAR RC] 02.21.22 - Dashboard &amp; Manage Debit &amp; Manage Bank exceptions</t>
        </is>
      </c>
      <c r="C226" t="inlineStr">
        <is>
          <t>2022-01-21</t>
        </is>
      </c>
      <c r="D226" t="inlineStr">
        <is>
          <t>BC Digital Wyvern</t>
        </is>
      </c>
      <c r="E226" t="inlineStr">
        <is>
          <t>03</t>
        </is>
      </c>
      <c r="F226" t="inlineStr">
        <is>
          <t>Unknown</t>
        </is>
      </c>
      <c r="G226" t="inlineStr">
        <is>
          <t>Deployed</t>
        </is>
      </c>
      <c r="H226" t="n">
        <v>6</v>
      </c>
      <c r="I226" t="b">
        <v>0</v>
      </c>
    </row>
    <row r="227">
      <c r="A227">
        <f>HYPERLINK("https://drivetime.tpondemand.com/entity/125729", "125729")</f>
        <v/>
      </c>
      <c r="B227" t="inlineStr">
        <is>
          <t>[BC NEXT] 01.14.21 - AutoPay Exception + GQL and Apolo</t>
        </is>
      </c>
      <c r="C227" t="inlineStr">
        <is>
          <t>2022-01-14</t>
        </is>
      </c>
      <c r="D227" t="inlineStr">
        <is>
          <t>BC Digital Wyvern</t>
        </is>
      </c>
      <c r="E227" t="inlineStr">
        <is>
          <t>02</t>
        </is>
      </c>
      <c r="F227" t="inlineStr">
        <is>
          <t>Namratha Chilukuri</t>
        </is>
      </c>
      <c r="G227" t="inlineStr">
        <is>
          <t>Deployed</t>
        </is>
      </c>
      <c r="H227" t="n">
        <v>8</v>
      </c>
      <c r="I227" t="b">
        <v>0</v>
      </c>
    </row>
    <row r="228">
      <c r="A228">
        <f>HYPERLINK("https://drivetime.tpondemand.com/entity/125088", "125088")</f>
        <v/>
      </c>
      <c r="B228" t="inlineStr">
        <is>
          <t>[BC NEXT] 01.10.22 - Bypass Auth0 Login</t>
        </is>
      </c>
      <c r="C228" t="inlineStr">
        <is>
          <t>2022-01-10</t>
        </is>
      </c>
      <c r="D228" t="inlineStr">
        <is>
          <t>BC Digital Wyvern</t>
        </is>
      </c>
      <c r="E228" t="inlineStr">
        <is>
          <t>02</t>
        </is>
      </c>
      <c r="F228" t="inlineStr">
        <is>
          <t>Sri Charan</t>
        </is>
      </c>
      <c r="G228" t="inlineStr">
        <is>
          <t>Deployed</t>
        </is>
      </c>
      <c r="H228" t="n">
        <v>3</v>
      </c>
      <c r="I228" t="b">
        <v>0</v>
      </c>
    </row>
    <row r="229">
      <c r="A229">
        <f>HYPERLINK("https://drivetime.tpondemand.com/entity/124764", "124764")</f>
        <v/>
      </c>
      <c r="B229" t="inlineStr">
        <is>
          <t>[BC NEXT] 12.22.21 - Launch Darkly User ID</t>
        </is>
      </c>
      <c r="C229" t="inlineStr">
        <is>
          <t>2021-12-22</t>
        </is>
      </c>
      <c r="D229" t="inlineStr">
        <is>
          <t>BC Digital Wyvern</t>
        </is>
      </c>
      <c r="E229" t="inlineStr">
        <is>
          <t>51</t>
        </is>
      </c>
      <c r="F229" t="inlineStr">
        <is>
          <t>Andrew Vu</t>
        </is>
      </c>
      <c r="G229" t="inlineStr">
        <is>
          <t>Deployed</t>
        </is>
      </c>
      <c r="H229" t="n">
        <v>3</v>
      </c>
      <c r="I229" t="b">
        <v>0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E9"/>
  <sheetViews>
    <sheetView workbookViewId="0">
      <selection activeCell="A6" sqref="A6"/>
    </sheetView>
  </sheetViews>
  <sheetFormatPr baseColWidth="8" defaultColWidth="11" defaultRowHeight="15.6"/>
  <cols>
    <col bestFit="1" customWidth="1" max="1" min="1" style="73" width="41.296875"/>
    <col bestFit="1" customWidth="1" max="2" min="2" style="73" width="15.19921875"/>
    <col bestFit="1" customWidth="1" max="3" min="3" style="73" width="15.796875"/>
    <col bestFit="1" customWidth="1" max="4" min="4" style="73" width="16"/>
    <col bestFit="1" customWidth="1" max="6" min="5" style="73" width="10.8984375"/>
  </cols>
  <sheetData>
    <row r="3">
      <c r="A3" s="1" t="inlineStr">
        <is>
          <t>Count of Project</t>
        </is>
      </c>
      <c r="B3" s="1" t="inlineStr">
        <is>
          <t>Column Labels</t>
        </is>
      </c>
    </row>
    <row r="4">
      <c r="A4" s="1" t="inlineStr">
        <is>
          <t>Row Labels</t>
        </is>
      </c>
      <c r="B4" t="inlineStr">
        <is>
          <t>BC Digital Comet</t>
        </is>
      </c>
      <c r="C4" t="inlineStr">
        <is>
          <t>BC Digital Drakon</t>
        </is>
      </c>
      <c r="D4" t="inlineStr">
        <is>
          <t>BC Digital Wyvern</t>
        </is>
      </c>
      <c r="E4" t="inlineStr">
        <is>
          <t>Grand Total</t>
        </is>
      </c>
    </row>
    <row r="5">
      <c r="A5" s="2" t="inlineStr">
        <is>
          <t>BC Digital - 1:1:1</t>
        </is>
      </c>
      <c r="B5" t="n">
        <v>15</v>
      </c>
      <c r="D5" t="n">
        <v>1</v>
      </c>
      <c r="E5" t="n">
        <v>16</v>
      </c>
    </row>
    <row r="6">
      <c r="A6" s="2" t="inlineStr">
        <is>
          <t>Bridgecrest Experimentation</t>
        </is>
      </c>
      <c r="B6" t="n">
        <v>2</v>
      </c>
      <c r="C6" t="n">
        <v>4</v>
      </c>
      <c r="E6" t="n">
        <v>6</v>
      </c>
    </row>
    <row r="7">
      <c r="A7" s="2" t="inlineStr">
        <is>
          <t>Servicing: BC Next</t>
        </is>
      </c>
      <c r="B7" t="n">
        <v>87</v>
      </c>
      <c r="C7" t="n">
        <v>458</v>
      </c>
      <c r="D7" t="n">
        <v>147</v>
      </c>
      <c r="E7" t="n">
        <v>692</v>
      </c>
    </row>
    <row r="8">
      <c r="A8" s="2" t="inlineStr">
        <is>
          <t>BC Digital - Ongoing Fixes and Enhancements</t>
        </is>
      </c>
      <c r="B8" t="n">
        <v>54</v>
      </c>
      <c r="C8" t="n">
        <v>48</v>
      </c>
      <c r="D8" t="n">
        <v>18</v>
      </c>
      <c r="E8" t="n">
        <v>120</v>
      </c>
    </row>
    <row r="9">
      <c r="A9" s="2" t="inlineStr">
        <is>
          <t>Grand Total</t>
        </is>
      </c>
      <c r="B9" t="n">
        <v>158</v>
      </c>
      <c r="C9" t="n">
        <v>510</v>
      </c>
      <c r="D9" t="n">
        <v>166</v>
      </c>
      <c r="E9" t="n">
        <v>834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E33"/>
  <sheetViews>
    <sheetView workbookViewId="0">
      <selection activeCell="A43" sqref="A43"/>
    </sheetView>
  </sheetViews>
  <sheetFormatPr baseColWidth="8" defaultColWidth="11" defaultRowHeight="15.6"/>
  <cols>
    <col bestFit="1" customWidth="1" max="1" min="1" style="73" width="62.3984375"/>
    <col bestFit="1" customWidth="1" max="2" min="2" style="73" width="17"/>
    <col bestFit="1" customWidth="1" max="3" min="3" style="73" width="12.59765625"/>
    <col bestFit="1" customWidth="1" max="4" min="4" style="73" width="14.59765625"/>
  </cols>
  <sheetData>
    <row r="2">
      <c r="A2" s="1" t="inlineStr">
        <is>
          <t>Team</t>
        </is>
      </c>
      <c r="B2" t="inlineStr">
        <is>
          <t>BC Digital Comet</t>
        </is>
      </c>
    </row>
    <row r="4">
      <c r="A4" s="1" t="inlineStr">
        <is>
          <t>Row Labels</t>
        </is>
      </c>
      <c r="E4" t="inlineStr">
        <is>
          <t>In Plan</t>
        </is>
      </c>
    </row>
    <row r="5">
      <c r="A5" s="2" t="inlineStr">
        <is>
          <t>[BC NEXT] App Launch Communications</t>
        </is>
      </c>
      <c r="C5" s="3" t="n"/>
      <c r="E5" t="n">
        <v>1</v>
      </c>
    </row>
    <row r="6">
      <c r="A6" s="2" t="inlineStr">
        <is>
          <t>[BC NEXT] Introduce Smart App Banner to BC Next</t>
        </is>
      </c>
      <c r="C6" s="3" t="n"/>
      <c r="E6" t="n">
        <v>1</v>
      </c>
    </row>
    <row r="7">
      <c r="A7" s="2" t="inlineStr">
        <is>
          <t>[BC NEXT] Prior to Launch Tech Investment</t>
        </is>
      </c>
      <c r="C7" s="3" t="n"/>
      <c r="E7" t="n">
        <v>0</v>
      </c>
    </row>
    <row r="8">
      <c r="A8" s="2" t="inlineStr">
        <is>
          <t>[BC NEXT] Push Notifications Research</t>
        </is>
      </c>
      <c r="C8" s="3" t="n"/>
      <c r="E8" t="n">
        <v>0</v>
      </c>
    </row>
    <row r="9">
      <c r="A9" s="2" t="inlineStr">
        <is>
          <t>[BC NEXT] Regression Testing &amp; App Bug Fixes</t>
        </is>
      </c>
      <c r="C9" s="3" t="n"/>
      <c r="E9" t="n">
        <v>0</v>
      </c>
    </row>
    <row r="10">
      <c r="A10" s="2" t="inlineStr">
        <is>
          <t>[BC NEXT] TWT Widget</t>
        </is>
      </c>
      <c r="C10" s="3" t="n"/>
      <c r="E10" t="n">
        <v>1</v>
      </c>
    </row>
    <row r="11">
      <c r="A11" s="2" t="inlineStr">
        <is>
          <t>[BC NEXT]Phase 3: Manage Modifications and Plan to Cure Banners</t>
        </is>
      </c>
      <c r="C11" s="3" t="n"/>
      <c r="E11" t="n">
        <v>1</v>
      </c>
    </row>
    <row r="12">
      <c r="A12" s="2" t="inlineStr">
        <is>
          <t>[BC NEXT]Phase 3: Manage Modifications Page</t>
        </is>
      </c>
      <c r="C12" s="3" t="n"/>
      <c r="E12" t="n">
        <v>1</v>
      </c>
    </row>
    <row r="13">
      <c r="A13" s="2" t="inlineStr">
        <is>
          <t>[BC] 2022 Tax Time Communication (Emails and SSP)</t>
        </is>
      </c>
      <c r="C13" s="3" t="n"/>
      <c r="E13" t="n">
        <v>0</v>
      </c>
    </row>
    <row r="14">
      <c r="A14" s="2" t="inlineStr">
        <is>
          <t>1:1:1 Phase 1 - Technical Research</t>
        </is>
      </c>
      <c r="C14" s="3" t="n"/>
      <c r="E14" t="n">
        <v>1</v>
      </c>
    </row>
    <row r="15">
      <c r="A15" s="2" t="inlineStr">
        <is>
          <t>App/Web Launch Communications</t>
        </is>
      </c>
      <c r="C15" s="3" t="n"/>
      <c r="E15" t="n">
        <v>1</v>
      </c>
    </row>
    <row r="16">
      <c r="A16" s="2" t="inlineStr">
        <is>
          <t>CSO Email Multivariate Testing Phase 1</t>
        </is>
      </c>
      <c r="C16" s="3" t="n"/>
      <c r="E16" t="n">
        <v>1</v>
      </c>
    </row>
    <row r="17">
      <c r="A17" s="2" t="inlineStr">
        <is>
          <t>CSO Email Multivariate Testing Phase 2</t>
        </is>
      </c>
      <c r="C17" s="3" t="n"/>
      <c r="E17" t="n">
        <v>1</v>
      </c>
    </row>
    <row r="18">
      <c r="A18" s="2" t="inlineStr">
        <is>
          <t>Redesign Extension and Payment Frequency Communication Experience</t>
        </is>
      </c>
      <c r="C18" s="3" t="n"/>
    </row>
    <row r="19">
      <c r="A19" s="2" t="inlineStr">
        <is>
          <t>Register Email Deep Linking</t>
        </is>
      </c>
      <c r="C19" s="3" t="n"/>
    </row>
    <row r="20">
      <c r="A20" s="2" t="inlineStr">
        <is>
          <t>Grand Total</t>
        </is>
      </c>
      <c r="C20" s="3" t="n"/>
    </row>
    <row r="21">
      <c r="C21" s="3" t="n"/>
    </row>
    <row r="22">
      <c r="C22" s="3" t="n"/>
    </row>
    <row r="23">
      <c r="C23" s="3" t="n"/>
    </row>
    <row r="24">
      <c r="C24" s="3" t="n"/>
      <c r="D24" t="inlineStr">
        <is>
          <t>Total Planned</t>
        </is>
      </c>
      <c r="E24">
        <f>SUMIF(E5:E17,"=1",B5:B17)</f>
        <v/>
      </c>
    </row>
    <row r="25">
      <c r="C25" s="3" t="n"/>
      <c r="D25" t="inlineStr">
        <is>
          <t>Total Unplanned</t>
        </is>
      </c>
      <c r="E25">
        <f>SUMIF(E5:E17,"=0",B5:B17)</f>
        <v/>
      </c>
    </row>
    <row r="26">
      <c r="C26" s="3" t="n"/>
    </row>
    <row r="27">
      <c r="C27" s="3" t="n"/>
    </row>
    <row r="28">
      <c r="C28" s="3" t="n"/>
    </row>
    <row r="29">
      <c r="C29" s="3" t="n"/>
    </row>
    <row r="30">
      <c r="C30" s="3" t="n"/>
    </row>
    <row r="31">
      <c r="C31" s="3" t="n"/>
    </row>
    <row r="32">
      <c r="C32" s="3" t="n"/>
    </row>
    <row r="33">
      <c r="C33" s="3" t="n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5"/>
  <sheetViews>
    <sheetView workbookViewId="0">
      <selection activeCell="B3" sqref="B3"/>
    </sheetView>
  </sheetViews>
  <sheetFormatPr baseColWidth="8" defaultColWidth="17.69921875" defaultRowHeight="15.6"/>
  <cols>
    <col customWidth="1" max="2" min="2" style="73" width="22.3984375"/>
    <col customWidth="1" max="3" min="3" style="73" width="28"/>
    <col customWidth="1" max="6" min="6" style="73" width="19.8984375"/>
  </cols>
  <sheetData>
    <row customHeight="1" ht="18.6" r="1" s="73">
      <c r="A1" s="4" t="inlineStr">
        <is>
          <t>Outages in Past Week (Everyone)</t>
        </is>
      </c>
    </row>
    <row customHeight="1" ht="31.95" r="2" s="73">
      <c r="A2" s="6" t="n"/>
      <c r="B2" s="60" t="inlineStr">
        <is>
          <t>Date</t>
        </is>
      </c>
      <c r="C2" s="60" t="inlineStr">
        <is>
          <t>Description</t>
        </is>
      </c>
      <c r="D2" s="60" t="inlineStr">
        <is>
          <t>Severity</t>
        </is>
      </c>
      <c r="E2" s="60" t="inlineStr">
        <is>
          <t>Mean Time to Recover (minutes)</t>
        </is>
      </c>
      <c r="F2" s="60" t="inlineStr">
        <is>
          <t>Notes</t>
        </is>
      </c>
    </row>
    <row customHeight="1" ht="213" r="3" s="73">
      <c r="B3" s="61" t="n">
        <v>44924</v>
      </c>
      <c r="C3" s="59" t="inlineStr">
        <is>
          <t>We started receiving alerts on bridgecrest.com around 7:44 AM and we were not able to login to the dashboard.</t>
        </is>
      </c>
      <c r="D3" s="62" t="inlineStr">
        <is>
          <t>High</t>
        </is>
      </c>
      <c r="E3" s="62" t="n">
        <v>20</v>
      </c>
      <c r="F3" s="63" t="inlineStr">
        <is>
          <t>DB Devs and other managers got onto a call. It looked like multiple systems were affected. The flags were flipped from 8:04AM - 8:08AM on bridgecrest.com and iOS and android apps. We noticed there was a spike on sharedloan database that might have caused the issue. It recovered a few minutes later (8:07 AM).</t>
        </is>
      </c>
    </row>
    <row r="4">
      <c r="B4" s="17" t="n"/>
      <c r="C4" s="16" t="n"/>
      <c r="D4" s="16" t="n"/>
      <c r="E4" s="16" t="n"/>
      <c r="F4" s="16" t="n"/>
    </row>
    <row customHeight="1" ht="18" r="6" s="73">
      <c r="A6" s="5" t="inlineStr">
        <is>
          <t>Metrics (Venkat/Ari/Sunil)</t>
        </is>
      </c>
    </row>
    <row customHeight="1" ht="18" r="7" s="73">
      <c r="A7" s="5" t="n"/>
      <c r="B7" s="9" t="inlineStr">
        <is>
          <t>Drakon</t>
        </is>
      </c>
    </row>
    <row r="8">
      <c r="B8" s="9" t="inlineStr">
        <is>
          <t>Comet</t>
        </is>
      </c>
    </row>
    <row r="9">
      <c r="B9" s="9" t="inlineStr">
        <is>
          <t>Wyvern</t>
        </is>
      </c>
    </row>
    <row r="10">
      <c r="B10" s="9" t="n"/>
    </row>
    <row customHeight="1" ht="18.6" r="12" s="73">
      <c r="A12" s="4" t="inlineStr">
        <is>
          <t>Projects / Efforts (Kammi/Roxanne)</t>
        </is>
      </c>
    </row>
    <row customHeight="1" ht="31.95" r="13" s="73">
      <c r="A13" s="6" t="n"/>
      <c r="B13" s="60" t="inlineStr">
        <is>
          <t>Project</t>
        </is>
      </c>
      <c r="C13" s="60" t="inlineStr">
        <is>
          <t>Team(s)</t>
        </is>
      </c>
      <c r="D13" s="60" t="inlineStr">
        <is>
          <t>Stage</t>
        </is>
      </c>
      <c r="E13" s="60" t="inlineStr">
        <is>
          <t>Risk Level (R/Y/G)</t>
        </is>
      </c>
      <c r="F13" s="60" t="inlineStr">
        <is>
          <t>Current Planned Deployment Date</t>
        </is>
      </c>
      <c r="G13" s="60" t="inlineStr">
        <is>
          <t>Original Deployment Date</t>
        </is>
      </c>
      <c r="H13" s="60" t="inlineStr">
        <is>
          <t>Updates / Changes since last week</t>
        </is>
      </c>
    </row>
    <row customHeight="1" ht="63" r="14" s="73">
      <c r="B14" s="64" t="inlineStr">
        <is>
          <t>My Profile</t>
        </is>
      </c>
      <c r="C14" s="64" t="inlineStr">
        <is>
          <t>Drakon</t>
        </is>
      </c>
      <c r="D14" s="64" t="inlineStr">
        <is>
          <t>Development</t>
        </is>
      </c>
      <c r="E14" s="65" t="inlineStr">
        <is>
          <t>Yellow</t>
        </is>
      </c>
      <c r="F14" s="66" t="n">
        <v>44951</v>
      </c>
      <c r="G14" s="66" t="n">
        <v>44895</v>
      </c>
      <c r="H14" s="67" t="inlineStr">
        <is>
          <t>Not really at risk, but reduced scope on initial delivery to get out sooner</t>
        </is>
      </c>
    </row>
    <row customHeight="1" ht="31.95" r="15" s="73">
      <c r="B15" s="64" t="inlineStr">
        <is>
          <t>Payment Plan</t>
        </is>
      </c>
      <c r="C15" s="64" t="inlineStr">
        <is>
          <t>Drakon</t>
        </is>
      </c>
      <c r="D15" s="64" t="inlineStr">
        <is>
          <t>Development</t>
        </is>
      </c>
      <c r="E15" s="68" t="inlineStr">
        <is>
          <t>Green</t>
        </is>
      </c>
      <c r="F15" s="66" t="n">
        <v>44909</v>
      </c>
      <c r="G15" s="66" t="n">
        <v>44895</v>
      </c>
      <c r="H15" s="64" t="inlineStr">
        <is>
          <t>No change from last week</t>
        </is>
      </c>
    </row>
    <row customHeight="1" ht="109.95" r="16" s="73">
      <c r="B16" s="64" t="inlineStr">
        <is>
          <t>FullStory</t>
        </is>
      </c>
      <c r="C16" s="64" t="inlineStr">
        <is>
          <t>Wyvern</t>
        </is>
      </c>
      <c r="D16" s="64" t="inlineStr">
        <is>
          <t>Development</t>
        </is>
      </c>
      <c r="E16" s="65" t="inlineStr">
        <is>
          <t>Yellow</t>
        </is>
      </c>
      <c r="F16" s="66" t="n">
        <v>44923</v>
      </c>
      <c r="G16" s="66" t="n">
        <v>44895</v>
      </c>
      <c r="H16" s="69" t="inlineStr">
        <is>
          <t>-Early Warning.  Found drop down from phones are unable to be masked.  Need assistance from Fullstory</t>
        </is>
      </c>
    </row>
    <row customHeight="1" ht="63" r="17" s="73">
      <c r="A17" s="6" t="n"/>
      <c r="B17" s="64" t="inlineStr">
        <is>
          <t>Expose CO to BC Next</t>
        </is>
      </c>
      <c r="C17" s="64" t="inlineStr">
        <is>
          <t>Wyvern</t>
        </is>
      </c>
      <c r="D17" s="64" t="inlineStr">
        <is>
          <t>Development</t>
        </is>
      </c>
      <c r="E17" s="68" t="inlineStr">
        <is>
          <t>Green</t>
        </is>
      </c>
      <c r="F17" s="66" t="n">
        <v>44923</v>
      </c>
      <c r="G17" s="66" t="n">
        <v>44909</v>
      </c>
      <c r="H17" s="64" t="inlineStr">
        <is>
          <t>Talked through execution plan and are currently on track</t>
        </is>
      </c>
    </row>
    <row customHeight="1" ht="203.4" r="18" s="73">
      <c r="A18" s="6" t="n"/>
      <c r="B18" s="64" t="inlineStr">
        <is>
          <t>Assigned Repo Text</t>
        </is>
      </c>
      <c r="C18" s="64" t="inlineStr">
        <is>
          <t>Comet</t>
        </is>
      </c>
      <c r="D18" s="64" t="inlineStr">
        <is>
          <t>Development</t>
        </is>
      </c>
      <c r="E18" s="68" t="inlineStr">
        <is>
          <t>Green</t>
        </is>
      </c>
      <c r="F18" s="66" t="n">
        <v>44923</v>
      </c>
      <c r="G18" s="66" t="n">
        <v>44895</v>
      </c>
      <c r="H18" s="69" t="inlineStr">
        <is>
          <t>- Back on track
- Although development will be complete before or on 12/28, deployment will occur 1/3</t>
        </is>
      </c>
    </row>
    <row customHeight="1" ht="125.4" r="19" s="73">
      <c r="A19" s="6" t="n"/>
      <c r="B19" s="64" t="inlineStr">
        <is>
          <t>TWT Widget</t>
        </is>
      </c>
      <c r="C19" s="64" t="inlineStr">
        <is>
          <t>Comet</t>
        </is>
      </c>
      <c r="D19" s="64" t="inlineStr">
        <is>
          <t>Development</t>
        </is>
      </c>
      <c r="E19" s="68" t="inlineStr">
        <is>
          <t>Green</t>
        </is>
      </c>
      <c r="F19" s="66" t="n">
        <v>44923</v>
      </c>
      <c r="G19" s="66" t="n">
        <v>44909</v>
      </c>
      <c r="H19" s="69" t="inlineStr">
        <is>
          <t>- Committed to completely existing items by end of year</t>
        </is>
      </c>
    </row>
    <row customHeight="1" ht="16.2" r="20" s="73">
      <c r="A20" s="6" t="n"/>
      <c r="B20" s="64" t="inlineStr">
        <is>
          <t>Privacy Policy</t>
        </is>
      </c>
      <c r="C20" s="64" t="inlineStr">
        <is>
          <t>Comet</t>
        </is>
      </c>
      <c r="D20" s="64" t="inlineStr">
        <is>
          <t>Development</t>
        </is>
      </c>
      <c r="E20" s="68" t="inlineStr">
        <is>
          <t>Green</t>
        </is>
      </c>
      <c r="F20" s="66" t="n">
        <v>44909</v>
      </c>
      <c r="G20" s="66" t="n">
        <v>44909</v>
      </c>
      <c r="H20" s="68" t="inlineStr">
        <is>
          <t>Done</t>
        </is>
      </c>
    </row>
    <row customHeight="1" ht="78.59999999999999" r="21" s="73">
      <c r="A21" s="6" t="n"/>
      <c r="B21" s="64" t="inlineStr">
        <is>
          <t>Customer Support Center</t>
        </is>
      </c>
      <c r="C21" s="64" t="inlineStr">
        <is>
          <t>Drakon</t>
        </is>
      </c>
      <c r="D21" s="64" t="inlineStr">
        <is>
          <t>Development</t>
        </is>
      </c>
      <c r="E21" s="65" t="inlineStr">
        <is>
          <t>Yellow</t>
        </is>
      </c>
      <c r="F21" s="66" t="n">
        <v>44951</v>
      </c>
      <c r="G21" s="66" t="n">
        <v>44923</v>
      </c>
      <c r="H21" s="67" t="inlineStr">
        <is>
          <t>Not really at risk, but reduced scope on initial delivery to get out sooner</t>
        </is>
      </c>
    </row>
    <row customHeight="1" ht="18.6" r="23" s="73">
      <c r="A23" s="4" t="inlineStr">
        <is>
          <t>Risks (Everyone)</t>
        </is>
      </c>
    </row>
    <row customHeight="1" ht="31.95" r="24" s="73">
      <c r="A24" s="6" t="n"/>
      <c r="B24" s="60" t="inlineStr">
        <is>
          <t>Date Added</t>
        </is>
      </c>
      <c r="C24" s="60" t="inlineStr">
        <is>
          <t>Project</t>
        </is>
      </c>
      <c r="D24" s="60" t="inlineStr">
        <is>
          <t>Risk</t>
        </is>
      </c>
      <c r="E24" s="60" t="inlineStr">
        <is>
          <t>Likelihood</t>
        </is>
      </c>
      <c r="F24" s="60" t="inlineStr">
        <is>
          <t>Severity</t>
        </is>
      </c>
      <c r="G24" s="60" t="inlineStr">
        <is>
          <t>Status</t>
        </is>
      </c>
      <c r="H24" s="60" t="inlineStr">
        <is>
          <t>Owner</t>
        </is>
      </c>
      <c r="I24" s="60" t="inlineStr">
        <is>
          <t>Mitigation Plan / Assistance Needed</t>
        </is>
      </c>
      <c r="J24" s="70" t="inlineStr">
        <is>
          <t>Solution</t>
        </is>
      </c>
    </row>
    <row customHeight="1" ht="47.4" r="25" s="73">
      <c r="B25" s="71" t="n">
        <v>44914</v>
      </c>
      <c r="C25" s="67" t="inlineStr">
        <is>
          <t>Plan to Cure</t>
        </is>
      </c>
      <c r="D25" s="67" t="inlineStr">
        <is>
          <t>Missed AC during development</t>
        </is>
      </c>
      <c r="E25" s="72" t="inlineStr">
        <is>
          <t>Low</t>
        </is>
      </c>
      <c r="F25" s="67" t="inlineStr">
        <is>
          <t>High</t>
        </is>
      </c>
      <c r="G25" s="67" t="inlineStr">
        <is>
          <t>Open</t>
        </is>
      </c>
      <c r="H25" s="67" t="inlineStr">
        <is>
          <t>Ari</t>
        </is>
      </c>
      <c r="I25" s="67" t="inlineStr">
        <is>
          <t>Engineer working on solution right now</t>
        </is>
      </c>
      <c r="J25" s="67" t="inlineStr">
        <is>
          <t>Engineer working on solution right now</t>
        </is>
      </c>
    </row>
    <row r="26">
      <c r="B26" s="15" t="n"/>
      <c r="C26" s="16" t="n"/>
      <c r="D26" s="16" t="n"/>
      <c r="E26" s="16" t="n"/>
      <c r="F26" s="16" t="n"/>
      <c r="G26" s="16" t="n"/>
      <c r="H26" s="16" t="n"/>
      <c r="I26" s="16" t="n"/>
    </row>
    <row r="27">
      <c r="B27" s="15" t="n"/>
      <c r="C27" s="16" t="n"/>
      <c r="D27" s="16" t="n"/>
      <c r="E27" s="16" t="n"/>
      <c r="F27" s="16" t="n"/>
      <c r="G27" s="16" t="n"/>
      <c r="H27" s="16" t="n"/>
      <c r="I27" s="16" t="n"/>
    </row>
    <row customHeight="1" ht="18" r="28" s="73">
      <c r="A28" s="4" t="inlineStr">
        <is>
          <t>Highlighted Wins (Everyone)</t>
        </is>
      </c>
    </row>
    <row r="29">
      <c r="B29" s="14" t="inlineStr">
        <is>
          <t>Shoutouts!</t>
        </is>
      </c>
    </row>
    <row r="31">
      <c r="B31" s="2" t="n"/>
    </row>
    <row customHeight="1" ht="18" r="32" s="73">
      <c r="A32" s="4" t="inlineStr">
        <is>
          <t>Team / People Updates (Everyone)</t>
        </is>
      </c>
    </row>
    <row customHeight="1" ht="18" r="33" s="73">
      <c r="A33" s="4" t="n"/>
      <c r="B33" t="inlineStr">
        <is>
          <t>New Team Structure - 3 teams, 5/5/2 - Starts tomorrow!</t>
        </is>
      </c>
    </row>
    <row r="34">
      <c r="B34" s="20" t="inlineStr">
        <is>
          <t>Comet</t>
        </is>
      </c>
    </row>
    <row r="37">
      <c r="B37" s="20" t="inlineStr">
        <is>
          <t>Drakon</t>
        </is>
      </c>
    </row>
    <row r="40">
      <c r="B40" s="20" t="inlineStr">
        <is>
          <t>Wyvern</t>
        </is>
      </c>
    </row>
    <row r="41">
      <c r="C41" t="inlineStr">
        <is>
          <t>Working on TargetProcess setup</t>
        </is>
      </c>
    </row>
    <row customHeight="1" ht="18" r="44" s="73">
      <c r="A44" s="5" t="inlineStr">
        <is>
          <t>Upcoming Projects (Kammi/Roxanne)</t>
        </is>
      </c>
    </row>
    <row r="45">
      <c r="B45" t="inlineStr">
        <is>
          <t>Show ClickUp</t>
        </is>
      </c>
    </row>
    <row r="46">
      <c r="B46" t="inlineStr">
        <is>
          <t>https://app.clickup.com/login/sso</t>
        </is>
      </c>
    </row>
    <row customHeight="1" ht="18" r="49" s="73">
      <c r="A49" s="5" t="inlineStr">
        <is>
          <t>Usage Statistics</t>
        </is>
      </c>
    </row>
    <row r="50">
      <c r="B50" t="inlineStr">
        <is>
          <t>Ari - App Statistics</t>
        </is>
      </c>
    </row>
    <row r="51">
      <c r="B51" t="inlineStr">
        <is>
          <t>Ari - Azure App Insights</t>
        </is>
      </c>
    </row>
    <row r="52">
      <c r="B52" t="inlineStr">
        <is>
          <t>Ari - DataDog</t>
        </is>
      </c>
    </row>
    <row customHeight="1" ht="18" r="55" s="73">
      <c r="A55" s="5" t="inlineStr">
        <is>
          <t>Next Meeting</t>
        </is>
      </c>
    </row>
  </sheetData>
  <hyperlinks>
    <hyperlink display="Drakon" location="TeamMetrics!A4" ref="B7"/>
    <hyperlink display="Comet" location="TeamMetrics!A18" ref="B8"/>
    <hyperlink display="Wyvern" location="TeamMetrics!A32" ref="B9"/>
  </hyperlinks>
  <pageMargins bottom="0.75" footer="0.3" header="0.3" left="0.7" right="0.7" top="0.75"/>
  <pageSetup horizontalDpi="4294967293" orientation="portrait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60"/>
  <sheetViews>
    <sheetView topLeftCell="A12" workbookViewId="0">
      <selection activeCell="J14" sqref="J14:L14"/>
    </sheetView>
  </sheetViews>
  <sheetFormatPr baseColWidth="8" defaultColWidth="17.69921875" defaultRowHeight="15.6"/>
  <cols>
    <col customWidth="1" max="2" min="2" style="73" width="22.3984375"/>
  </cols>
  <sheetData>
    <row customHeight="1" ht="18.6" r="1" s="73" thickBot="1">
      <c r="A1" s="4" t="inlineStr">
        <is>
          <t>Outages in Past Week (Everyone)</t>
        </is>
      </c>
    </row>
    <row customHeight="1" ht="31.95" r="2" s="73" thickBot="1">
      <c r="A2" s="6" t="n"/>
      <c r="B2" s="7" t="inlineStr">
        <is>
          <t>Date</t>
        </is>
      </c>
      <c r="C2" s="7" t="inlineStr">
        <is>
          <t>Description</t>
        </is>
      </c>
      <c r="D2" s="7" t="inlineStr">
        <is>
          <t>Severity</t>
        </is>
      </c>
      <c r="E2" s="7" t="inlineStr">
        <is>
          <t>Mean Time to Recover (minutes)</t>
        </is>
      </c>
      <c r="F2" s="7" t="inlineStr">
        <is>
          <t>Notes</t>
        </is>
      </c>
    </row>
    <row customHeight="1" ht="16.2" r="3" s="73" thickBot="1">
      <c r="B3" s="18" t="inlineStr">
        <is>
          <t>N/A</t>
        </is>
      </c>
      <c r="C3" s="8" t="n"/>
      <c r="D3" s="8" t="n"/>
      <c r="E3" s="8" t="n"/>
      <c r="F3" s="8" t="n"/>
    </row>
    <row r="4">
      <c r="B4" s="17" t="n"/>
      <c r="C4" s="16" t="n"/>
      <c r="D4" s="16" t="n"/>
      <c r="E4" s="16" t="n"/>
      <c r="F4" s="16" t="n"/>
    </row>
    <row customHeight="1" ht="18" r="6" s="73">
      <c r="A6" s="5" t="inlineStr">
        <is>
          <t>Metrics (Akshay/Ari/Venkat/Sunil)</t>
        </is>
      </c>
    </row>
    <row r="7">
      <c r="B7" s="9" t="inlineStr">
        <is>
          <t>Comet</t>
        </is>
      </c>
    </row>
    <row r="8">
      <c r="B8" s="9" t="inlineStr">
        <is>
          <t>Drakon</t>
        </is>
      </c>
    </row>
    <row r="9">
      <c r="B9" s="9" t="inlineStr">
        <is>
          <t>Wyvern</t>
        </is>
      </c>
    </row>
    <row r="10">
      <c r="B10" s="9" t="n"/>
    </row>
    <row customHeight="1" ht="18.6" r="12" s="73" thickBot="1">
      <c r="A12" s="4" t="inlineStr">
        <is>
          <t>Projects / Efforts (Kammi/Roxanne)</t>
        </is>
      </c>
    </row>
    <row customHeight="1" ht="31.95" r="13" s="73" thickBot="1">
      <c r="A13" s="6" t="n"/>
      <c r="B13" s="7" t="inlineStr">
        <is>
          <t>Project</t>
        </is>
      </c>
      <c r="C13" s="7" t="inlineStr">
        <is>
          <t>Team(s)</t>
        </is>
      </c>
      <c r="D13" s="7" t="inlineStr">
        <is>
          <t>Stage</t>
        </is>
      </c>
      <c r="E13" s="7" t="inlineStr">
        <is>
          <t>Risk Level (R/Y/G)</t>
        </is>
      </c>
      <c r="F13" s="7" t="inlineStr">
        <is>
          <t>Current Planned Deployment Date</t>
        </is>
      </c>
      <c r="G13" s="7" t="inlineStr">
        <is>
          <t>Original Deployment Date</t>
        </is>
      </c>
      <c r="H13" s="7" t="inlineStr">
        <is>
          <t>Updates / Changes since last week</t>
        </is>
      </c>
    </row>
    <row customHeight="1" ht="63" r="14" s="73" thickBot="1">
      <c r="B14" s="10" t="inlineStr">
        <is>
          <t>My Profile</t>
        </is>
      </c>
      <c r="C14" s="10" t="inlineStr">
        <is>
          <t>Drakon</t>
        </is>
      </c>
      <c r="D14" s="10" t="inlineStr">
        <is>
          <t>Development</t>
        </is>
      </c>
      <c r="E14" s="35" t="inlineStr">
        <is>
          <t>Yellow</t>
        </is>
      </c>
      <c r="F14" s="12" t="n">
        <v>44951</v>
      </c>
      <c r="G14" s="12" t="n">
        <v>44895</v>
      </c>
      <c r="H14" s="36" t="inlineStr">
        <is>
          <t>Not really at risk, but reduced scope on initial delivery to get out sooner</t>
        </is>
      </c>
    </row>
    <row customHeight="1" ht="31.95" r="15" s="73" thickBot="1">
      <c r="B15" s="10" t="inlineStr">
        <is>
          <t>Payment Plan</t>
        </is>
      </c>
      <c r="C15" s="10" t="inlineStr">
        <is>
          <t>Drakon</t>
        </is>
      </c>
      <c r="D15" s="10" t="inlineStr">
        <is>
          <t>Development</t>
        </is>
      </c>
      <c r="E15" s="11" t="inlineStr">
        <is>
          <t>Green</t>
        </is>
      </c>
      <c r="F15" s="12" t="n">
        <v>44909</v>
      </c>
      <c r="G15" s="12" t="n">
        <v>44895</v>
      </c>
      <c r="H15" s="10" t="inlineStr">
        <is>
          <t>No change from last week</t>
        </is>
      </c>
    </row>
    <row customHeight="1" ht="109.95" r="16" s="73">
      <c r="B16" s="10" t="inlineStr">
        <is>
          <t>FullStory</t>
        </is>
      </c>
      <c r="C16" s="10" t="inlineStr">
        <is>
          <t>Wyvern</t>
        </is>
      </c>
      <c r="D16" s="10" t="inlineStr">
        <is>
          <t>Development</t>
        </is>
      </c>
      <c r="E16" s="35" t="inlineStr">
        <is>
          <t>Yellow</t>
        </is>
      </c>
      <c r="F16" s="12" t="n">
        <v>44923</v>
      </c>
      <c r="G16" s="12" t="n">
        <v>44895</v>
      </c>
      <c r="H16" s="30" t="inlineStr">
        <is>
          <t>-Early Warning.  Found drop down from phones are unable to be masked.  Need assistance from Fullstory</t>
        </is>
      </c>
    </row>
    <row customHeight="1" ht="63" r="17" s="73" thickBot="1">
      <c r="A17" s="6" t="n"/>
      <c r="B17" s="10" t="inlineStr">
        <is>
          <t>Expose CO to BC Next</t>
        </is>
      </c>
      <c r="C17" s="10" t="inlineStr">
        <is>
          <t>Wyvern</t>
        </is>
      </c>
      <c r="D17" s="10" t="inlineStr">
        <is>
          <t>Development</t>
        </is>
      </c>
      <c r="E17" s="11" t="inlineStr">
        <is>
          <t>Green</t>
        </is>
      </c>
      <c r="F17" s="12" t="n">
        <v>44923</v>
      </c>
      <c r="G17" s="12" t="n">
        <v>44909</v>
      </c>
      <c r="H17" s="10" t="inlineStr">
        <is>
          <t>Talked through execution plan and are currently on track</t>
        </is>
      </c>
    </row>
    <row customHeight="1" ht="203.4" r="18" s="73">
      <c r="A18" s="6" t="n"/>
      <c r="B18" s="10" t="inlineStr">
        <is>
          <t>Assigned Repo Text</t>
        </is>
      </c>
      <c r="C18" s="10" t="inlineStr">
        <is>
          <t>Comet</t>
        </is>
      </c>
      <c r="D18" s="10" t="inlineStr">
        <is>
          <t>Development</t>
        </is>
      </c>
      <c r="E18" s="11" t="inlineStr">
        <is>
          <t>Green</t>
        </is>
      </c>
      <c r="F18" s="12" t="n">
        <v>44923</v>
      </c>
      <c r="G18" s="12" t="n">
        <v>44895</v>
      </c>
      <c r="H18" s="30" t="inlineStr">
        <is>
          <t>- Back on track
- Although development will be complete before or on 12/28, deployment will occur 1/3</t>
        </is>
      </c>
    </row>
    <row customHeight="1" ht="125.4" r="19" s="73">
      <c r="A19" s="6" t="n"/>
      <c r="B19" s="10" t="inlineStr">
        <is>
          <t>TWT Widget</t>
        </is>
      </c>
      <c r="C19" s="10" t="inlineStr">
        <is>
          <t>Comet</t>
        </is>
      </c>
      <c r="D19" s="10" t="inlineStr">
        <is>
          <t>Development</t>
        </is>
      </c>
      <c r="E19" s="11" t="inlineStr">
        <is>
          <t>Green</t>
        </is>
      </c>
      <c r="F19" s="12" t="n">
        <v>44923</v>
      </c>
      <c r="G19" s="12" t="n">
        <v>44909</v>
      </c>
      <c r="H19" s="30" t="inlineStr">
        <is>
          <t>- Committed to completely existing items by end of year</t>
        </is>
      </c>
    </row>
    <row customHeight="1" ht="16.2" r="20" s="73" thickBot="1">
      <c r="A20" s="6" t="n"/>
      <c r="B20" s="10" t="inlineStr">
        <is>
          <t>Privacy Policy</t>
        </is>
      </c>
      <c r="C20" s="10" t="inlineStr">
        <is>
          <t>Comet</t>
        </is>
      </c>
      <c r="D20" s="10" t="inlineStr">
        <is>
          <t>Development</t>
        </is>
      </c>
      <c r="E20" s="11" t="inlineStr">
        <is>
          <t>Green</t>
        </is>
      </c>
      <c r="F20" s="12" t="n">
        <v>44909</v>
      </c>
      <c r="G20" s="12" t="n">
        <v>44909</v>
      </c>
      <c r="H20" s="11" t="inlineStr">
        <is>
          <t>Done</t>
        </is>
      </c>
    </row>
    <row customHeight="1" ht="78.59999999999999" r="21" s="73" thickBot="1">
      <c r="A21" s="6" t="n"/>
      <c r="B21" s="10" t="inlineStr">
        <is>
          <t>Customer Support Center</t>
        </is>
      </c>
      <c r="C21" s="10" t="inlineStr">
        <is>
          <t>Drakon</t>
        </is>
      </c>
      <c r="D21" s="10" t="inlineStr">
        <is>
          <t>Development</t>
        </is>
      </c>
      <c r="E21" s="35" t="inlineStr">
        <is>
          <t>Yellow</t>
        </is>
      </c>
      <c r="F21" s="12" t="n">
        <v>44951</v>
      </c>
      <c r="G21" s="12" t="n">
        <v>44923</v>
      </c>
      <c r="H21" s="36" t="inlineStr">
        <is>
          <t>Not really at risk, but reduced scope on initial delivery to get out sooner</t>
        </is>
      </c>
    </row>
    <row customHeight="1" ht="18.6" r="23" s="73" thickBot="1">
      <c r="A23" s="4" t="inlineStr">
        <is>
          <t>Risks (Everyone)</t>
        </is>
      </c>
    </row>
    <row customHeight="1" ht="31.95" r="24" s="73" thickBot="1">
      <c r="A24" s="6" t="n"/>
      <c r="B24" s="7" t="inlineStr">
        <is>
          <t>Date Added</t>
        </is>
      </c>
      <c r="C24" s="7" t="inlineStr">
        <is>
          <t>Project</t>
        </is>
      </c>
      <c r="D24" s="7" t="inlineStr">
        <is>
          <t>Risk</t>
        </is>
      </c>
      <c r="E24" s="7" t="inlineStr">
        <is>
          <t>Likelihood</t>
        </is>
      </c>
      <c r="F24" s="7" t="inlineStr">
        <is>
          <t>Severity</t>
        </is>
      </c>
      <c r="G24" s="7" t="inlineStr">
        <is>
          <t>Status</t>
        </is>
      </c>
      <c r="H24" s="7" t="inlineStr">
        <is>
          <t>Owner</t>
        </is>
      </c>
      <c r="I24" s="27" t="inlineStr">
        <is>
          <t>Mitigation Plan / Assistance Needed</t>
        </is>
      </c>
      <c r="J24" s="34" t="inlineStr">
        <is>
          <t>Solution</t>
        </is>
      </c>
    </row>
    <row customHeight="1" ht="179.25" r="25" s="73" thickBot="1">
      <c r="B25" s="13" t="n">
        <v>44893</v>
      </c>
      <c r="C25" s="8" t="inlineStr">
        <is>
          <t>General</t>
        </is>
      </c>
      <c r="D25" s="8" t="inlineStr">
        <is>
          <t>Offshore resources VDI environment is slow</t>
        </is>
      </c>
      <c r="E25" s="8" t="inlineStr">
        <is>
          <t>High</t>
        </is>
      </c>
      <c r="F25" s="8" t="inlineStr">
        <is>
          <t>Medium</t>
        </is>
      </c>
      <c r="G25" s="8" t="inlineStr">
        <is>
          <t>Closed</t>
        </is>
      </c>
      <c r="H25" s="8" t="inlineStr">
        <is>
          <t>Sunil/Zach Novak</t>
        </is>
      </c>
      <c r="I25" s="33" t="inlineStr">
        <is>
          <t>Talk to Bibo and Rob.</t>
        </is>
      </c>
      <c r="J25" s="44" t="inlineStr">
        <is>
          <t>Bibo confirmed the offshore members are dealing with slowness. Rob confirmed no issues on his end. He said it could be related to some VDI environments existing on-prem vs cloud.</t>
        </is>
      </c>
    </row>
    <row customHeight="1" ht="47.4" r="26" s="73" thickBot="1">
      <c r="B26" s="13" t="n">
        <v>44914</v>
      </c>
      <c r="C26" s="37" t="inlineStr">
        <is>
          <t>Plan to Cure</t>
        </is>
      </c>
      <c r="D26" s="37" t="inlineStr">
        <is>
          <t>Missed AC during development</t>
        </is>
      </c>
      <c r="E26" s="38" t="inlineStr">
        <is>
          <t>Low</t>
        </is>
      </c>
      <c r="F26" s="39" t="inlineStr">
        <is>
          <t>High</t>
        </is>
      </c>
      <c r="G26" s="37" t="inlineStr">
        <is>
          <t>Open</t>
        </is>
      </c>
      <c r="H26" s="40" t="inlineStr">
        <is>
          <t>Ari</t>
        </is>
      </c>
      <c r="I26" s="41" t="inlineStr">
        <is>
          <t>Engineer working on solution right now</t>
        </is>
      </c>
      <c r="J26" s="42" t="inlineStr">
        <is>
          <t>Engineer working on solution right now</t>
        </is>
      </c>
    </row>
    <row r="27">
      <c r="B27" s="15" t="n"/>
      <c r="C27" s="16" t="n"/>
      <c r="D27" s="16" t="n"/>
      <c r="E27" s="16" t="n"/>
      <c r="F27" s="16" t="n"/>
      <c r="G27" s="16" t="n"/>
      <c r="H27" s="16" t="n"/>
      <c r="I27" s="16" t="n"/>
    </row>
    <row customHeight="1" ht="18" r="28" s="73">
      <c r="A28" s="4" t="inlineStr">
        <is>
          <t>Highlighted Wins (Everyone)</t>
        </is>
      </c>
    </row>
    <row r="29">
      <c r="B29" s="14" t="inlineStr">
        <is>
          <t>Roxanne's Dance Moves!</t>
        </is>
      </c>
    </row>
    <row r="30">
      <c r="B30" t="inlineStr">
        <is>
          <t>Good coordination by DE!</t>
        </is>
      </c>
    </row>
    <row r="32">
      <c r="B32" s="2" t="n"/>
    </row>
    <row customHeight="1" ht="18" r="33" s="73">
      <c r="A33" s="4" t="inlineStr">
        <is>
          <t>Team / People Updates (Everyone)</t>
        </is>
      </c>
    </row>
    <row customHeight="1" ht="18" r="34" s="73">
      <c r="A34" s="4" t="n"/>
      <c r="B34" t="inlineStr">
        <is>
          <t>Restructuring Teams - 3 teams, 5/5/2 - Will start January 3rd.</t>
        </is>
      </c>
    </row>
    <row r="35">
      <c r="B35" s="20" t="inlineStr">
        <is>
          <t>Comet</t>
        </is>
      </c>
    </row>
    <row r="36">
      <c r="C36" t="inlineStr">
        <is>
          <t>Bindu PTO on PTO 12/19 - 1/03</t>
        </is>
      </c>
    </row>
    <row r="37">
      <c r="C37" t="inlineStr">
        <is>
          <t>Venkat leading project!</t>
        </is>
      </c>
    </row>
    <row r="38">
      <c r="B38" s="20" t="inlineStr">
        <is>
          <t>Drakon</t>
        </is>
      </c>
    </row>
    <row r="39">
      <c r="C39" t="inlineStr">
        <is>
          <t>Abbas rolloff 12/30</t>
        </is>
      </c>
    </row>
    <row r="40">
      <c r="C40" t="inlineStr">
        <is>
          <t>Ari PTO beginning of January</t>
        </is>
      </c>
    </row>
    <row r="41">
      <c r="B41" s="20" t="inlineStr">
        <is>
          <t>Wyvern</t>
        </is>
      </c>
    </row>
    <row r="42">
      <c r="C42" t="inlineStr">
        <is>
          <t>Jon rolloff 12/30</t>
        </is>
      </c>
    </row>
    <row r="43">
      <c r="C43" t="inlineStr">
        <is>
          <t>Isaac rolloff 12/30</t>
        </is>
      </c>
    </row>
    <row r="44">
      <c r="B44" s="20" t="inlineStr">
        <is>
          <t>Dream</t>
        </is>
      </c>
    </row>
    <row r="45">
      <c r="C45" t="inlineStr">
        <is>
          <t>Parag to Rob Moore's team</t>
        </is>
      </c>
    </row>
    <row r="46">
      <c r="C46" t="inlineStr">
        <is>
          <t>Working on TargetProcess setup</t>
        </is>
      </c>
    </row>
    <row customHeight="1" ht="18" r="49" s="73">
      <c r="A49" s="5" t="inlineStr">
        <is>
          <t>Upcoming Projects (Kammi/Roxanne)</t>
        </is>
      </c>
    </row>
    <row r="50">
      <c r="B50" t="inlineStr">
        <is>
          <t>Show ClickUp</t>
        </is>
      </c>
    </row>
    <row r="51">
      <c r="B51" t="inlineStr">
        <is>
          <t>https://app.clickup.com/login/sso</t>
        </is>
      </c>
    </row>
    <row customHeight="1" ht="18" r="54" s="73">
      <c r="A54" s="5" t="inlineStr">
        <is>
          <t>Usage Statistics</t>
        </is>
      </c>
    </row>
    <row r="55">
      <c r="B55" t="inlineStr">
        <is>
          <t>Ari - App Statistics</t>
        </is>
      </c>
    </row>
    <row r="56">
      <c r="B56" t="inlineStr">
        <is>
          <t>Ari - Azure App Insights</t>
        </is>
      </c>
    </row>
    <row r="57">
      <c r="B57" t="inlineStr">
        <is>
          <t>Ari - DataDog</t>
        </is>
      </c>
    </row>
    <row customHeight="1" ht="18" r="60" s="73">
      <c r="A60" s="5" t="inlineStr">
        <is>
          <t>Next Meeting</t>
        </is>
      </c>
    </row>
  </sheetData>
  <hyperlinks>
    <hyperlink display="Comet" location="'Metrics - Comet'!Z1" ref="B7"/>
    <hyperlink display="Drakon" location="'Metrics - Drakon'!Z1" ref="B8"/>
    <hyperlink display="Wyvern" location="'Metrics - Wyvern'!Z1" ref="B9"/>
  </hyperlinks>
  <pageMargins bottom="0.75" footer="0.3" header="0.3" left="0.7" right="0.7" top="0.75"/>
  <pageSetup horizontalDpi="4294967293" orientation="portrait" verticalDpi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68"/>
  <sheetViews>
    <sheetView topLeftCell="B7" workbookViewId="0">
      <selection activeCell="B7" sqref="B7"/>
    </sheetView>
  </sheetViews>
  <sheetFormatPr baseColWidth="8" defaultColWidth="17.69921875" defaultRowHeight="15.6"/>
  <cols>
    <col customWidth="1" max="2" min="2" style="73" width="22.3984375"/>
  </cols>
  <sheetData>
    <row customHeight="1" ht="18.6" r="1" s="73" thickBot="1">
      <c r="A1" s="4" t="inlineStr">
        <is>
          <t>Outages in Past Week (Everyone)</t>
        </is>
      </c>
    </row>
    <row customHeight="1" ht="31.95" r="2" s="73" thickBot="1">
      <c r="A2" s="6" t="n"/>
      <c r="B2" s="7" t="inlineStr">
        <is>
          <t>Date</t>
        </is>
      </c>
      <c r="C2" s="7" t="inlineStr">
        <is>
          <t>Description</t>
        </is>
      </c>
      <c r="D2" s="7" t="inlineStr">
        <is>
          <t>Severity</t>
        </is>
      </c>
      <c r="E2" s="7" t="inlineStr">
        <is>
          <t>Mean Time to Recover (minutes)</t>
        </is>
      </c>
      <c r="F2" s="7" t="inlineStr">
        <is>
          <t>Notes</t>
        </is>
      </c>
    </row>
    <row customHeight="1" ht="16.2" r="3" s="73" thickBot="1">
      <c r="B3" s="18" t="inlineStr">
        <is>
          <t>N/A</t>
        </is>
      </c>
      <c r="C3" s="8" t="n"/>
      <c r="D3" s="8" t="n"/>
      <c r="E3" s="8" t="n"/>
      <c r="F3" s="8" t="n"/>
    </row>
    <row r="4">
      <c r="B4" s="17" t="n"/>
      <c r="C4" s="16" t="n"/>
      <c r="D4" s="16" t="n"/>
      <c r="E4" s="16" t="n"/>
      <c r="F4" s="16" t="n"/>
    </row>
    <row customHeight="1" ht="18" r="6" s="73">
      <c r="A6" s="5" t="inlineStr">
        <is>
          <t>Metrics (Akshay/Ari/Venkat/Sunil)</t>
        </is>
      </c>
    </row>
    <row r="7">
      <c r="B7" s="9" t="inlineStr">
        <is>
          <t>Comet</t>
        </is>
      </c>
    </row>
    <row r="8">
      <c r="B8" s="9" t="inlineStr">
        <is>
          <t>Drakon</t>
        </is>
      </c>
    </row>
    <row r="9">
      <c r="B9" s="9" t="inlineStr">
        <is>
          <t>Wyvern</t>
        </is>
      </c>
    </row>
    <row r="10">
      <c r="B10" s="9" t="n"/>
    </row>
    <row customHeight="1" ht="18.6" r="12" s="73" thickBot="1">
      <c r="A12" s="4" t="inlineStr">
        <is>
          <t>Projects / Efforts (Kammi/Roxanne)</t>
        </is>
      </c>
    </row>
    <row customHeight="1" ht="31.95" r="13" s="73" thickBot="1">
      <c r="A13" s="6" t="n"/>
      <c r="B13" s="7" t="inlineStr">
        <is>
          <t>Project</t>
        </is>
      </c>
      <c r="C13" s="7" t="inlineStr">
        <is>
          <t>Team(s)</t>
        </is>
      </c>
      <c r="D13" s="7" t="inlineStr">
        <is>
          <t>Stage</t>
        </is>
      </c>
      <c r="E13" s="7" t="inlineStr">
        <is>
          <t>Risk Level (R/Y/G)</t>
        </is>
      </c>
      <c r="F13" s="7" t="inlineStr">
        <is>
          <t>Current Planned Deployment Date</t>
        </is>
      </c>
      <c r="G13" s="7" t="inlineStr">
        <is>
          <t>Original Deployment Date</t>
        </is>
      </c>
      <c r="H13" s="7" t="inlineStr">
        <is>
          <t>Updates / Changes since last week</t>
        </is>
      </c>
    </row>
    <row customHeight="1" ht="63" r="14" s="73" thickBot="1">
      <c r="B14" s="10" t="inlineStr">
        <is>
          <t>My Profile</t>
        </is>
      </c>
      <c r="C14" s="10" t="inlineStr">
        <is>
          <t>Drakon</t>
        </is>
      </c>
      <c r="D14" s="10" t="inlineStr">
        <is>
          <t>Development</t>
        </is>
      </c>
      <c r="E14" s="11" t="inlineStr">
        <is>
          <t>Green</t>
        </is>
      </c>
      <c r="F14" s="12" t="n">
        <v>44951</v>
      </c>
      <c r="G14" s="12" t="n">
        <v>44895</v>
      </c>
      <c r="H14" s="10" t="inlineStr">
        <is>
          <t>Tracking as expected with new dev done date of 1/25/23</t>
        </is>
      </c>
    </row>
    <row customHeight="1" ht="31.95" r="15" s="73" thickBot="1">
      <c r="B15" s="10" t="inlineStr">
        <is>
          <t>Payment Plan</t>
        </is>
      </c>
      <c r="C15" s="10" t="inlineStr">
        <is>
          <t>Drakon</t>
        </is>
      </c>
      <c r="D15" s="10" t="inlineStr">
        <is>
          <t>Development</t>
        </is>
      </c>
      <c r="E15" s="11" t="inlineStr">
        <is>
          <t>Green</t>
        </is>
      </c>
      <c r="F15" s="12" t="n">
        <v>44909</v>
      </c>
      <c r="G15" s="12" t="n">
        <v>44895</v>
      </c>
      <c r="H15" s="10" t="inlineStr">
        <is>
          <t>No change from last week</t>
        </is>
      </c>
    </row>
    <row customHeight="1" ht="109.95" r="16" s="73" thickBot="1">
      <c r="B16" s="10" t="inlineStr">
        <is>
          <t>FullStory</t>
        </is>
      </c>
      <c r="C16" s="10" t="inlineStr">
        <is>
          <t>Wyvern</t>
        </is>
      </c>
      <c r="D16" s="10" t="inlineStr">
        <is>
          <t>Development</t>
        </is>
      </c>
      <c r="E16" s="11" t="inlineStr">
        <is>
          <t>Green</t>
        </is>
      </c>
      <c r="F16" s="12" t="n">
        <v>44923</v>
      </c>
      <c r="G16" s="12" t="n">
        <v>44895</v>
      </c>
      <c r="H16" s="30" t="inlineStr">
        <is>
          <t>-Back on track.  Trying to schedule a meeting with Fullstory to confirm next steps and extend our trial to complete testing</t>
        </is>
      </c>
    </row>
    <row customHeight="1" ht="63" r="17" s="73" thickBot="1">
      <c r="A17" s="6" t="n"/>
      <c r="B17" s="10" t="inlineStr">
        <is>
          <t>Expose CO to BC Next</t>
        </is>
      </c>
      <c r="C17" s="10" t="inlineStr">
        <is>
          <t>Wyvern</t>
        </is>
      </c>
      <c r="D17" s="10" t="inlineStr">
        <is>
          <t>Development</t>
        </is>
      </c>
      <c r="E17" s="11" t="inlineStr">
        <is>
          <t>Green</t>
        </is>
      </c>
      <c r="F17" s="12" t="n">
        <v>44923</v>
      </c>
      <c r="G17" s="12" t="n">
        <v>44909</v>
      </c>
      <c r="H17" s="10" t="inlineStr">
        <is>
          <t>Talked through execution plan and are currently on track</t>
        </is>
      </c>
    </row>
    <row customHeight="1" ht="109.95" r="18" s="73" thickBot="1">
      <c r="A18" s="6" t="n"/>
      <c r="B18" s="10" t="inlineStr">
        <is>
          <t>Segment</t>
        </is>
      </c>
      <c r="C18" s="10" t="inlineStr">
        <is>
          <t>Wyvern</t>
        </is>
      </c>
      <c r="D18" s="10" t="inlineStr">
        <is>
          <t>Development</t>
        </is>
      </c>
      <c r="E18" s="10" t="inlineStr">
        <is>
          <t>Out of Scope</t>
        </is>
      </c>
      <c r="F18" s="12" t="inlineStr">
        <is>
          <t>January</t>
        </is>
      </c>
      <c r="G18" s="12" t="n">
        <v>44895</v>
      </c>
      <c r="H18" s="30" t="inlineStr">
        <is>
          <t>-Pushed when FullStory and Expose CO targets slipped
-Transferred to Comet 2023 Roadmap</t>
        </is>
      </c>
    </row>
    <row customHeight="1" ht="203.4" r="19" s="73" thickBot="1">
      <c r="A19" s="6" t="n"/>
      <c r="B19" s="10" t="inlineStr">
        <is>
          <t>Assigned Repo Text</t>
        </is>
      </c>
      <c r="C19" s="10" t="inlineStr">
        <is>
          <t>Comet</t>
        </is>
      </c>
      <c r="D19" s="10" t="inlineStr">
        <is>
          <t>Development</t>
        </is>
      </c>
      <c r="E19" s="31" t="inlineStr">
        <is>
          <t>Red</t>
        </is>
      </c>
      <c r="F19" s="12" t="n">
        <v>44923</v>
      </c>
      <c r="G19" s="12" t="n">
        <v>44895</v>
      </c>
      <c r="H19" s="30" t="inlineStr">
        <is>
          <t>- Had to push due to Servicing Track dependancy.
- Although development may be complete before or on 12/28, a deployment will most likely not occur until beginning of year because of code freezes</t>
        </is>
      </c>
    </row>
    <row customHeight="1" ht="125.4" r="20" s="73" thickBot="1">
      <c r="A20" s="6" t="n"/>
      <c r="B20" s="10" t="inlineStr">
        <is>
          <t>TWT Widget</t>
        </is>
      </c>
      <c r="C20" s="10" t="inlineStr">
        <is>
          <t>Comet</t>
        </is>
      </c>
      <c r="D20" s="10" t="inlineStr">
        <is>
          <t>Development</t>
        </is>
      </c>
      <c r="E20" s="11" t="inlineStr">
        <is>
          <t>Green</t>
        </is>
      </c>
      <c r="F20" s="12" t="n">
        <v>44923</v>
      </c>
      <c r="G20" s="12" t="n">
        <v>44909</v>
      </c>
      <c r="H20" s="30" t="inlineStr">
        <is>
          <t>- Back on track
- Pushed to focus on higher priority, Privacy Policy
- Committed to completely existing items by end of year</t>
        </is>
      </c>
    </row>
    <row customHeight="1" ht="16.2" r="21" s="73" thickBot="1">
      <c r="A21" s="6" t="n"/>
      <c r="B21" s="10" t="inlineStr">
        <is>
          <t>Privacy Policy</t>
        </is>
      </c>
      <c r="C21" s="10" t="inlineStr">
        <is>
          <t>Comet</t>
        </is>
      </c>
      <c r="D21" s="10" t="inlineStr">
        <is>
          <t>Development</t>
        </is>
      </c>
      <c r="E21" s="11" t="inlineStr">
        <is>
          <t>Green</t>
        </is>
      </c>
      <c r="F21" s="12" t="n">
        <v>44909</v>
      </c>
      <c r="G21" s="12" t="n">
        <v>44909</v>
      </c>
      <c r="H21" s="10" t="n"/>
    </row>
    <row customHeight="1" ht="78.59999999999999" r="22" s="73" thickBot="1">
      <c r="A22" s="6" t="n"/>
      <c r="B22" s="10" t="inlineStr">
        <is>
          <t>Customer Support Center</t>
        </is>
      </c>
      <c r="C22" s="10" t="inlineStr">
        <is>
          <t>Drakon</t>
        </is>
      </c>
      <c r="D22" s="10" t="inlineStr">
        <is>
          <t>Development</t>
        </is>
      </c>
      <c r="E22" s="11" t="inlineStr">
        <is>
          <t>Green</t>
        </is>
      </c>
      <c r="F22" s="12" t="n">
        <v>44951</v>
      </c>
      <c r="G22" s="12" t="n">
        <v>44923</v>
      </c>
      <c r="H22" s="10" t="inlineStr">
        <is>
          <t>Original dev done date was changed several weeks ago due to team resource changes</t>
        </is>
      </c>
    </row>
    <row customHeight="1" ht="18.6" r="24" s="73" thickBot="1">
      <c r="A24" s="4" t="inlineStr">
        <is>
          <t>Risks (Everyone)</t>
        </is>
      </c>
    </row>
    <row customHeight="1" ht="31.95" r="25" s="73" thickBot="1">
      <c r="A25" s="6" t="n"/>
      <c r="B25" s="7" t="inlineStr">
        <is>
          <t>Date Added</t>
        </is>
      </c>
      <c r="C25" s="7" t="inlineStr">
        <is>
          <t>Project</t>
        </is>
      </c>
      <c r="D25" s="7" t="inlineStr">
        <is>
          <t>Risk</t>
        </is>
      </c>
      <c r="E25" s="7" t="inlineStr">
        <is>
          <t>Likelihood</t>
        </is>
      </c>
      <c r="F25" s="7" t="inlineStr">
        <is>
          <t>Severity</t>
        </is>
      </c>
      <c r="G25" s="7" t="inlineStr">
        <is>
          <t>Status</t>
        </is>
      </c>
      <c r="H25" s="7" t="inlineStr">
        <is>
          <t>Owner</t>
        </is>
      </c>
      <c r="I25" s="27" t="inlineStr">
        <is>
          <t>Mitigation Plan / Assistance Needed</t>
        </is>
      </c>
      <c r="J25" s="26" t="inlineStr">
        <is>
          <t>Solution</t>
        </is>
      </c>
    </row>
    <row customHeight="1" ht="187.2" r="26" s="73">
      <c r="B26" s="13" t="n">
        <v>44893</v>
      </c>
      <c r="C26" s="8" t="inlineStr">
        <is>
          <t>Manage Modifications</t>
        </is>
      </c>
      <c r="D26" s="8" t="inlineStr">
        <is>
          <t>Error with retrieving co-buyer email address causing issues opening signing room</t>
        </is>
      </c>
      <c r="E26" s="8" t="inlineStr">
        <is>
          <t>High</t>
        </is>
      </c>
      <c r="F26" s="8" t="inlineStr">
        <is>
          <t>Low-Med</t>
        </is>
      </c>
      <c r="G26" s="8" t="inlineStr">
        <is>
          <t>Closed</t>
        </is>
      </c>
      <c r="H26" s="8" t="inlineStr">
        <is>
          <t>Ari/Cody</t>
        </is>
      </c>
      <c r="I26" s="8" t="inlineStr">
        <is>
          <t>Drakon engineers have connected with DE</t>
        </is>
      </c>
      <c r="J26" s="21" t="inlineStr">
        <is>
          <t>We were able to work with Cody and determine that there is a script that there is logic in place to ensure null data never gets saved in prod so this is not a prod issue, but is still affecting test data only.</t>
        </is>
      </c>
    </row>
    <row customHeight="1" ht="63" r="27" s="73" thickBot="1">
      <c r="B27" s="13" t="n">
        <v>44893</v>
      </c>
      <c r="C27" s="8" t="inlineStr">
        <is>
          <t>General</t>
        </is>
      </c>
      <c r="D27" s="8" t="inlineStr">
        <is>
          <t>Offshore resources VDI environment is slow</t>
        </is>
      </c>
      <c r="E27" s="8" t="inlineStr">
        <is>
          <t>High</t>
        </is>
      </c>
      <c r="F27" s="8" t="inlineStr">
        <is>
          <t>Medium</t>
        </is>
      </c>
      <c r="G27" s="8" t="inlineStr">
        <is>
          <t>Open</t>
        </is>
      </c>
      <c r="H27" s="8" t="inlineStr">
        <is>
          <t>Sunil/Zach Novak</t>
        </is>
      </c>
      <c r="I27" s="8" t="inlineStr">
        <is>
          <t>Zach is looking into improving performance of VDI environment</t>
        </is>
      </c>
      <c r="J27" s="21" t="n"/>
    </row>
    <row customHeight="1" ht="78.59999999999999" r="28" s="73" thickBot="1">
      <c r="B28" s="13" t="n">
        <v>44893</v>
      </c>
      <c r="C28" s="8" t="inlineStr">
        <is>
          <t>General</t>
        </is>
      </c>
      <c r="D28" s="8" t="inlineStr">
        <is>
          <t>Removal of 3 onshore resources</t>
        </is>
      </c>
      <c r="E28" s="8" t="inlineStr">
        <is>
          <t>High</t>
        </is>
      </c>
      <c r="F28" s="8" t="inlineStr">
        <is>
          <t>High</t>
        </is>
      </c>
      <c r="G28" s="8" t="inlineStr">
        <is>
          <t>Closed</t>
        </is>
      </c>
      <c r="H28" s="8" t="inlineStr">
        <is>
          <t>Greg</t>
        </is>
      </c>
      <c r="I28" s="8" t="inlineStr">
        <is>
          <t>Greg is working with Brian/Aaron/Zack/PMs/EngMgrs/Egen to minimize impact</t>
        </is>
      </c>
      <c r="J28" s="21" t="inlineStr">
        <is>
          <t>All contractor rolloffs set.  Was able to extend Abbas.</t>
        </is>
      </c>
    </row>
    <row customHeight="1" ht="47.4" r="29" s="73" thickBot="1">
      <c r="B29" s="13" t="n">
        <v>44900</v>
      </c>
      <c r="C29" s="8" t="inlineStr">
        <is>
          <t>General</t>
        </is>
      </c>
      <c r="D29" s="8" t="inlineStr">
        <is>
          <t>Bindu PTO for 10 days at end of December</t>
        </is>
      </c>
      <c r="E29" s="8" t="inlineStr">
        <is>
          <t>High</t>
        </is>
      </c>
      <c r="F29" s="8" t="inlineStr">
        <is>
          <t>Low-Med</t>
        </is>
      </c>
      <c r="G29" s="8" t="inlineStr">
        <is>
          <t>Closed</t>
        </is>
      </c>
      <c r="H29" s="8" t="inlineStr">
        <is>
          <t>Greg/Akshay</t>
        </is>
      </c>
      <c r="I29" s="8" t="inlineStr">
        <is>
          <t>Just a callout that DE work may get shifted.</t>
        </is>
      </c>
      <c r="J29" s="21" t="n"/>
    </row>
    <row r="30">
      <c r="B30" s="32" t="n"/>
    </row>
    <row r="31">
      <c r="B31" s="15" t="n"/>
      <c r="C31" s="16" t="n"/>
      <c r="D31" s="16" t="n"/>
      <c r="E31" s="16" t="n"/>
      <c r="F31" s="16" t="n"/>
      <c r="G31" s="16" t="n"/>
      <c r="H31" s="16" t="n"/>
      <c r="I31" s="16" t="n"/>
    </row>
    <row customHeight="1" ht="18" r="32" s="73">
      <c r="A32" s="4" t="inlineStr">
        <is>
          <t>Highlighted Wins (Everyone)</t>
        </is>
      </c>
    </row>
    <row r="33">
      <c r="B33" s="14" t="inlineStr">
        <is>
          <t>Asset uploader successful implementation to continue with FullStory!</t>
        </is>
      </c>
    </row>
    <row r="34">
      <c r="B34" t="inlineStr">
        <is>
          <t>Looms really help with UAT!</t>
        </is>
      </c>
    </row>
    <row r="36">
      <c r="B36" s="2" t="n"/>
    </row>
    <row customHeight="1" ht="18" r="37" s="73">
      <c r="A37" s="4" t="inlineStr">
        <is>
          <t>Team / People Updates (Everyone)</t>
        </is>
      </c>
    </row>
    <row customHeight="1" ht="18" r="38" s="73">
      <c r="A38" s="4" t="n"/>
      <c r="B38" t="inlineStr">
        <is>
          <t>Restructuring Teams - 3 teams, 5/5/2 - Will start January 3rd.</t>
        </is>
      </c>
    </row>
    <row r="39">
      <c r="B39" s="20" t="inlineStr">
        <is>
          <t>Comet</t>
        </is>
      </c>
    </row>
    <row r="40">
      <c r="C40" t="inlineStr">
        <is>
          <t>Sushma maternity 12/16</t>
        </is>
      </c>
    </row>
    <row r="41">
      <c r="C41" t="inlineStr">
        <is>
          <t>Bindu PTO on PTO 12/19 - 1/03</t>
        </is>
      </c>
    </row>
    <row r="42">
      <c r="C42" t="inlineStr">
        <is>
          <t>Akshay to Pega project - shadowing Venkat for a week</t>
        </is>
      </c>
    </row>
    <row r="43">
      <c r="C43" t="inlineStr">
        <is>
          <t>Manuel rolloff 12/16</t>
        </is>
      </c>
    </row>
    <row r="44">
      <c r="B44" s="20" t="inlineStr">
        <is>
          <t>Drakon</t>
        </is>
      </c>
    </row>
    <row r="45">
      <c r="C45" s="22" t="inlineStr">
        <is>
          <t>Chirag rolloff 12/14</t>
        </is>
      </c>
    </row>
    <row r="46">
      <c r="C46" t="inlineStr">
        <is>
          <t>Abbas rolloff 12/30</t>
        </is>
      </c>
    </row>
    <row r="47">
      <c r="C47" t="inlineStr">
        <is>
          <t>Ari PTO beginning of January</t>
        </is>
      </c>
    </row>
    <row r="48">
      <c r="B48" s="20" t="inlineStr">
        <is>
          <t>Wyvern</t>
        </is>
      </c>
    </row>
    <row r="49">
      <c r="C49" t="inlineStr">
        <is>
          <t>Jon rolloff 12/30</t>
        </is>
      </c>
    </row>
    <row r="50">
      <c r="C50" t="inlineStr">
        <is>
          <t>Isaac rolloff 12/30</t>
        </is>
      </c>
    </row>
    <row r="51">
      <c r="B51" s="20" t="inlineStr">
        <is>
          <t>Dream</t>
        </is>
      </c>
    </row>
    <row r="52">
      <c r="C52" t="inlineStr">
        <is>
          <t>Siddhartha rolloff 12/8</t>
        </is>
      </c>
    </row>
    <row r="53">
      <c r="C53" t="inlineStr">
        <is>
          <t>Sandeep to Rob Moore's team 12/8</t>
        </is>
      </c>
    </row>
    <row r="54">
      <c r="C54" t="inlineStr">
        <is>
          <t>Parag staying 4 to 6 weeks for free</t>
        </is>
      </c>
    </row>
    <row customHeight="1" ht="18" r="57" s="73">
      <c r="A57" s="5" t="inlineStr">
        <is>
          <t>Upcoming Projects (Kammi/Roxanne)</t>
        </is>
      </c>
    </row>
    <row r="58">
      <c r="B58" t="inlineStr">
        <is>
          <t>Show ClickUp</t>
        </is>
      </c>
    </row>
    <row r="59">
      <c r="B59" t="inlineStr">
        <is>
          <t>https://app.clickup.com/login/sso</t>
        </is>
      </c>
    </row>
    <row customHeight="1" ht="18" r="62" s="73">
      <c r="A62" s="5" t="inlineStr">
        <is>
          <t>Usage Statistics</t>
        </is>
      </c>
    </row>
    <row r="63">
      <c r="B63" t="inlineStr">
        <is>
          <t>Ari - App Statistics</t>
        </is>
      </c>
    </row>
    <row r="64">
      <c r="B64" t="inlineStr">
        <is>
          <t>Ari - Azure App Insights</t>
        </is>
      </c>
    </row>
    <row r="65">
      <c r="B65" t="inlineStr">
        <is>
          <t>Ari - DataDog</t>
        </is>
      </c>
    </row>
    <row customHeight="1" ht="18" r="68" s="73">
      <c r="A68" s="5" t="inlineStr">
        <is>
          <t>Next Meeting</t>
        </is>
      </c>
    </row>
  </sheetData>
  <hyperlinks>
    <hyperlink display="Comet" location="'Metrics - Comet'!R1" ref="B7"/>
    <hyperlink display="Drakon" location="'Metrics - Drakon'!R1" ref="B8"/>
    <hyperlink display="Wyvern" location="'Metrics - Wyvern'!R1" ref="B9"/>
  </hyperlinks>
  <pageMargins bottom="0.75" footer="0.3" header="0.3" left="0.7" right="0.7" top="0.75"/>
  <pageSetup horizontalDpi="4294967293" orientation="portrait" verticalDpi="0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66"/>
  <sheetViews>
    <sheetView workbookViewId="0">
      <selection activeCell="A1" sqref="A1"/>
    </sheetView>
  </sheetViews>
  <sheetFormatPr baseColWidth="8" defaultColWidth="17.69921875" defaultRowHeight="15.6"/>
  <cols>
    <col customWidth="1" max="2" min="2" style="73" width="22.3984375"/>
  </cols>
  <sheetData>
    <row customHeight="1" ht="18" r="1" s="73">
      <c r="A1" s="5" t="inlineStr">
        <is>
          <t>What are DORA Metrics?</t>
        </is>
      </c>
    </row>
    <row r="2">
      <c r="A2" s="20" t="n"/>
      <c r="B2" s="9" t="inlineStr">
        <is>
          <t>BC-DORA_Metrics.pptx</t>
        </is>
      </c>
    </row>
    <row customHeight="1" ht="18.6" r="5" s="73" thickBot="1">
      <c r="A5" s="4" t="inlineStr">
        <is>
          <t>Outages in Past Week (Everyone)</t>
        </is>
      </c>
    </row>
    <row customHeight="1" ht="31.95" r="6" s="73" thickBot="1">
      <c r="A6" s="6" t="n"/>
      <c r="B6" s="7" t="inlineStr">
        <is>
          <t>Date</t>
        </is>
      </c>
      <c r="C6" s="7" t="inlineStr">
        <is>
          <t>Description</t>
        </is>
      </c>
      <c r="D6" s="7" t="inlineStr">
        <is>
          <t>Severity</t>
        </is>
      </c>
      <c r="E6" s="7" t="inlineStr">
        <is>
          <t>Mean Time to Recover (minutes)</t>
        </is>
      </c>
      <c r="F6" s="7" t="inlineStr">
        <is>
          <t>Notes</t>
        </is>
      </c>
    </row>
    <row r="7">
      <c r="B7" s="18" t="inlineStr">
        <is>
          <t>N/A</t>
        </is>
      </c>
      <c r="C7" s="8" t="n"/>
      <c r="D7" s="8" t="n"/>
      <c r="E7" s="8" t="n"/>
      <c r="F7" s="8" t="n"/>
    </row>
    <row r="8">
      <c r="B8" s="17" t="n"/>
      <c r="C8" s="16" t="n"/>
      <c r="D8" s="16" t="n"/>
      <c r="E8" s="16" t="n"/>
      <c r="F8" s="16" t="n"/>
    </row>
    <row customHeight="1" ht="18" r="10" s="73">
      <c r="A10" s="5" t="inlineStr">
        <is>
          <t>Metrics (Akshay/Ari/Venkat/Sunil)</t>
        </is>
      </c>
    </row>
    <row r="11">
      <c r="B11" s="9" t="inlineStr">
        <is>
          <t>Comet</t>
        </is>
      </c>
    </row>
    <row r="12">
      <c r="B12" s="9" t="inlineStr">
        <is>
          <t>Drakon</t>
        </is>
      </c>
    </row>
    <row r="13">
      <c r="B13" s="9" t="inlineStr">
        <is>
          <t>Wyvern</t>
        </is>
      </c>
    </row>
    <row r="14">
      <c r="B14" s="9" t="n"/>
    </row>
    <row customHeight="1" ht="18.6" r="16" s="73" thickBot="1">
      <c r="A16" s="4" t="inlineStr">
        <is>
          <t>Projects / Efforts (Kammi/Roxanne)</t>
        </is>
      </c>
    </row>
    <row customHeight="1" ht="31.95" r="17" s="73" thickBot="1">
      <c r="A17" s="6" t="n"/>
      <c r="B17" s="7" t="inlineStr">
        <is>
          <t>Project</t>
        </is>
      </c>
      <c r="C17" s="7" t="inlineStr">
        <is>
          <t>Team(s)</t>
        </is>
      </c>
      <c r="D17" s="7" t="inlineStr">
        <is>
          <t>Stage</t>
        </is>
      </c>
      <c r="E17" s="7" t="inlineStr">
        <is>
          <t>Risk Level (R/Y/G)</t>
        </is>
      </c>
      <c r="F17" s="7" t="inlineStr">
        <is>
          <t>Current Planned Deployment Date</t>
        </is>
      </c>
      <c r="G17" s="7" t="inlineStr">
        <is>
          <t>Original Deployment Date</t>
        </is>
      </c>
      <c r="H17" s="7" t="inlineStr">
        <is>
          <t>Updates / Changes since last week</t>
        </is>
      </c>
    </row>
    <row customHeight="1" ht="78.59999999999999" r="18" s="73" thickBot="1">
      <c r="B18" s="10" t="inlineStr">
        <is>
          <t>My Profile</t>
        </is>
      </c>
      <c r="C18" s="10" t="inlineStr">
        <is>
          <t>Drakon</t>
        </is>
      </c>
      <c r="D18" s="10" t="inlineStr">
        <is>
          <t>Development</t>
        </is>
      </c>
      <c r="E18" s="19" t="inlineStr">
        <is>
          <t>Red</t>
        </is>
      </c>
      <c r="F18" s="12" t="n">
        <v>44951</v>
      </c>
      <c r="G18" s="12" t="n">
        <v>44895</v>
      </c>
      <c r="H18" s="10" t="inlineStr">
        <is>
          <t>Moved from 12/28/22 to 1/25/23 due to closing 3 Egen engineers</t>
        </is>
      </c>
    </row>
    <row customHeight="1" ht="31.95" r="19" s="73" thickBot="1">
      <c r="B19" s="10" t="inlineStr">
        <is>
          <t>Payment Plan</t>
        </is>
      </c>
      <c r="C19" s="10" t="inlineStr">
        <is>
          <t>Drakon</t>
        </is>
      </c>
      <c r="D19" s="10" t="inlineStr">
        <is>
          <t>Development</t>
        </is>
      </c>
      <c r="E19" s="11" t="inlineStr">
        <is>
          <t>Green</t>
        </is>
      </c>
      <c r="F19" s="12" t="n">
        <v>44909</v>
      </c>
      <c r="G19" s="12" t="n">
        <v>44895</v>
      </c>
      <c r="H19" s="10" t="inlineStr">
        <is>
          <t>No change from last week</t>
        </is>
      </c>
    </row>
    <row customHeight="1" ht="94.2" r="20" s="73" thickBot="1">
      <c r="B20" s="10" t="inlineStr">
        <is>
          <t>FullStory</t>
        </is>
      </c>
      <c r="C20" s="10" t="inlineStr">
        <is>
          <t>Wyvern</t>
        </is>
      </c>
      <c r="D20" s="10" t="inlineStr">
        <is>
          <t>Development</t>
        </is>
      </c>
      <c r="E20" s="31" t="inlineStr">
        <is>
          <t>Red</t>
        </is>
      </c>
      <c r="F20" s="12" t="n">
        <v>44909</v>
      </c>
      <c r="G20" s="12" t="n">
        <v>44895</v>
      </c>
      <c r="H20" s="30" t="inlineStr">
        <is>
          <t>-Missed Asset Uploader technical requirement
-Missed platform level FF requirement</t>
        </is>
      </c>
    </row>
    <row customHeight="1" ht="63" r="21" s="73" thickBot="1">
      <c r="A21" s="6" t="n"/>
      <c r="B21" s="10" t="inlineStr">
        <is>
          <t>Expose CO to BC Next</t>
        </is>
      </c>
      <c r="C21" s="10" t="inlineStr">
        <is>
          <t>Wyvern</t>
        </is>
      </c>
      <c r="D21" s="10" t="inlineStr">
        <is>
          <t>Development</t>
        </is>
      </c>
      <c r="E21" s="31" t="inlineStr">
        <is>
          <t>Red</t>
        </is>
      </c>
      <c r="F21" s="12" t="n">
        <v>44923</v>
      </c>
      <c r="G21" s="12" t="n">
        <v>44909</v>
      </c>
      <c r="H21" s="10" t="inlineStr">
        <is>
          <t>I'm not confident with this date with the past team velocity</t>
        </is>
      </c>
    </row>
    <row customHeight="1" ht="109.95" r="22" s="73" thickBot="1">
      <c r="A22" s="6" t="n"/>
      <c r="B22" s="10" t="inlineStr">
        <is>
          <t>Segment</t>
        </is>
      </c>
      <c r="C22" s="10" t="inlineStr">
        <is>
          <t>Wyvern</t>
        </is>
      </c>
      <c r="D22" s="10" t="inlineStr">
        <is>
          <t>Development</t>
        </is>
      </c>
      <c r="E22" s="31" t="inlineStr">
        <is>
          <t>Red</t>
        </is>
      </c>
      <c r="F22" s="12" t="inlineStr">
        <is>
          <t>January</t>
        </is>
      </c>
      <c r="G22" s="12" t="n">
        <v>44895</v>
      </c>
      <c r="H22" s="30" t="inlineStr">
        <is>
          <t>-Pushed when FullStory and Expose CO targets slipped
Not sure if this should remain with Wyvern</t>
        </is>
      </c>
    </row>
    <row customHeight="1" ht="109.95" r="23" s="73" thickBot="1">
      <c r="A23" s="6" t="n"/>
      <c r="B23" s="10" t="inlineStr">
        <is>
          <t>CSO Update</t>
        </is>
      </c>
      <c r="C23" s="10" t="inlineStr">
        <is>
          <t>Comet</t>
        </is>
      </c>
      <c r="D23" s="10" t="inlineStr">
        <is>
          <t>Development</t>
        </is>
      </c>
      <c r="E23" s="11" t="inlineStr">
        <is>
          <t>Green</t>
        </is>
      </c>
      <c r="F23" s="12" t="n">
        <v>44900</v>
      </c>
      <c r="G23" s="12" t="n">
        <v>44895</v>
      </c>
      <c r="H23" s="30" t="inlineStr">
        <is>
          <t>- Met development timeline, but deployed on Monday since Thursday and Friday were not an option</t>
        </is>
      </c>
    </row>
    <row customHeight="1" ht="47.4" r="24" s="73" thickBot="1">
      <c r="A24" s="6" t="n"/>
      <c r="B24" s="10" t="inlineStr">
        <is>
          <t>Assigned Repo Text</t>
        </is>
      </c>
      <c r="C24" s="10" t="inlineStr">
        <is>
          <t>Comet</t>
        </is>
      </c>
      <c r="D24" s="10" t="inlineStr">
        <is>
          <t>Development</t>
        </is>
      </c>
      <c r="E24" s="31" t="inlineStr">
        <is>
          <t>Red</t>
        </is>
      </c>
      <c r="F24" s="12" t="n">
        <v>44923</v>
      </c>
      <c r="G24" s="12" t="n">
        <v>44895</v>
      </c>
      <c r="H24" s="30" t="inlineStr">
        <is>
          <t>- Had to push due to Servicing Track dependancy</t>
        </is>
      </c>
    </row>
    <row customHeight="1" ht="47.4" r="25" s="73" thickBot="1">
      <c r="A25" s="6" t="n"/>
      <c r="B25" s="10" t="inlineStr">
        <is>
          <t>TWT Widget</t>
        </is>
      </c>
      <c r="C25" s="10" t="inlineStr">
        <is>
          <t>Comet</t>
        </is>
      </c>
      <c r="D25" s="10" t="inlineStr">
        <is>
          <t>Development</t>
        </is>
      </c>
      <c r="E25" s="31" t="inlineStr">
        <is>
          <t>Red</t>
        </is>
      </c>
      <c r="F25" s="12" t="n">
        <v>44923</v>
      </c>
      <c r="G25" s="12" t="n">
        <v>44909</v>
      </c>
      <c r="H25" s="30" t="inlineStr">
        <is>
          <t>- Pushed to focus on higher priority, Privacy Policy</t>
        </is>
      </c>
    </row>
    <row customHeight="1" ht="16.2" r="26" s="73" thickBot="1">
      <c r="A26" s="6" t="n"/>
      <c r="B26" s="10" t="inlineStr">
        <is>
          <t>Privacy Policy</t>
        </is>
      </c>
      <c r="C26" s="10" t="inlineStr">
        <is>
          <t>Comet</t>
        </is>
      </c>
      <c r="D26" s="10" t="inlineStr">
        <is>
          <t>Development</t>
        </is>
      </c>
      <c r="E26" s="11" t="inlineStr">
        <is>
          <t>Green</t>
        </is>
      </c>
      <c r="F26" s="12" t="n">
        <v>44909</v>
      </c>
      <c r="G26" s="12" t="n">
        <v>44909</v>
      </c>
      <c r="H26" s="10" t="n"/>
    </row>
    <row r="27">
      <c r="A27" s="6" t="n"/>
      <c r="B27" s="28" t="n"/>
      <c r="C27" s="28" t="n"/>
      <c r="D27" s="28" t="n"/>
      <c r="E27" s="28" t="n"/>
      <c r="F27" s="29" t="n"/>
      <c r="G27" s="29" t="n"/>
      <c r="H27" s="28" t="n"/>
    </row>
    <row customHeight="1" ht="18.6" r="29" s="73" thickBot="1">
      <c r="A29" s="4" t="inlineStr">
        <is>
          <t>Risks (Everyone)</t>
        </is>
      </c>
    </row>
    <row customHeight="1" ht="31.2" r="30" s="73">
      <c r="A30" s="6" t="n"/>
      <c r="B30" s="7" t="inlineStr">
        <is>
          <t>Date Added</t>
        </is>
      </c>
      <c r="C30" s="7" t="inlineStr">
        <is>
          <t>Project</t>
        </is>
      </c>
      <c r="D30" s="7" t="inlineStr">
        <is>
          <t>Risk</t>
        </is>
      </c>
      <c r="E30" s="7" t="inlineStr">
        <is>
          <t>Likelihood</t>
        </is>
      </c>
      <c r="F30" s="7" t="inlineStr">
        <is>
          <t>Severity</t>
        </is>
      </c>
      <c r="G30" s="7" t="inlineStr">
        <is>
          <t>Status</t>
        </is>
      </c>
      <c r="H30" s="7" t="inlineStr">
        <is>
          <t>Owner</t>
        </is>
      </c>
      <c r="I30" s="27" t="inlineStr">
        <is>
          <t>Mitigation Plan / Assistance Needed</t>
        </is>
      </c>
      <c r="J30" s="26" t="inlineStr">
        <is>
          <t>Solution</t>
        </is>
      </c>
    </row>
    <row customHeight="1" ht="78" r="31" s="73">
      <c r="B31" s="23" t="n">
        <v>44875</v>
      </c>
      <c r="C31" s="24" t="inlineStr">
        <is>
          <t>General</t>
        </is>
      </c>
      <c r="D31" s="24" t="inlineStr">
        <is>
          <t>Sushma Maternity Leave</t>
        </is>
      </c>
      <c r="E31" s="24" t="inlineStr">
        <is>
          <t>High</t>
        </is>
      </c>
      <c r="F31" s="24" t="inlineStr">
        <is>
          <t>Medium</t>
        </is>
      </c>
      <c r="G31" s="24" t="inlineStr">
        <is>
          <t>Completed</t>
        </is>
      </c>
      <c r="H31" s="24" t="inlineStr">
        <is>
          <t>Vivek</t>
        </is>
      </c>
      <c r="I31" s="24" t="inlineStr">
        <is>
          <t>Need to confirm backfill.</t>
        </is>
      </c>
      <c r="J31" s="25" t="inlineStr">
        <is>
          <t>Bindu Dudipala will provide assistance to Digital.  Knowledge transfer started 11/30.</t>
        </is>
      </c>
    </row>
    <row customHeight="1" ht="93.59999999999999" r="32" s="73">
      <c r="B32" s="13" t="n">
        <v>44893</v>
      </c>
      <c r="C32" s="8" t="inlineStr">
        <is>
          <t>Manage Modifications</t>
        </is>
      </c>
      <c r="D32" s="8" t="inlineStr">
        <is>
          <t>Error with retrieving co-buyer email address causing issues opening signing room</t>
        </is>
      </c>
      <c r="E32" s="8" t="inlineStr">
        <is>
          <t>High</t>
        </is>
      </c>
      <c r="F32" s="8" t="inlineStr">
        <is>
          <t>Low-Med</t>
        </is>
      </c>
      <c r="G32" s="8" t="inlineStr">
        <is>
          <t>Open</t>
        </is>
      </c>
      <c r="H32" s="8" t="inlineStr">
        <is>
          <t>Ari/Cody</t>
        </is>
      </c>
      <c r="I32" s="8" t="inlineStr">
        <is>
          <t>Drakon engineers have connected with DE</t>
        </is>
      </c>
      <c r="J32" s="21" t="n"/>
    </row>
    <row customHeight="1" ht="63" r="33" s="73" thickBot="1">
      <c r="B33" s="13" t="n">
        <v>44893</v>
      </c>
      <c r="C33" s="8" t="inlineStr">
        <is>
          <t>General</t>
        </is>
      </c>
      <c r="D33" s="8" t="inlineStr">
        <is>
          <t>Offshore resources VDI environment is slow</t>
        </is>
      </c>
      <c r="E33" s="8" t="inlineStr">
        <is>
          <t>High</t>
        </is>
      </c>
      <c r="F33" s="8" t="inlineStr">
        <is>
          <t>Medium</t>
        </is>
      </c>
      <c r="G33" s="8" t="inlineStr">
        <is>
          <t>Open</t>
        </is>
      </c>
      <c r="H33" s="8" t="inlineStr">
        <is>
          <t>Sunil/Zach Novak</t>
        </is>
      </c>
      <c r="I33" s="8" t="inlineStr">
        <is>
          <t>Zach is looking into improving performance of VDI environment</t>
        </is>
      </c>
      <c r="J33" s="21" t="n"/>
    </row>
    <row customHeight="1" ht="78.59999999999999" r="34" s="73" thickBot="1">
      <c r="B34" s="13" t="n">
        <v>44893</v>
      </c>
      <c r="C34" s="8" t="inlineStr">
        <is>
          <t>General</t>
        </is>
      </c>
      <c r="D34" s="8" t="inlineStr">
        <is>
          <t>Removal of 3 onshore resources</t>
        </is>
      </c>
      <c r="E34" s="8" t="inlineStr">
        <is>
          <t>High</t>
        </is>
      </c>
      <c r="F34" s="8" t="inlineStr">
        <is>
          <t>High</t>
        </is>
      </c>
      <c r="G34" s="8" t="inlineStr">
        <is>
          <t>Open</t>
        </is>
      </c>
      <c r="H34" s="8" t="inlineStr">
        <is>
          <t>Greg</t>
        </is>
      </c>
      <c r="I34" s="8" t="inlineStr">
        <is>
          <t>Greg is working with Brian/Aaron/Zack/PMs/EngMgrs/Egen to minimize impact</t>
        </is>
      </c>
      <c r="J34" s="21" t="n"/>
    </row>
    <row customHeight="1" ht="47.4" r="35" s="73" thickBot="1">
      <c r="B35" s="13" t="n">
        <v>44900</v>
      </c>
      <c r="C35" s="8" t="inlineStr">
        <is>
          <t>General</t>
        </is>
      </c>
      <c r="D35" s="8" t="inlineStr">
        <is>
          <t>Bindu PTO for 10 days at end of December</t>
        </is>
      </c>
      <c r="E35" s="8" t="inlineStr">
        <is>
          <t>High</t>
        </is>
      </c>
      <c r="F35" s="8" t="inlineStr">
        <is>
          <t>Low-Med</t>
        </is>
      </c>
      <c r="G35" s="8" t="inlineStr">
        <is>
          <t>Open</t>
        </is>
      </c>
      <c r="H35" s="8" t="inlineStr">
        <is>
          <t>Greg/Akshay</t>
        </is>
      </c>
      <c r="I35" s="8" t="inlineStr">
        <is>
          <t>Just a callout that DE work may get shifted.</t>
        </is>
      </c>
      <c r="J35" s="21" t="n"/>
    </row>
    <row r="36">
      <c r="B36" s="32" t="n"/>
    </row>
    <row r="37">
      <c r="B37" s="15" t="n"/>
      <c r="C37" s="16" t="n"/>
      <c r="D37" s="16" t="n"/>
      <c r="E37" s="16" t="n"/>
      <c r="F37" s="16" t="n"/>
      <c r="G37" s="16" t="n"/>
      <c r="H37" s="16" t="n"/>
      <c r="I37" s="16" t="n"/>
    </row>
    <row customHeight="1" ht="18" r="38" s="73">
      <c r="A38" s="4" t="inlineStr">
        <is>
          <t>Highlighted Wins (Everyone)</t>
        </is>
      </c>
    </row>
    <row r="39">
      <c r="B39" s="14" t="inlineStr">
        <is>
          <t>Moving towards DORA metrics!</t>
        </is>
      </c>
    </row>
    <row r="41">
      <c r="B41" s="2" t="n"/>
    </row>
    <row customHeight="1" ht="18" r="42" s="73">
      <c r="A42" s="4" t="inlineStr">
        <is>
          <t>Team / People Updates (Everyone)</t>
        </is>
      </c>
    </row>
    <row r="43">
      <c r="B43" t="inlineStr">
        <is>
          <t>Comet</t>
        </is>
      </c>
    </row>
    <row r="44">
      <c r="C44" t="inlineStr">
        <is>
          <t>Sushma maternity in first week of December - started transition to Bindu</t>
        </is>
      </c>
    </row>
    <row r="45">
      <c r="C45" t="inlineStr">
        <is>
          <t>Akshay to Pega project - started this transition to Venkat</t>
        </is>
      </c>
    </row>
    <row r="46">
      <c r="B46" t="inlineStr">
        <is>
          <t>Drakon</t>
        </is>
      </c>
    </row>
    <row r="47">
      <c r="C47" t="inlineStr">
        <is>
          <t>Joseph rolloff 11/30</t>
        </is>
      </c>
    </row>
    <row r="48">
      <c r="C48" s="22" t="inlineStr">
        <is>
          <t>Chirag, Abbas rolloff 12/14</t>
        </is>
      </c>
    </row>
    <row r="49">
      <c r="B49" t="inlineStr">
        <is>
          <t>Wyvern</t>
        </is>
      </c>
    </row>
    <row r="50">
      <c r="C50" t="inlineStr">
        <is>
          <t>Jon and Issac rollof (tentaive 12/31)</t>
        </is>
      </c>
    </row>
    <row r="51">
      <c r="B51" t="inlineStr">
        <is>
          <t>Sunil</t>
        </is>
      </c>
    </row>
    <row r="52">
      <c r="C52" t="inlineStr">
        <is>
          <t>Setup standups with 3 offshore members</t>
        </is>
      </c>
    </row>
    <row customHeight="1" ht="18" r="55" s="73">
      <c r="A55" s="5" t="inlineStr">
        <is>
          <t>Upcoming Projects (Kammi/Roxanne)</t>
        </is>
      </c>
    </row>
    <row r="56">
      <c r="B56" t="inlineStr">
        <is>
          <t>Show ClickUp</t>
        </is>
      </c>
    </row>
    <row r="57">
      <c r="B57" t="inlineStr">
        <is>
          <t>https://app.clickup.com/login/sso</t>
        </is>
      </c>
    </row>
    <row r="58">
      <c r="B58" t="inlineStr">
        <is>
          <t>Genesys</t>
        </is>
      </c>
    </row>
    <row r="59">
      <c r="B59" t="inlineStr">
        <is>
          <t>PCO</t>
        </is>
      </c>
    </row>
    <row customHeight="1" ht="18" r="62" s="73">
      <c r="A62" s="5" t="inlineStr">
        <is>
          <t>Usage Statistics</t>
        </is>
      </c>
    </row>
    <row r="63">
      <c r="B63" t="inlineStr">
        <is>
          <t>Ari - App Statistics</t>
        </is>
      </c>
    </row>
    <row customHeight="1" ht="18" r="66" s="73">
      <c r="A66" s="5" t="inlineStr">
        <is>
          <t>Next Meeting</t>
        </is>
      </c>
    </row>
  </sheetData>
  <hyperlinks>
    <hyperlink ref="B2" r:id="rId1"/>
    <hyperlink display="Comet" location="'Metrics - Comet'!R1" ref="B11"/>
    <hyperlink display="Drakon" location="'Metrics - Drakon'!R1" ref="B12"/>
    <hyperlink display="Wyvern" location="'Metrics - Wyvern'!R1" ref="B13"/>
  </hyperlinks>
  <pageMargins bottom="0.75" footer="0.3" header="0.3" left="0.7" right="0.7" top="0.75"/>
  <pageSetup horizontalDpi="4294967293" orientation="portrait" verticalDpi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52"/>
  <sheetViews>
    <sheetView workbookViewId="0">
      <selection activeCell="D23" sqref="D23"/>
    </sheetView>
  </sheetViews>
  <sheetFormatPr baseColWidth="8" defaultColWidth="13.8984375" defaultRowHeight="15.6"/>
  <cols>
    <col customWidth="1" max="2" min="2" style="73" width="23.3984375"/>
    <col customWidth="1" max="3" min="3" style="73" width="21.09765625"/>
    <col customWidth="1" max="4" min="4" style="73" width="26.3984375"/>
    <col customWidth="1" max="5" min="5" style="73" width="29.5"/>
    <col customWidth="1" max="6" min="6" style="73" width="29.19921875"/>
    <col customWidth="1" max="7" min="7" style="73" width="27.69921875"/>
    <col customWidth="1" max="8" min="8" style="73" width="30.09765625"/>
    <col customWidth="1" max="9" min="9" style="73" width="30.3984375"/>
  </cols>
  <sheetData>
    <row customHeight="1" ht="18.6" r="1" s="73" thickBot="1">
      <c r="A1" s="4" t="inlineStr">
        <is>
          <t>Outages (Everyone)</t>
        </is>
      </c>
    </row>
    <row customHeight="1" ht="16.2" r="2" s="73" thickBot="1">
      <c r="A2" s="6" t="n"/>
      <c r="B2" s="7" t="inlineStr">
        <is>
          <t>Date</t>
        </is>
      </c>
      <c r="C2" s="7" t="inlineStr">
        <is>
          <t>Description</t>
        </is>
      </c>
      <c r="D2" s="7" t="inlineStr">
        <is>
          <t>Severity</t>
        </is>
      </c>
      <c r="E2" s="7" t="inlineStr">
        <is>
          <t>Mean Time to Recover (minutes)</t>
        </is>
      </c>
      <c r="F2" s="7" t="inlineStr">
        <is>
          <t>Notes</t>
        </is>
      </c>
    </row>
    <row r="3">
      <c r="B3" s="18" t="inlineStr">
        <is>
          <t>None</t>
        </is>
      </c>
      <c r="C3" s="8" t="n"/>
      <c r="D3" s="8" t="n"/>
      <c r="E3" s="8" t="n"/>
      <c r="F3" s="8" t="n"/>
    </row>
    <row r="4">
      <c r="B4" s="17" t="n"/>
      <c r="C4" s="16" t="n"/>
      <c r="D4" s="16" t="n"/>
      <c r="E4" s="16" t="n"/>
      <c r="F4" s="16" t="n"/>
    </row>
    <row customHeight="1" ht="18" r="6" s="73">
      <c r="A6" s="5" t="inlineStr">
        <is>
          <t>Metrics (Akshay/Ari/Venkat)</t>
        </is>
      </c>
    </row>
    <row r="7">
      <c r="B7" s="9" t="inlineStr">
        <is>
          <t>Comet</t>
        </is>
      </c>
    </row>
    <row r="8">
      <c r="B8" s="9" t="inlineStr">
        <is>
          <t>Drakon</t>
        </is>
      </c>
    </row>
    <row r="9">
      <c r="B9" s="9" t="inlineStr">
        <is>
          <t>Wyvern</t>
        </is>
      </c>
    </row>
    <row r="10">
      <c r="B10" s="9" t="n"/>
    </row>
    <row customHeight="1" ht="18.6" r="12" s="73" thickBot="1">
      <c r="A12" s="4" t="inlineStr">
        <is>
          <t>Projects / Efforts (Kammi/Roxanne)</t>
        </is>
      </c>
    </row>
    <row customHeight="1" ht="31.95" r="13" s="73" thickBot="1">
      <c r="A13" s="6" t="n"/>
      <c r="B13" s="7" t="inlineStr">
        <is>
          <t>Project</t>
        </is>
      </c>
      <c r="C13" s="7" t="inlineStr">
        <is>
          <t>Team(s)</t>
        </is>
      </c>
      <c r="D13" s="7" t="inlineStr">
        <is>
          <t>Stage</t>
        </is>
      </c>
      <c r="E13" s="7" t="inlineStr">
        <is>
          <t>Risk Level (R/Y/G)</t>
        </is>
      </c>
      <c r="F13" s="7" t="inlineStr">
        <is>
          <t>Current Planned Deployment Date</t>
        </is>
      </c>
      <c r="G13" s="7" t="inlineStr">
        <is>
          <t>Original Deployment Date</t>
        </is>
      </c>
      <c r="H13" s="7" t="inlineStr">
        <is>
          <t>Updates / Changes since last week</t>
        </is>
      </c>
    </row>
    <row customHeight="1" ht="31.95" r="14" s="73" thickBot="1">
      <c r="B14" s="10" t="inlineStr">
        <is>
          <t>My Profile</t>
        </is>
      </c>
      <c r="C14" s="10" t="inlineStr">
        <is>
          <t>Drakon</t>
        </is>
      </c>
      <c r="D14" s="10" t="inlineStr">
        <is>
          <t>Development</t>
        </is>
      </c>
      <c r="E14" s="19" t="inlineStr">
        <is>
          <t>Red</t>
        </is>
      </c>
      <c r="F14" s="12" t="n">
        <v>44951</v>
      </c>
      <c r="G14" s="12" t="n">
        <v>44895</v>
      </c>
      <c r="H14" s="10" t="inlineStr">
        <is>
          <t>Moved from 12/28/22 to 1/25/23 due to closing 3 Egen engineers</t>
        </is>
      </c>
    </row>
    <row customHeight="1" ht="16.2" r="15" s="73" thickBot="1">
      <c r="B15" s="10" t="inlineStr">
        <is>
          <t>Payment Plan</t>
        </is>
      </c>
      <c r="C15" s="10" t="inlineStr">
        <is>
          <t>Drakon</t>
        </is>
      </c>
      <c r="D15" s="10" t="inlineStr">
        <is>
          <t>Development</t>
        </is>
      </c>
      <c r="E15" s="11" t="inlineStr">
        <is>
          <t>Green</t>
        </is>
      </c>
      <c r="F15" s="12" t="n">
        <v>44909</v>
      </c>
      <c r="G15" s="12" t="n">
        <v>44895</v>
      </c>
      <c r="H15" s="10" t="inlineStr">
        <is>
          <t>No change from last week</t>
        </is>
      </c>
    </row>
    <row r="16">
      <c r="A16" s="6" t="n"/>
    </row>
    <row customHeight="1" ht="18.6" r="18" s="73" thickBot="1">
      <c r="A18" s="4" t="inlineStr">
        <is>
          <t>Risks (Everyone)</t>
        </is>
      </c>
    </row>
    <row customHeight="1" ht="31.95" r="19" s="73" thickBot="1">
      <c r="A19" s="6" t="n"/>
      <c r="B19" s="7" t="inlineStr">
        <is>
          <t>Date Added</t>
        </is>
      </c>
      <c r="C19" s="7" t="inlineStr">
        <is>
          <t>Project</t>
        </is>
      </c>
      <c r="D19" s="7" t="inlineStr">
        <is>
          <t>Risk</t>
        </is>
      </c>
      <c r="E19" s="7" t="inlineStr">
        <is>
          <t>Likelihood</t>
        </is>
      </c>
      <c r="F19" s="7" t="inlineStr">
        <is>
          <t>Severity</t>
        </is>
      </c>
      <c r="G19" s="7" t="inlineStr">
        <is>
          <t>Status</t>
        </is>
      </c>
      <c r="H19" s="7" t="inlineStr">
        <is>
          <t>Owner</t>
        </is>
      </c>
      <c r="I19" s="7" t="inlineStr">
        <is>
          <t>Mitigation Plan / Assistance Needed</t>
        </is>
      </c>
    </row>
    <row customHeight="1" ht="16.2" r="20" s="73" thickBot="1">
      <c r="B20" s="13" t="n">
        <v>44875</v>
      </c>
      <c r="C20" s="8" t="inlineStr">
        <is>
          <t>General</t>
        </is>
      </c>
      <c r="D20" s="8" t="inlineStr">
        <is>
          <t>Sushma Maternity Leave</t>
        </is>
      </c>
      <c r="E20" s="8" t="inlineStr">
        <is>
          <t>High</t>
        </is>
      </c>
      <c r="F20" s="8" t="inlineStr">
        <is>
          <t>Medium</t>
        </is>
      </c>
      <c r="G20" s="8" t="inlineStr">
        <is>
          <t>Open</t>
        </is>
      </c>
      <c r="H20" s="8" t="inlineStr">
        <is>
          <t>Vivek</t>
        </is>
      </c>
      <c r="I20" s="8" t="inlineStr">
        <is>
          <t>Need to confirm backfill.</t>
        </is>
      </c>
    </row>
    <row customHeight="1" ht="47.4" r="21" s="73" thickBot="1">
      <c r="B21" s="13" t="n">
        <v>44893</v>
      </c>
      <c r="C21" s="8" t="inlineStr">
        <is>
          <t>Manage Modifications</t>
        </is>
      </c>
      <c r="D21" s="8" t="inlineStr">
        <is>
          <t>Error with retrieving co-buyer email address causing issues opening signing room</t>
        </is>
      </c>
      <c r="E21" s="8" t="inlineStr">
        <is>
          <t>High</t>
        </is>
      </c>
      <c r="F21" s="8" t="inlineStr">
        <is>
          <t>Low-Med</t>
        </is>
      </c>
      <c r="G21" s="8" t="inlineStr">
        <is>
          <t>Open</t>
        </is>
      </c>
      <c r="H21" s="8" t="inlineStr">
        <is>
          <t>Ari/Cody</t>
        </is>
      </c>
      <c r="I21" s="8" t="inlineStr">
        <is>
          <t>Drakon engineers have connected with DE</t>
        </is>
      </c>
    </row>
    <row customHeight="1" ht="31.95" r="22" s="73" thickBot="1">
      <c r="B22" s="13" t="n">
        <v>44893</v>
      </c>
      <c r="C22" s="8" t="inlineStr">
        <is>
          <t>General</t>
        </is>
      </c>
      <c r="D22" s="8" t="inlineStr">
        <is>
          <t>Offshore resources VDI environment is slow</t>
        </is>
      </c>
      <c r="E22" s="8" t="inlineStr">
        <is>
          <t>High</t>
        </is>
      </c>
      <c r="F22" s="8" t="inlineStr">
        <is>
          <t>Medium</t>
        </is>
      </c>
      <c r="G22" s="8" t="inlineStr">
        <is>
          <t>Open</t>
        </is>
      </c>
      <c r="H22" s="8" t="inlineStr">
        <is>
          <t>Sunil/Zach Novak</t>
        </is>
      </c>
      <c r="I22" s="8" t="inlineStr">
        <is>
          <t>Zach is looking into improving performance of VDI environment</t>
        </is>
      </c>
    </row>
    <row customHeight="1" ht="47.4" r="23" s="73" thickBot="1">
      <c r="B23" s="13" t="n">
        <v>44893</v>
      </c>
      <c r="C23" s="8" t="inlineStr">
        <is>
          <t>General</t>
        </is>
      </c>
      <c r="D23" s="8" t="inlineStr">
        <is>
          <t>Removal of 3 onshore resources</t>
        </is>
      </c>
      <c r="E23" s="8" t="inlineStr">
        <is>
          <t>High</t>
        </is>
      </c>
      <c r="F23" s="8" t="inlineStr">
        <is>
          <t>High</t>
        </is>
      </c>
      <c r="G23" s="8" t="inlineStr">
        <is>
          <t>Open</t>
        </is>
      </c>
      <c r="H23" s="8" t="inlineStr">
        <is>
          <t>Greg</t>
        </is>
      </c>
      <c r="I23" s="8" t="inlineStr">
        <is>
          <t>Greg is working with Brian/Aaron/Egen to minimize impact</t>
        </is>
      </c>
    </row>
    <row r="25">
      <c r="B25" s="15" t="n"/>
      <c r="C25" s="16" t="n"/>
      <c r="D25" s="16" t="n"/>
      <c r="E25" s="16" t="n"/>
      <c r="F25" s="16" t="n"/>
      <c r="G25" s="16" t="n"/>
      <c r="H25" s="16" t="n"/>
      <c r="I25" s="16" t="n"/>
    </row>
    <row customHeight="1" ht="18" r="26" s="73">
      <c r="A26" s="4" t="inlineStr">
        <is>
          <t>Highlighted Wins (Everyone)</t>
        </is>
      </c>
    </row>
    <row r="27">
      <c r="A27" s="6" t="n"/>
      <c r="B27" s="14" t="inlineStr">
        <is>
          <t>No VictorOps over Thanksgiving!</t>
        </is>
      </c>
    </row>
    <row r="28">
      <c r="B28" s="14" t="n"/>
    </row>
    <row r="29">
      <c r="B29" s="2" t="n"/>
    </row>
    <row customHeight="1" ht="18" r="30" s="73">
      <c r="A30" s="4" t="inlineStr">
        <is>
          <t>Team / People Updates (Everyone)</t>
        </is>
      </c>
    </row>
    <row r="31">
      <c r="B31" t="inlineStr">
        <is>
          <t>Comet</t>
        </is>
      </c>
    </row>
    <row r="32">
      <c r="C32" t="inlineStr">
        <is>
          <t>Sushma maternity in first week of December</t>
        </is>
      </c>
    </row>
    <row r="33">
      <c r="C33" t="inlineStr">
        <is>
          <t>Akshay to Pega project</t>
        </is>
      </c>
    </row>
    <row r="34">
      <c r="B34" t="inlineStr">
        <is>
          <t>Drakon</t>
        </is>
      </c>
    </row>
    <row r="35">
      <c r="C35" t="inlineStr">
        <is>
          <t>Joseph, Chirag, Abbas</t>
        </is>
      </c>
    </row>
    <row r="36">
      <c r="B36" t="inlineStr">
        <is>
          <t>Wyvern</t>
        </is>
      </c>
    </row>
    <row r="37">
      <c r="C37" t="inlineStr">
        <is>
          <t>???</t>
        </is>
      </c>
    </row>
    <row r="38">
      <c r="B38" t="inlineStr">
        <is>
          <t>Sunil</t>
        </is>
      </c>
    </row>
    <row r="39">
      <c r="C39" t="inlineStr">
        <is>
          <t>Setup standups with 3 offshore members</t>
        </is>
      </c>
    </row>
    <row customHeight="1" ht="18" r="42" s="73">
      <c r="A42" s="5" t="inlineStr">
        <is>
          <t>Upcoming Projects (Kammi/Roxanne)</t>
        </is>
      </c>
    </row>
    <row r="43">
      <c r="B43" t="inlineStr">
        <is>
          <t>Show ClickUp</t>
        </is>
      </c>
    </row>
    <row r="44">
      <c r="B44" t="inlineStr">
        <is>
          <t>https://app.clickup.com/login/sso</t>
        </is>
      </c>
    </row>
    <row customHeight="1" ht="18" r="47" s="73">
      <c r="A47" s="5" t="inlineStr">
        <is>
          <t>Usage Statistics</t>
        </is>
      </c>
    </row>
    <row r="48">
      <c r="B48" t="inlineStr">
        <is>
          <t>TBD</t>
        </is>
      </c>
    </row>
    <row customHeight="1" ht="18" r="51" s="73">
      <c r="A51" s="5" t="inlineStr">
        <is>
          <t>Next Meeting</t>
        </is>
      </c>
    </row>
    <row r="52">
      <c r="B52" t="inlineStr">
        <is>
          <t>Shifting back 30 minutes to account for Arizona timezone / lunches.</t>
        </is>
      </c>
    </row>
  </sheetData>
  <hyperlinks>
    <hyperlink display="Comet" location="'Metrics - Comet'!R1" ref="B7"/>
    <hyperlink display="Drakon" location="'Metrics - Drakon'!R1" ref="B8"/>
    <hyperlink display="Wyvern" location="'Metrics - Wyvern'!R1" ref="B9"/>
  </hyperlinks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41"/>
  <sheetViews>
    <sheetView workbookViewId="0">
      <selection activeCell="A41" sqref="A41"/>
    </sheetView>
  </sheetViews>
  <sheetFormatPr baseColWidth="8" defaultRowHeight="15.6"/>
  <cols>
    <col customWidth="1" max="1" min="1" style="73" width="109.69921875"/>
  </cols>
  <sheetData>
    <row r="1">
      <c r="A1" s="56" t="inlineStr">
        <is>
          <t>To find the DORA - Mean Lead Time (UAT to PROD):</t>
        </is>
      </c>
    </row>
    <row r="2">
      <c r="A2" s="52" t="inlineStr">
        <is>
          <t>1.  Click on the "Stories" tab.</t>
        </is>
      </c>
    </row>
    <row r="3">
      <c r="A3" s="52" t="inlineStr">
        <is>
          <t>2.  Filter on your specific team in column E.</t>
        </is>
      </c>
    </row>
    <row r="4">
      <c r="A4" s="52" t="inlineStr">
        <is>
          <t>3.  Filter on the specific week necessary in column F.</t>
        </is>
      </c>
    </row>
    <row r="5">
      <c r="A5" s="52" t="inlineStr">
        <is>
          <t>4.  Filter on the IssueType "UserStory" in column C.</t>
        </is>
      </c>
    </row>
    <row r="6">
      <c r="A6" s="52" t="inlineStr">
        <is>
          <t>5.  For the remaining rows, highlight the cells in column I for "ModifiedCycleTime"</t>
        </is>
      </c>
    </row>
    <row r="7">
      <c r="A7" s="52" t="inlineStr">
        <is>
          <t>6.  This will give you an average showing at the bottom right.</t>
        </is>
      </c>
    </row>
    <row r="8">
      <c r="A8" s="52" t="inlineStr">
        <is>
          <t>7.  Enter this average number into the TeamMetrics tab in the row "DORA - Mean Lead Time (UAT to PROD)" for your team.</t>
        </is>
      </c>
    </row>
    <row customHeight="1" ht="31.2" r="9" s="73">
      <c r="A9" s="57" t="inlineStr">
        <is>
          <t>*Note - If stories are "updated" from a previous sprint, they may carry into another sprint.  You'll notice this in TeamIterationName column Q.  Make sure to highlight only the rows pertaining to the current sprint.</t>
        </is>
      </c>
    </row>
    <row r="10">
      <c r="A10" s="57" t="n"/>
    </row>
    <row r="12">
      <c r="A12" s="56" t="inlineStr">
        <is>
          <t>To find the DORA - Deployment Frequency (Count of Deployments per Week):</t>
        </is>
      </c>
    </row>
    <row r="13">
      <c r="A13" s="52" t="inlineStr">
        <is>
          <t>1.  Click the "Releases" tab.</t>
        </is>
      </c>
    </row>
    <row r="14">
      <c r="A14" s="52" t="inlineStr">
        <is>
          <t>2.  Filter on your specific team in column D.</t>
        </is>
      </c>
    </row>
    <row r="15">
      <c r="A15" s="52" t="inlineStr">
        <is>
          <t>3.  Filter on the specific week necessary in column E.</t>
        </is>
      </c>
    </row>
    <row r="16">
      <c r="A16" s="52" t="inlineStr">
        <is>
          <t>4.  Filter on the Status "Deployed" in column G.</t>
        </is>
      </c>
    </row>
    <row customHeight="1" ht="31.2" r="17" s="73">
      <c r="A17" s="57" t="inlineStr">
        <is>
          <t>5.  Enter the count of rows into the TeamMetrics tab in the row "DORA - Deployment Frequency (Count of Deployments per Week)" for your team.</t>
        </is>
      </c>
    </row>
    <row r="18">
      <c r="A18" s="57" t="n"/>
    </row>
    <row r="20">
      <c r="A20" s="56" t="inlineStr">
        <is>
          <t>To find the Sprint Velocity:</t>
        </is>
      </c>
    </row>
    <row r="21">
      <c r="A21" s="52" t="inlineStr">
        <is>
          <t>1.  Click the "Stories" tab.</t>
        </is>
      </c>
    </row>
    <row r="22">
      <c r="A22" s="52" t="inlineStr">
        <is>
          <t>2.  Filter on your specific team in column E.</t>
        </is>
      </c>
    </row>
    <row r="23">
      <c r="A23" s="52" t="inlineStr">
        <is>
          <t>3.  Filter on the TeamIterationName in column Q pertaining to the current iteration.</t>
        </is>
      </c>
    </row>
    <row r="24">
      <c r="A24" s="52" t="inlineStr">
        <is>
          <t>4.  Add the effort together from column M.</t>
        </is>
      </c>
    </row>
    <row r="25">
      <c r="A25" s="52" t="inlineStr">
        <is>
          <t>5.  Enter this into the TeamMetrics tab in the row "Sprint Velocity" for your team.</t>
        </is>
      </c>
    </row>
    <row r="26">
      <c r="A26" s="52" t="inlineStr">
        <is>
          <t>*Note - For 2 weeks, the sprint velocity will be the same (from the same sprint)</t>
        </is>
      </c>
    </row>
    <row r="27">
      <c r="A27" s="52" t="n"/>
    </row>
    <row r="29">
      <c r="A29" s="54" t="inlineStr">
        <is>
          <t>To automatically populate DORA - Change Failure Rate (Failed Deployments / Total Deployments):</t>
        </is>
      </c>
    </row>
    <row r="30">
      <c r="A30" s="53" t="inlineStr">
        <is>
          <t>-Deployment Failures (Count of Failed Deployments)</t>
        </is>
      </c>
    </row>
    <row r="31">
      <c r="A31" s="53" t="inlineStr">
        <is>
          <t>-Service Incidents (Count of Environment Issues)</t>
        </is>
      </c>
    </row>
    <row r="32">
      <c r="A32" s="55" t="inlineStr">
        <is>
          <t>To automatically populate DORA - Mean Time to Recovery (Average Time in Minutes per Week):</t>
        </is>
      </c>
    </row>
    <row customFormat="1" r="33" s="52">
      <c r="A33" s="53" t="inlineStr">
        <is>
          <t>-Deployment Failure - Total Time to Recover (Total Time in Minutes per Week)</t>
        </is>
      </c>
    </row>
    <row r="34">
      <c r="A34" s="53" t="inlineStr">
        <is>
          <t>-Service Incidents - Total Time to Recover (Total Time in Minutes per Week)</t>
        </is>
      </c>
    </row>
    <row customHeight="1" ht="31.2" r="37" s="73">
      <c r="A37" s="58" t="inlineStr">
        <is>
          <t>To calculate Engineering Points Ready in Backlog, utilize TargetProcess.  Within the Backlog column, any story that has a feature attached with "(TeamName) Tech Investment" should be added together and entered on the TeamMetrics sheet.</t>
        </is>
      </c>
    </row>
    <row customHeight="1" ht="31.2" r="38" s="73">
      <c r="A38" s="58" t="inlineStr">
        <is>
          <t>To calculate Feature Points Ready in Backlog, utilize TargetProcess.  Within the Backlog column, any story that does not have a feature attached with "(TeamName) Tech Investment" should be added together and entered on the TeamMetrics sheet.</t>
        </is>
      </c>
    </row>
    <row r="39">
      <c r="A39" s="58" t="n"/>
    </row>
    <row customHeight="1" ht="31.2" r="41" s="73">
      <c r="A41" s="21" t="inlineStr">
        <is>
          <t>*Note - In cases where anomalies are found or an outage occurred, please make a comment in Excel within that cell explaining what occurred.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2022-06-02T08:28:34Z</dcterms:created>
  <dcterms:modified xsi:type="dcterms:W3CDTF">2023-01-03T13:54:33Z</dcterms:modified>
  <cp:lastModifiedBy>Gregory Lee</cp:lastModifiedBy>
</cp:coreProperties>
</file>