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\Desktop\Btech Project\"/>
    </mc:Choice>
  </mc:AlternateContent>
  <xr:revisionPtr revIDLastSave="0" documentId="13_ncr:1_{751D8634-1973-48AD-A4EC-78CFCC579693}" xr6:coauthVersionLast="44" xr6:coauthVersionMax="44" xr10:uidLastSave="{00000000-0000-0000-0000-000000000000}"/>
  <bookViews>
    <workbookView xWindow="0" yWindow="345" windowWidth="20490" windowHeight="10605" xr2:uid="{1CB1AB61-A8B9-4388-9441-BE0C8D4215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" l="1"/>
  <c r="B48" i="1" l="1"/>
  <c r="B46" i="1"/>
  <c r="B47" i="1"/>
  <c r="E44" i="1"/>
  <c r="M26" i="1"/>
  <c r="P27" i="1"/>
  <c r="F30" i="1" l="1"/>
  <c r="E29" i="1"/>
  <c r="E23" i="1"/>
  <c r="F8" i="1"/>
  <c r="E9" i="1"/>
  <c r="F9" i="1" s="1"/>
  <c r="E18" i="1"/>
  <c r="L24" i="1"/>
  <c r="E32" i="1" l="1"/>
  <c r="N26" i="1"/>
  <c r="E19" i="1"/>
  <c r="B19" i="1"/>
  <c r="E22" i="1"/>
  <c r="L22" i="1"/>
  <c r="B18" i="1" l="1"/>
  <c r="F18" i="1" s="1"/>
  <c r="S22" i="1"/>
  <c r="E11" i="1" s="1"/>
  <c r="E14" i="1" s="1"/>
  <c r="E21" i="1"/>
  <c r="E20" i="1"/>
  <c r="F19" i="1"/>
  <c r="B20" i="1"/>
  <c r="T22" i="1" l="1"/>
  <c r="T20" i="1" s="1"/>
  <c r="S20" i="1" s="1"/>
  <c r="D23" i="1" s="1"/>
  <c r="F20" i="1"/>
  <c r="B21" i="1"/>
  <c r="F21" i="1" s="1"/>
  <c r="G23" i="1" l="1"/>
  <c r="G24" i="1" s="1"/>
  <c r="D24" i="1"/>
  <c r="B22" i="1"/>
  <c r="F22" i="1" s="1"/>
  <c r="F24" i="1" s="1"/>
  <c r="B24" i="1" l="1"/>
  <c r="D35" i="1" s="1"/>
  <c r="E35" i="1" s="1"/>
  <c r="D37" i="1"/>
  <c r="E37" i="1" s="1"/>
  <c r="F54" i="1" l="1"/>
  <c r="D39" i="1"/>
  <c r="E40" i="1" l="1"/>
  <c r="B53" i="1"/>
  <c r="B54" i="1" s="1"/>
  <c r="B52" i="1"/>
  <c r="F53" i="1"/>
  <c r="F52" i="1"/>
  <c r="N51" i="1" l="1"/>
  <c r="N52" i="1" s="1"/>
  <c r="N53" i="1" s="1"/>
  <c r="O53" i="1" s="1"/>
</calcChain>
</file>

<file path=xl/sharedStrings.xml><?xml version="1.0" encoding="utf-8"?>
<sst xmlns="http://schemas.openxmlformats.org/spreadsheetml/2006/main" count="70" uniqueCount="70">
  <si>
    <t xml:space="preserve">     H=</t>
  </si>
  <si>
    <t xml:space="preserve">      D=</t>
  </si>
  <si>
    <t>B=</t>
  </si>
  <si>
    <t>α=</t>
  </si>
  <si>
    <t>β=</t>
  </si>
  <si>
    <t>Radian</t>
  </si>
  <si>
    <t>Degree</t>
  </si>
  <si>
    <t>Angle Of Inclination Of Backfill Soil=</t>
  </si>
  <si>
    <t>Earth Pressure Constant=</t>
  </si>
  <si>
    <t>Vertical Forces</t>
  </si>
  <si>
    <t>W1=</t>
  </si>
  <si>
    <t>W2=</t>
  </si>
  <si>
    <t>W3=</t>
  </si>
  <si>
    <t>W4=</t>
  </si>
  <si>
    <r>
      <t>P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>=</t>
    </r>
  </si>
  <si>
    <t>Horizontal Force</t>
  </si>
  <si>
    <r>
      <t>P</t>
    </r>
    <r>
      <rPr>
        <vertAlign val="subscript"/>
        <sz val="11"/>
        <color theme="1"/>
        <rFont val="Calibri"/>
        <family val="2"/>
        <scheme val="minor"/>
      </rPr>
      <t>AH</t>
    </r>
    <r>
      <rPr>
        <sz val="11"/>
        <color theme="1"/>
        <rFont val="Calibri"/>
        <family val="2"/>
        <scheme val="minor"/>
      </rPr>
      <t>=</t>
    </r>
  </si>
  <si>
    <t>Lever Arm</t>
  </si>
  <si>
    <r>
      <t>M</t>
    </r>
    <r>
      <rPr>
        <vertAlign val="subscript"/>
        <sz val="11"/>
        <color theme="1"/>
        <rFont val="Calibri"/>
        <family val="2"/>
        <scheme val="minor"/>
      </rPr>
      <t>R</t>
    </r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</si>
  <si>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O </t>
    </r>
  </si>
  <si>
    <r>
      <t>Cohesion factor KN/M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</si>
  <si>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Adhesion Factor =</t>
  </si>
  <si>
    <t>Actual Cohesion Factor =</t>
  </si>
  <si>
    <t>Friction Angle B/W wall &amp; Soil=</t>
  </si>
  <si>
    <t>Internal Friction Angle of Soil=</t>
  </si>
  <si>
    <t>Base of Retaining Wall=</t>
  </si>
  <si>
    <t>FOS|sliding=</t>
  </si>
  <si>
    <t>FOS|overturning=</t>
  </si>
  <si>
    <t>No Tension Condition=</t>
  </si>
  <si>
    <t>Eccentricity,e=</t>
  </si>
  <si>
    <t>RADIAN</t>
  </si>
  <si>
    <t>DESIGN OF GRAVITY RETAINING WALL AS PER COULOMBS THEORY</t>
  </si>
  <si>
    <t>INPUT REQUIRED</t>
  </si>
  <si>
    <t>BACKFILL SOIL PROPERTIES</t>
  </si>
  <si>
    <t xml:space="preserve">        ∑</t>
  </si>
  <si>
    <r>
      <t xml:space="preserve">      </t>
    </r>
    <r>
      <rPr>
        <sz val="11"/>
        <color rgb="FFFF0066"/>
        <rFont val="Calibri"/>
        <family val="2"/>
        <scheme val="minor"/>
      </rPr>
      <t xml:space="preserve"> BASE SOIL PROPERTIES</t>
    </r>
  </si>
  <si>
    <t>DEGREE</t>
  </si>
  <si>
    <t>FIG. 1: GRAVITY RETAINING WALL(DIME:IN METRE)</t>
  </si>
  <si>
    <r>
      <t>Unit weight Of Soil,KN/M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=</t>
    </r>
  </si>
  <si>
    <r>
      <t>Active Earth Pressure(P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)=</t>
    </r>
  </si>
  <si>
    <r>
      <t>Unit Weight Of Concrete,KN/M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=</t>
    </r>
  </si>
  <si>
    <r>
      <t xml:space="preserve">   </t>
    </r>
    <r>
      <rPr>
        <sz val="12"/>
        <color theme="5" tint="-0.249977111117893"/>
        <rFont val="Times New Roman"/>
        <family val="1"/>
      </rPr>
      <t xml:space="preserve"> STEP-1:                     PRELIMINARY PROPORTIONING OF RETAINING WALL </t>
    </r>
  </si>
  <si>
    <t>STEP-2 : CALCULATION OF EARTH PRESSURE COEFFICIENT</t>
  </si>
  <si>
    <t xml:space="preserve">              STEP-3 :       CALCULATION OF EARTH PRESSURE </t>
  </si>
  <si>
    <t xml:space="preserve">                 STEP-4 :  CALCULATION OF FORCES</t>
  </si>
  <si>
    <t xml:space="preserve">      β</t>
  </si>
  <si>
    <r>
      <t xml:space="preserve">    </t>
    </r>
    <r>
      <rPr>
        <sz val="16"/>
        <color theme="1"/>
        <rFont val="Calibri"/>
        <family val="2"/>
      </rPr>
      <t>ᵟ</t>
    </r>
  </si>
  <si>
    <t>Friction Angle Between Wall &amp; Soil ( ᵟ)=</t>
  </si>
  <si>
    <r>
      <t>Angle of Internal Friction of Soil (</t>
    </r>
    <r>
      <rPr>
        <sz val="11"/>
        <color theme="1"/>
        <rFont val="Calibri"/>
        <family val="2"/>
      </rPr>
      <t>φ</t>
    </r>
    <r>
      <rPr>
        <sz val="11.2"/>
        <color theme="1"/>
        <rFont val="Times New Roman"/>
        <family val="1"/>
      </rPr>
      <t>)=</t>
    </r>
  </si>
  <si>
    <r>
      <t xml:space="preserve">        P</t>
    </r>
    <r>
      <rPr>
        <vertAlign val="subscript"/>
        <sz val="11"/>
        <color theme="1"/>
        <rFont val="Calibri"/>
        <family val="2"/>
        <scheme val="minor"/>
      </rPr>
      <t>A</t>
    </r>
  </si>
  <si>
    <t xml:space="preserve">                   STEP-5 : STABILITY OF RETAINING WALL</t>
  </si>
  <si>
    <t xml:space="preserve"> STEP-6 : BEARING CAPACITY CALCULATION (MAYERHOF'S METHOD )</t>
  </si>
  <si>
    <t>ANGLE OF INTERNAL FRICTION (BASE SOIL)=</t>
  </si>
  <si>
    <t>BEARING CAPACITY OF FACTOR</t>
  </si>
  <si>
    <r>
      <t>N</t>
    </r>
    <r>
      <rPr>
        <vertAlign val="subscript"/>
        <sz val="11"/>
        <color theme="1"/>
        <rFont val="Calibri"/>
        <family val="2"/>
        <scheme val="minor"/>
      </rPr>
      <t xml:space="preserve">Q     </t>
    </r>
    <r>
      <rPr>
        <sz val="11"/>
        <color theme="1"/>
        <rFont val="Calibri"/>
        <family val="2"/>
        <scheme val="minor"/>
      </rPr>
      <t>=</t>
    </r>
  </si>
  <si>
    <t>Since retaining wall length &gt; width so it can be treated as strip footing</t>
  </si>
  <si>
    <r>
      <t>Therefore Shape Factor  S</t>
    </r>
    <r>
      <rPr>
        <vertAlign val="subscript"/>
        <sz val="11"/>
        <color theme="1"/>
        <rFont val="Calibri"/>
        <family val="2"/>
        <scheme val="minor"/>
      </rPr>
      <t xml:space="preserve">C  , 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 xml:space="preserve">Y , 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 xml:space="preserve">q  </t>
    </r>
    <r>
      <rPr>
        <sz val="11"/>
        <color theme="1"/>
        <rFont val="Calibri"/>
        <family val="2"/>
        <scheme val="minor"/>
      </rPr>
      <t>=</t>
    </r>
  </si>
  <si>
    <t xml:space="preserve">              DEPTH FACTOR</t>
  </si>
  <si>
    <t xml:space="preserve">     INCLINATION FACTOR</t>
  </si>
  <si>
    <r>
      <t xml:space="preserve">                                          Q</t>
    </r>
    <r>
      <rPr>
        <vertAlign val="subscript"/>
        <sz val="11"/>
        <color theme="1"/>
        <rFont val="Calibri"/>
        <family val="2"/>
        <scheme val="minor"/>
      </rPr>
      <t xml:space="preserve">nu , </t>
    </r>
    <r>
      <rPr>
        <sz val="11"/>
        <color theme="1"/>
        <rFont val="Calibri"/>
        <family val="2"/>
        <scheme val="minor"/>
      </rPr>
      <t>KN/M =</t>
    </r>
  </si>
  <si>
    <r>
      <t xml:space="preserve">    NET ULMITATE BEARING CAPACITY q</t>
    </r>
    <r>
      <rPr>
        <vertAlign val="subscript"/>
        <sz val="11"/>
        <color theme="1"/>
        <rFont val="Calibri"/>
        <family val="2"/>
        <scheme val="minor"/>
      </rPr>
      <t xml:space="preserve">nu </t>
    </r>
    <r>
      <rPr>
        <sz val="11"/>
        <color theme="1"/>
        <rFont val="Calibri"/>
        <family val="2"/>
        <scheme val="minor"/>
      </rPr>
      <t>, KN/M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</t>
    </r>
  </si>
  <si>
    <t xml:space="preserve">             FOS|Bearing =</t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</si>
  <si>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c   </t>
    </r>
    <r>
      <rPr>
        <sz val="11"/>
        <color theme="1"/>
        <rFont val="Calibri"/>
        <family val="2"/>
        <scheme val="minor"/>
      </rPr>
      <t xml:space="preserve">   =</t>
    </r>
  </si>
  <si>
    <r>
      <t>d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   =</t>
    </r>
  </si>
  <si>
    <r>
      <t>d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  =</t>
    </r>
  </si>
  <si>
    <r>
      <rPr>
        <sz val="16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c     =</t>
    </r>
  </si>
  <si>
    <r>
      <t>i</t>
    </r>
    <r>
      <rPr>
        <vertAlign val="subscript"/>
        <sz val="14"/>
        <color theme="1"/>
        <rFont val="Calibri"/>
        <family val="2"/>
        <scheme val="minor"/>
      </rPr>
      <t>q</t>
    </r>
    <r>
      <rPr>
        <sz val="14"/>
        <color theme="1"/>
        <rFont val="Calibri"/>
        <family val="2"/>
        <scheme val="minor"/>
      </rPr>
      <t xml:space="preserve">   =</t>
    </r>
  </si>
  <si>
    <r>
      <rPr>
        <sz val="14"/>
        <color theme="1"/>
        <rFont val="Calibri"/>
        <family val="2"/>
        <scheme val="minor"/>
      </rPr>
      <t>i</t>
    </r>
    <r>
      <rPr>
        <vertAlign val="subscript"/>
        <sz val="14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 xml:space="preserve">    =</t>
    </r>
  </si>
  <si>
    <r>
      <t>N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    =</t>
    </r>
  </si>
  <si>
    <r>
      <t>N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  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</si>
</sst>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9" tint="-0.249977111117893"/>
      <name val="Times New Roman"/>
      <family val="1"/>
    </font>
    <font>
      <sz val="18"/>
      <color theme="1"/>
      <name val="Calibri"/>
      <family val="2"/>
      <scheme val="minor"/>
    </font>
    <font>
      <sz val="11"/>
      <color theme="5" tint="-0.249977111117893"/>
      <name val="Times New Roman"/>
      <family val="1"/>
    </font>
    <font>
      <sz val="11"/>
      <color rgb="FFFF0066"/>
      <name val="Times New Roman"/>
      <family val="1"/>
    </font>
    <font>
      <sz val="11"/>
      <color theme="9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theme="7" tint="0.59999389629810485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theme="5" tint="-0.249977111117893"/>
      <name val="Times New Roman"/>
      <family val="1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.2"/>
      <color theme="1"/>
      <name val="Times New Roman"/>
      <family val="1"/>
    </font>
    <font>
      <sz val="11"/>
      <color theme="7"/>
      <name val="Times New Roman"/>
      <family val="1"/>
    </font>
    <font>
      <vertAlign val="subscript"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7" borderId="0" xfId="0" applyNumberFormat="1" applyFill="1"/>
    <xf numFmtId="0" fontId="13" fillId="9" borderId="0" xfId="0" applyFont="1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3" fillId="9" borderId="0" xfId="0" applyFont="1" applyFill="1"/>
    <xf numFmtId="2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/>
    <xf numFmtId="165" fontId="11" fillId="7" borderId="1" xfId="0" applyNumberFormat="1" applyFont="1" applyFill="1" applyBorder="1"/>
    <xf numFmtId="2" fontId="10" fillId="7" borderId="1" xfId="0" applyNumberFormat="1" applyFont="1" applyFill="1" applyBorder="1"/>
    <xf numFmtId="0" fontId="20" fillId="0" borderId="0" xfId="0" applyFont="1" applyBorder="1"/>
    <xf numFmtId="0" fontId="0" fillId="5" borderId="0" xfId="0" applyFill="1" applyBorder="1"/>
    <xf numFmtId="0" fontId="2" fillId="0" borderId="0" xfId="0" applyFont="1" applyBorder="1"/>
    <xf numFmtId="2" fontId="0" fillId="5" borderId="0" xfId="0" applyNumberFormat="1" applyFill="1" applyBorder="1"/>
    <xf numFmtId="0" fontId="1" fillId="0" borderId="0" xfId="0" applyFont="1" applyBorder="1"/>
    <xf numFmtId="164" fontId="0" fillId="5" borderId="0" xfId="0" applyNumberFormat="1" applyFill="1" applyBorder="1"/>
    <xf numFmtId="0" fontId="0" fillId="0" borderId="2" xfId="0" applyBorder="1"/>
    <xf numFmtId="0" fontId="0" fillId="0" borderId="4" xfId="0" applyBorder="1"/>
    <xf numFmtId="2" fontId="0" fillId="0" borderId="6" xfId="0" applyNumberFormat="1" applyBorder="1"/>
    <xf numFmtId="0" fontId="16" fillId="0" borderId="1" xfId="0" applyFont="1" applyBorder="1"/>
    <xf numFmtId="0" fontId="0" fillId="0" borderId="1" xfId="0" applyBorder="1"/>
    <xf numFmtId="0" fontId="0" fillId="5" borderId="0" xfId="0" applyFill="1"/>
    <xf numFmtId="0" fontId="0" fillId="0" borderId="0" xfId="0"/>
    <xf numFmtId="0" fontId="0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8" borderId="1" xfId="0" applyFill="1" applyBorder="1" applyAlignment="1"/>
    <xf numFmtId="0" fontId="0" fillId="10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8" fillId="6" borderId="0" xfId="0" applyFont="1" applyFill="1" applyAlignment="1">
      <alignment horizontal="center"/>
    </xf>
    <xf numFmtId="0" fontId="19" fillId="6" borderId="1" xfId="0" applyFont="1" applyFill="1" applyBorder="1" applyAlignment="1"/>
    <xf numFmtId="0" fontId="18" fillId="6" borderId="0" xfId="0" applyFont="1" applyFill="1" applyAlignment="1"/>
    <xf numFmtId="0" fontId="9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8</xdr:row>
      <xdr:rowOff>0</xdr:rowOff>
    </xdr:from>
    <xdr:to>
      <xdr:col>16</xdr:col>
      <xdr:colOff>0</xdr:colOff>
      <xdr:row>23</xdr:row>
      <xdr:rowOff>28575</xdr:rowOff>
    </xdr:to>
    <xdr:sp macro="" textlink="">
      <xdr:nvSpPr>
        <xdr:cNvPr id="2" name="Trapezoid 1">
          <a:extLst>
            <a:ext uri="{FF2B5EF4-FFF2-40B4-BE49-F238E27FC236}">
              <a16:creationId xmlns:a16="http://schemas.microsoft.com/office/drawing/2014/main" id="{D167E909-4BD6-4E68-B8C8-635849A4FC45}"/>
            </a:ext>
          </a:extLst>
        </xdr:cNvPr>
        <xdr:cNvSpPr/>
      </xdr:nvSpPr>
      <xdr:spPr>
        <a:xfrm>
          <a:off x="8039100" y="952500"/>
          <a:ext cx="1819275" cy="2447925"/>
        </a:xfrm>
        <a:prstGeom prst="trapezoid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23</xdr:row>
      <xdr:rowOff>0</xdr:rowOff>
    </xdr:from>
    <xdr:to>
      <xdr:col>17</xdr:col>
      <xdr:colOff>9525</xdr:colOff>
      <xdr:row>25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4CE0FD-40A2-4B8E-889A-DF723313F754}"/>
            </a:ext>
          </a:extLst>
        </xdr:cNvPr>
        <xdr:cNvSpPr/>
      </xdr:nvSpPr>
      <xdr:spPr>
        <a:xfrm>
          <a:off x="7315200" y="3238500"/>
          <a:ext cx="30575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85725</xdr:colOff>
      <xdr:row>21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F01F250-D9AE-4756-B2CE-F7B31DDFE5F8}"/>
            </a:ext>
          </a:extLst>
        </xdr:cNvPr>
        <xdr:cNvCxnSpPr/>
      </xdr:nvCxnSpPr>
      <xdr:spPr>
        <a:xfrm flipH="1">
          <a:off x="6096000" y="2857500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7</xdr:row>
      <xdr:rowOff>180975</xdr:rowOff>
    </xdr:from>
    <xdr:to>
      <xdr:col>10</xdr:col>
      <xdr:colOff>257175</xdr:colOff>
      <xdr:row>21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5B09314-6731-4FE1-A23A-BCA8649A47EB}"/>
            </a:ext>
          </a:extLst>
        </xdr:cNvPr>
        <xdr:cNvCxnSpPr/>
      </xdr:nvCxnSpPr>
      <xdr:spPr>
        <a:xfrm flipH="1">
          <a:off x="6343650" y="942975"/>
          <a:ext cx="9525" cy="1914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0</xdr:rowOff>
    </xdr:from>
    <xdr:to>
      <xdr:col>10</xdr:col>
      <xdr:colOff>247650</xdr:colOff>
      <xdr:row>25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09A5FD9-E859-40C1-A997-6A8D1F60D64D}"/>
            </a:ext>
          </a:extLst>
        </xdr:cNvPr>
        <xdr:cNvCxnSpPr/>
      </xdr:nvCxnSpPr>
      <xdr:spPr>
        <a:xfrm>
          <a:off x="6343650" y="2857500"/>
          <a:ext cx="0" cy="762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22</xdr:row>
      <xdr:rowOff>171450</xdr:rowOff>
    </xdr:from>
    <xdr:to>
      <xdr:col>11</xdr:col>
      <xdr:colOff>485775</xdr:colOff>
      <xdr:row>24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7F49969-93A1-4853-AE1B-A5D053CC54DA}"/>
            </a:ext>
          </a:extLst>
        </xdr:cNvPr>
        <xdr:cNvCxnSpPr/>
      </xdr:nvCxnSpPr>
      <xdr:spPr>
        <a:xfrm>
          <a:off x="7191375" y="3219450"/>
          <a:ext cx="0" cy="381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20</xdr:row>
      <xdr:rowOff>180975</xdr:rowOff>
    </xdr:from>
    <xdr:to>
      <xdr:col>11</xdr:col>
      <xdr:colOff>485775</xdr:colOff>
      <xdr:row>22</xdr:row>
      <xdr:rowOff>180975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E66F5DE-DE8B-4C5F-863C-189F82DAF124}"/>
            </a:ext>
          </a:extLst>
        </xdr:cNvPr>
        <xdr:cNvCxnSpPr/>
      </xdr:nvCxnSpPr>
      <xdr:spPr>
        <a:xfrm>
          <a:off x="7191375" y="2847975"/>
          <a:ext cx="0" cy="381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25</xdr:row>
      <xdr:rowOff>149411</xdr:rowOff>
    </xdr:from>
    <xdr:to>
      <xdr:col>13</xdr:col>
      <xdr:colOff>0</xdr:colOff>
      <xdr:row>25</xdr:row>
      <xdr:rowOff>149411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EFB9754-68BE-4EF5-8A4B-43E829BD2660}"/>
            </a:ext>
          </a:extLst>
        </xdr:cNvPr>
        <xdr:cNvCxnSpPr/>
      </xdr:nvCxnSpPr>
      <xdr:spPr>
        <a:xfrm>
          <a:off x="7395882" y="5061323"/>
          <a:ext cx="60698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466329</xdr:colOff>
      <xdr:row>7</xdr:row>
      <xdr:rowOff>181372</xdr:rowOff>
    </xdr:from>
    <xdr:to>
      <xdr:col>13</xdr:col>
      <xdr:colOff>466329</xdr:colOff>
      <xdr:row>23</xdr:row>
      <xdr:rowOff>19447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8332BE5-06AC-4C55-AA72-ED386FF52564}"/>
            </a:ext>
          </a:extLst>
        </xdr:cNvPr>
        <xdr:cNvCxnSpPr/>
      </xdr:nvCxnSpPr>
      <xdr:spPr>
        <a:xfrm>
          <a:off x="8443517" y="1500981"/>
          <a:ext cx="0" cy="3112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7</xdr:row>
      <xdr:rowOff>180975</xdr:rowOff>
    </xdr:from>
    <xdr:to>
      <xdr:col>15</xdr:col>
      <xdr:colOff>180975</xdr:colOff>
      <xdr:row>23</xdr:row>
      <xdr:rowOff>9525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E4A04315-7F2A-4D4C-9C9F-2D407E623310}"/>
            </a:ext>
          </a:extLst>
        </xdr:cNvPr>
        <xdr:cNvCxnSpPr/>
      </xdr:nvCxnSpPr>
      <xdr:spPr>
        <a:xfrm>
          <a:off x="9296400" y="942975"/>
          <a:ext cx="28575" cy="2305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597646</xdr:colOff>
      <xdr:row>26</xdr:row>
      <xdr:rowOff>76761</xdr:rowOff>
    </xdr:from>
    <xdr:to>
      <xdr:col>16</xdr:col>
      <xdr:colOff>597646</xdr:colOff>
      <xdr:row>26</xdr:row>
      <xdr:rowOff>76761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3EE3959-DC37-401E-8965-78EBCB2CE574}"/>
            </a:ext>
          </a:extLst>
        </xdr:cNvPr>
        <xdr:cNvCxnSpPr/>
      </xdr:nvCxnSpPr>
      <xdr:spPr>
        <a:xfrm>
          <a:off x="7386543" y="5147423"/>
          <a:ext cx="303492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7</xdr:row>
      <xdr:rowOff>0</xdr:rowOff>
    </xdr:from>
    <xdr:to>
      <xdr:col>15</xdr:col>
      <xdr:colOff>133350</xdr:colOff>
      <xdr:row>7</xdr:row>
      <xdr:rowOff>19050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F7A21FC-EC32-4AEA-B52E-166FC96CAF06}"/>
            </a:ext>
          </a:extLst>
        </xdr:cNvPr>
        <xdr:cNvCxnSpPr/>
      </xdr:nvCxnSpPr>
      <xdr:spPr>
        <a:xfrm>
          <a:off x="8353425" y="762000"/>
          <a:ext cx="923925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514723</xdr:colOff>
      <xdr:row>21</xdr:row>
      <xdr:rowOff>133164</xdr:rowOff>
    </xdr:from>
    <xdr:to>
      <xdr:col>16</xdr:col>
      <xdr:colOff>588309</xdr:colOff>
      <xdr:row>22</xdr:row>
      <xdr:rowOff>161739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BB6EA8D9-D5C7-487A-8D45-92C2119F0258}"/>
            </a:ext>
          </a:extLst>
        </xdr:cNvPr>
        <xdr:cNvCxnSpPr/>
      </xdr:nvCxnSpPr>
      <xdr:spPr>
        <a:xfrm flipV="1">
          <a:off x="9927664" y="4288679"/>
          <a:ext cx="680571" cy="2526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19</xdr:row>
      <xdr:rowOff>9525</xdr:rowOff>
    </xdr:from>
    <xdr:to>
      <xdr:col>17</xdr:col>
      <xdr:colOff>38100</xdr:colOff>
      <xdr:row>20</xdr:row>
      <xdr:rowOff>133350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7B00DD4-B33A-4298-961D-79225830BC7F}"/>
            </a:ext>
          </a:extLst>
        </xdr:cNvPr>
        <xdr:cNvCxnSpPr/>
      </xdr:nvCxnSpPr>
      <xdr:spPr>
        <a:xfrm flipV="1">
          <a:off x="9725025" y="2486025"/>
          <a:ext cx="67627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16</xdr:row>
      <xdr:rowOff>152400</xdr:rowOff>
    </xdr:from>
    <xdr:to>
      <xdr:col>15</xdr:col>
      <xdr:colOff>57150</xdr:colOff>
      <xdr:row>18</xdr:row>
      <xdr:rowOff>9525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6B4EAF8-4BA3-4D10-A01C-8184471D516A}"/>
            </a:ext>
          </a:extLst>
        </xdr:cNvPr>
        <xdr:cNvSpPr txBox="1"/>
      </xdr:nvSpPr>
      <xdr:spPr>
        <a:xfrm>
          <a:off x="8886825" y="2124075"/>
          <a:ext cx="4191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W1</a:t>
          </a:r>
        </a:p>
      </xdr:txBody>
    </xdr:sp>
    <xdr:clientData/>
  </xdr:twoCellAnchor>
  <xdr:twoCellAnchor>
    <xdr:from>
      <xdr:col>14</xdr:col>
      <xdr:colOff>142875</xdr:colOff>
      <xdr:row>23</xdr:row>
      <xdr:rowOff>114300</xdr:rowOff>
    </xdr:from>
    <xdr:to>
      <xdr:col>15</xdr:col>
      <xdr:colOff>19050</xdr:colOff>
      <xdr:row>24</xdr:row>
      <xdr:rowOff>161925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9E0942A-62F3-45B2-9EB2-B8FA9C8BE78B}"/>
            </a:ext>
          </a:extLst>
        </xdr:cNvPr>
        <xdr:cNvSpPr txBox="1"/>
      </xdr:nvSpPr>
      <xdr:spPr>
        <a:xfrm>
          <a:off x="8782050" y="3419475"/>
          <a:ext cx="4857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W2</a:t>
          </a:r>
        </a:p>
      </xdr:txBody>
    </xdr:sp>
    <xdr:clientData/>
  </xdr:twoCellAnchor>
  <xdr:twoCellAnchor>
    <xdr:from>
      <xdr:col>13</xdr:col>
      <xdr:colOff>47625</xdr:colOff>
      <xdr:row>20</xdr:row>
      <xdr:rowOff>142876</xdr:rowOff>
    </xdr:from>
    <xdr:to>
      <xdr:col>13</xdr:col>
      <xdr:colOff>447676</xdr:colOff>
      <xdr:row>22</xdr:row>
      <xdr:rowOff>9526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0723EC3-A559-4C25-86CC-9AF5936E8C0E}"/>
            </a:ext>
          </a:extLst>
        </xdr:cNvPr>
        <xdr:cNvSpPr txBox="1"/>
      </xdr:nvSpPr>
      <xdr:spPr>
        <a:xfrm>
          <a:off x="8077200" y="2876551"/>
          <a:ext cx="4000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W3</a:t>
          </a:r>
        </a:p>
      </xdr:txBody>
    </xdr:sp>
    <xdr:clientData/>
  </xdr:twoCellAnchor>
  <xdr:twoCellAnchor>
    <xdr:from>
      <xdr:col>15</xdr:col>
      <xdr:colOff>209550</xdr:colOff>
      <xdr:row>20</xdr:row>
      <xdr:rowOff>180976</xdr:rowOff>
    </xdr:from>
    <xdr:to>
      <xdr:col>16</xdr:col>
      <xdr:colOff>57150</xdr:colOff>
      <xdr:row>22</xdr:row>
      <xdr:rowOff>47626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068D31B-E556-4CD0-A0C9-49F7D2AF316C}"/>
            </a:ext>
          </a:extLst>
        </xdr:cNvPr>
        <xdr:cNvSpPr txBox="1"/>
      </xdr:nvSpPr>
      <xdr:spPr>
        <a:xfrm>
          <a:off x="9458325" y="2914651"/>
          <a:ext cx="4572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W4</a:t>
          </a:r>
        </a:p>
      </xdr:txBody>
    </xdr:sp>
    <xdr:clientData/>
  </xdr:twoCellAnchor>
  <xdr:twoCellAnchor>
    <xdr:from>
      <xdr:col>15</xdr:col>
      <xdr:colOff>142875</xdr:colOff>
      <xdr:row>7</xdr:row>
      <xdr:rowOff>180975</xdr:rowOff>
    </xdr:from>
    <xdr:to>
      <xdr:col>18</xdr:col>
      <xdr:colOff>342900</xdr:colOff>
      <xdr:row>8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569E91F-B666-478F-BCE5-DAA632791706}"/>
            </a:ext>
          </a:extLst>
        </xdr:cNvPr>
        <xdr:cNvCxnSpPr/>
      </xdr:nvCxnSpPr>
      <xdr:spPr>
        <a:xfrm>
          <a:off x="9391650" y="1514475"/>
          <a:ext cx="20288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597648</xdr:colOff>
      <xdr:row>25</xdr:row>
      <xdr:rowOff>149411</xdr:rowOff>
    </xdr:from>
    <xdr:to>
      <xdr:col>13</xdr:col>
      <xdr:colOff>522941</xdr:colOff>
      <xdr:row>25</xdr:row>
      <xdr:rowOff>168088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DA66873-3F9A-479C-B9C5-4DC0A09D4B43}"/>
            </a:ext>
          </a:extLst>
        </xdr:cNvPr>
        <xdr:cNvCxnSpPr/>
      </xdr:nvCxnSpPr>
      <xdr:spPr>
        <a:xfrm flipV="1">
          <a:off x="7993530" y="5033308"/>
          <a:ext cx="532279" cy="186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364191</xdr:colOff>
      <xdr:row>13</xdr:row>
      <xdr:rowOff>18678</xdr:rowOff>
    </xdr:from>
    <xdr:to>
      <xdr:col>16</xdr:col>
      <xdr:colOff>224117</xdr:colOff>
      <xdr:row>15</xdr:row>
      <xdr:rowOff>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48DAFBE-E63A-4DB6-A277-1E27C60EC23B}"/>
            </a:ext>
          </a:extLst>
        </xdr:cNvPr>
        <xdr:cNvCxnSpPr/>
      </xdr:nvCxnSpPr>
      <xdr:spPr>
        <a:xfrm rot="10800000" flipV="1">
          <a:off x="9581029" y="2493310"/>
          <a:ext cx="466912" cy="373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364191</xdr:colOff>
      <xdr:row>15</xdr:row>
      <xdr:rowOff>9338</xdr:rowOff>
    </xdr:from>
    <xdr:to>
      <xdr:col>16</xdr:col>
      <xdr:colOff>588308</xdr:colOff>
      <xdr:row>15</xdr:row>
      <xdr:rowOff>9338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D186F4FE-7D58-450E-9C15-DA0235EBAE27}"/>
            </a:ext>
          </a:extLst>
        </xdr:cNvPr>
        <xdr:cNvCxnSpPr/>
      </xdr:nvCxnSpPr>
      <xdr:spPr>
        <a:xfrm>
          <a:off x="9581029" y="2894853"/>
          <a:ext cx="83110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373529</xdr:colOff>
      <xdr:row>13</xdr:row>
      <xdr:rowOff>214779</xdr:rowOff>
    </xdr:from>
    <xdr:to>
      <xdr:col>16</xdr:col>
      <xdr:colOff>364190</xdr:colOff>
      <xdr:row>15</xdr:row>
      <xdr:rowOff>9337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66B60A6-0009-40E8-AEA4-C1F4209800B3}"/>
            </a:ext>
          </a:extLst>
        </xdr:cNvPr>
        <xdr:cNvCxnSpPr/>
      </xdr:nvCxnSpPr>
      <xdr:spPr>
        <a:xfrm flipV="1">
          <a:off x="9590367" y="2689411"/>
          <a:ext cx="597647" cy="2054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522940</xdr:colOff>
      <xdr:row>13</xdr:row>
      <xdr:rowOff>186765</xdr:rowOff>
    </xdr:from>
    <xdr:to>
      <xdr:col>16</xdr:col>
      <xdr:colOff>158748</xdr:colOff>
      <xdr:row>14</xdr:row>
      <xdr:rowOff>149411</xdr:rowOff>
    </xdr:to>
    <xdr:sp macro="" textlink="">
      <xdr:nvSpPr>
        <xdr:cNvPr id="23" name="Arc 22">
          <a:extLst>
            <a:ext uri="{FF2B5EF4-FFF2-40B4-BE49-F238E27FC236}">
              <a16:creationId xmlns:a16="http://schemas.microsoft.com/office/drawing/2014/main" id="{85F639B5-4747-481B-A085-7B8B61FCB87B}"/>
            </a:ext>
          </a:extLst>
        </xdr:cNvPr>
        <xdr:cNvSpPr/>
      </xdr:nvSpPr>
      <xdr:spPr>
        <a:xfrm>
          <a:off x="9739778" y="2661397"/>
          <a:ext cx="242794" cy="186764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28016</xdr:colOff>
      <xdr:row>14</xdr:row>
      <xdr:rowOff>65368</xdr:rowOff>
    </xdr:from>
    <xdr:to>
      <xdr:col>16</xdr:col>
      <xdr:colOff>186766</xdr:colOff>
      <xdr:row>15</xdr:row>
      <xdr:rowOff>140074</xdr:rowOff>
    </xdr:to>
    <xdr:sp macro="" textlink="">
      <xdr:nvSpPr>
        <xdr:cNvPr id="25" name="Arc 24">
          <a:extLst>
            <a:ext uri="{FF2B5EF4-FFF2-40B4-BE49-F238E27FC236}">
              <a16:creationId xmlns:a16="http://schemas.microsoft.com/office/drawing/2014/main" id="{5A3F34AA-A4F7-4923-B821-7E3D7F819944}"/>
            </a:ext>
          </a:extLst>
        </xdr:cNvPr>
        <xdr:cNvSpPr/>
      </xdr:nvSpPr>
      <xdr:spPr>
        <a:xfrm>
          <a:off x="9851840" y="2810809"/>
          <a:ext cx="158750" cy="261471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415553</xdr:colOff>
      <xdr:row>22</xdr:row>
      <xdr:rowOff>60699</xdr:rowOff>
    </xdr:from>
    <xdr:to>
      <xdr:col>16</xdr:col>
      <xdr:colOff>116730</xdr:colOff>
      <xdr:row>24</xdr:row>
      <xdr:rowOff>98051</xdr:rowOff>
    </xdr:to>
    <xdr:sp macro="" textlink="">
      <xdr:nvSpPr>
        <xdr:cNvPr id="26" name="Arc 25">
          <a:extLst>
            <a:ext uri="{FF2B5EF4-FFF2-40B4-BE49-F238E27FC236}">
              <a16:creationId xmlns:a16="http://schemas.microsoft.com/office/drawing/2014/main" id="{47144B71-CA84-4718-9876-0E5A786688F0}"/>
            </a:ext>
          </a:extLst>
        </xdr:cNvPr>
        <xdr:cNvSpPr/>
      </xdr:nvSpPr>
      <xdr:spPr>
        <a:xfrm rot="-5040000">
          <a:off x="9758457" y="4510368"/>
          <a:ext cx="448235" cy="308162"/>
        </a:xfrm>
        <a:prstGeom prst="arc">
          <a:avLst>
            <a:gd name="adj1" fmla="val 16840499"/>
            <a:gd name="adj2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9339</xdr:colOff>
      <xdr:row>18</xdr:row>
      <xdr:rowOff>0</xdr:rowOff>
    </xdr:from>
    <xdr:to>
      <xdr:col>16</xdr:col>
      <xdr:colOff>9339</xdr:colOff>
      <xdr:row>22</xdr:row>
      <xdr:rowOff>214780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9FBF0DF-B0AB-4AB8-963B-3AF6FA416DD4}"/>
            </a:ext>
          </a:extLst>
        </xdr:cNvPr>
        <xdr:cNvCxnSpPr/>
      </xdr:nvCxnSpPr>
      <xdr:spPr>
        <a:xfrm flipV="1">
          <a:off x="10029265" y="3595221"/>
          <a:ext cx="0" cy="9991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491887</xdr:colOff>
      <xdr:row>19</xdr:row>
      <xdr:rowOff>173396</xdr:rowOff>
    </xdr:from>
    <xdr:to>
      <xdr:col>16</xdr:col>
      <xdr:colOff>137034</xdr:colOff>
      <xdr:row>21</xdr:row>
      <xdr:rowOff>76454</xdr:rowOff>
    </xdr:to>
    <xdr:sp macro="" textlink="">
      <xdr:nvSpPr>
        <xdr:cNvPr id="30" name="Arc 29">
          <a:extLst>
            <a:ext uri="{FF2B5EF4-FFF2-40B4-BE49-F238E27FC236}">
              <a16:creationId xmlns:a16="http://schemas.microsoft.com/office/drawing/2014/main" id="{E0C7D0E9-A479-4566-91FA-9EB8F490DE8E}"/>
            </a:ext>
          </a:extLst>
        </xdr:cNvPr>
        <xdr:cNvSpPr/>
      </xdr:nvSpPr>
      <xdr:spPr>
        <a:xfrm rot="-3540000">
          <a:off x="9892600" y="3967609"/>
          <a:ext cx="276588" cy="252132"/>
        </a:xfrm>
        <a:prstGeom prst="arc">
          <a:avLst>
            <a:gd name="adj1" fmla="val 16925222"/>
            <a:gd name="adj2" fmla="val 2053312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4DA5-A4B4-454B-AC19-75E300D980EC}">
  <dimension ref="A1:T55"/>
  <sheetViews>
    <sheetView tabSelected="1" topLeftCell="A18" zoomScale="102" zoomScaleNormal="100" workbookViewId="0">
      <selection activeCell="D40" sqref="D40"/>
    </sheetView>
  </sheetViews>
  <sheetFormatPr defaultRowHeight="15" x14ac:dyDescent="0.25"/>
  <cols>
    <col min="1" max="1" width="10.7109375" customWidth="1"/>
    <col min="2" max="2" width="12" bestFit="1" customWidth="1"/>
    <col min="18" max="18" width="5.28515625" customWidth="1"/>
    <col min="19" max="19" width="7.7109375" customWidth="1"/>
    <col min="20" max="20" width="6.85546875" customWidth="1"/>
  </cols>
  <sheetData>
    <row r="1" spans="1:20" x14ac:dyDescent="0.25">
      <c r="F1" s="42" t="s">
        <v>31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x14ac:dyDescent="0.25"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5" spans="1:20" x14ac:dyDescent="0.25">
      <c r="A5" s="44" t="s">
        <v>32</v>
      </c>
      <c r="B5" s="45"/>
      <c r="C5" s="45"/>
      <c r="D5" s="45"/>
    </row>
    <row r="6" spans="1:20" ht="15.75" x14ac:dyDescent="0.25">
      <c r="A6" s="49" t="s">
        <v>33</v>
      </c>
      <c r="B6" s="50"/>
      <c r="C6" s="50"/>
      <c r="D6" s="50"/>
      <c r="E6" s="12" t="s">
        <v>36</v>
      </c>
      <c r="F6" s="12" t="s">
        <v>30</v>
      </c>
      <c r="J6" s="26"/>
      <c r="K6" s="51" t="s">
        <v>41</v>
      </c>
      <c r="L6" s="51"/>
      <c r="M6" s="51"/>
      <c r="N6" s="51"/>
      <c r="O6" s="51"/>
      <c r="P6" s="51"/>
      <c r="Q6" s="51"/>
      <c r="R6" s="51"/>
      <c r="S6" s="51"/>
      <c r="T6" s="27"/>
    </row>
    <row r="7" spans="1:20" x14ac:dyDescent="0.25">
      <c r="A7" s="35" t="s">
        <v>7</v>
      </c>
      <c r="B7" s="35"/>
      <c r="C7" s="35"/>
      <c r="D7" s="35"/>
      <c r="E7" s="12">
        <v>0</v>
      </c>
      <c r="F7" s="12">
        <v>0</v>
      </c>
      <c r="H7" s="7"/>
      <c r="J7" s="6"/>
      <c r="K7" s="7"/>
      <c r="L7" s="7"/>
      <c r="M7" s="7"/>
      <c r="N7" s="7"/>
      <c r="O7" s="7">
        <v>0.3</v>
      </c>
      <c r="P7" s="7"/>
      <c r="Q7" s="7"/>
      <c r="R7" s="7"/>
      <c r="S7" s="7"/>
      <c r="T7" s="8"/>
    </row>
    <row r="8" spans="1:20" x14ac:dyDescent="0.25">
      <c r="A8" s="35" t="s">
        <v>48</v>
      </c>
      <c r="B8" s="35"/>
      <c r="C8" s="35"/>
      <c r="D8" s="35"/>
      <c r="E8" s="12">
        <v>40</v>
      </c>
      <c r="F8" s="14">
        <f>PI()*E8/180</f>
        <v>0.69813170079773179</v>
      </c>
      <c r="J8" s="6"/>
      <c r="K8" s="7"/>
      <c r="L8" s="7"/>
      <c r="M8" s="7"/>
      <c r="N8" s="7"/>
      <c r="O8" s="7"/>
      <c r="P8" s="7"/>
      <c r="Q8" s="7"/>
      <c r="R8" s="7"/>
      <c r="S8" s="7"/>
      <c r="T8" s="8"/>
    </row>
    <row r="9" spans="1:20" x14ac:dyDescent="0.25">
      <c r="A9" s="35" t="s">
        <v>47</v>
      </c>
      <c r="B9" s="35"/>
      <c r="C9" s="35"/>
      <c r="D9" s="35"/>
      <c r="E9" s="14">
        <f>2/3*E8</f>
        <v>26.666666666666664</v>
      </c>
      <c r="F9" s="14">
        <f>PI()*E9/180</f>
        <v>0.46542113386515449</v>
      </c>
      <c r="J9" s="6"/>
      <c r="K9" s="7"/>
      <c r="L9" s="7"/>
      <c r="M9" s="7"/>
      <c r="N9" s="7"/>
      <c r="O9" s="7"/>
      <c r="P9" s="7"/>
      <c r="Q9" s="7"/>
      <c r="R9" s="7"/>
      <c r="S9" s="7"/>
      <c r="T9" s="8"/>
    </row>
    <row r="10" spans="1:20" x14ac:dyDescent="0.25">
      <c r="A10" s="46" t="s">
        <v>42</v>
      </c>
      <c r="B10" s="46"/>
      <c r="C10" s="46"/>
      <c r="D10" s="46"/>
      <c r="E10" s="46"/>
      <c r="F10" s="46"/>
      <c r="G10" s="46"/>
      <c r="J10" s="6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0" x14ac:dyDescent="0.25">
      <c r="A11" s="36" t="s">
        <v>8</v>
      </c>
      <c r="B11" s="36"/>
      <c r="C11" s="36"/>
      <c r="D11" s="36"/>
      <c r="E11" s="4">
        <f>POWER(SIN(S22+F8),2)/(POWER(SIN(S22),2)*SIN(S22-F9)*POWER(1+SQRT(SIN(F8+F9)*SIN(F8-E7)/SIN(S22-F9)*SIN(S22+E7)),2))</f>
        <v>0.2683228712879423</v>
      </c>
      <c r="J11" s="6"/>
      <c r="K11" s="7"/>
      <c r="L11" s="7"/>
      <c r="M11" s="7"/>
      <c r="N11" s="7"/>
      <c r="O11" s="7"/>
      <c r="P11" s="7"/>
      <c r="Q11" s="7"/>
      <c r="R11" s="7"/>
      <c r="S11" s="7"/>
      <c r="T11" s="8"/>
    </row>
    <row r="12" spans="1:20" x14ac:dyDescent="0.25">
      <c r="A12" s="47" t="s">
        <v>43</v>
      </c>
      <c r="B12" s="47"/>
      <c r="C12" s="47"/>
      <c r="D12" s="47"/>
      <c r="E12" s="47"/>
      <c r="F12" s="47"/>
      <c r="G12" s="47"/>
      <c r="J12" s="6"/>
      <c r="K12" s="7"/>
      <c r="L12" s="7"/>
      <c r="M12" s="7"/>
      <c r="N12" s="7"/>
      <c r="O12" s="7"/>
      <c r="P12" s="7"/>
      <c r="Q12" s="7"/>
      <c r="R12" s="7"/>
      <c r="S12" s="7"/>
      <c r="T12" s="8"/>
    </row>
    <row r="13" spans="1:20" ht="19.5" x14ac:dyDescent="0.35">
      <c r="A13" s="35" t="s">
        <v>38</v>
      </c>
      <c r="B13" s="35"/>
      <c r="C13" s="35"/>
      <c r="D13" s="35"/>
      <c r="E13" s="12">
        <v>18</v>
      </c>
      <c r="F13" s="12"/>
      <c r="G13" s="12"/>
      <c r="J13" s="6"/>
      <c r="K13" s="7"/>
      <c r="L13" s="7"/>
      <c r="M13" s="7"/>
      <c r="N13" s="7"/>
      <c r="O13" s="7"/>
      <c r="P13" s="7"/>
      <c r="Q13" s="7" t="s">
        <v>49</v>
      </c>
      <c r="R13" s="7"/>
      <c r="S13" s="7"/>
      <c r="T13" s="8"/>
    </row>
    <row r="14" spans="1:20" ht="21" x14ac:dyDescent="0.35">
      <c r="A14" s="35" t="s">
        <v>39</v>
      </c>
      <c r="B14" s="35"/>
      <c r="C14" s="35"/>
      <c r="D14" s="35"/>
      <c r="E14" s="19">
        <f>0.5*E11*E13*POWER((K17+K23),2)</f>
        <v>60.372646039787014</v>
      </c>
      <c r="F14" s="12"/>
      <c r="G14" s="12"/>
      <c r="J14" s="6"/>
      <c r="K14" s="7"/>
      <c r="L14" s="7"/>
      <c r="M14" s="7"/>
      <c r="N14" s="7"/>
      <c r="O14" s="7"/>
      <c r="P14" s="7"/>
      <c r="Q14" s="20" t="s">
        <v>46</v>
      </c>
      <c r="R14" s="7"/>
      <c r="S14" s="7"/>
      <c r="T14" s="8"/>
    </row>
    <row r="15" spans="1:20" x14ac:dyDescent="0.25">
      <c r="A15" s="48" t="s">
        <v>44</v>
      </c>
      <c r="B15" s="48"/>
      <c r="C15" s="48"/>
      <c r="D15" s="48"/>
      <c r="E15" s="48"/>
      <c r="F15" s="48"/>
      <c r="G15" s="48"/>
      <c r="J15" s="6"/>
      <c r="K15" s="7"/>
      <c r="L15" s="7"/>
      <c r="M15" s="7"/>
      <c r="N15" s="7"/>
      <c r="O15" s="7"/>
      <c r="P15" s="7"/>
      <c r="Q15" s="7" t="s">
        <v>45</v>
      </c>
      <c r="R15" s="7"/>
      <c r="S15" s="7"/>
      <c r="T15" s="8"/>
    </row>
    <row r="16" spans="1:20" ht="18" x14ac:dyDescent="0.25">
      <c r="A16" s="36" t="s">
        <v>40</v>
      </c>
      <c r="B16" s="36"/>
      <c r="C16" s="36"/>
      <c r="D16" s="36"/>
      <c r="E16">
        <v>24</v>
      </c>
      <c r="J16" s="6"/>
      <c r="K16" s="7"/>
      <c r="L16" s="7"/>
      <c r="M16" s="7"/>
      <c r="N16" s="7"/>
      <c r="O16" s="7"/>
      <c r="P16" s="7"/>
      <c r="Q16" s="7"/>
      <c r="R16" s="7"/>
      <c r="S16" s="7"/>
      <c r="T16" s="8"/>
    </row>
    <row r="17" spans="1:20" ht="18" x14ac:dyDescent="0.35">
      <c r="A17" s="34" t="s">
        <v>9</v>
      </c>
      <c r="B17" s="34"/>
      <c r="C17" s="34" t="s">
        <v>15</v>
      </c>
      <c r="D17" s="34"/>
      <c r="E17" s="12" t="s">
        <v>17</v>
      </c>
      <c r="F17" s="12" t="s">
        <v>18</v>
      </c>
      <c r="G17" s="12" t="s">
        <v>19</v>
      </c>
      <c r="J17" s="6" t="s">
        <v>0</v>
      </c>
      <c r="K17" s="21">
        <v>4</v>
      </c>
      <c r="L17" s="7"/>
      <c r="M17" s="7"/>
      <c r="N17" s="7"/>
      <c r="O17" s="7"/>
      <c r="P17" s="7"/>
      <c r="Q17" s="7"/>
      <c r="R17" s="7"/>
      <c r="S17" s="7"/>
      <c r="T17" s="8"/>
    </row>
    <row r="18" spans="1:20" x14ac:dyDescent="0.25">
      <c r="A18" s="12" t="s">
        <v>10</v>
      </c>
      <c r="B18" s="12">
        <f>O7*(K17+L22)*E16</f>
        <v>32.4</v>
      </c>
      <c r="C18" s="12"/>
      <c r="D18" s="12"/>
      <c r="E18" s="16">
        <f>P27/2</f>
        <v>1.6666666666666665</v>
      </c>
      <c r="F18" s="12">
        <f>B18*E18</f>
        <v>53.999999999999993</v>
      </c>
      <c r="G18" s="12"/>
      <c r="J18" s="6"/>
      <c r="K18" s="7"/>
      <c r="L18" s="7"/>
      <c r="M18" s="7"/>
      <c r="N18" s="7"/>
      <c r="O18" s="7"/>
      <c r="P18" s="7"/>
      <c r="Q18" s="7"/>
      <c r="R18" s="7"/>
      <c r="S18" s="7"/>
      <c r="T18" s="8"/>
    </row>
    <row r="19" spans="1:20" x14ac:dyDescent="0.25">
      <c r="A19" s="12" t="s">
        <v>11</v>
      </c>
      <c r="B19" s="12">
        <f>L24*P27*E16</f>
        <v>40</v>
      </c>
      <c r="C19" s="12"/>
      <c r="D19" s="12"/>
      <c r="E19" s="16">
        <f>P27/2</f>
        <v>1.6666666666666665</v>
      </c>
      <c r="F19" s="16">
        <f t="shared" ref="F19:F22" si="0">B19*E19</f>
        <v>66.666666666666657</v>
      </c>
      <c r="G19" s="12"/>
      <c r="J19" s="6"/>
      <c r="K19" s="7"/>
      <c r="L19" s="7"/>
      <c r="M19" s="7"/>
      <c r="N19" s="7"/>
      <c r="O19" s="7"/>
      <c r="P19" s="7"/>
      <c r="Q19" s="7"/>
      <c r="R19" s="7"/>
      <c r="S19" s="7" t="s">
        <v>5</v>
      </c>
      <c r="T19" s="8" t="s">
        <v>6</v>
      </c>
    </row>
    <row r="20" spans="1:20" x14ac:dyDescent="0.25">
      <c r="A20" s="12" t="s">
        <v>12</v>
      </c>
      <c r="B20" s="12">
        <f>0.5*N26*(K17+L22)*E16</f>
        <v>36.899999999999991</v>
      </c>
      <c r="C20" s="12"/>
      <c r="D20" s="12"/>
      <c r="E20" s="16">
        <f>M26+((2/3)*N26)</f>
        <v>1.2888888888888888</v>
      </c>
      <c r="F20" s="16">
        <f t="shared" si="0"/>
        <v>47.559999999999981</v>
      </c>
      <c r="G20" s="12"/>
      <c r="J20" s="6"/>
      <c r="K20" s="7"/>
      <c r="L20" s="7"/>
      <c r="M20" s="7"/>
      <c r="N20" s="7"/>
      <c r="O20" s="7"/>
      <c r="P20" s="7"/>
      <c r="Q20" s="7"/>
      <c r="R20" s="22" t="s">
        <v>4</v>
      </c>
      <c r="S20" s="23">
        <f>(PI()*T20)/180</f>
        <v>0.15070055580655015</v>
      </c>
      <c r="T20" s="28">
        <f>90-T22</f>
        <v>8.6345058179910552</v>
      </c>
    </row>
    <row r="21" spans="1:20" x14ac:dyDescent="0.25">
      <c r="A21" s="12" t="s">
        <v>13</v>
      </c>
      <c r="B21" s="12">
        <f>B20</f>
        <v>36.899999999999991</v>
      </c>
      <c r="C21" s="12"/>
      <c r="D21" s="12"/>
      <c r="E21" s="16">
        <f>M26+N26+O7+((1/3)*M26)</f>
        <v>2.0944444444444446</v>
      </c>
      <c r="F21" s="16">
        <f t="shared" si="0"/>
        <v>77.284999999999982</v>
      </c>
      <c r="G21" s="12"/>
      <c r="J21" s="6"/>
      <c r="K21" s="7"/>
      <c r="L21" s="7"/>
      <c r="M21" s="7"/>
      <c r="N21" s="7"/>
      <c r="O21" s="7"/>
      <c r="P21" s="7"/>
      <c r="Q21" s="7"/>
      <c r="R21" s="7"/>
      <c r="S21" s="7"/>
      <c r="T21" s="8"/>
    </row>
    <row r="22" spans="1:20" ht="18" x14ac:dyDescent="0.35">
      <c r="A22" s="12" t="s">
        <v>14</v>
      </c>
      <c r="B22" s="16">
        <f>E14*COS(F9+S20)</f>
        <v>49.271671921857234</v>
      </c>
      <c r="C22" s="12"/>
      <c r="D22" s="12"/>
      <c r="E22" s="14">
        <f>P27-M26</f>
        <v>2.4999999999999996</v>
      </c>
      <c r="F22" s="16">
        <f t="shared" si="0"/>
        <v>123.17917980464306</v>
      </c>
      <c r="G22" s="12"/>
      <c r="J22" s="6"/>
      <c r="K22" s="7"/>
      <c r="L22" s="21">
        <f>K23-L24</f>
        <v>0.5</v>
      </c>
      <c r="M22" s="7"/>
      <c r="N22" s="7"/>
      <c r="O22" s="7"/>
      <c r="P22" s="7"/>
      <c r="Q22" s="7"/>
      <c r="R22" s="24" t="s">
        <v>3</v>
      </c>
      <c r="S22" s="23">
        <f>ATAN((K17+L22)/N26)</f>
        <v>1.4200957709883464</v>
      </c>
      <c r="T22" s="28">
        <f>(180*S22)/PI()</f>
        <v>81.365494182008945</v>
      </c>
    </row>
    <row r="23" spans="1:20" ht="18" x14ac:dyDescent="0.35">
      <c r="A23" s="12"/>
      <c r="B23" s="12"/>
      <c r="C23" s="12" t="s">
        <v>16</v>
      </c>
      <c r="D23" s="16">
        <f>E14*SIN(F9+S20)</f>
        <v>34.887802107187497</v>
      </c>
      <c r="E23" s="14">
        <f>(K17+K23)/3</f>
        <v>1.6666666666666667</v>
      </c>
      <c r="F23" s="12"/>
      <c r="G23" s="16">
        <f>D23*E23</f>
        <v>58.146336845312497</v>
      </c>
      <c r="J23" s="6" t="s">
        <v>1</v>
      </c>
      <c r="K23" s="21">
        <v>1</v>
      </c>
      <c r="L23" s="7"/>
      <c r="M23" s="7"/>
      <c r="N23" s="7"/>
      <c r="O23" s="7"/>
      <c r="P23" s="7"/>
      <c r="Q23" s="7"/>
      <c r="R23" s="7"/>
      <c r="S23" s="7"/>
      <c r="T23" s="8"/>
    </row>
    <row r="24" spans="1:20" x14ac:dyDescent="0.25">
      <c r="A24" s="17" t="s">
        <v>34</v>
      </c>
      <c r="B24" s="18">
        <f>B18+B19+B20+B21+B22</f>
        <v>195.47167192185722</v>
      </c>
      <c r="C24" s="12"/>
      <c r="D24" s="18">
        <f>D23</f>
        <v>34.887802107187497</v>
      </c>
      <c r="E24" s="16"/>
      <c r="F24" s="18">
        <f>F18+F19+F20+F21+F22</f>
        <v>368.69084647130967</v>
      </c>
      <c r="G24" s="18">
        <f t="shared" ref="G24" si="1">G23</f>
        <v>58.146336845312497</v>
      </c>
      <c r="J24" s="6"/>
      <c r="K24" s="7"/>
      <c r="L24" s="21">
        <f>(K17+K23)/10</f>
        <v>0.5</v>
      </c>
      <c r="M24" s="7"/>
      <c r="N24" s="7"/>
      <c r="O24" s="7"/>
      <c r="P24" s="7"/>
      <c r="Q24" s="7"/>
      <c r="R24" s="7"/>
      <c r="S24" s="7"/>
      <c r="T24" s="8"/>
    </row>
    <row r="25" spans="1:20" x14ac:dyDescent="0.25">
      <c r="J25" s="6"/>
      <c r="K25" s="7"/>
      <c r="L25" s="7"/>
      <c r="M25" s="7"/>
      <c r="N25" s="7"/>
      <c r="O25" s="7"/>
      <c r="P25" s="7"/>
      <c r="Q25" s="7"/>
      <c r="R25" s="7"/>
      <c r="S25" s="7"/>
      <c r="T25" s="8"/>
    </row>
    <row r="26" spans="1:20" x14ac:dyDescent="0.25">
      <c r="A26" s="37" t="s">
        <v>35</v>
      </c>
      <c r="B26" s="37"/>
      <c r="C26" s="37"/>
      <c r="D26" s="37"/>
      <c r="E26" s="12"/>
      <c r="F26" s="12"/>
      <c r="J26" s="6"/>
      <c r="K26" s="7"/>
      <c r="L26" s="7"/>
      <c r="M26" s="23">
        <f>(K17+K23)/6</f>
        <v>0.83333333333333337</v>
      </c>
      <c r="N26" s="23">
        <f>(P27-((2*M26)+O7))/2</f>
        <v>0.68333333333333313</v>
      </c>
      <c r="O26" s="7"/>
      <c r="P26" s="7"/>
      <c r="Q26" s="7"/>
      <c r="R26" s="7"/>
      <c r="S26" s="7"/>
      <c r="T26" s="8"/>
    </row>
    <row r="27" spans="1:20" ht="17.25" x14ac:dyDescent="0.25">
      <c r="A27" s="34" t="s">
        <v>20</v>
      </c>
      <c r="B27" s="34"/>
      <c r="C27" s="34"/>
      <c r="D27" s="34"/>
      <c r="E27" s="12">
        <v>25</v>
      </c>
      <c r="F27" s="12"/>
      <c r="J27" s="6"/>
      <c r="K27" s="7"/>
      <c r="L27" s="7"/>
      <c r="M27" s="7"/>
      <c r="N27" s="7"/>
      <c r="O27" s="7" t="s">
        <v>2</v>
      </c>
      <c r="P27" s="25">
        <f>2/3*(K17+K23)</f>
        <v>3.333333333333333</v>
      </c>
      <c r="Q27" s="7"/>
      <c r="R27" s="7"/>
      <c r="S27" s="7"/>
      <c r="T27" s="8"/>
    </row>
    <row r="28" spans="1:20" x14ac:dyDescent="0.25">
      <c r="A28" s="34" t="s">
        <v>21</v>
      </c>
      <c r="B28" s="34"/>
      <c r="C28" s="34"/>
      <c r="D28" s="34"/>
      <c r="E28" s="12">
        <v>0.9</v>
      </c>
      <c r="F28" s="12"/>
      <c r="J28" s="6"/>
      <c r="K28" s="7"/>
      <c r="L28" s="7"/>
      <c r="M28" s="7"/>
      <c r="N28" s="7"/>
      <c r="O28" s="7"/>
      <c r="P28" s="7"/>
      <c r="Q28" s="7"/>
      <c r="R28" s="7"/>
      <c r="S28" s="7"/>
      <c r="T28" s="8"/>
    </row>
    <row r="29" spans="1:20" x14ac:dyDescent="0.25">
      <c r="A29" s="34" t="s">
        <v>22</v>
      </c>
      <c r="B29" s="34"/>
      <c r="C29" s="34"/>
      <c r="D29" s="34"/>
      <c r="E29" s="12">
        <f>E27*E28</f>
        <v>22.5</v>
      </c>
      <c r="F29" s="12"/>
      <c r="J29" s="6"/>
      <c r="K29" s="7"/>
      <c r="L29" s="7"/>
      <c r="M29" s="38" t="s">
        <v>37</v>
      </c>
      <c r="N29" s="38"/>
      <c r="O29" s="38"/>
      <c r="P29" s="38"/>
      <c r="Q29" s="38"/>
      <c r="R29" s="7"/>
      <c r="S29" s="7"/>
      <c r="T29" s="8"/>
    </row>
    <row r="30" spans="1:20" x14ac:dyDescent="0.25">
      <c r="A30" s="34" t="s">
        <v>23</v>
      </c>
      <c r="B30" s="34"/>
      <c r="C30" s="34"/>
      <c r="D30" s="34"/>
      <c r="E30" s="12">
        <v>15</v>
      </c>
      <c r="F30" s="14">
        <f>(PI()*E30)/180</f>
        <v>0.26179938779914941</v>
      </c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1"/>
    </row>
    <row r="31" spans="1:20" x14ac:dyDescent="0.25">
      <c r="A31" s="34" t="s">
        <v>24</v>
      </c>
      <c r="B31" s="34"/>
      <c r="C31" s="34"/>
      <c r="D31" s="34"/>
      <c r="E31" s="12">
        <v>20</v>
      </c>
      <c r="F31" s="1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5">
      <c r="A32" s="34" t="s">
        <v>25</v>
      </c>
      <c r="B32" s="34"/>
      <c r="C32" s="34"/>
      <c r="D32" s="34"/>
      <c r="E32" s="15">
        <f>P27</f>
        <v>3.333333333333333</v>
      </c>
      <c r="F32" s="1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7" x14ac:dyDescent="0.25">
      <c r="A33" s="3"/>
      <c r="B33" s="3"/>
      <c r="C33" s="3"/>
      <c r="D33" s="3"/>
      <c r="E33" s="2"/>
    </row>
    <row r="34" spans="1:7" ht="15.75" x14ac:dyDescent="0.25">
      <c r="A34" s="41" t="s">
        <v>50</v>
      </c>
      <c r="B34" s="41"/>
      <c r="C34" s="41"/>
      <c r="D34" s="41"/>
      <c r="E34" s="41"/>
      <c r="F34" s="41"/>
    </row>
    <row r="35" spans="1:7" x14ac:dyDescent="0.25">
      <c r="B35" s="39" t="s">
        <v>26</v>
      </c>
      <c r="C35" s="39"/>
      <c r="D35" s="1">
        <f>((E29*E32)+(B24*TAN(F30)))/D24</f>
        <v>3.6510318489906024</v>
      </c>
      <c r="E35" s="5" t="str">
        <f>IF(D35&gt;=1.5,"SAFE","UNSAFE")</f>
        <v>SAFE</v>
      </c>
    </row>
    <row r="37" spans="1:7" x14ac:dyDescent="0.25">
      <c r="B37" s="39" t="s">
        <v>27</v>
      </c>
      <c r="C37" s="39"/>
      <c r="D37" s="1">
        <f>F24/G24</f>
        <v>6.3407407323378431</v>
      </c>
      <c r="E37" s="5" t="str">
        <f>IF(D37&gt;=1.5,"SAFE","UNSAFE")</f>
        <v>SAFE</v>
      </c>
    </row>
    <row r="39" spans="1:7" x14ac:dyDescent="0.25">
      <c r="B39" s="40" t="s">
        <v>28</v>
      </c>
      <c r="C39" s="40"/>
      <c r="D39" s="1">
        <f>(F24-G24)/B24</f>
        <v>1.5886931675201617</v>
      </c>
    </row>
    <row r="40" spans="1:7" x14ac:dyDescent="0.25">
      <c r="B40" s="39" t="s">
        <v>29</v>
      </c>
      <c r="C40" s="39"/>
      <c r="D40" s="1">
        <f>1.5-D39</f>
        <v>-8.8693167520161653E-2</v>
      </c>
      <c r="E40" s="5" t="str">
        <f>IF(D40 &lt;(P27/3),"SAFE","UNSAFE")</f>
        <v>SAFE</v>
      </c>
    </row>
    <row r="42" spans="1:7" x14ac:dyDescent="0.25">
      <c r="A42" s="33" t="s">
        <v>51</v>
      </c>
      <c r="B42" s="33"/>
      <c r="C42" s="33"/>
      <c r="D42" s="33"/>
      <c r="E42" s="33"/>
      <c r="F42" s="33"/>
      <c r="G42" s="33"/>
    </row>
    <row r="44" spans="1:7" x14ac:dyDescent="0.25">
      <c r="A44" s="32" t="s">
        <v>52</v>
      </c>
      <c r="B44" s="32"/>
      <c r="C44" s="32"/>
      <c r="D44" s="32"/>
      <c r="E44">
        <f>E31</f>
        <v>20</v>
      </c>
    </row>
    <row r="45" spans="1:7" x14ac:dyDescent="0.25">
      <c r="A45" s="12" t="s">
        <v>53</v>
      </c>
      <c r="B45" s="12"/>
      <c r="C45" s="12"/>
    </row>
    <row r="46" spans="1:7" ht="18" x14ac:dyDescent="0.35">
      <c r="A46" s="12" t="s">
        <v>68</v>
      </c>
      <c r="B46" s="12">
        <f>(B47-1)*_xlfn.COT((PI()*E44)/180)</f>
        <v>14.834711777931204</v>
      </c>
      <c r="C46" s="12"/>
    </row>
    <row r="47" spans="1:7" ht="18" x14ac:dyDescent="0.35">
      <c r="A47" s="12" t="s">
        <v>54</v>
      </c>
      <c r="B47" s="12">
        <f>EXP(PI()*TAN((PI()*E44)/180))*POWER(TAN(PI()*(45+(E44/2))/180),2)</f>
        <v>6.3993935210852113</v>
      </c>
      <c r="C47" s="12"/>
    </row>
    <row r="48" spans="1:7" ht="18" x14ac:dyDescent="0.35">
      <c r="A48" s="12" t="s">
        <v>69</v>
      </c>
      <c r="B48" s="12">
        <f>(B47-1)*TAN(1.4*((PI()*E44)/180))</f>
        <v>2.8709084604128878</v>
      </c>
      <c r="C48" s="12"/>
    </row>
    <row r="49" spans="1:15" x14ac:dyDescent="0.25">
      <c r="A49" s="32" t="s">
        <v>55</v>
      </c>
      <c r="B49" s="32"/>
      <c r="C49" s="32"/>
      <c r="D49" s="32"/>
      <c r="E49" s="32"/>
      <c r="F49" s="32"/>
      <c r="G49" s="32"/>
    </row>
    <row r="50" spans="1:15" ht="18" x14ac:dyDescent="0.35">
      <c r="A50" s="32" t="s">
        <v>56</v>
      </c>
      <c r="B50" s="32"/>
      <c r="C50" s="32"/>
      <c r="D50">
        <v>1</v>
      </c>
    </row>
    <row r="51" spans="1:15" ht="18.75" x14ac:dyDescent="0.35">
      <c r="A51" s="30" t="s">
        <v>57</v>
      </c>
      <c r="B51" s="30"/>
      <c r="C51" s="30"/>
      <c r="E51" s="30" t="s">
        <v>58</v>
      </c>
      <c r="F51" s="30"/>
      <c r="G51" s="30"/>
      <c r="I51" s="30" t="s">
        <v>60</v>
      </c>
      <c r="J51" s="30"/>
      <c r="K51" s="30"/>
      <c r="L51" s="30"/>
      <c r="M51" s="30"/>
      <c r="N51" s="12">
        <f>(E27*B46*D50*B52*F52)+(K23*K23*B47*D50*B53*F53)+(0.5*E13*(P27-(2*D40))*B48*B54*F54)-(E13*K23)</f>
        <v>377.53702787656732</v>
      </c>
    </row>
    <row r="52" spans="1:15" ht="21" x14ac:dyDescent="0.35">
      <c r="A52" s="12" t="s">
        <v>62</v>
      </c>
      <c r="B52" s="12">
        <f>1+(0.2*TAN((PI()*(45+(E44/2)))/180)*(K23/(P27-(2*D40))))</f>
        <v>1.0813592734052562</v>
      </c>
      <c r="C52" s="12"/>
      <c r="E52" s="12" t="s">
        <v>65</v>
      </c>
      <c r="F52" s="12">
        <f>F54</f>
        <v>0.78776275109078731</v>
      </c>
      <c r="G52" s="12"/>
      <c r="I52" s="30" t="s">
        <v>59</v>
      </c>
      <c r="J52" s="30"/>
      <c r="K52" s="30"/>
      <c r="L52" s="30"/>
      <c r="M52" s="30"/>
      <c r="N52" s="12">
        <f>N51*(P27-(2*D40))</f>
        <v>1325.4266693055984</v>
      </c>
    </row>
    <row r="53" spans="1:15" ht="20.25" x14ac:dyDescent="0.35">
      <c r="A53" s="12" t="s">
        <v>63</v>
      </c>
      <c r="B53" s="12">
        <f>1+(0.1*TAN((PI()*(45+(E44/2)))/180)*(K23/(P27-(2*D40))))</f>
        <v>1.0406796367026281</v>
      </c>
      <c r="C53" s="12"/>
      <c r="E53" s="29" t="s">
        <v>66</v>
      </c>
      <c r="F53" s="12">
        <f>F54</f>
        <v>0.78776275109078731</v>
      </c>
      <c r="G53" s="12"/>
      <c r="I53" s="31" t="s">
        <v>61</v>
      </c>
      <c r="J53" s="31"/>
      <c r="K53" s="31"/>
      <c r="L53" s="31"/>
      <c r="M53" s="31"/>
      <c r="N53">
        <f>N52/B24</f>
        <v>6.7806585797018091</v>
      </c>
      <c r="O53" s="13" t="str">
        <f>IF(N53&gt;2.5,"SAFE","UNSAFE")</f>
        <v>SAFE</v>
      </c>
    </row>
    <row r="54" spans="1:15" ht="20.25" x14ac:dyDescent="0.35">
      <c r="A54" s="12" t="s">
        <v>64</v>
      </c>
      <c r="B54" s="12">
        <f>B53</f>
        <v>1.0406796367026281</v>
      </c>
      <c r="C54" s="12"/>
      <c r="E54" s="29" t="s">
        <v>67</v>
      </c>
      <c r="F54" s="12">
        <f>POWER(1-((ATAN(D24/B24)*(180/PI()))/90),2)</f>
        <v>0.78776275109078731</v>
      </c>
      <c r="G54" s="12"/>
    </row>
    <row r="55" spans="1:15" x14ac:dyDescent="0.25">
      <c r="A55" s="7"/>
      <c r="B55" s="7"/>
      <c r="C55" s="7"/>
    </row>
  </sheetData>
  <mergeCells count="38">
    <mergeCell ref="F1:R2"/>
    <mergeCell ref="A5:D5"/>
    <mergeCell ref="A10:G10"/>
    <mergeCell ref="A12:G12"/>
    <mergeCell ref="A15:G15"/>
    <mergeCell ref="A11:D11"/>
    <mergeCell ref="A7:D7"/>
    <mergeCell ref="A8:D8"/>
    <mergeCell ref="A9:D9"/>
    <mergeCell ref="A6:D6"/>
    <mergeCell ref="K6:S6"/>
    <mergeCell ref="M29:Q29"/>
    <mergeCell ref="A27:D27"/>
    <mergeCell ref="A28:D28"/>
    <mergeCell ref="A29:D29"/>
    <mergeCell ref="A30:D30"/>
    <mergeCell ref="A42:G42"/>
    <mergeCell ref="A44:D44"/>
    <mergeCell ref="A49:G49"/>
    <mergeCell ref="A31:D31"/>
    <mergeCell ref="A13:D13"/>
    <mergeCell ref="A14:D14"/>
    <mergeCell ref="A17:B17"/>
    <mergeCell ref="A16:D16"/>
    <mergeCell ref="C17:D17"/>
    <mergeCell ref="A26:D26"/>
    <mergeCell ref="A32:D32"/>
    <mergeCell ref="B35:C35"/>
    <mergeCell ref="B37:C37"/>
    <mergeCell ref="B39:C39"/>
    <mergeCell ref="B40:C40"/>
    <mergeCell ref="A34:F34"/>
    <mergeCell ref="I52:M52"/>
    <mergeCell ref="I53:M53"/>
    <mergeCell ref="A50:C50"/>
    <mergeCell ref="A51:C51"/>
    <mergeCell ref="E51:G51"/>
    <mergeCell ref="I51:M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2019-09-22T18:41:52Z</dcterms:created>
  <dcterms:modified xsi:type="dcterms:W3CDTF">2019-10-14T07:30:46Z</dcterms:modified>
</cp:coreProperties>
</file>