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URAV\Desktop\Btech Project\"/>
    </mc:Choice>
  </mc:AlternateContent>
  <xr:revisionPtr revIDLastSave="0" documentId="13_ncr:1_{42ACF024-7CCE-4124-BCB0-41E4E963FD5F}" xr6:coauthVersionLast="45" xr6:coauthVersionMax="45" xr10:uidLastSave="{00000000-0000-0000-0000-000000000000}"/>
  <bookViews>
    <workbookView xWindow="-120" yWindow="-120" windowWidth="20730" windowHeight="11310" xr2:uid="{E214706A-B1D8-4D46-B6C1-265D9EA125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6" i="1" l="1"/>
  <c r="G56" i="1"/>
  <c r="B55" i="1"/>
  <c r="B54" i="1"/>
  <c r="M53" i="1"/>
  <c r="M51" i="1"/>
  <c r="G52" i="1"/>
  <c r="Q45" i="1" l="1"/>
  <c r="E31" i="1" l="1"/>
  <c r="E30" i="1"/>
  <c r="O7" i="1"/>
  <c r="G9" i="1"/>
  <c r="G8" i="1"/>
  <c r="G17" i="1"/>
  <c r="G15" i="1"/>
  <c r="S6" i="1" s="1"/>
  <c r="L26" i="1" s="1"/>
  <c r="L22" i="1" s="1"/>
  <c r="G20" i="1" l="1"/>
  <c r="D31" i="1" s="1"/>
  <c r="H31" i="1" s="1"/>
  <c r="B28" i="1"/>
  <c r="B27" i="1"/>
  <c r="G19" i="1"/>
  <c r="P28" i="1"/>
  <c r="G16" i="1"/>
  <c r="Q22" i="1" l="1"/>
  <c r="G21" i="1"/>
  <c r="G48" i="1" s="1"/>
  <c r="D30" i="1"/>
  <c r="E28" i="1" l="1"/>
  <c r="G28" i="1" s="1"/>
  <c r="E27" i="1"/>
  <c r="G27" i="1" s="1"/>
  <c r="B26" i="1"/>
  <c r="E26" i="1"/>
  <c r="D32" i="1"/>
  <c r="H30" i="1"/>
  <c r="H32" i="1" s="1"/>
  <c r="E29" i="1"/>
  <c r="B29" i="1"/>
  <c r="G29" i="1" l="1"/>
  <c r="G26" i="1"/>
  <c r="B32" i="1"/>
  <c r="G40" i="1" s="1"/>
  <c r="G49" i="1" s="1"/>
  <c r="G50" i="1" l="1"/>
  <c r="H50" i="1" s="1"/>
  <c r="H49" i="1"/>
  <c r="G32" i="1"/>
  <c r="G41" i="1" s="1"/>
  <c r="G42" i="1" s="1"/>
  <c r="G35" i="1" l="1"/>
  <c r="G36" i="1" s="1"/>
  <c r="G37" i="1" s="1"/>
  <c r="H37" i="1" s="1"/>
  <c r="R43" i="1" l="1"/>
  <c r="H42" i="1" l="1"/>
  <c r="G44" i="1"/>
  <c r="G45" i="1"/>
  <c r="T39" i="1" s="1"/>
  <c r="H44" i="1" l="1"/>
  <c r="N40" i="1"/>
</calcChain>
</file>

<file path=xl/sharedStrings.xml><?xml version="1.0" encoding="utf-8"?>
<sst xmlns="http://schemas.openxmlformats.org/spreadsheetml/2006/main" count="77" uniqueCount="67">
  <si>
    <t>DATA GIVEN</t>
  </si>
  <si>
    <t>HEIGHT OF WALL ABOVE GROUND LEVEL</t>
  </si>
  <si>
    <t>DEPTH OF WALL BELOW GROUND LEVEL</t>
  </si>
  <si>
    <t>COEFFICIENT OF FRICTION BETWEEN BASE SOIL AND WALL</t>
  </si>
  <si>
    <t>UNIT WEIGHT OF BACKFILL SOIL, KN/CUBICMETER</t>
  </si>
  <si>
    <t>SURCHARGE PRESSURE DUE CONSTRUCTION OF BUILDING</t>
  </si>
  <si>
    <t>UNITS</t>
  </si>
  <si>
    <t>M</t>
  </si>
  <si>
    <t>m</t>
  </si>
  <si>
    <r>
      <t>KN/M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</si>
  <si>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KN/M</t>
    </r>
    <r>
      <rPr>
        <vertAlign val="superscript"/>
        <sz val="11"/>
        <color theme="1"/>
        <rFont val="Calibri"/>
        <family val="2"/>
        <scheme val="minor"/>
      </rPr>
      <t>2</t>
    </r>
  </si>
  <si>
    <t>SAFE BEARING CAPACITY OF FOUNDATION SOIL</t>
  </si>
  <si>
    <t>EQUIVALENT HEIGHT OF EARTH AS SURCHARGE</t>
  </si>
  <si>
    <t>TOTAL HEIGHT OF WALL +SURCHARGE HEIGHT</t>
  </si>
  <si>
    <r>
      <t>EARTH PRESSURE COEFFICIENTS , K</t>
    </r>
    <r>
      <rPr>
        <vertAlign val="subscript"/>
        <sz val="11"/>
        <color theme="1"/>
        <rFont val="Calibri"/>
        <family val="2"/>
        <scheme val="minor"/>
      </rPr>
      <t>A</t>
    </r>
  </si>
  <si>
    <t>SHEARING ANGLE OF BACKFILL SOIL</t>
  </si>
  <si>
    <t>DEGREE</t>
  </si>
  <si>
    <t>PA1</t>
  </si>
  <si>
    <t>PA2</t>
  </si>
  <si>
    <t>FORCES DUE TO ACTIVE PRESSURE( per m length of wall)</t>
  </si>
  <si>
    <t>ACTIVE EARTH PRESSURE DUE TO SURCHARGE(PA1)</t>
  </si>
  <si>
    <t>ACTIVE EARTH PRESSURE DUE TO BACKFILL SOIL (PA2)</t>
  </si>
  <si>
    <t>KN</t>
  </si>
  <si>
    <t>TOTAL ACTIVE EARTH PRESSURE</t>
  </si>
  <si>
    <t>FORCES</t>
  </si>
  <si>
    <t>VERTICAL</t>
  </si>
  <si>
    <t>HORIZONTAL</t>
  </si>
  <si>
    <t>LEVER ARM</t>
  </si>
  <si>
    <t>MR</t>
  </si>
  <si>
    <t>MO</t>
  </si>
  <si>
    <t>W1</t>
  </si>
  <si>
    <t>W2</t>
  </si>
  <si>
    <t>W3</t>
  </si>
  <si>
    <t>W4</t>
  </si>
  <si>
    <t>SUM</t>
  </si>
  <si>
    <t>DISTANCE OF RESULTANT VERTICAL FORCES FROM HEEL</t>
  </si>
  <si>
    <t>STABILISING MOMENT ABOUT TOE</t>
  </si>
  <si>
    <t>FACTOR OF SAFETY AGAINST OVERTURNING</t>
  </si>
  <si>
    <t>DESIGN OF CANTILEVER RETAINING WALL AS PER RANKINES THEORY</t>
  </si>
  <si>
    <t>STEP-1: PRILIMINARY PROPORTIONING</t>
  </si>
  <si>
    <t>STEP-2: CALCULATION OF ALL THE FORCES</t>
  </si>
  <si>
    <t>REF: FROM HEEL</t>
  </si>
  <si>
    <t>HEEL</t>
  </si>
  <si>
    <t>TOE</t>
  </si>
  <si>
    <t>STEP-3: STABILITY OF RETAINING WALL</t>
  </si>
  <si>
    <t xml:space="preserve">       W1</t>
  </si>
  <si>
    <t xml:space="preserve">        W4</t>
  </si>
  <si>
    <t xml:space="preserve">STEP-4 :SOIL PRESSURE AT FOOTING BASE </t>
  </si>
  <si>
    <t>RESULTANT VERTICAL REACTION (R=W)</t>
  </si>
  <si>
    <t>ECCENTRICITY   " e"</t>
  </si>
  <si>
    <t>IF "e" IS SAFE THEN RESULTANT LIES LIES THE MIDDILE THIRD OF BASE</t>
  </si>
  <si>
    <t xml:space="preserve">         W</t>
  </si>
  <si>
    <t>R=W</t>
  </si>
  <si>
    <t>MAXIMUM SOIL PRESSURE  qmax  (KN/M2)</t>
  </si>
  <si>
    <t>MINIMUM SOIL PRESSURE qmin  (KN/M2)</t>
  </si>
  <si>
    <r>
      <t>DISTANCE OF  " R"  FROM HEEL 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</si>
  <si>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FIGURE-2: CALCULATION OF SOIL PRESSURE</t>
  </si>
  <si>
    <t>FIGURE-1: CANTILEVER RETAINING WALL</t>
  </si>
  <si>
    <t>STEP-5: STABILITY AGAINST SLIDING</t>
  </si>
  <si>
    <t>SILIDING FORCE  PA</t>
  </si>
  <si>
    <t>RESISISTING FORCE (IGNORING PASSIVE PRESSURE)  F</t>
  </si>
  <si>
    <t>FACTOR OF SAFETY AGAINST SLIDING</t>
  </si>
  <si>
    <t>REQUIRED PASSIVE EARTH PRESSURE( PER METRE LENGTH OF WALL)</t>
  </si>
  <si>
    <t>PROVIDING A SHEAR KEY 300MM*400MM AT 1.6M FROM TOE</t>
  </si>
  <si>
    <t>H2</t>
  </si>
  <si>
    <t>PP</t>
  </si>
  <si>
    <t>FIGURE-3 :   DESIGN OF SHEAR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</si>
</sst>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/>
    <xf numFmtId="164" fontId="0" fillId="0" borderId="1" xfId="0" applyNumberFormat="1" applyBorder="1" applyAlignment="1"/>
    <xf numFmtId="164" fontId="0" fillId="0" borderId="1" xfId="0" applyNumberFormat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0" fillId="2" borderId="1" xfId="0" applyFill="1" applyBorder="1"/>
    <xf numFmtId="0" fontId="0" fillId="6" borderId="1" xfId="0" applyFill="1" applyBorder="1"/>
    <xf numFmtId="0" fontId="0" fillId="7" borderId="0" xfId="0" applyFill="1"/>
    <xf numFmtId="164" fontId="0" fillId="8" borderId="0" xfId="0" applyNumberFormat="1" applyFill="1"/>
    <xf numFmtId="0" fontId="6" fillId="10" borderId="0" xfId="0" applyFont="1" applyFill="1"/>
    <xf numFmtId="0" fontId="0" fillId="0" borderId="0" xfId="0" applyBorder="1"/>
    <xf numFmtId="164" fontId="0" fillId="0" borderId="0" xfId="0" applyNumberFormat="1" applyBorder="1"/>
    <xf numFmtId="0" fontId="0" fillId="7" borderId="0" xfId="0" applyFill="1" applyBorder="1"/>
    <xf numFmtId="0" fontId="0" fillId="2" borderId="0" xfId="0" applyFill="1" applyBorder="1"/>
    <xf numFmtId="0" fontId="0" fillId="8" borderId="0" xfId="0" applyFill="1" applyBorder="1"/>
    <xf numFmtId="0" fontId="0" fillId="6" borderId="0" xfId="0" applyFill="1" applyBorder="1"/>
    <xf numFmtId="0" fontId="0" fillId="0" borderId="0" xfId="0" applyBorder="1" applyAlignment="1"/>
    <xf numFmtId="0" fontId="0" fillId="10" borderId="1" xfId="0" applyFill="1" applyBorder="1"/>
    <xf numFmtId="0" fontId="6" fillId="10" borderId="5" xfId="0" applyFont="1" applyFill="1" applyBorder="1"/>
    <xf numFmtId="0" fontId="0" fillId="0" borderId="0" xfId="0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9" borderId="10" xfId="0" applyFill="1" applyBorder="1" applyAlignment="1">
      <alignment horizontal="center"/>
    </xf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6</xdr:rowOff>
    </xdr:from>
    <xdr:to>
      <xdr:col>15</xdr:col>
      <xdr:colOff>590551</xdr:colOff>
      <xdr:row>23</xdr:row>
      <xdr:rowOff>180979</xdr:rowOff>
    </xdr:to>
    <xdr:sp macro="" textlink="">
      <xdr:nvSpPr>
        <xdr:cNvPr id="2" name="Flowchart: Manual Input 1">
          <a:extLst>
            <a:ext uri="{FF2B5EF4-FFF2-40B4-BE49-F238E27FC236}">
              <a16:creationId xmlns:a16="http://schemas.microsoft.com/office/drawing/2014/main" id="{34BC112F-B613-44DE-B829-25FCB5E9BD24}"/>
            </a:ext>
          </a:extLst>
        </xdr:cNvPr>
        <xdr:cNvSpPr/>
      </xdr:nvSpPr>
      <xdr:spPr>
        <a:xfrm rot="5400000">
          <a:off x="7372352" y="1533529"/>
          <a:ext cx="2971798" cy="1809751"/>
        </a:xfrm>
        <a:prstGeom prst="flowChartManualInput">
          <a:avLst/>
        </a:prstGeom>
        <a:solidFill>
          <a:schemeClr val="bg1"/>
        </a:solidFill>
        <a:ln w="317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600075</xdr:colOff>
      <xdr:row>24</xdr:row>
      <xdr:rowOff>0</xdr:rowOff>
    </xdr:from>
    <xdr:to>
      <xdr:col>18</xdr:col>
      <xdr:colOff>9525</xdr:colOff>
      <xdr:row>26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1227AF4-35E5-46DC-8F9A-39D8059B627A}"/>
            </a:ext>
          </a:extLst>
        </xdr:cNvPr>
        <xdr:cNvSpPr/>
      </xdr:nvSpPr>
      <xdr:spPr>
        <a:xfrm>
          <a:off x="7334250" y="3933825"/>
          <a:ext cx="3676650" cy="381000"/>
        </a:xfrm>
        <a:prstGeom prst="rect">
          <a:avLst/>
        </a:prstGeom>
        <a:solidFill>
          <a:schemeClr val="bg1"/>
        </a:solidFill>
        <a:ln w="317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219075</xdr:colOff>
      <xdr:row>8</xdr:row>
      <xdr:rowOff>0</xdr:rowOff>
    </xdr:from>
    <xdr:to>
      <xdr:col>15</xdr:col>
      <xdr:colOff>219075</xdr:colOff>
      <xdr:row>24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648DEB-A284-4650-9BB4-16FC3695ED7D}"/>
            </a:ext>
          </a:extLst>
        </xdr:cNvPr>
        <xdr:cNvCxnSpPr/>
      </xdr:nvCxnSpPr>
      <xdr:spPr>
        <a:xfrm>
          <a:off x="9391650" y="952500"/>
          <a:ext cx="0" cy="2981325"/>
        </a:xfrm>
        <a:prstGeom prst="line">
          <a:avLst/>
        </a:prstGeom>
        <a:ln w="28575">
          <a:solidFill>
            <a:schemeClr val="accent1">
              <a:alpha val="44000"/>
            </a:schemeClr>
          </a:solidFill>
          <a:prstDash val="sysDash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7</xdr:row>
      <xdr:rowOff>180975</xdr:rowOff>
    </xdr:from>
    <xdr:to>
      <xdr:col>19</xdr:col>
      <xdr:colOff>0</xdr:colOff>
      <xdr:row>7</xdr:row>
      <xdr:rowOff>180975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E6B5BF9-55E9-4D8C-9DA1-A7E7A202B559}"/>
            </a:ext>
          </a:extLst>
        </xdr:cNvPr>
        <xdr:cNvCxnSpPr/>
      </xdr:nvCxnSpPr>
      <xdr:spPr>
        <a:xfrm>
          <a:off x="9401175" y="942975"/>
          <a:ext cx="2209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7</xdr:row>
      <xdr:rowOff>180975</xdr:rowOff>
    </xdr:from>
    <xdr:to>
      <xdr:col>18</xdr:col>
      <xdr:colOff>9525</xdr:colOff>
      <xdr:row>24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F10FE34-A02A-4330-99B9-32C51F444E54}"/>
            </a:ext>
          </a:extLst>
        </xdr:cNvPr>
        <xdr:cNvCxnSpPr/>
      </xdr:nvCxnSpPr>
      <xdr:spPr>
        <a:xfrm flipV="1">
          <a:off x="11010900" y="942975"/>
          <a:ext cx="0" cy="2990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2</xdr:row>
      <xdr:rowOff>180975</xdr:rowOff>
    </xdr:from>
    <xdr:to>
      <xdr:col>17</xdr:col>
      <xdr:colOff>600075</xdr:colOff>
      <xdr:row>7</xdr:row>
      <xdr:rowOff>171450</xdr:rowOff>
    </xdr:to>
    <xdr:sp macro="" textlink="">
      <xdr:nvSpPr>
        <xdr:cNvPr id="14" name="Rectangle 13" title="SURCHARGE">
          <a:extLst>
            <a:ext uri="{FF2B5EF4-FFF2-40B4-BE49-F238E27FC236}">
              <a16:creationId xmlns:a16="http://schemas.microsoft.com/office/drawing/2014/main" id="{3D79067C-E074-4833-AC03-F93AE271F8A4}"/>
            </a:ext>
          </a:extLst>
        </xdr:cNvPr>
        <xdr:cNvSpPr/>
      </xdr:nvSpPr>
      <xdr:spPr>
        <a:xfrm>
          <a:off x="9391650" y="180975"/>
          <a:ext cx="1600200" cy="752475"/>
        </a:xfrm>
        <a:prstGeom prst="rect">
          <a:avLst/>
        </a:prstGeom>
        <a:solidFill>
          <a:schemeClr val="bg1"/>
        </a:solidFill>
        <a:ln w="28575">
          <a:solidFill>
            <a:schemeClr val="accent6">
              <a:lumMod val="75000"/>
              <a:alpha val="44000"/>
            </a:schemeClr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spcCol="1645920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342901</xdr:colOff>
      <xdr:row>5</xdr:row>
      <xdr:rowOff>104775</xdr:rowOff>
    </xdr:from>
    <xdr:to>
      <xdr:col>17</xdr:col>
      <xdr:colOff>381001</xdr:colOff>
      <xdr:row>6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CA4D73A-170C-4FCC-A128-CD346A3390A8}"/>
            </a:ext>
          </a:extLst>
        </xdr:cNvPr>
        <xdr:cNvSpPr txBox="1"/>
      </xdr:nvSpPr>
      <xdr:spPr>
        <a:xfrm>
          <a:off x="9515476" y="485775"/>
          <a:ext cx="12573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1100"/>
            <a:t>      SURCHAGRE</a:t>
          </a:r>
        </a:p>
      </xdr:txBody>
    </xdr:sp>
    <xdr:clientData/>
  </xdr:twoCellAnchor>
  <xdr:twoCellAnchor>
    <xdr:from>
      <xdr:col>18</xdr:col>
      <xdr:colOff>238125</xdr:colOff>
      <xdr:row>3</xdr:row>
      <xdr:rowOff>0</xdr:rowOff>
    </xdr:from>
    <xdr:to>
      <xdr:col>18</xdr:col>
      <xdr:colOff>238125</xdr:colOff>
      <xdr:row>8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058620-C935-454F-9791-70D91EDCC460}"/>
            </a:ext>
          </a:extLst>
        </xdr:cNvPr>
        <xdr:cNvCxnSpPr/>
      </xdr:nvCxnSpPr>
      <xdr:spPr>
        <a:xfrm>
          <a:off x="11239500" y="190500"/>
          <a:ext cx="0" cy="762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13</xdr:col>
      <xdr:colOff>9525</xdr:colOff>
      <xdr:row>20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62961A8-3AEA-4195-B4EA-5DC33C78AB7E}"/>
            </a:ext>
          </a:extLst>
        </xdr:cNvPr>
        <xdr:cNvCxnSpPr/>
      </xdr:nvCxnSpPr>
      <xdr:spPr>
        <a:xfrm flipH="1">
          <a:off x="6124575" y="3362325"/>
          <a:ext cx="1838325" cy="0"/>
        </a:xfrm>
        <a:prstGeom prst="line">
          <a:avLst/>
        </a:prstGeom>
        <a:ln w="19050" cap="sq">
          <a:solidFill>
            <a:schemeClr val="accent1">
              <a:alpha val="93000"/>
            </a:schemeClr>
          </a:solidFill>
          <a:prstDash val="sysDash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7</xdr:row>
      <xdr:rowOff>173182</xdr:rowOff>
    </xdr:from>
    <xdr:to>
      <xdr:col>10</xdr:col>
      <xdr:colOff>259773</xdr:colOff>
      <xdr:row>20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8E1FDE0-B9B3-4828-9D35-87079B9B2EA9}"/>
            </a:ext>
          </a:extLst>
        </xdr:cNvPr>
        <xdr:cNvCxnSpPr/>
      </xdr:nvCxnSpPr>
      <xdr:spPr>
        <a:xfrm flipH="1">
          <a:off x="6635028" y="952500"/>
          <a:ext cx="21648" cy="245701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19</xdr:row>
      <xdr:rowOff>171450</xdr:rowOff>
    </xdr:from>
    <xdr:to>
      <xdr:col>10</xdr:col>
      <xdr:colOff>238125</xdr:colOff>
      <xdr:row>26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FD2827C-E6B1-4FFA-B6C2-D83E77ABC964}"/>
            </a:ext>
          </a:extLst>
        </xdr:cNvPr>
        <xdr:cNvCxnSpPr/>
      </xdr:nvCxnSpPr>
      <xdr:spPr>
        <a:xfrm>
          <a:off x="6362700" y="3343275"/>
          <a:ext cx="0" cy="971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24</xdr:row>
      <xdr:rowOff>0</xdr:rowOff>
    </xdr:from>
    <xdr:to>
      <xdr:col>11</xdr:col>
      <xdr:colOff>304800</xdr:colOff>
      <xdr:row>26</xdr:row>
      <xdr:rowOff>0</xdr:rowOff>
    </xdr:to>
    <xdr:cxnSp macro="">
      <xdr:nvCxnSpPr>
        <xdr:cNvPr id="1027" name="Straight Arrow Connector 1026">
          <a:extLst>
            <a:ext uri="{FF2B5EF4-FFF2-40B4-BE49-F238E27FC236}">
              <a16:creationId xmlns:a16="http://schemas.microsoft.com/office/drawing/2014/main" id="{C43E4719-0181-4B05-9E65-C265D55464AB}"/>
            </a:ext>
          </a:extLst>
        </xdr:cNvPr>
        <xdr:cNvCxnSpPr/>
      </xdr:nvCxnSpPr>
      <xdr:spPr>
        <a:xfrm>
          <a:off x="7029450" y="3933825"/>
          <a:ext cx="9525" cy="381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7</xdr:row>
      <xdr:rowOff>133350</xdr:rowOff>
    </xdr:from>
    <xdr:to>
      <xdr:col>15</xdr:col>
      <xdr:colOff>238125</xdr:colOff>
      <xdr:row>7</xdr:row>
      <xdr:rowOff>142875</xdr:rowOff>
    </xdr:to>
    <xdr:cxnSp macro="">
      <xdr:nvCxnSpPr>
        <xdr:cNvPr id="1030" name="Straight Arrow Connector 1029">
          <a:extLst>
            <a:ext uri="{FF2B5EF4-FFF2-40B4-BE49-F238E27FC236}">
              <a16:creationId xmlns:a16="http://schemas.microsoft.com/office/drawing/2014/main" id="{2AF83279-AC4D-4EEA-89CF-146FC36FDAB5}"/>
            </a:ext>
          </a:extLst>
        </xdr:cNvPr>
        <xdr:cNvCxnSpPr/>
      </xdr:nvCxnSpPr>
      <xdr:spPr>
        <a:xfrm>
          <a:off x="7943850" y="895350"/>
          <a:ext cx="14668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2</xdr:row>
      <xdr:rowOff>180975</xdr:rowOff>
    </xdr:from>
    <xdr:to>
      <xdr:col>21</xdr:col>
      <xdr:colOff>9525</xdr:colOff>
      <xdr:row>26</xdr:row>
      <xdr:rowOff>9525</xdr:rowOff>
    </xdr:to>
    <xdr:cxnSp macro="">
      <xdr:nvCxnSpPr>
        <xdr:cNvPr id="1033" name="Straight Connector 1032">
          <a:extLst>
            <a:ext uri="{FF2B5EF4-FFF2-40B4-BE49-F238E27FC236}">
              <a16:creationId xmlns:a16="http://schemas.microsoft.com/office/drawing/2014/main" id="{0E548BD0-4AAC-4883-B114-32F1C400DF16}"/>
            </a:ext>
          </a:extLst>
        </xdr:cNvPr>
        <xdr:cNvCxnSpPr/>
      </xdr:nvCxnSpPr>
      <xdr:spPr>
        <a:xfrm>
          <a:off x="10991850" y="180975"/>
          <a:ext cx="1847850" cy="4143375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26</xdr:row>
      <xdr:rowOff>0</xdr:rowOff>
    </xdr:from>
    <xdr:to>
      <xdr:col>21</xdr:col>
      <xdr:colOff>19050</xdr:colOff>
      <xdr:row>26</xdr:row>
      <xdr:rowOff>0</xdr:rowOff>
    </xdr:to>
    <xdr:cxnSp macro="">
      <xdr:nvCxnSpPr>
        <xdr:cNvPr id="1035" name="Straight Connector 1034">
          <a:extLst>
            <a:ext uri="{FF2B5EF4-FFF2-40B4-BE49-F238E27FC236}">
              <a16:creationId xmlns:a16="http://schemas.microsoft.com/office/drawing/2014/main" id="{46EDBA19-1FB3-4432-879A-CA64DDEA2E85}"/>
            </a:ext>
          </a:extLst>
        </xdr:cNvPr>
        <xdr:cNvCxnSpPr/>
      </xdr:nvCxnSpPr>
      <xdr:spPr>
        <a:xfrm>
          <a:off x="11020425" y="4314825"/>
          <a:ext cx="1828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342900</xdr:colOff>
      <xdr:row>7</xdr:row>
      <xdr:rowOff>180975</xdr:rowOff>
    </xdr:from>
    <xdr:to>
      <xdr:col>18</xdr:col>
      <xdr:colOff>342900</xdr:colOff>
      <xdr:row>26</xdr:row>
      <xdr:rowOff>0</xdr:rowOff>
    </xdr:to>
    <xdr:cxnSp macro="">
      <xdr:nvCxnSpPr>
        <xdr:cNvPr id="1037" name="Straight Connector 1036">
          <a:extLst>
            <a:ext uri="{FF2B5EF4-FFF2-40B4-BE49-F238E27FC236}">
              <a16:creationId xmlns:a16="http://schemas.microsoft.com/office/drawing/2014/main" id="{1BC96D06-527B-4A67-9AEF-3DD26E27B2C3}"/>
            </a:ext>
          </a:extLst>
        </xdr:cNvPr>
        <xdr:cNvCxnSpPr/>
      </xdr:nvCxnSpPr>
      <xdr:spPr>
        <a:xfrm>
          <a:off x="11344275" y="942975"/>
          <a:ext cx="0" cy="337185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27</xdr:row>
      <xdr:rowOff>0</xdr:rowOff>
    </xdr:from>
    <xdr:to>
      <xdr:col>17</xdr:col>
      <xdr:colOff>590550</xdr:colOff>
      <xdr:row>27</xdr:row>
      <xdr:rowOff>0</xdr:rowOff>
    </xdr:to>
    <xdr:cxnSp macro="">
      <xdr:nvCxnSpPr>
        <xdr:cNvPr id="1041" name="Straight Arrow Connector 1040">
          <a:extLst>
            <a:ext uri="{FF2B5EF4-FFF2-40B4-BE49-F238E27FC236}">
              <a16:creationId xmlns:a16="http://schemas.microsoft.com/office/drawing/2014/main" id="{DC7BBE2A-647E-42B1-98B3-ADB9AB0472A2}"/>
            </a:ext>
          </a:extLst>
        </xdr:cNvPr>
        <xdr:cNvCxnSpPr/>
      </xdr:nvCxnSpPr>
      <xdr:spPr>
        <a:xfrm>
          <a:off x="7943850" y="4505325"/>
          <a:ext cx="3038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85725</xdr:rowOff>
    </xdr:from>
    <xdr:to>
      <xdr:col>18</xdr:col>
      <xdr:colOff>0</xdr:colOff>
      <xdr:row>28</xdr:row>
      <xdr:rowOff>85725</xdr:rowOff>
    </xdr:to>
    <xdr:cxnSp macro="">
      <xdr:nvCxnSpPr>
        <xdr:cNvPr id="1043" name="Straight Arrow Connector 1042">
          <a:extLst>
            <a:ext uri="{FF2B5EF4-FFF2-40B4-BE49-F238E27FC236}">
              <a16:creationId xmlns:a16="http://schemas.microsoft.com/office/drawing/2014/main" id="{DFCB0497-DD1B-4866-8C41-3D9EA873980C}"/>
            </a:ext>
          </a:extLst>
        </xdr:cNvPr>
        <xdr:cNvCxnSpPr/>
      </xdr:nvCxnSpPr>
      <xdr:spPr>
        <a:xfrm>
          <a:off x="7343775" y="4781550"/>
          <a:ext cx="3657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1045" name="Straight Arrow Connector 1044">
          <a:extLst>
            <a:ext uri="{FF2B5EF4-FFF2-40B4-BE49-F238E27FC236}">
              <a16:creationId xmlns:a16="http://schemas.microsoft.com/office/drawing/2014/main" id="{596BC5D6-D792-4A7F-A7E1-FD0DAED4F8D3}"/>
            </a:ext>
          </a:extLst>
        </xdr:cNvPr>
        <xdr:cNvCxnSpPr/>
      </xdr:nvCxnSpPr>
      <xdr:spPr>
        <a:xfrm>
          <a:off x="7972425" y="4029075"/>
          <a:ext cx="1809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21</xdr:row>
      <xdr:rowOff>114300</xdr:rowOff>
    </xdr:from>
    <xdr:to>
      <xdr:col>13</xdr:col>
      <xdr:colOff>314325</xdr:colOff>
      <xdr:row>24</xdr:row>
      <xdr:rowOff>95250</xdr:rowOff>
    </xdr:to>
    <xdr:cxnSp macro="">
      <xdr:nvCxnSpPr>
        <xdr:cNvPr id="1047" name="Straight Arrow Connector 1046">
          <a:extLst>
            <a:ext uri="{FF2B5EF4-FFF2-40B4-BE49-F238E27FC236}">
              <a16:creationId xmlns:a16="http://schemas.microsoft.com/office/drawing/2014/main" id="{5E4A7EB7-E309-4DCE-9A06-5101C0D3B352}"/>
            </a:ext>
          </a:extLst>
        </xdr:cNvPr>
        <xdr:cNvCxnSpPr/>
      </xdr:nvCxnSpPr>
      <xdr:spPr>
        <a:xfrm rot="10800000" flipH="1" flipV="1">
          <a:off x="7791450" y="3667125"/>
          <a:ext cx="4762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0</xdr:rowOff>
    </xdr:from>
    <xdr:to>
      <xdr:col>11</xdr:col>
      <xdr:colOff>333375</xdr:colOff>
      <xdr:row>24</xdr:row>
      <xdr:rowOff>0</xdr:rowOff>
    </xdr:to>
    <xdr:cxnSp macro="">
      <xdr:nvCxnSpPr>
        <xdr:cNvPr id="1049" name="Straight Arrow Connector 1048">
          <a:extLst>
            <a:ext uri="{FF2B5EF4-FFF2-40B4-BE49-F238E27FC236}">
              <a16:creationId xmlns:a16="http://schemas.microsoft.com/office/drawing/2014/main" id="{F466CFCC-BDAD-4111-AD89-0AECBDA2C4FD}"/>
            </a:ext>
          </a:extLst>
        </xdr:cNvPr>
        <xdr:cNvCxnSpPr/>
      </xdr:nvCxnSpPr>
      <xdr:spPr>
        <a:xfrm>
          <a:off x="7067550" y="3362325"/>
          <a:ext cx="0" cy="571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172056</xdr:colOff>
      <xdr:row>15</xdr:row>
      <xdr:rowOff>173182</xdr:rowOff>
    </xdr:from>
    <xdr:to>
      <xdr:col>20</xdr:col>
      <xdr:colOff>595312</xdr:colOff>
      <xdr:row>15</xdr:row>
      <xdr:rowOff>173182</xdr:rowOff>
    </xdr:to>
    <xdr:cxnSp macro="">
      <xdr:nvCxnSpPr>
        <xdr:cNvPr id="1051" name="Straight Arrow Connector 1050">
          <a:extLst>
            <a:ext uri="{FF2B5EF4-FFF2-40B4-BE49-F238E27FC236}">
              <a16:creationId xmlns:a16="http://schemas.microsoft.com/office/drawing/2014/main" id="{7440CB82-0024-449D-9F50-03BCC5FB56F3}"/>
            </a:ext>
          </a:extLst>
        </xdr:cNvPr>
        <xdr:cNvCxnSpPr/>
      </xdr:nvCxnSpPr>
      <xdr:spPr>
        <a:xfrm rot="10800000">
          <a:off x="11418050" y="3160568"/>
          <a:ext cx="1635529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20</xdr:row>
      <xdr:rowOff>96764</xdr:rowOff>
    </xdr:from>
    <xdr:to>
      <xdr:col>21</xdr:col>
      <xdr:colOff>0</xdr:colOff>
      <xdr:row>20</xdr:row>
      <xdr:rowOff>104776</xdr:rowOff>
    </xdr:to>
    <xdr:cxnSp macro="">
      <xdr:nvCxnSpPr>
        <xdr:cNvPr id="1053" name="Straight Arrow Connector 1052">
          <a:extLst>
            <a:ext uri="{FF2B5EF4-FFF2-40B4-BE49-F238E27FC236}">
              <a16:creationId xmlns:a16="http://schemas.microsoft.com/office/drawing/2014/main" id="{CDF6DA18-E1E9-44A9-BA52-3E1F1A047174}"/>
            </a:ext>
          </a:extLst>
        </xdr:cNvPr>
        <xdr:cNvCxnSpPr/>
      </xdr:nvCxnSpPr>
      <xdr:spPr>
        <a:xfrm rot="10800000" flipV="1">
          <a:off x="11620500" y="3459089"/>
          <a:ext cx="1209675" cy="80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216477</xdr:colOff>
      <xdr:row>21</xdr:row>
      <xdr:rowOff>173181</xdr:rowOff>
    </xdr:from>
    <xdr:to>
      <xdr:col>18</xdr:col>
      <xdr:colOff>0</xdr:colOff>
      <xdr:row>21</xdr:row>
      <xdr:rowOff>173181</xdr:rowOff>
    </xdr:to>
    <xdr:cxnSp macro="">
      <xdr:nvCxnSpPr>
        <xdr:cNvPr id="1056" name="Straight Arrow Connector 1055">
          <a:extLst>
            <a:ext uri="{FF2B5EF4-FFF2-40B4-BE49-F238E27FC236}">
              <a16:creationId xmlns:a16="http://schemas.microsoft.com/office/drawing/2014/main" id="{CF6E1648-FB86-49F7-AC86-2D7B6F719293}"/>
            </a:ext>
          </a:extLst>
        </xdr:cNvPr>
        <xdr:cNvCxnSpPr/>
      </xdr:nvCxnSpPr>
      <xdr:spPr>
        <a:xfrm>
          <a:off x="9340994" y="3777528"/>
          <a:ext cx="160193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21648</xdr:colOff>
      <xdr:row>26</xdr:row>
      <xdr:rowOff>10824</xdr:rowOff>
    </xdr:from>
    <xdr:to>
      <xdr:col>19</xdr:col>
      <xdr:colOff>0</xdr:colOff>
      <xdr:row>28</xdr:row>
      <xdr:rowOff>64943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F3CD720-1938-4D46-ADE5-B4D4D8968FD8}"/>
            </a:ext>
          </a:extLst>
        </xdr:cNvPr>
        <xdr:cNvCxnSpPr/>
      </xdr:nvCxnSpPr>
      <xdr:spPr>
        <a:xfrm rot="10800000">
          <a:off x="11267642" y="5173807"/>
          <a:ext cx="584489" cy="4437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194829</xdr:colOff>
      <xdr:row>26</xdr:row>
      <xdr:rowOff>21648</xdr:rowOff>
    </xdr:from>
    <xdr:to>
      <xdr:col>12</xdr:col>
      <xdr:colOff>0</xdr:colOff>
      <xdr:row>29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C11FA3E-4320-451D-86E8-F44F182C7D09}"/>
            </a:ext>
          </a:extLst>
        </xdr:cNvPr>
        <xdr:cNvCxnSpPr/>
      </xdr:nvCxnSpPr>
      <xdr:spPr>
        <a:xfrm rot="10800000" flipH="1">
          <a:off x="7197869" y="5184631"/>
          <a:ext cx="411307" cy="562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335539</xdr:colOff>
      <xdr:row>12</xdr:row>
      <xdr:rowOff>108239</xdr:rowOff>
    </xdr:from>
    <xdr:to>
      <xdr:col>16</xdr:col>
      <xdr:colOff>335539</xdr:colOff>
      <xdr:row>15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43D1D7C-AC24-42C1-9455-BB0AB3F57C13}"/>
            </a:ext>
          </a:extLst>
        </xdr:cNvPr>
        <xdr:cNvCxnSpPr/>
      </xdr:nvCxnSpPr>
      <xdr:spPr>
        <a:xfrm>
          <a:off x="10369261" y="2467841"/>
          <a:ext cx="0" cy="5195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54119</xdr:colOff>
      <xdr:row>12</xdr:row>
      <xdr:rowOff>205654</xdr:rowOff>
    </xdr:from>
    <xdr:to>
      <xdr:col>14</xdr:col>
      <xdr:colOff>54119</xdr:colOff>
      <xdr:row>15</xdr:row>
      <xdr:rowOff>184006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EEB367B-A345-4F29-8753-A7F809B8B968}"/>
            </a:ext>
          </a:extLst>
        </xdr:cNvPr>
        <xdr:cNvCxnSpPr/>
      </xdr:nvCxnSpPr>
      <xdr:spPr>
        <a:xfrm>
          <a:off x="8875568" y="2565256"/>
          <a:ext cx="0" cy="606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487072</xdr:colOff>
      <xdr:row>16</xdr:row>
      <xdr:rowOff>54119</xdr:rowOff>
    </xdr:from>
    <xdr:to>
      <xdr:col>14</xdr:col>
      <xdr:colOff>292243</xdr:colOff>
      <xdr:row>17</xdr:row>
      <xdr:rowOff>21648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1F9B296-8CF7-48A7-9F49-C82F25F196C9}"/>
            </a:ext>
          </a:extLst>
        </xdr:cNvPr>
        <xdr:cNvSpPr txBox="1"/>
      </xdr:nvSpPr>
      <xdr:spPr>
        <a:xfrm>
          <a:off x="8702385" y="3236335"/>
          <a:ext cx="411307" cy="194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1050"/>
            <a:t>W</a:t>
          </a:r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313892</xdr:colOff>
      <xdr:row>16</xdr:row>
      <xdr:rowOff>75767</xdr:rowOff>
    </xdr:from>
    <xdr:to>
      <xdr:col>15</xdr:col>
      <xdr:colOff>313892</xdr:colOff>
      <xdr:row>19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6602ED0-0EB0-4BBD-AD4A-EDFF198F05B9}"/>
            </a:ext>
          </a:extLst>
        </xdr:cNvPr>
        <xdr:cNvCxnSpPr/>
      </xdr:nvCxnSpPr>
      <xdr:spPr>
        <a:xfrm>
          <a:off x="9741477" y="3257983"/>
          <a:ext cx="0" cy="541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281420</xdr:colOff>
      <xdr:row>19</xdr:row>
      <xdr:rowOff>32472</xdr:rowOff>
    </xdr:from>
    <xdr:to>
      <xdr:col>16</xdr:col>
      <xdr:colOff>64942</xdr:colOff>
      <xdr:row>20</xdr:row>
      <xdr:rowOff>32471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B94E16D-34E0-4F5E-81CC-BBDB50FE813C}"/>
            </a:ext>
          </a:extLst>
        </xdr:cNvPr>
        <xdr:cNvSpPr txBox="1"/>
      </xdr:nvSpPr>
      <xdr:spPr>
        <a:xfrm>
          <a:off x="9709005" y="3831648"/>
          <a:ext cx="389659" cy="1948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14</xdr:col>
      <xdr:colOff>476250</xdr:colOff>
      <xdr:row>25</xdr:row>
      <xdr:rowOff>10824</xdr:rowOff>
    </xdr:from>
    <xdr:to>
      <xdr:col>14</xdr:col>
      <xdr:colOff>476250</xdr:colOff>
      <xdr:row>30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6C48813-D3E3-4615-AB13-374273689AFA}"/>
            </a:ext>
          </a:extLst>
        </xdr:cNvPr>
        <xdr:cNvCxnSpPr/>
      </xdr:nvCxnSpPr>
      <xdr:spPr>
        <a:xfrm>
          <a:off x="9297699" y="4978977"/>
          <a:ext cx="0" cy="963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389659</xdr:colOff>
      <xdr:row>37</xdr:row>
      <xdr:rowOff>108239</xdr:rowOff>
    </xdr:from>
    <xdr:to>
      <xdr:col>17</xdr:col>
      <xdr:colOff>606135</xdr:colOff>
      <xdr:row>39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442DAE2-18C9-42F0-BD21-5AD66E185212}"/>
            </a:ext>
          </a:extLst>
        </xdr:cNvPr>
        <xdr:cNvSpPr/>
      </xdr:nvSpPr>
      <xdr:spPr>
        <a:xfrm>
          <a:off x="9211108" y="7414347"/>
          <a:ext cx="2034885" cy="281420"/>
        </a:xfrm>
        <a:prstGeom prst="rect">
          <a:avLst/>
        </a:prstGeom>
        <a:solidFill>
          <a:schemeClr val="bg1"/>
        </a:solidFill>
        <a:ln w="317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378835</xdr:colOff>
      <xdr:row>38</xdr:row>
      <xdr:rowOff>184005</xdr:rowOff>
    </xdr:from>
    <xdr:to>
      <xdr:col>14</xdr:col>
      <xdr:colOff>389659</xdr:colOff>
      <xdr:row>41</xdr:row>
      <xdr:rowOff>162358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3A5234A9-9F2A-48D0-AC4E-E7070366B54E}"/>
            </a:ext>
          </a:extLst>
        </xdr:cNvPr>
        <xdr:cNvCxnSpPr/>
      </xdr:nvCxnSpPr>
      <xdr:spPr>
        <a:xfrm>
          <a:off x="9200284" y="7684943"/>
          <a:ext cx="10824" cy="5628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595312</xdr:colOff>
      <xdr:row>38</xdr:row>
      <xdr:rowOff>184005</xdr:rowOff>
    </xdr:from>
    <xdr:to>
      <xdr:col>17</xdr:col>
      <xdr:colOff>595312</xdr:colOff>
      <xdr:row>40</xdr:row>
      <xdr:rowOff>0</xdr:rowOff>
    </xdr:to>
    <xdr:cxnSp macro="">
      <xdr:nvCxnSpPr>
        <xdr:cNvPr id="1028" name="Straight Connector 1027">
          <a:extLst>
            <a:ext uri="{FF2B5EF4-FFF2-40B4-BE49-F238E27FC236}">
              <a16:creationId xmlns:a16="http://schemas.microsoft.com/office/drawing/2014/main" id="{F1C8961F-24F0-4899-8283-AC5E80C5EA4F}"/>
            </a:ext>
          </a:extLst>
        </xdr:cNvPr>
        <xdr:cNvCxnSpPr/>
      </xdr:nvCxnSpPr>
      <xdr:spPr>
        <a:xfrm>
          <a:off x="11235170" y="7684943"/>
          <a:ext cx="0" cy="205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378835</xdr:colOff>
      <xdr:row>40</xdr:row>
      <xdr:rowOff>1</xdr:rowOff>
    </xdr:from>
    <xdr:to>
      <xdr:col>18</xdr:col>
      <xdr:colOff>10824</xdr:colOff>
      <xdr:row>41</xdr:row>
      <xdr:rowOff>151534</xdr:rowOff>
    </xdr:to>
    <xdr:cxnSp macro="">
      <xdr:nvCxnSpPr>
        <xdr:cNvPr id="1031" name="Straight Connector 1030">
          <a:extLst>
            <a:ext uri="{FF2B5EF4-FFF2-40B4-BE49-F238E27FC236}">
              <a16:creationId xmlns:a16="http://schemas.microsoft.com/office/drawing/2014/main" id="{1A257A5B-4F52-4763-8AEF-327167B8A267}"/>
            </a:ext>
          </a:extLst>
        </xdr:cNvPr>
        <xdr:cNvCxnSpPr/>
      </xdr:nvCxnSpPr>
      <xdr:spPr>
        <a:xfrm flipV="1">
          <a:off x="9200284" y="7890598"/>
          <a:ext cx="2056534" cy="346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75767</xdr:colOff>
      <xdr:row>39</xdr:row>
      <xdr:rowOff>1</xdr:rowOff>
    </xdr:from>
    <xdr:to>
      <xdr:col>16</xdr:col>
      <xdr:colOff>75767</xdr:colOff>
      <xdr:row>43</xdr:row>
      <xdr:rowOff>0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id="{BF870661-3748-406C-8E60-92C3BA2A5B04}"/>
            </a:ext>
          </a:extLst>
        </xdr:cNvPr>
        <xdr:cNvCxnSpPr/>
      </xdr:nvCxnSpPr>
      <xdr:spPr>
        <a:xfrm flipV="1">
          <a:off x="10109489" y="7695768"/>
          <a:ext cx="0" cy="7793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541193</xdr:colOff>
      <xdr:row>39</xdr:row>
      <xdr:rowOff>0</xdr:rowOff>
    </xdr:from>
    <xdr:to>
      <xdr:col>14</xdr:col>
      <xdr:colOff>541193</xdr:colOff>
      <xdr:row>41</xdr:row>
      <xdr:rowOff>119063</xdr:rowOff>
    </xdr:to>
    <xdr:cxnSp macro="">
      <xdr:nvCxnSpPr>
        <xdr:cNvPr id="1048" name="Straight Arrow Connector 1047">
          <a:extLst>
            <a:ext uri="{FF2B5EF4-FFF2-40B4-BE49-F238E27FC236}">
              <a16:creationId xmlns:a16="http://schemas.microsoft.com/office/drawing/2014/main" id="{91704BF0-0F80-4407-A286-DADCB5CD5B8B}"/>
            </a:ext>
          </a:extLst>
        </xdr:cNvPr>
        <xdr:cNvCxnSpPr/>
      </xdr:nvCxnSpPr>
      <xdr:spPr>
        <a:xfrm flipV="1">
          <a:off x="9362642" y="7695767"/>
          <a:ext cx="0" cy="508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140710</xdr:colOff>
      <xdr:row>39</xdr:row>
      <xdr:rowOff>0</xdr:rowOff>
    </xdr:from>
    <xdr:to>
      <xdr:col>15</xdr:col>
      <xdr:colOff>140710</xdr:colOff>
      <xdr:row>41</xdr:row>
      <xdr:rowOff>97415</xdr:rowOff>
    </xdr:to>
    <xdr:cxnSp macro="">
      <xdr:nvCxnSpPr>
        <xdr:cNvPr id="1052" name="Straight Arrow Connector 1051">
          <a:extLst>
            <a:ext uri="{FF2B5EF4-FFF2-40B4-BE49-F238E27FC236}">
              <a16:creationId xmlns:a16="http://schemas.microsoft.com/office/drawing/2014/main" id="{727C3C00-A63E-42C1-BDB1-348FF6E08F61}"/>
            </a:ext>
          </a:extLst>
        </xdr:cNvPr>
        <xdr:cNvCxnSpPr/>
      </xdr:nvCxnSpPr>
      <xdr:spPr>
        <a:xfrm flipV="1">
          <a:off x="9568295" y="7695767"/>
          <a:ext cx="0" cy="487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324716</xdr:colOff>
      <xdr:row>38</xdr:row>
      <xdr:rowOff>184005</xdr:rowOff>
    </xdr:from>
    <xdr:to>
      <xdr:col>15</xdr:col>
      <xdr:colOff>335540</xdr:colOff>
      <xdr:row>41</xdr:row>
      <xdr:rowOff>64943</xdr:rowOff>
    </xdr:to>
    <xdr:cxnSp macro="">
      <xdr:nvCxnSpPr>
        <xdr:cNvPr id="1055" name="Straight Arrow Connector 1054">
          <a:extLst>
            <a:ext uri="{FF2B5EF4-FFF2-40B4-BE49-F238E27FC236}">
              <a16:creationId xmlns:a16="http://schemas.microsoft.com/office/drawing/2014/main" id="{9EEABA36-7DED-4640-8226-0F6B96D51E5C}"/>
            </a:ext>
          </a:extLst>
        </xdr:cNvPr>
        <xdr:cNvCxnSpPr/>
      </xdr:nvCxnSpPr>
      <xdr:spPr>
        <a:xfrm flipH="1" flipV="1">
          <a:off x="9752301" y="7684943"/>
          <a:ext cx="10824" cy="465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519546</xdr:colOff>
      <xdr:row>39</xdr:row>
      <xdr:rowOff>0</xdr:rowOff>
    </xdr:from>
    <xdr:to>
      <xdr:col>15</xdr:col>
      <xdr:colOff>519546</xdr:colOff>
      <xdr:row>41</xdr:row>
      <xdr:rowOff>10824</xdr:rowOff>
    </xdr:to>
    <xdr:cxnSp macro="">
      <xdr:nvCxnSpPr>
        <xdr:cNvPr id="1058" name="Straight Arrow Connector 1057">
          <a:extLst>
            <a:ext uri="{FF2B5EF4-FFF2-40B4-BE49-F238E27FC236}">
              <a16:creationId xmlns:a16="http://schemas.microsoft.com/office/drawing/2014/main" id="{B60735A2-FACE-40A5-A0F1-5C316EC70861}"/>
            </a:ext>
          </a:extLst>
        </xdr:cNvPr>
        <xdr:cNvCxnSpPr/>
      </xdr:nvCxnSpPr>
      <xdr:spPr>
        <a:xfrm flipV="1">
          <a:off x="9947131" y="7695767"/>
          <a:ext cx="0" cy="400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248948</xdr:colOff>
      <xdr:row>39</xdr:row>
      <xdr:rowOff>0</xdr:rowOff>
    </xdr:from>
    <xdr:to>
      <xdr:col>16</xdr:col>
      <xdr:colOff>248948</xdr:colOff>
      <xdr:row>40</xdr:row>
      <xdr:rowOff>151534</xdr:rowOff>
    </xdr:to>
    <xdr:cxnSp macro="">
      <xdr:nvCxnSpPr>
        <xdr:cNvPr id="1060" name="Straight Arrow Connector 1059">
          <a:extLst>
            <a:ext uri="{FF2B5EF4-FFF2-40B4-BE49-F238E27FC236}">
              <a16:creationId xmlns:a16="http://schemas.microsoft.com/office/drawing/2014/main" id="{626189B8-5ECC-4042-8105-4B440B471162}"/>
            </a:ext>
          </a:extLst>
        </xdr:cNvPr>
        <xdr:cNvCxnSpPr/>
      </xdr:nvCxnSpPr>
      <xdr:spPr>
        <a:xfrm flipV="1">
          <a:off x="10282670" y="7695767"/>
          <a:ext cx="0" cy="3463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411306</xdr:colOff>
      <xdr:row>39</xdr:row>
      <xdr:rowOff>0</xdr:rowOff>
    </xdr:from>
    <xdr:to>
      <xdr:col>16</xdr:col>
      <xdr:colOff>411306</xdr:colOff>
      <xdr:row>40</xdr:row>
      <xdr:rowOff>119062</xdr:rowOff>
    </xdr:to>
    <xdr:cxnSp macro="">
      <xdr:nvCxnSpPr>
        <xdr:cNvPr id="1062" name="Straight Arrow Connector 1061">
          <a:extLst>
            <a:ext uri="{FF2B5EF4-FFF2-40B4-BE49-F238E27FC236}">
              <a16:creationId xmlns:a16="http://schemas.microsoft.com/office/drawing/2014/main" id="{2CBA43E0-496F-40A2-98E4-FCD86C58D489}"/>
            </a:ext>
          </a:extLst>
        </xdr:cNvPr>
        <xdr:cNvCxnSpPr/>
      </xdr:nvCxnSpPr>
      <xdr:spPr>
        <a:xfrm flipV="1">
          <a:off x="10445028" y="7695767"/>
          <a:ext cx="0" cy="31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562840</xdr:colOff>
      <xdr:row>39</xdr:row>
      <xdr:rowOff>0</xdr:rowOff>
    </xdr:from>
    <xdr:to>
      <xdr:col>16</xdr:col>
      <xdr:colOff>562840</xdr:colOff>
      <xdr:row>40</xdr:row>
      <xdr:rowOff>119062</xdr:rowOff>
    </xdr:to>
    <xdr:cxnSp macro="">
      <xdr:nvCxnSpPr>
        <xdr:cNvPr id="1064" name="Straight Arrow Connector 1063">
          <a:extLst>
            <a:ext uri="{FF2B5EF4-FFF2-40B4-BE49-F238E27FC236}">
              <a16:creationId xmlns:a16="http://schemas.microsoft.com/office/drawing/2014/main" id="{B1694AA7-C6FF-41B8-858E-02A6596A0ED6}"/>
            </a:ext>
          </a:extLst>
        </xdr:cNvPr>
        <xdr:cNvCxnSpPr/>
      </xdr:nvCxnSpPr>
      <xdr:spPr>
        <a:xfrm flipV="1">
          <a:off x="10596562" y="7695767"/>
          <a:ext cx="0" cy="31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140710</xdr:colOff>
      <xdr:row>39</xdr:row>
      <xdr:rowOff>0</xdr:rowOff>
    </xdr:from>
    <xdr:to>
      <xdr:col>17</xdr:col>
      <xdr:colOff>140710</xdr:colOff>
      <xdr:row>40</xdr:row>
      <xdr:rowOff>75767</xdr:rowOff>
    </xdr:to>
    <xdr:cxnSp macro="">
      <xdr:nvCxnSpPr>
        <xdr:cNvPr id="1066" name="Straight Arrow Connector 1065">
          <a:extLst>
            <a:ext uri="{FF2B5EF4-FFF2-40B4-BE49-F238E27FC236}">
              <a16:creationId xmlns:a16="http://schemas.microsoft.com/office/drawing/2014/main" id="{D907704A-924C-419B-B1BA-ABCD8BDBB275}"/>
            </a:ext>
          </a:extLst>
        </xdr:cNvPr>
        <xdr:cNvCxnSpPr/>
      </xdr:nvCxnSpPr>
      <xdr:spPr>
        <a:xfrm flipV="1">
          <a:off x="10780568" y="7695767"/>
          <a:ext cx="0" cy="2705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281420</xdr:colOff>
      <xdr:row>39</xdr:row>
      <xdr:rowOff>0</xdr:rowOff>
    </xdr:from>
    <xdr:to>
      <xdr:col>17</xdr:col>
      <xdr:colOff>281420</xdr:colOff>
      <xdr:row>40</xdr:row>
      <xdr:rowOff>43295</xdr:rowOff>
    </xdr:to>
    <xdr:cxnSp macro="">
      <xdr:nvCxnSpPr>
        <xdr:cNvPr id="1068" name="Straight Arrow Connector 1067">
          <a:extLst>
            <a:ext uri="{FF2B5EF4-FFF2-40B4-BE49-F238E27FC236}">
              <a16:creationId xmlns:a16="http://schemas.microsoft.com/office/drawing/2014/main" id="{F682B489-B456-4CF3-A1D5-2EFAC7275F74}"/>
            </a:ext>
          </a:extLst>
        </xdr:cNvPr>
        <xdr:cNvCxnSpPr/>
      </xdr:nvCxnSpPr>
      <xdr:spPr>
        <a:xfrm flipV="1">
          <a:off x="10921278" y="7695767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454602</xdr:colOff>
      <xdr:row>39</xdr:row>
      <xdr:rowOff>0</xdr:rowOff>
    </xdr:from>
    <xdr:to>
      <xdr:col>17</xdr:col>
      <xdr:colOff>454602</xdr:colOff>
      <xdr:row>40</xdr:row>
      <xdr:rowOff>43295</xdr:rowOff>
    </xdr:to>
    <xdr:cxnSp macro="">
      <xdr:nvCxnSpPr>
        <xdr:cNvPr id="1070" name="Straight Arrow Connector 1069">
          <a:extLst>
            <a:ext uri="{FF2B5EF4-FFF2-40B4-BE49-F238E27FC236}">
              <a16:creationId xmlns:a16="http://schemas.microsoft.com/office/drawing/2014/main" id="{4FD3462E-EBE7-452D-B712-8B6FA639DAD6}"/>
            </a:ext>
          </a:extLst>
        </xdr:cNvPr>
        <xdr:cNvCxnSpPr/>
      </xdr:nvCxnSpPr>
      <xdr:spPr>
        <a:xfrm flipV="1">
          <a:off x="11094460" y="7695767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389660</xdr:colOff>
      <xdr:row>34</xdr:row>
      <xdr:rowOff>97415</xdr:rowOff>
    </xdr:from>
    <xdr:to>
      <xdr:col>16</xdr:col>
      <xdr:colOff>389660</xdr:colOff>
      <xdr:row>36</xdr:row>
      <xdr:rowOff>184006</xdr:rowOff>
    </xdr:to>
    <xdr:cxnSp macro="">
      <xdr:nvCxnSpPr>
        <xdr:cNvPr id="1072" name="Straight Arrow Connector 1071">
          <a:extLst>
            <a:ext uri="{FF2B5EF4-FFF2-40B4-BE49-F238E27FC236}">
              <a16:creationId xmlns:a16="http://schemas.microsoft.com/office/drawing/2014/main" id="{3481A52C-C419-48FA-B1CE-12DE08328929}"/>
            </a:ext>
          </a:extLst>
        </xdr:cNvPr>
        <xdr:cNvCxnSpPr/>
      </xdr:nvCxnSpPr>
      <xdr:spPr>
        <a:xfrm>
          <a:off x="10672330" y="6819034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219134</xdr:colOff>
      <xdr:row>35</xdr:row>
      <xdr:rowOff>39073</xdr:rowOff>
    </xdr:from>
    <xdr:to>
      <xdr:col>16</xdr:col>
      <xdr:colOff>584894</xdr:colOff>
      <xdr:row>36</xdr:row>
      <xdr:rowOff>64767</xdr:rowOff>
    </xdr:to>
    <xdr:sp macro="" textlink="">
      <xdr:nvSpPr>
        <xdr:cNvPr id="1073" name="Arrow: Curved Up 1072">
          <a:extLst>
            <a:ext uri="{FF2B5EF4-FFF2-40B4-BE49-F238E27FC236}">
              <a16:creationId xmlns:a16="http://schemas.microsoft.com/office/drawing/2014/main" id="{CC443D2A-9EAF-47BD-8E73-60CA7243AD1F}"/>
            </a:ext>
          </a:extLst>
        </xdr:cNvPr>
        <xdr:cNvSpPr/>
      </xdr:nvSpPr>
      <xdr:spPr>
        <a:xfrm rot="-9960000">
          <a:off x="10252856" y="6955522"/>
          <a:ext cx="365760" cy="220523"/>
        </a:xfrm>
        <a:prstGeom prst="curvedUpArrow">
          <a:avLst/>
        </a:prstGeom>
        <a:ln w="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86591</xdr:colOff>
      <xdr:row>41</xdr:row>
      <xdr:rowOff>184006</xdr:rowOff>
    </xdr:from>
    <xdr:to>
      <xdr:col>18</xdr:col>
      <xdr:colOff>10824</xdr:colOff>
      <xdr:row>41</xdr:row>
      <xdr:rowOff>184006</xdr:rowOff>
    </xdr:to>
    <xdr:cxnSp macro="">
      <xdr:nvCxnSpPr>
        <xdr:cNvPr id="1075" name="Straight Arrow Connector 1074">
          <a:extLst>
            <a:ext uri="{FF2B5EF4-FFF2-40B4-BE49-F238E27FC236}">
              <a16:creationId xmlns:a16="http://schemas.microsoft.com/office/drawing/2014/main" id="{A7191CC3-CBA9-4F72-86A0-EC5042761273}"/>
            </a:ext>
          </a:extLst>
        </xdr:cNvPr>
        <xdr:cNvCxnSpPr/>
      </xdr:nvCxnSpPr>
      <xdr:spPr>
        <a:xfrm>
          <a:off x="10120313" y="8269432"/>
          <a:ext cx="113650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400483</xdr:colOff>
      <xdr:row>44</xdr:row>
      <xdr:rowOff>54119</xdr:rowOff>
    </xdr:from>
    <xdr:to>
      <xdr:col>17</xdr:col>
      <xdr:colOff>595312</xdr:colOff>
      <xdr:row>44</xdr:row>
      <xdr:rowOff>54119</xdr:rowOff>
    </xdr:to>
    <xdr:cxnSp macro="">
      <xdr:nvCxnSpPr>
        <xdr:cNvPr id="1077" name="Straight Arrow Connector 1076">
          <a:extLst>
            <a:ext uri="{FF2B5EF4-FFF2-40B4-BE49-F238E27FC236}">
              <a16:creationId xmlns:a16="http://schemas.microsoft.com/office/drawing/2014/main" id="{02295116-E556-4744-BBB2-7F834C93E29F}"/>
            </a:ext>
          </a:extLst>
        </xdr:cNvPr>
        <xdr:cNvCxnSpPr/>
      </xdr:nvCxnSpPr>
      <xdr:spPr>
        <a:xfrm>
          <a:off x="9221932" y="8724034"/>
          <a:ext cx="2013238" cy="0"/>
        </a:xfrm>
        <a:prstGeom prst="straightConnector1">
          <a:avLst/>
        </a:prstGeom>
        <a:ln>
          <a:solidFill>
            <a:schemeClr val="accent1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595314</xdr:colOff>
      <xdr:row>39</xdr:row>
      <xdr:rowOff>129886</xdr:rowOff>
    </xdr:from>
    <xdr:to>
      <xdr:col>14</xdr:col>
      <xdr:colOff>378836</xdr:colOff>
      <xdr:row>40</xdr:row>
      <xdr:rowOff>108238</xdr:rowOff>
    </xdr:to>
    <xdr:cxnSp macro="">
      <xdr:nvCxnSpPr>
        <xdr:cNvPr id="1080" name="Connector: Elbow 1079">
          <a:extLst>
            <a:ext uri="{FF2B5EF4-FFF2-40B4-BE49-F238E27FC236}">
              <a16:creationId xmlns:a16="http://schemas.microsoft.com/office/drawing/2014/main" id="{53602A1A-D014-496F-BACD-6670D9B6A854}"/>
            </a:ext>
          </a:extLst>
        </xdr:cNvPr>
        <xdr:cNvCxnSpPr/>
      </xdr:nvCxnSpPr>
      <xdr:spPr>
        <a:xfrm rot="10800000">
          <a:off x="9059575" y="7825653"/>
          <a:ext cx="389659" cy="17318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10824</xdr:colOff>
      <xdr:row>38</xdr:row>
      <xdr:rowOff>108238</xdr:rowOff>
    </xdr:from>
    <xdr:to>
      <xdr:col>19</xdr:col>
      <xdr:colOff>0</xdr:colOff>
      <xdr:row>39</xdr:row>
      <xdr:rowOff>108239</xdr:rowOff>
    </xdr:to>
    <xdr:cxnSp macro="">
      <xdr:nvCxnSpPr>
        <xdr:cNvPr id="1082" name="Connector: Elbow 1081">
          <a:extLst>
            <a:ext uri="{FF2B5EF4-FFF2-40B4-BE49-F238E27FC236}">
              <a16:creationId xmlns:a16="http://schemas.microsoft.com/office/drawing/2014/main" id="{78B9A57F-3F68-4CF7-A050-2763A927AB79}"/>
            </a:ext>
          </a:extLst>
        </xdr:cNvPr>
        <xdr:cNvCxnSpPr/>
      </xdr:nvCxnSpPr>
      <xdr:spPr>
        <a:xfrm flipV="1">
          <a:off x="11505767" y="7609176"/>
          <a:ext cx="595313" cy="19483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10824</xdr:colOff>
      <xdr:row>52</xdr:row>
      <xdr:rowOff>0</xdr:rowOff>
    </xdr:from>
    <xdr:to>
      <xdr:col>19</xdr:col>
      <xdr:colOff>10824</xdr:colOff>
      <xdr:row>53</xdr:row>
      <xdr:rowOff>86591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D6B68A-24D3-4683-A5E0-4D878F4D2C32}"/>
            </a:ext>
          </a:extLst>
        </xdr:cNvPr>
        <xdr:cNvSpPr/>
      </xdr:nvSpPr>
      <xdr:spPr>
        <a:xfrm>
          <a:off x="9687358" y="10261023"/>
          <a:ext cx="2424546" cy="281420"/>
        </a:xfrm>
        <a:prstGeom prst="rect">
          <a:avLst/>
        </a:prstGeom>
        <a:solidFill>
          <a:schemeClr val="bg1"/>
        </a:solidFill>
        <a:ln w="317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10824</xdr:colOff>
      <xdr:row>48</xdr:row>
      <xdr:rowOff>97416</xdr:rowOff>
    </xdr:from>
    <xdr:to>
      <xdr:col>16</xdr:col>
      <xdr:colOff>422128</xdr:colOff>
      <xdr:row>52</xdr:row>
      <xdr:rowOff>1</xdr:rowOff>
    </xdr:to>
    <xdr:sp macro="" textlink="">
      <xdr:nvSpPr>
        <xdr:cNvPr id="11" name="Flowchart: Manual Input 10">
          <a:extLst>
            <a:ext uri="{FF2B5EF4-FFF2-40B4-BE49-F238E27FC236}">
              <a16:creationId xmlns:a16="http://schemas.microsoft.com/office/drawing/2014/main" id="{FCF0BF2D-D870-40F9-B1FB-B2E6B2894C5A}"/>
            </a:ext>
          </a:extLst>
        </xdr:cNvPr>
        <xdr:cNvSpPr/>
      </xdr:nvSpPr>
      <xdr:spPr>
        <a:xfrm rot="5400000">
          <a:off x="10158194" y="9714421"/>
          <a:ext cx="681903" cy="411304"/>
        </a:xfrm>
        <a:prstGeom prst="flowChartManualInput">
          <a:avLst/>
        </a:prstGeom>
        <a:solidFill>
          <a:sysClr val="window" lastClr="FFFFFF"/>
        </a:solidFill>
        <a:ln w="317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346364</xdr:colOff>
      <xdr:row>53</xdr:row>
      <xdr:rowOff>86590</xdr:rowOff>
    </xdr:from>
    <xdr:to>
      <xdr:col>17</xdr:col>
      <xdr:colOff>21647</xdr:colOff>
      <xdr:row>55</xdr:row>
      <xdr:rowOff>10823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9D53855-0D6A-4329-9226-96EB7C12F863}"/>
            </a:ext>
          </a:extLst>
        </xdr:cNvPr>
        <xdr:cNvSpPr/>
      </xdr:nvSpPr>
      <xdr:spPr>
        <a:xfrm>
          <a:off x="10629034" y="10542442"/>
          <a:ext cx="281420" cy="313892"/>
        </a:xfrm>
        <a:prstGeom prst="rect">
          <a:avLst/>
        </a:prstGeom>
        <a:solidFill>
          <a:sysClr val="window" lastClr="FFFFFF"/>
        </a:solidFill>
        <a:ln w="317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357188</xdr:colOff>
      <xdr:row>55</xdr:row>
      <xdr:rowOff>75767</xdr:rowOff>
    </xdr:from>
    <xdr:to>
      <xdr:col>16</xdr:col>
      <xdr:colOff>357188</xdr:colOff>
      <xdr:row>58</xdr:row>
      <xdr:rowOff>0</xdr:rowOff>
    </xdr:to>
    <xdr:cxnSp macro="">
      <xdr:nvCxnSpPr>
        <xdr:cNvPr id="1046" name="Straight Connector 1045">
          <a:extLst>
            <a:ext uri="{FF2B5EF4-FFF2-40B4-BE49-F238E27FC236}">
              <a16:creationId xmlns:a16="http://schemas.microsoft.com/office/drawing/2014/main" id="{32F95369-47BC-45C8-9917-921EC99CC99E}"/>
            </a:ext>
          </a:extLst>
        </xdr:cNvPr>
        <xdr:cNvCxnSpPr/>
      </xdr:nvCxnSpPr>
      <xdr:spPr>
        <a:xfrm>
          <a:off x="10639858" y="10921278"/>
          <a:ext cx="0" cy="5087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43296</xdr:colOff>
      <xdr:row>55</xdr:row>
      <xdr:rowOff>75768</xdr:rowOff>
    </xdr:from>
    <xdr:to>
      <xdr:col>17</xdr:col>
      <xdr:colOff>43296</xdr:colOff>
      <xdr:row>58</xdr:row>
      <xdr:rowOff>1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909C9F28-1978-4DFD-A86E-7567629777EF}"/>
            </a:ext>
          </a:extLst>
        </xdr:cNvPr>
        <xdr:cNvCxnSpPr/>
      </xdr:nvCxnSpPr>
      <xdr:spPr>
        <a:xfrm>
          <a:off x="10932103" y="10921279"/>
          <a:ext cx="0" cy="5087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55</xdr:row>
      <xdr:rowOff>86591</xdr:rowOff>
    </xdr:from>
    <xdr:to>
      <xdr:col>15</xdr:col>
      <xdr:colOff>0</xdr:colOff>
      <xdr:row>58</xdr:row>
      <xdr:rowOff>10824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A44CBE8D-4D99-4FD2-804B-4B5224CA3F10}"/>
            </a:ext>
          </a:extLst>
        </xdr:cNvPr>
        <xdr:cNvCxnSpPr/>
      </xdr:nvCxnSpPr>
      <xdr:spPr>
        <a:xfrm>
          <a:off x="9676534" y="10932102"/>
          <a:ext cx="0" cy="5087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56</xdr:row>
      <xdr:rowOff>184006</xdr:rowOff>
    </xdr:from>
    <xdr:to>
      <xdr:col>16</xdr:col>
      <xdr:colOff>389660</xdr:colOff>
      <xdr:row>56</xdr:row>
      <xdr:rowOff>184006</xdr:rowOff>
    </xdr:to>
    <xdr:cxnSp macro="">
      <xdr:nvCxnSpPr>
        <xdr:cNvPr id="1054" name="Straight Arrow Connector 1053">
          <a:extLst>
            <a:ext uri="{FF2B5EF4-FFF2-40B4-BE49-F238E27FC236}">
              <a16:creationId xmlns:a16="http://schemas.microsoft.com/office/drawing/2014/main" id="{D3A78A5B-A25D-4B24-BA3F-23DDAAF49FDF}"/>
            </a:ext>
          </a:extLst>
        </xdr:cNvPr>
        <xdr:cNvCxnSpPr/>
      </xdr:nvCxnSpPr>
      <xdr:spPr>
        <a:xfrm>
          <a:off x="9676534" y="11224347"/>
          <a:ext cx="99579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56</xdr:row>
      <xdr:rowOff>173182</xdr:rowOff>
    </xdr:from>
    <xdr:to>
      <xdr:col>17</xdr:col>
      <xdr:colOff>487074</xdr:colOff>
      <xdr:row>56</xdr:row>
      <xdr:rowOff>173182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C3A1112D-6484-46D9-8172-7C5397F16A68}"/>
            </a:ext>
          </a:extLst>
        </xdr:cNvPr>
        <xdr:cNvCxnSpPr/>
      </xdr:nvCxnSpPr>
      <xdr:spPr>
        <a:xfrm flipH="1">
          <a:off x="10888807" y="11213523"/>
          <a:ext cx="4870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194829</xdr:colOff>
      <xdr:row>53</xdr:row>
      <xdr:rowOff>75767</xdr:rowOff>
    </xdr:from>
    <xdr:to>
      <xdr:col>17</xdr:col>
      <xdr:colOff>194829</xdr:colOff>
      <xdr:row>55</xdr:row>
      <xdr:rowOff>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F7BAF122-CBAC-4DE6-B9B2-9078CE13F219}"/>
            </a:ext>
          </a:extLst>
        </xdr:cNvPr>
        <xdr:cNvCxnSpPr/>
      </xdr:nvCxnSpPr>
      <xdr:spPr>
        <a:xfrm>
          <a:off x="11083636" y="10531619"/>
          <a:ext cx="0" cy="3138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50</xdr:row>
      <xdr:rowOff>48710</xdr:rowOff>
    </xdr:from>
    <xdr:to>
      <xdr:col>16</xdr:col>
      <xdr:colOff>10824</xdr:colOff>
      <xdr:row>50</xdr:row>
      <xdr:rowOff>48710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FE15FDEE-3EBD-4B4A-B107-5D64A002FA97}"/>
            </a:ext>
          </a:extLst>
        </xdr:cNvPr>
        <xdr:cNvCxnSpPr>
          <a:stCxn id="11" idx="2"/>
        </xdr:cNvCxnSpPr>
      </xdr:nvCxnSpPr>
      <xdr:spPr>
        <a:xfrm flipH="1">
          <a:off x="8464261" y="9920074"/>
          <a:ext cx="182923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221890</xdr:colOff>
      <xdr:row>50</xdr:row>
      <xdr:rowOff>124474</xdr:rowOff>
    </xdr:from>
    <xdr:to>
      <xdr:col>13</xdr:col>
      <xdr:colOff>449191</xdr:colOff>
      <xdr:row>51</xdr:row>
      <xdr:rowOff>146122</xdr:rowOff>
    </xdr:to>
    <xdr:sp macro="" textlink="">
      <xdr:nvSpPr>
        <xdr:cNvPr id="74" name="Half Frame 73">
          <a:extLst>
            <a:ext uri="{FF2B5EF4-FFF2-40B4-BE49-F238E27FC236}">
              <a16:creationId xmlns:a16="http://schemas.microsoft.com/office/drawing/2014/main" id="{E44FFE51-B392-40E1-82A7-18A3F941F801}"/>
            </a:ext>
          </a:extLst>
        </xdr:cNvPr>
        <xdr:cNvSpPr/>
      </xdr:nvSpPr>
      <xdr:spPr>
        <a:xfrm rot="2806876">
          <a:off x="8691563" y="9990426"/>
          <a:ext cx="216477" cy="227301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582400</xdr:colOff>
      <xdr:row>50</xdr:row>
      <xdr:rowOff>130293</xdr:rowOff>
    </xdr:from>
    <xdr:to>
      <xdr:col>14</xdr:col>
      <xdr:colOff>182801</xdr:colOff>
      <xdr:row>51</xdr:row>
      <xdr:rowOff>134651</xdr:rowOff>
    </xdr:to>
    <xdr:sp macro="" textlink="">
      <xdr:nvSpPr>
        <xdr:cNvPr id="91" name="Half Frame 90">
          <a:extLst>
            <a:ext uri="{FF2B5EF4-FFF2-40B4-BE49-F238E27FC236}">
              <a16:creationId xmlns:a16="http://schemas.microsoft.com/office/drawing/2014/main" id="{34123EB1-0318-43E1-884C-AFA6F0CA6145}"/>
            </a:ext>
          </a:extLst>
        </xdr:cNvPr>
        <xdr:cNvSpPr/>
      </xdr:nvSpPr>
      <xdr:spPr>
        <a:xfrm rot="2806876">
          <a:off x="9050336" y="9997982"/>
          <a:ext cx="199187" cy="206538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51</xdr:row>
      <xdr:rowOff>86591</xdr:rowOff>
    </xdr:from>
    <xdr:to>
      <xdr:col>14</xdr:col>
      <xdr:colOff>595312</xdr:colOff>
      <xdr:row>51</xdr:row>
      <xdr:rowOff>86591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B81969D5-B1C1-4FA0-81A0-4A7F70D287A2}"/>
            </a:ext>
          </a:extLst>
        </xdr:cNvPr>
        <xdr:cNvCxnSpPr/>
      </xdr:nvCxnSpPr>
      <xdr:spPr>
        <a:xfrm flipH="1">
          <a:off x="8464261" y="10152784"/>
          <a:ext cx="12014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241736</xdr:colOff>
      <xdr:row>51</xdr:row>
      <xdr:rowOff>91301</xdr:rowOff>
    </xdr:from>
    <xdr:to>
      <xdr:col>13</xdr:col>
      <xdr:colOff>259773</xdr:colOff>
      <xdr:row>53</xdr:row>
      <xdr:rowOff>129887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27B5CFBF-FAAA-40BE-8EBB-709FD2431408}"/>
            </a:ext>
          </a:extLst>
        </xdr:cNvPr>
        <xdr:cNvCxnSpPr/>
      </xdr:nvCxnSpPr>
      <xdr:spPr>
        <a:xfrm>
          <a:off x="8705997" y="10157494"/>
          <a:ext cx="18037" cy="4282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53</xdr:row>
      <xdr:rowOff>97415</xdr:rowOff>
    </xdr:from>
    <xdr:to>
      <xdr:col>15</xdr:col>
      <xdr:colOff>1</xdr:colOff>
      <xdr:row>53</xdr:row>
      <xdr:rowOff>97415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654E6E62-CCDB-48F1-B0AC-52AE03E0837D}"/>
            </a:ext>
          </a:extLst>
        </xdr:cNvPr>
        <xdr:cNvCxnSpPr/>
      </xdr:nvCxnSpPr>
      <xdr:spPr>
        <a:xfrm flipH="1">
          <a:off x="8464261" y="10553267"/>
          <a:ext cx="121227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129887</xdr:colOff>
      <xdr:row>50</xdr:row>
      <xdr:rowOff>54119</xdr:rowOff>
    </xdr:from>
    <xdr:to>
      <xdr:col>13</xdr:col>
      <xdr:colOff>129887</xdr:colOff>
      <xdr:row>51</xdr:row>
      <xdr:rowOff>97415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BE2A90B-7079-40D7-9175-02C3528A826F}"/>
            </a:ext>
          </a:extLst>
        </xdr:cNvPr>
        <xdr:cNvCxnSpPr/>
      </xdr:nvCxnSpPr>
      <xdr:spPr>
        <a:xfrm>
          <a:off x="8594148" y="9925483"/>
          <a:ext cx="0" cy="238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530370</xdr:colOff>
      <xdr:row>51</xdr:row>
      <xdr:rowOff>86591</xdr:rowOff>
    </xdr:from>
    <xdr:to>
      <xdr:col>15</xdr:col>
      <xdr:colOff>1</xdr:colOff>
      <xdr:row>57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C7A3586D-36EF-4CA2-A038-D3102955E637}"/>
            </a:ext>
          </a:extLst>
        </xdr:cNvPr>
        <xdr:cNvCxnSpPr/>
      </xdr:nvCxnSpPr>
      <xdr:spPr>
        <a:xfrm flipH="1">
          <a:off x="8994631" y="10152784"/>
          <a:ext cx="681904" cy="10823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55</xdr:row>
      <xdr:rowOff>0</xdr:rowOff>
    </xdr:from>
    <xdr:to>
      <xdr:col>16</xdr:col>
      <xdr:colOff>368012</xdr:colOff>
      <xdr:row>57</xdr:row>
      <xdr:rowOff>43296</xdr:rowOff>
    </xdr:to>
    <xdr:cxnSp macro="">
      <xdr:nvCxnSpPr>
        <xdr:cNvPr id="1061" name="Straight Connector 1060">
          <a:extLst>
            <a:ext uri="{FF2B5EF4-FFF2-40B4-BE49-F238E27FC236}">
              <a16:creationId xmlns:a16="http://schemas.microsoft.com/office/drawing/2014/main" id="{7E14B584-0A6F-4E35-9412-988EB2C1C286}"/>
            </a:ext>
          </a:extLst>
        </xdr:cNvPr>
        <xdr:cNvCxnSpPr/>
      </xdr:nvCxnSpPr>
      <xdr:spPr>
        <a:xfrm flipH="1">
          <a:off x="9546648" y="10845511"/>
          <a:ext cx="1104034" cy="432955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108239</xdr:colOff>
      <xdr:row>54</xdr:row>
      <xdr:rowOff>184005</xdr:rowOff>
    </xdr:from>
    <xdr:to>
      <xdr:col>16</xdr:col>
      <xdr:colOff>357188</xdr:colOff>
      <xdr:row>54</xdr:row>
      <xdr:rowOff>184005</xdr:rowOff>
    </xdr:to>
    <xdr:cxnSp macro="">
      <xdr:nvCxnSpPr>
        <xdr:cNvPr id="1071" name="Straight Connector 1070">
          <a:extLst>
            <a:ext uri="{FF2B5EF4-FFF2-40B4-BE49-F238E27FC236}">
              <a16:creationId xmlns:a16="http://schemas.microsoft.com/office/drawing/2014/main" id="{1E003969-BB04-46FE-B513-9ADCAD3A24A7}"/>
            </a:ext>
          </a:extLst>
        </xdr:cNvPr>
        <xdr:cNvCxnSpPr/>
      </xdr:nvCxnSpPr>
      <xdr:spPr>
        <a:xfrm flipH="1">
          <a:off x="9784773" y="10834687"/>
          <a:ext cx="855085" cy="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535528</xdr:colOff>
      <xdr:row>54</xdr:row>
      <xdr:rowOff>127595</xdr:rowOff>
    </xdr:from>
    <xdr:to>
      <xdr:col>16</xdr:col>
      <xdr:colOff>171229</xdr:colOff>
      <xdr:row>55</xdr:row>
      <xdr:rowOff>177826</xdr:rowOff>
    </xdr:to>
    <xdr:sp macro="" textlink="">
      <xdr:nvSpPr>
        <xdr:cNvPr id="1074" name="Arc 1073">
          <a:extLst>
            <a:ext uri="{FF2B5EF4-FFF2-40B4-BE49-F238E27FC236}">
              <a16:creationId xmlns:a16="http://schemas.microsoft.com/office/drawing/2014/main" id="{75ED2959-8A48-47C9-94C2-708A38BE0D46}"/>
            </a:ext>
          </a:extLst>
        </xdr:cNvPr>
        <xdr:cNvSpPr/>
      </xdr:nvSpPr>
      <xdr:spPr>
        <a:xfrm rot="17863038" flipH="1">
          <a:off x="10210451" y="10779888"/>
          <a:ext cx="245060" cy="241837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324716</xdr:colOff>
      <xdr:row>54</xdr:row>
      <xdr:rowOff>0</xdr:rowOff>
    </xdr:from>
    <xdr:to>
      <xdr:col>15</xdr:col>
      <xdr:colOff>32472</xdr:colOff>
      <xdr:row>54</xdr:row>
      <xdr:rowOff>0</xdr:rowOff>
    </xdr:to>
    <xdr:cxnSp macro="">
      <xdr:nvCxnSpPr>
        <xdr:cNvPr id="1078" name="Straight Arrow Connector 1077">
          <a:extLst>
            <a:ext uri="{FF2B5EF4-FFF2-40B4-BE49-F238E27FC236}">
              <a16:creationId xmlns:a16="http://schemas.microsoft.com/office/drawing/2014/main" id="{EC9D91D7-E239-4389-83DB-56EC46CA1EFD}"/>
            </a:ext>
          </a:extLst>
        </xdr:cNvPr>
        <xdr:cNvCxnSpPr/>
      </xdr:nvCxnSpPr>
      <xdr:spPr>
        <a:xfrm>
          <a:off x="9395114" y="10650682"/>
          <a:ext cx="31389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248949</xdr:colOff>
      <xdr:row>54</xdr:row>
      <xdr:rowOff>129886</xdr:rowOff>
    </xdr:from>
    <xdr:to>
      <xdr:col>15</xdr:col>
      <xdr:colOff>0</xdr:colOff>
      <xdr:row>54</xdr:row>
      <xdr:rowOff>129887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3A31CA5C-6D11-488A-8EEB-2F147950B0BB}"/>
            </a:ext>
          </a:extLst>
        </xdr:cNvPr>
        <xdr:cNvCxnSpPr/>
      </xdr:nvCxnSpPr>
      <xdr:spPr>
        <a:xfrm>
          <a:off x="9319347" y="10780568"/>
          <a:ext cx="35718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508722</xdr:colOff>
      <xdr:row>56</xdr:row>
      <xdr:rowOff>184007</xdr:rowOff>
    </xdr:from>
    <xdr:to>
      <xdr:col>15</xdr:col>
      <xdr:colOff>10824</xdr:colOff>
      <xdr:row>57</xdr:row>
      <xdr:rowOff>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FDBF62E9-EC3D-4DF5-B177-035298B5E46A}"/>
            </a:ext>
          </a:extLst>
        </xdr:cNvPr>
        <xdr:cNvCxnSpPr/>
      </xdr:nvCxnSpPr>
      <xdr:spPr>
        <a:xfrm flipV="1">
          <a:off x="8972983" y="11224348"/>
          <a:ext cx="714375" cy="10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162358</xdr:colOff>
      <xdr:row>55</xdr:row>
      <xdr:rowOff>75767</xdr:rowOff>
    </xdr:from>
    <xdr:to>
      <xdr:col>15</xdr:col>
      <xdr:colOff>10825</xdr:colOff>
      <xdr:row>55</xdr:row>
      <xdr:rowOff>75768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92D0BF15-AFA2-4B12-9FCB-DF41C9CB26AE}"/>
            </a:ext>
          </a:extLst>
        </xdr:cNvPr>
        <xdr:cNvCxnSpPr/>
      </xdr:nvCxnSpPr>
      <xdr:spPr>
        <a:xfrm>
          <a:off x="9232756" y="10921278"/>
          <a:ext cx="45460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21647</xdr:colOff>
      <xdr:row>56</xdr:row>
      <xdr:rowOff>1</xdr:rowOff>
    </xdr:from>
    <xdr:to>
      <xdr:col>15</xdr:col>
      <xdr:colOff>10824</xdr:colOff>
      <xdr:row>56</xdr:row>
      <xdr:rowOff>10824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F64D0E6F-EE87-4089-B0FA-2F412B298C06}"/>
            </a:ext>
          </a:extLst>
        </xdr:cNvPr>
        <xdr:cNvCxnSpPr/>
      </xdr:nvCxnSpPr>
      <xdr:spPr>
        <a:xfrm flipV="1">
          <a:off x="9092045" y="11040342"/>
          <a:ext cx="595313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584489</xdr:colOff>
      <xdr:row>56</xdr:row>
      <xdr:rowOff>97415</xdr:rowOff>
    </xdr:from>
    <xdr:to>
      <xdr:col>15</xdr:col>
      <xdr:colOff>1</xdr:colOff>
      <xdr:row>56</xdr:row>
      <xdr:rowOff>108239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9D95B97-18BF-41C9-A13C-D063BC8CAEEF}"/>
            </a:ext>
          </a:extLst>
        </xdr:cNvPr>
        <xdr:cNvCxnSpPr/>
      </xdr:nvCxnSpPr>
      <xdr:spPr>
        <a:xfrm flipV="1">
          <a:off x="9048750" y="11137756"/>
          <a:ext cx="627785" cy="10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55</xdr:row>
      <xdr:rowOff>21648</xdr:rowOff>
    </xdr:from>
    <xdr:to>
      <xdr:col>14</xdr:col>
      <xdr:colOff>270596</xdr:colOff>
      <xdr:row>55</xdr:row>
      <xdr:rowOff>21648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56F64DB9-870C-4A0E-9CC7-4B2540985BE1}"/>
            </a:ext>
          </a:extLst>
        </xdr:cNvPr>
        <xdr:cNvCxnSpPr/>
      </xdr:nvCxnSpPr>
      <xdr:spPr>
        <a:xfrm>
          <a:off x="8464261" y="10867159"/>
          <a:ext cx="87673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411307</xdr:colOff>
      <xdr:row>53</xdr:row>
      <xdr:rowOff>108239</xdr:rowOff>
    </xdr:from>
    <xdr:to>
      <xdr:col>12</xdr:col>
      <xdr:colOff>411307</xdr:colOff>
      <xdr:row>57</xdr:row>
      <xdr:rowOff>10824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5FD6CD6-D92C-40A0-AEFD-F11C963B5AC4}"/>
            </a:ext>
          </a:extLst>
        </xdr:cNvPr>
        <xdr:cNvCxnSpPr/>
      </xdr:nvCxnSpPr>
      <xdr:spPr>
        <a:xfrm>
          <a:off x="8269432" y="10564091"/>
          <a:ext cx="0" cy="68190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238124</xdr:colOff>
      <xdr:row>34</xdr:row>
      <xdr:rowOff>43296</xdr:rowOff>
    </xdr:from>
    <xdr:to>
      <xdr:col>16</xdr:col>
      <xdr:colOff>43292</xdr:colOff>
      <xdr:row>37</xdr:row>
      <xdr:rowOff>98887</xdr:rowOff>
    </xdr:to>
    <xdr:sp macro="" textlink="">
      <xdr:nvSpPr>
        <xdr:cNvPr id="144" name="Flowchart: Manual Input 143">
          <a:extLst>
            <a:ext uri="{FF2B5EF4-FFF2-40B4-BE49-F238E27FC236}">
              <a16:creationId xmlns:a16="http://schemas.microsoft.com/office/drawing/2014/main" id="{715733F9-8282-419F-ABB2-7DF360C62DAF}"/>
            </a:ext>
          </a:extLst>
        </xdr:cNvPr>
        <xdr:cNvSpPr/>
      </xdr:nvSpPr>
      <xdr:spPr>
        <a:xfrm rot="5400000">
          <a:off x="9800270" y="6879303"/>
          <a:ext cx="640080" cy="411304"/>
        </a:xfrm>
        <a:prstGeom prst="flowChartManualInput">
          <a:avLst/>
        </a:prstGeom>
        <a:solidFill>
          <a:sysClr val="window" lastClr="FFFFFF"/>
        </a:solidFill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269606</xdr:colOff>
      <xdr:row>49</xdr:row>
      <xdr:rowOff>16745</xdr:rowOff>
    </xdr:from>
    <xdr:to>
      <xdr:col>16</xdr:col>
      <xdr:colOff>454603</xdr:colOff>
      <xdr:row>54</xdr:row>
      <xdr:rowOff>129887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333558EE-9908-4F52-913E-ED68EB45F732}"/>
            </a:ext>
          </a:extLst>
        </xdr:cNvPr>
        <xdr:cNvCxnSpPr/>
      </xdr:nvCxnSpPr>
      <xdr:spPr>
        <a:xfrm rot="300000">
          <a:off x="10552276" y="9693279"/>
          <a:ext cx="184997" cy="108729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411307</xdr:colOff>
      <xdr:row>54</xdr:row>
      <xdr:rowOff>108238</xdr:rowOff>
    </xdr:from>
    <xdr:to>
      <xdr:col>16</xdr:col>
      <xdr:colOff>530370</xdr:colOff>
      <xdr:row>54</xdr:row>
      <xdr:rowOff>184005</xdr:rowOff>
    </xdr:to>
    <xdr:sp macro="" textlink="">
      <xdr:nvSpPr>
        <xdr:cNvPr id="120" name="Arc 119">
          <a:extLst>
            <a:ext uri="{FF2B5EF4-FFF2-40B4-BE49-F238E27FC236}">
              <a16:creationId xmlns:a16="http://schemas.microsoft.com/office/drawing/2014/main" id="{408E9256-E090-49FE-AAED-60DACE3F7FD0}"/>
            </a:ext>
          </a:extLst>
        </xdr:cNvPr>
        <xdr:cNvSpPr/>
      </xdr:nvSpPr>
      <xdr:spPr>
        <a:xfrm rot="11862591">
          <a:off x="10693977" y="10758920"/>
          <a:ext cx="119063" cy="75767"/>
        </a:xfrm>
        <a:prstGeom prst="arc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311833</xdr:colOff>
      <xdr:row>20</xdr:row>
      <xdr:rowOff>47219</xdr:rowOff>
    </xdr:from>
    <xdr:to>
      <xdr:col>10</xdr:col>
      <xdr:colOff>524893</xdr:colOff>
      <xdr:row>21</xdr:row>
      <xdr:rowOff>12553</xdr:rowOff>
    </xdr:to>
    <xdr:sp macro="" textlink="">
      <xdr:nvSpPr>
        <xdr:cNvPr id="163" name="Half Frame 162">
          <a:extLst>
            <a:ext uri="{FF2B5EF4-FFF2-40B4-BE49-F238E27FC236}">
              <a16:creationId xmlns:a16="http://schemas.microsoft.com/office/drawing/2014/main" id="{2604D297-6340-42C4-B8FA-F5C720D4DA60}"/>
            </a:ext>
          </a:extLst>
        </xdr:cNvPr>
        <xdr:cNvSpPr/>
      </xdr:nvSpPr>
      <xdr:spPr>
        <a:xfrm rot="2262553">
          <a:off x="6957685" y="4041225"/>
          <a:ext cx="213060" cy="160163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22091</xdr:colOff>
      <xdr:row>20</xdr:row>
      <xdr:rowOff>55771</xdr:rowOff>
    </xdr:from>
    <xdr:to>
      <xdr:col>11</xdr:col>
      <xdr:colOff>191094</xdr:colOff>
      <xdr:row>21</xdr:row>
      <xdr:rowOff>35990</xdr:rowOff>
    </xdr:to>
    <xdr:sp macro="" textlink="">
      <xdr:nvSpPr>
        <xdr:cNvPr id="164" name="Half Frame 163">
          <a:extLst>
            <a:ext uri="{FF2B5EF4-FFF2-40B4-BE49-F238E27FC236}">
              <a16:creationId xmlns:a16="http://schemas.microsoft.com/office/drawing/2014/main" id="{C048CF8F-103D-4797-8181-83667BA81378}"/>
            </a:ext>
          </a:extLst>
        </xdr:cNvPr>
        <xdr:cNvSpPr/>
      </xdr:nvSpPr>
      <xdr:spPr>
        <a:xfrm rot="2806876">
          <a:off x="7271058" y="4052799"/>
          <a:ext cx="175048" cy="169003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4AD4-13EB-4D4F-925E-F66F3E0E763E}">
  <sheetPr codeName="Sheet1"/>
  <dimension ref="A1:V61"/>
  <sheetViews>
    <sheetView tabSelected="1" topLeftCell="A24" zoomScale="88" workbookViewId="0">
      <selection activeCell="J15" sqref="J15"/>
    </sheetView>
  </sheetViews>
  <sheetFormatPr defaultRowHeight="15" x14ac:dyDescent="0.25"/>
  <cols>
    <col min="2" max="2" width="13.5703125" bestFit="1" customWidth="1"/>
    <col min="7" max="7" width="13.28515625" bestFit="1" customWidth="1"/>
  </cols>
  <sheetData>
    <row r="1" spans="1:22" x14ac:dyDescent="0.25">
      <c r="F1" s="40" t="s">
        <v>38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2" ht="15.75" thickBot="1" x14ac:dyDescent="0.3"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2" x14ac:dyDescent="0.25"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57"/>
    </row>
    <row r="4" spans="1:22" x14ac:dyDescent="0.25">
      <c r="J4" s="58" t="s">
        <v>39</v>
      </c>
      <c r="K4" s="42"/>
      <c r="L4" s="42"/>
      <c r="M4" s="42"/>
      <c r="N4" s="42"/>
      <c r="O4" s="42"/>
      <c r="P4" s="17"/>
      <c r="Q4" s="17"/>
      <c r="R4" s="17"/>
      <c r="S4" s="17"/>
      <c r="T4" s="17"/>
      <c r="U4" s="17"/>
      <c r="V4" s="52"/>
    </row>
    <row r="5" spans="1:22" x14ac:dyDescent="0.25">
      <c r="J5" s="51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52"/>
    </row>
    <row r="6" spans="1:22" x14ac:dyDescent="0.25">
      <c r="J6" s="51"/>
      <c r="K6" s="17"/>
      <c r="L6" s="17"/>
      <c r="M6" s="17"/>
      <c r="N6" s="17"/>
      <c r="O6" s="17"/>
      <c r="P6" s="17"/>
      <c r="Q6" s="17"/>
      <c r="R6" s="17"/>
      <c r="S6" s="19">
        <f>G15*1000</f>
        <v>2500</v>
      </c>
      <c r="T6" s="17"/>
      <c r="U6" s="17"/>
      <c r="V6" s="52"/>
    </row>
    <row r="7" spans="1:22" x14ac:dyDescent="0.25">
      <c r="A7" s="39" t="s">
        <v>0</v>
      </c>
      <c r="B7" s="39"/>
      <c r="C7" s="39"/>
      <c r="D7" s="10"/>
      <c r="E7" s="10"/>
      <c r="F7" s="10"/>
      <c r="G7" s="10"/>
      <c r="H7" s="10" t="s">
        <v>6</v>
      </c>
      <c r="J7" s="51"/>
      <c r="K7" s="17"/>
      <c r="L7" s="17"/>
      <c r="M7" s="17"/>
      <c r="N7" s="17"/>
      <c r="O7" s="17" t="str">
        <f>IF(O8&gt;=150,"OK","150 MIN")</f>
        <v>OK</v>
      </c>
      <c r="P7" s="17"/>
      <c r="Q7" s="17"/>
      <c r="R7" s="17"/>
      <c r="S7" s="17"/>
      <c r="T7" s="17"/>
      <c r="U7" s="17"/>
      <c r="V7" s="52"/>
    </row>
    <row r="8" spans="1:22" x14ac:dyDescent="0.25">
      <c r="A8" s="39" t="s">
        <v>1</v>
      </c>
      <c r="B8" s="39"/>
      <c r="C8" s="39"/>
      <c r="D8" s="39"/>
      <c r="E8" s="39"/>
      <c r="F8" s="39"/>
      <c r="G8" s="12">
        <f>K13/1000</f>
        <v>4</v>
      </c>
      <c r="H8" s="10" t="s">
        <v>8</v>
      </c>
      <c r="J8" s="51"/>
      <c r="K8" s="17"/>
      <c r="L8" s="17"/>
      <c r="M8" s="17"/>
      <c r="N8" s="17"/>
      <c r="O8" s="17">
        <v>200</v>
      </c>
      <c r="P8" s="17"/>
      <c r="Q8" s="17"/>
      <c r="R8" s="17"/>
      <c r="S8" s="17"/>
      <c r="T8" s="17"/>
      <c r="U8" s="17"/>
      <c r="V8" s="52"/>
    </row>
    <row r="9" spans="1:22" x14ac:dyDescent="0.25">
      <c r="A9" s="39" t="s">
        <v>2</v>
      </c>
      <c r="B9" s="39"/>
      <c r="C9" s="39"/>
      <c r="D9" s="39"/>
      <c r="E9" s="39"/>
      <c r="F9" s="39"/>
      <c r="G9" s="13">
        <f>K22/1000</f>
        <v>1.25</v>
      </c>
      <c r="H9" s="10" t="s">
        <v>8</v>
      </c>
      <c r="J9" s="51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52"/>
    </row>
    <row r="10" spans="1:22" x14ac:dyDescent="0.25">
      <c r="A10" s="39" t="s">
        <v>15</v>
      </c>
      <c r="B10" s="39"/>
      <c r="C10" s="39"/>
      <c r="D10" s="39"/>
      <c r="E10" s="39"/>
      <c r="F10" s="39"/>
      <c r="G10" s="10">
        <v>30</v>
      </c>
      <c r="H10" s="10" t="s">
        <v>16</v>
      </c>
      <c r="J10" s="51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52"/>
    </row>
    <row r="11" spans="1:22" x14ac:dyDescent="0.25">
      <c r="A11" s="11" t="s">
        <v>3</v>
      </c>
      <c r="B11" s="11"/>
      <c r="C11" s="11"/>
      <c r="D11" s="11"/>
      <c r="E11" s="11"/>
      <c r="F11" s="10"/>
      <c r="G11" s="10">
        <v>0.5</v>
      </c>
      <c r="H11" s="10"/>
      <c r="J11" s="51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52"/>
    </row>
    <row r="12" spans="1:22" ht="17.25" x14ac:dyDescent="0.25">
      <c r="A12" s="39" t="s">
        <v>4</v>
      </c>
      <c r="B12" s="39"/>
      <c r="C12" s="39"/>
      <c r="D12" s="39"/>
      <c r="E12" s="39"/>
      <c r="F12" s="39"/>
      <c r="G12" s="10">
        <v>16</v>
      </c>
      <c r="H12" s="10" t="s">
        <v>9</v>
      </c>
      <c r="J12" s="5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52"/>
    </row>
    <row r="13" spans="1:22" ht="17.25" x14ac:dyDescent="0.25">
      <c r="A13" s="39" t="s">
        <v>5</v>
      </c>
      <c r="B13" s="39"/>
      <c r="C13" s="39"/>
      <c r="D13" s="39"/>
      <c r="E13" s="39"/>
      <c r="F13" s="39"/>
      <c r="G13" s="10">
        <v>40</v>
      </c>
      <c r="H13" s="10" t="s">
        <v>10</v>
      </c>
      <c r="J13" s="51"/>
      <c r="K13" s="20">
        <v>4000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52"/>
    </row>
    <row r="14" spans="1:22" ht="17.25" x14ac:dyDescent="0.25">
      <c r="A14" s="39" t="s">
        <v>11</v>
      </c>
      <c r="B14" s="39"/>
      <c r="C14" s="39"/>
      <c r="D14" s="39"/>
      <c r="E14" s="39"/>
      <c r="F14" s="39"/>
      <c r="G14" s="10">
        <v>160</v>
      </c>
      <c r="H14" s="10" t="s">
        <v>10</v>
      </c>
      <c r="J14" s="51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52"/>
    </row>
    <row r="15" spans="1:22" x14ac:dyDescent="0.25">
      <c r="A15" s="44" t="s">
        <v>12</v>
      </c>
      <c r="B15" s="44"/>
      <c r="C15" s="44"/>
      <c r="D15" s="44"/>
      <c r="E15" s="44"/>
      <c r="F15" s="44"/>
      <c r="G15" s="14">
        <f>G13/G12</f>
        <v>2.5</v>
      </c>
      <c r="H15" s="7" t="s">
        <v>7</v>
      </c>
      <c r="J15" s="51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52"/>
    </row>
    <row r="16" spans="1:22" x14ac:dyDescent="0.25">
      <c r="A16" s="26" t="s">
        <v>13</v>
      </c>
      <c r="B16" s="26"/>
      <c r="C16" s="26"/>
      <c r="D16" s="26"/>
      <c r="E16" s="26"/>
      <c r="F16" s="26"/>
      <c r="G16">
        <f>G8+G9+G15</f>
        <v>7.75</v>
      </c>
      <c r="H16" t="s">
        <v>7</v>
      </c>
      <c r="J16" s="51"/>
      <c r="K16" s="17"/>
      <c r="L16" s="17"/>
      <c r="M16" s="17"/>
      <c r="N16" s="17"/>
      <c r="O16" s="17"/>
      <c r="P16" s="17"/>
      <c r="Q16" s="17" t="s">
        <v>45</v>
      </c>
      <c r="R16" s="17"/>
      <c r="S16" s="17"/>
      <c r="T16" s="17"/>
      <c r="U16" s="21" t="s">
        <v>17</v>
      </c>
      <c r="V16" s="52"/>
    </row>
    <row r="17" spans="1:22" ht="18" x14ac:dyDescent="0.35">
      <c r="A17" s="44" t="s">
        <v>14</v>
      </c>
      <c r="B17" s="44"/>
      <c r="C17" s="44"/>
      <c r="D17" s="44"/>
      <c r="E17" s="44"/>
      <c r="F17" s="44"/>
      <c r="G17" s="8">
        <f>(1-SIN(PI()*G10/180))/(1+SIN(PI()*G10/180))</f>
        <v>0.33333333333333331</v>
      </c>
      <c r="H17" s="7"/>
      <c r="J17" s="51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52"/>
    </row>
    <row r="18" spans="1:22" x14ac:dyDescent="0.25">
      <c r="A18" s="43" t="s">
        <v>19</v>
      </c>
      <c r="B18" s="43"/>
      <c r="C18" s="43"/>
      <c r="D18" s="43"/>
      <c r="E18" s="43"/>
      <c r="F18" s="43"/>
      <c r="G18" s="9"/>
      <c r="H18" s="9"/>
      <c r="J18" s="51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52"/>
    </row>
    <row r="19" spans="1:22" x14ac:dyDescent="0.25">
      <c r="A19" s="43" t="s">
        <v>20</v>
      </c>
      <c r="B19" s="43"/>
      <c r="C19" s="43"/>
      <c r="D19" s="43"/>
      <c r="E19" s="43"/>
      <c r="F19" s="43"/>
      <c r="G19" s="9">
        <f>G17*G13*(G8+G9)</f>
        <v>70</v>
      </c>
      <c r="H19" s="9" t="s">
        <v>22</v>
      </c>
      <c r="J19" s="51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52"/>
    </row>
    <row r="20" spans="1:22" x14ac:dyDescent="0.25">
      <c r="A20" s="43" t="s">
        <v>21</v>
      </c>
      <c r="B20" s="43"/>
      <c r="C20" s="43"/>
      <c r="D20" s="43"/>
      <c r="E20" s="43"/>
      <c r="F20" s="43"/>
      <c r="G20" s="9">
        <f>G17*G12*POWER((G8+G9),2)/2</f>
        <v>73.5</v>
      </c>
      <c r="H20" s="9" t="s">
        <v>22</v>
      </c>
      <c r="J20" s="51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52"/>
    </row>
    <row r="21" spans="1:22" x14ac:dyDescent="0.25">
      <c r="A21" s="43" t="s">
        <v>23</v>
      </c>
      <c r="B21" s="43"/>
      <c r="C21" s="43"/>
      <c r="D21" s="43"/>
      <c r="E21" s="43"/>
      <c r="F21" s="43"/>
      <c r="G21" s="9">
        <f>G19+G20</f>
        <v>143.5</v>
      </c>
      <c r="H21" s="9"/>
      <c r="J21" s="51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52" t="s">
        <v>18</v>
      </c>
    </row>
    <row r="22" spans="1:22" x14ac:dyDescent="0.25">
      <c r="J22" s="51"/>
      <c r="K22" s="22">
        <v>1250</v>
      </c>
      <c r="L22" s="17">
        <f>K22-L26</f>
        <v>630</v>
      </c>
      <c r="M22" s="17">
        <v>650</v>
      </c>
      <c r="N22" s="17"/>
      <c r="O22" s="17"/>
      <c r="P22" s="17"/>
      <c r="Q22" s="17">
        <f>P28-O8</f>
        <v>2383.333333333333</v>
      </c>
      <c r="R22" s="17"/>
      <c r="S22" s="17"/>
      <c r="T22" s="17"/>
      <c r="U22" s="17"/>
      <c r="V22" s="52"/>
    </row>
    <row r="23" spans="1:22" x14ac:dyDescent="0.25">
      <c r="A23" s="35" t="s">
        <v>40</v>
      </c>
      <c r="B23" s="35"/>
      <c r="C23" s="35"/>
      <c r="D23" s="35"/>
      <c r="E23" s="35"/>
      <c r="F23" s="35"/>
      <c r="G23" s="35"/>
      <c r="H23" s="35"/>
      <c r="J23" s="51"/>
      <c r="K23" s="22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52"/>
    </row>
    <row r="24" spans="1:22" x14ac:dyDescent="0.25">
      <c r="A24" s="46" t="s">
        <v>24</v>
      </c>
      <c r="B24" s="46"/>
      <c r="C24" s="46"/>
      <c r="D24" s="46"/>
      <c r="E24" s="46" t="s">
        <v>27</v>
      </c>
      <c r="F24" s="46"/>
      <c r="G24" s="3" t="s">
        <v>28</v>
      </c>
      <c r="H24" s="3" t="s">
        <v>29</v>
      </c>
      <c r="J24" s="51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52"/>
    </row>
    <row r="25" spans="1:22" x14ac:dyDescent="0.25">
      <c r="A25" s="46" t="s">
        <v>25</v>
      </c>
      <c r="B25" s="46"/>
      <c r="C25" s="46" t="s">
        <v>26</v>
      </c>
      <c r="D25" s="46"/>
      <c r="E25" s="36" t="s">
        <v>41</v>
      </c>
      <c r="F25" s="37"/>
      <c r="G25" s="3"/>
      <c r="H25" s="3"/>
      <c r="J25" s="51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52"/>
    </row>
    <row r="26" spans="1:22" x14ac:dyDescent="0.25">
      <c r="A26" s="4" t="s">
        <v>30</v>
      </c>
      <c r="B26" s="5">
        <f>16*Q22/1000*(K13+K22+S6-L26)/1000</f>
        <v>271.89066666666662</v>
      </c>
      <c r="C26" s="3"/>
      <c r="D26" s="3"/>
      <c r="E26" s="6">
        <f>Q22/2000</f>
        <v>1.1916666666666664</v>
      </c>
      <c r="F26" s="3"/>
      <c r="G26" s="3">
        <f>B26*E26</f>
        <v>324.0030444444443</v>
      </c>
      <c r="H26" s="3"/>
      <c r="J26" s="51"/>
      <c r="K26" s="17"/>
      <c r="L26" s="17">
        <f>0.08*(K13+S6+K22)</f>
        <v>620</v>
      </c>
      <c r="M26" s="17"/>
      <c r="N26" s="17"/>
      <c r="O26" s="17"/>
      <c r="P26" s="17"/>
      <c r="Q26" s="17"/>
      <c r="R26" s="17"/>
      <c r="S26" s="17"/>
      <c r="T26" s="17"/>
      <c r="U26" s="17"/>
      <c r="V26" s="52"/>
    </row>
    <row r="27" spans="1:22" x14ac:dyDescent="0.25">
      <c r="A27" s="4" t="s">
        <v>31</v>
      </c>
      <c r="B27" s="4">
        <f>25*(O8/1000)*((K13+L22)/1000)</f>
        <v>23.15</v>
      </c>
      <c r="C27" s="3"/>
      <c r="D27" s="3"/>
      <c r="E27" s="6">
        <f>(Q22+O8/2)/1000</f>
        <v>2.4833333333333329</v>
      </c>
      <c r="F27" s="3"/>
      <c r="G27" s="6">
        <f t="shared" ref="G27:G28" si="0">B27*E27</f>
        <v>57.489166666666655</v>
      </c>
      <c r="H27" s="3"/>
      <c r="J27" s="51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52"/>
    </row>
    <row r="28" spans="1:22" x14ac:dyDescent="0.25">
      <c r="A28" s="4" t="s">
        <v>32</v>
      </c>
      <c r="B28" s="5">
        <f>(25-16)*(0.5*(M22-O8)/1000*(K13+L22)/1000)</f>
        <v>9.37575</v>
      </c>
      <c r="C28" s="3"/>
      <c r="D28" s="3"/>
      <c r="E28" s="3">
        <f>(Q22-(M22-O8/3))/1000</f>
        <v>1.7999999999999996</v>
      </c>
      <c r="F28" s="3"/>
      <c r="G28" s="6">
        <f t="shared" si="0"/>
        <v>16.876349999999995</v>
      </c>
      <c r="H28" s="3"/>
      <c r="J28" s="51"/>
      <c r="K28" s="17"/>
      <c r="L28" s="17"/>
      <c r="M28" s="17"/>
      <c r="N28" s="17"/>
      <c r="O28" s="17"/>
      <c r="P28" s="17">
        <f>SQRT(G17/3)*(K13+K22+S6)</f>
        <v>2583.333333333333</v>
      </c>
      <c r="Q28" s="17"/>
      <c r="R28" s="17"/>
      <c r="S28" s="17"/>
      <c r="T28" s="17"/>
      <c r="U28" s="17"/>
      <c r="V28" s="52"/>
    </row>
    <row r="29" spans="1:22" x14ac:dyDescent="0.25">
      <c r="A29" s="4" t="s">
        <v>33</v>
      </c>
      <c r="B29" s="5">
        <f>25*P30/1000*(L26/1000)</f>
        <v>60.0625</v>
      </c>
      <c r="C29" s="3"/>
      <c r="D29" s="3"/>
      <c r="E29" s="3">
        <f>P30/2000</f>
        <v>1.9375</v>
      </c>
      <c r="F29" s="3"/>
      <c r="G29" s="3">
        <f>B29*E29</f>
        <v>116.37109375</v>
      </c>
      <c r="H29" s="3"/>
      <c r="J29" s="51"/>
      <c r="K29" s="17"/>
      <c r="L29" s="17"/>
      <c r="M29" s="17"/>
      <c r="N29" s="17"/>
      <c r="O29" s="17"/>
      <c r="P29" s="17"/>
      <c r="Q29" s="17"/>
      <c r="R29" s="17"/>
      <c r="S29" s="17"/>
      <c r="T29" s="17" t="s">
        <v>42</v>
      </c>
      <c r="U29" s="17"/>
      <c r="V29" s="52"/>
    </row>
    <row r="30" spans="1:22" x14ac:dyDescent="0.25">
      <c r="A30" s="4"/>
      <c r="B30" s="4"/>
      <c r="C30" s="3" t="s">
        <v>17</v>
      </c>
      <c r="D30" s="3">
        <f>G19</f>
        <v>70</v>
      </c>
      <c r="E30" s="3">
        <f>(K13+K22)/2000</f>
        <v>2.625</v>
      </c>
      <c r="F30" s="3"/>
      <c r="G30" s="3"/>
      <c r="H30" s="3">
        <f>D30*E30</f>
        <v>183.75</v>
      </c>
      <c r="J30" s="51"/>
      <c r="K30" s="17"/>
      <c r="L30" s="17" t="s">
        <v>43</v>
      </c>
      <c r="M30" s="17"/>
      <c r="N30" s="17"/>
      <c r="O30" s="17"/>
      <c r="P30" s="17">
        <v>3875</v>
      </c>
      <c r="Q30" s="17"/>
      <c r="R30" s="17"/>
      <c r="S30" s="17"/>
      <c r="T30" s="17"/>
      <c r="U30" s="17"/>
      <c r="V30" s="52"/>
    </row>
    <row r="31" spans="1:22" x14ac:dyDescent="0.25">
      <c r="A31" s="4"/>
      <c r="B31" s="4"/>
      <c r="C31" s="3" t="s">
        <v>18</v>
      </c>
      <c r="D31" s="3">
        <f>G20</f>
        <v>73.5</v>
      </c>
      <c r="E31" s="3">
        <f>(K13+K22)/3000</f>
        <v>1.75</v>
      </c>
      <c r="F31" s="3"/>
      <c r="G31" s="3"/>
      <c r="H31" s="3">
        <f>D31*E31</f>
        <v>128.625</v>
      </c>
      <c r="J31" s="51"/>
      <c r="K31" s="17"/>
      <c r="L31" s="17"/>
      <c r="M31" s="23"/>
      <c r="N31" s="23"/>
      <c r="O31" s="23" t="s">
        <v>46</v>
      </c>
      <c r="P31" s="23"/>
      <c r="Q31" s="23"/>
      <c r="R31" s="23"/>
      <c r="S31" s="23"/>
      <c r="T31" s="23"/>
      <c r="U31" s="17"/>
      <c r="V31" s="52"/>
    </row>
    <row r="32" spans="1:22" ht="15.75" thickBot="1" x14ac:dyDescent="0.3">
      <c r="A32" s="4" t="s">
        <v>34</v>
      </c>
      <c r="B32" s="5">
        <f>B26+B27+B28+B29</f>
        <v>364.47891666666658</v>
      </c>
      <c r="C32" s="3"/>
      <c r="D32" s="3">
        <f>D30+D31</f>
        <v>143.5</v>
      </c>
      <c r="E32" s="3"/>
      <c r="F32" s="3"/>
      <c r="G32" s="6">
        <f>G26+G27+G28+G29</f>
        <v>514.73965486111092</v>
      </c>
      <c r="H32" s="3">
        <f>H30+H31</f>
        <v>312.375</v>
      </c>
      <c r="J32" s="54"/>
      <c r="K32" s="55"/>
      <c r="L32" s="55"/>
      <c r="M32" s="59"/>
      <c r="N32" s="60" t="s">
        <v>57</v>
      </c>
      <c r="O32" s="60"/>
      <c r="P32" s="60"/>
      <c r="Q32" s="60"/>
      <c r="R32" s="60"/>
      <c r="S32" s="59"/>
      <c r="T32" s="59"/>
      <c r="U32" s="59"/>
      <c r="V32" s="56"/>
    </row>
    <row r="33" spans="1:21" ht="15.75" thickBot="1" x14ac:dyDescent="0.3"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38" t="s">
        <v>44</v>
      </c>
      <c r="B34" s="31"/>
      <c r="C34" s="31"/>
      <c r="D34" s="31"/>
      <c r="E34" s="31"/>
      <c r="F34" s="31"/>
      <c r="G34" s="31"/>
      <c r="H34" s="31"/>
      <c r="M34" s="47"/>
      <c r="N34" s="48"/>
      <c r="O34" s="48"/>
      <c r="P34" s="49"/>
      <c r="Q34" s="49"/>
      <c r="R34" s="49"/>
      <c r="S34" s="49"/>
      <c r="T34" s="50"/>
      <c r="U34" s="1"/>
    </row>
    <row r="35" spans="1:21" x14ac:dyDescent="0.25">
      <c r="A35" s="26" t="s">
        <v>35</v>
      </c>
      <c r="B35" s="26"/>
      <c r="C35" s="26"/>
      <c r="D35" s="26"/>
      <c r="E35" s="26"/>
      <c r="F35" s="26"/>
      <c r="G35" s="2">
        <f>G32/B32</f>
        <v>1.4122618108302407</v>
      </c>
      <c r="M35" s="51"/>
      <c r="N35" s="17"/>
      <c r="O35" s="17"/>
      <c r="P35" s="17"/>
      <c r="Q35" s="17" t="s">
        <v>51</v>
      </c>
      <c r="R35" s="17"/>
      <c r="S35" s="17"/>
      <c r="T35" s="52"/>
    </row>
    <row r="36" spans="1:21" x14ac:dyDescent="0.25">
      <c r="A36" s="26" t="s">
        <v>36</v>
      </c>
      <c r="B36" s="26"/>
      <c r="C36" s="26"/>
      <c r="D36" s="26"/>
      <c r="E36" s="26"/>
      <c r="F36" s="26"/>
      <c r="G36">
        <f>B32*(P30/1000-G35)</f>
        <v>897.61614722222203</v>
      </c>
      <c r="M36" s="51"/>
      <c r="N36" s="17"/>
      <c r="O36" s="17"/>
      <c r="P36" s="17"/>
      <c r="Q36" s="17"/>
      <c r="R36" s="17" t="s">
        <v>29</v>
      </c>
      <c r="S36" s="17"/>
      <c r="T36" s="52"/>
    </row>
    <row r="37" spans="1:21" x14ac:dyDescent="0.25">
      <c r="A37" s="45" t="s">
        <v>37</v>
      </c>
      <c r="B37" s="45"/>
      <c r="C37" s="45"/>
      <c r="D37" s="45"/>
      <c r="E37" s="45"/>
      <c r="F37" s="45"/>
      <c r="G37" s="15">
        <f>0.9*G36/H32</f>
        <v>2.5861689715886351</v>
      </c>
      <c r="H37" s="16" t="str">
        <f>IF(G37&gt;1.4,"SAFE","UNSAFE")</f>
        <v>SAFE</v>
      </c>
      <c r="M37" s="51"/>
      <c r="N37" s="17"/>
      <c r="O37" s="17"/>
      <c r="P37" s="17"/>
      <c r="Q37" s="17"/>
      <c r="R37" s="17"/>
      <c r="S37" s="17"/>
      <c r="T37" s="52"/>
    </row>
    <row r="38" spans="1:21" x14ac:dyDescent="0.25">
      <c r="M38" s="51"/>
      <c r="N38" s="17"/>
      <c r="O38" s="17"/>
      <c r="P38" s="17"/>
      <c r="Q38" s="17"/>
      <c r="R38" s="17"/>
      <c r="S38" s="17"/>
      <c r="T38" s="52"/>
    </row>
    <row r="39" spans="1:21" x14ac:dyDescent="0.25">
      <c r="A39" s="31" t="s">
        <v>47</v>
      </c>
      <c r="B39" s="31"/>
      <c r="C39" s="31"/>
      <c r="D39" s="31"/>
      <c r="E39" s="31"/>
      <c r="F39" s="31"/>
      <c r="M39" s="51"/>
      <c r="N39" s="17"/>
      <c r="O39" s="17"/>
      <c r="P39" s="17"/>
      <c r="Q39" s="17"/>
      <c r="R39" s="17"/>
      <c r="S39" s="17"/>
      <c r="T39" s="53">
        <f>G45</f>
        <v>45.734711619840454</v>
      </c>
    </row>
    <row r="40" spans="1:21" x14ac:dyDescent="0.25">
      <c r="A40" s="26" t="s">
        <v>48</v>
      </c>
      <c r="B40" s="26"/>
      <c r="C40" s="26"/>
      <c r="D40" s="26"/>
      <c r="E40" s="26"/>
      <c r="F40" s="26"/>
      <c r="G40" s="2">
        <f>B32</f>
        <v>364.47891666666658</v>
      </c>
      <c r="M40" s="51"/>
      <c r="N40" s="18">
        <f>G44</f>
        <v>142.38343891779391</v>
      </c>
      <c r="O40" s="17"/>
      <c r="P40" s="17"/>
      <c r="Q40" s="17"/>
      <c r="R40" s="17"/>
      <c r="S40" s="17"/>
      <c r="T40" s="52"/>
    </row>
    <row r="41" spans="1:21" ht="18" x14ac:dyDescent="0.35">
      <c r="A41" s="26" t="s">
        <v>55</v>
      </c>
      <c r="B41" s="26"/>
      <c r="C41" s="26"/>
      <c r="D41" s="26"/>
      <c r="E41" s="26"/>
      <c r="F41" s="26"/>
      <c r="G41" s="2">
        <f>(G32+H32)/G40</f>
        <v>2.2693072686493601</v>
      </c>
      <c r="M41" s="51"/>
      <c r="N41" s="17"/>
      <c r="O41" s="17"/>
      <c r="P41" s="17"/>
      <c r="Q41" s="17"/>
      <c r="R41" s="17"/>
      <c r="S41" s="17"/>
      <c r="T41" s="52"/>
    </row>
    <row r="42" spans="1:21" x14ac:dyDescent="0.25">
      <c r="A42" s="26" t="s">
        <v>49</v>
      </c>
      <c r="B42" s="26"/>
      <c r="C42" s="26"/>
      <c r="D42" s="26"/>
      <c r="E42" s="26"/>
      <c r="F42" s="26"/>
      <c r="G42" s="2">
        <f>G41-(P30/2000)</f>
        <v>0.33180726864936005</v>
      </c>
      <c r="H42" s="25" t="str">
        <f>IF(G42&lt;(P30/6000),"SAFE","UNSAFE")</f>
        <v>SAFE</v>
      </c>
      <c r="M42" s="51"/>
      <c r="N42" s="17"/>
      <c r="O42" s="17"/>
      <c r="P42" s="17"/>
      <c r="Q42" s="17"/>
      <c r="R42" s="17"/>
      <c r="S42" s="17"/>
      <c r="T42" s="52"/>
    </row>
    <row r="43" spans="1:21" x14ac:dyDescent="0.25">
      <c r="D43" s="32" t="s">
        <v>50</v>
      </c>
      <c r="E43" s="33"/>
      <c r="F43" s="33"/>
      <c r="G43" s="33"/>
      <c r="H43" s="33"/>
      <c r="I43" s="33"/>
      <c r="J43" s="33"/>
      <c r="K43" s="34"/>
      <c r="M43" s="51"/>
      <c r="N43" s="17"/>
      <c r="O43" s="17"/>
      <c r="P43" s="17"/>
      <c r="Q43" s="17"/>
      <c r="R43" s="17">
        <f>G41*1000</f>
        <v>2269.3072686493601</v>
      </c>
      <c r="S43" s="17"/>
      <c r="T43" s="52"/>
    </row>
    <row r="44" spans="1:21" x14ac:dyDescent="0.25">
      <c r="A44" s="26" t="s">
        <v>53</v>
      </c>
      <c r="B44" s="26"/>
      <c r="C44" s="26"/>
      <c r="D44" s="26"/>
      <c r="E44" s="26"/>
      <c r="F44" s="26"/>
      <c r="G44" s="2">
        <f>(G40*1000/Q45)*(1+(6*G42*1000/Q45))</f>
        <v>142.38343891779391</v>
      </c>
      <c r="H44" s="24" t="str">
        <f>IF(G44&lt;G14,"OK","RECHECK")</f>
        <v>OK</v>
      </c>
      <c r="M44" s="51"/>
      <c r="N44" s="17"/>
      <c r="O44" s="17"/>
      <c r="P44" s="17"/>
      <c r="Q44" s="17" t="s">
        <v>52</v>
      </c>
      <c r="R44" s="17"/>
      <c r="S44" s="17"/>
      <c r="T44" s="52"/>
    </row>
    <row r="45" spans="1:21" x14ac:dyDescent="0.25">
      <c r="A45" s="26" t="s">
        <v>54</v>
      </c>
      <c r="B45" s="26"/>
      <c r="C45" s="26"/>
      <c r="D45" s="26"/>
      <c r="E45" s="26"/>
      <c r="F45" s="26"/>
      <c r="G45" s="2">
        <f>(G40*1000/Q45)*(1-(6*G42*1000/Q45))</f>
        <v>45.734711619840454</v>
      </c>
      <c r="M45" s="51"/>
      <c r="N45" s="17"/>
      <c r="O45" s="17"/>
      <c r="P45" s="17"/>
      <c r="Q45" s="17">
        <f>P30</f>
        <v>3875</v>
      </c>
      <c r="R45" s="17"/>
      <c r="S45" s="17"/>
      <c r="T45" s="52"/>
    </row>
    <row r="46" spans="1:21" x14ac:dyDescent="0.25">
      <c r="M46" s="51"/>
      <c r="N46" s="17"/>
      <c r="O46" s="29" t="s">
        <v>56</v>
      </c>
      <c r="P46" s="30"/>
      <c r="Q46" s="30"/>
      <c r="R46" s="30"/>
      <c r="S46" s="30"/>
      <c r="T46" s="52"/>
    </row>
    <row r="47" spans="1:21" ht="15.75" thickBot="1" x14ac:dyDescent="0.3">
      <c r="A47" s="31" t="s">
        <v>58</v>
      </c>
      <c r="B47" s="31"/>
      <c r="C47" s="31"/>
      <c r="D47" s="31"/>
      <c r="E47" s="31"/>
      <c r="F47" s="31"/>
      <c r="M47" s="54"/>
      <c r="N47" s="55"/>
      <c r="O47" s="55"/>
      <c r="P47" s="55"/>
      <c r="Q47" s="55"/>
      <c r="R47" s="55"/>
      <c r="S47" s="55"/>
      <c r="T47" s="56"/>
    </row>
    <row r="48" spans="1:21" ht="15.75" thickBot="1" x14ac:dyDescent="0.3">
      <c r="A48" s="26" t="s">
        <v>59</v>
      </c>
      <c r="B48" s="26"/>
      <c r="C48" s="26"/>
      <c r="D48" s="26"/>
      <c r="E48" s="26"/>
      <c r="F48" s="26"/>
      <c r="G48">
        <f>G21</f>
        <v>143.5</v>
      </c>
    </row>
    <row r="49" spans="1:20" x14ac:dyDescent="0.25">
      <c r="A49" s="26" t="s">
        <v>60</v>
      </c>
      <c r="B49" s="26"/>
      <c r="C49" s="26"/>
      <c r="D49" s="26"/>
      <c r="E49" s="26"/>
      <c r="F49" s="26"/>
      <c r="G49" s="2">
        <f>G11*G40</f>
        <v>182.23945833333329</v>
      </c>
      <c r="H49" s="24" t="str">
        <f>IF(G49&gt;G48,"OK","RECHECK")</f>
        <v>OK</v>
      </c>
      <c r="M49" s="47"/>
      <c r="N49" s="48"/>
      <c r="O49" s="48"/>
      <c r="P49" s="48"/>
      <c r="Q49" s="48"/>
      <c r="R49" s="48"/>
      <c r="S49" s="48"/>
      <c r="T49" s="57"/>
    </row>
    <row r="50" spans="1:20" x14ac:dyDescent="0.25">
      <c r="A50" s="63" t="s">
        <v>61</v>
      </c>
      <c r="B50" s="63"/>
      <c r="C50" s="63"/>
      <c r="D50" s="63"/>
      <c r="E50" s="63"/>
      <c r="F50" s="63"/>
      <c r="G50" s="2">
        <f>0.9*G49/G48</f>
        <v>1.1429652439024389</v>
      </c>
      <c r="H50" s="27" t="str">
        <f>IF(G50&gt;1.4,"OK"," NEED SHEAR KEY")</f>
        <v xml:space="preserve"> NEED SHEAR KEY</v>
      </c>
      <c r="I50" s="28"/>
      <c r="M50" s="51"/>
      <c r="N50" s="17"/>
      <c r="O50" s="17"/>
      <c r="P50" s="17"/>
      <c r="Q50" s="17"/>
      <c r="R50" s="17"/>
      <c r="S50" s="17"/>
      <c r="T50" s="52"/>
    </row>
    <row r="51" spans="1:20" x14ac:dyDescent="0.25">
      <c r="M51" s="51">
        <f>R55</f>
        <v>300</v>
      </c>
      <c r="N51" s="17"/>
      <c r="O51" s="17"/>
      <c r="P51" s="17"/>
      <c r="Q51" s="17"/>
      <c r="R51" s="17"/>
      <c r="S51" s="17"/>
      <c r="T51" s="52"/>
    </row>
    <row r="52" spans="1:20" x14ac:dyDescent="0.25">
      <c r="A52" s="26" t="s">
        <v>62</v>
      </c>
      <c r="B52" s="26"/>
      <c r="C52" s="26"/>
      <c r="D52" s="26"/>
      <c r="E52" s="26"/>
      <c r="F52" s="26"/>
      <c r="G52" s="2">
        <f>1.4*G48-0.9*G49</f>
        <v>36.884487500000006</v>
      </c>
      <c r="M52" s="51"/>
      <c r="N52" s="17"/>
      <c r="O52" s="17"/>
      <c r="P52" s="17"/>
      <c r="Q52" s="17"/>
      <c r="R52" s="17"/>
      <c r="S52" s="17"/>
      <c r="T52" s="52"/>
    </row>
    <row r="53" spans="1:20" x14ac:dyDescent="0.25">
      <c r="C53" s="61" t="s">
        <v>63</v>
      </c>
      <c r="D53" s="61"/>
      <c r="E53" s="61"/>
      <c r="F53" s="61"/>
      <c r="G53" s="61"/>
      <c r="H53" s="61"/>
      <c r="I53" s="61"/>
      <c r="J53" s="61"/>
      <c r="M53" s="51">
        <f>K22-M51</f>
        <v>950</v>
      </c>
      <c r="N53" s="17"/>
      <c r="O53" s="17"/>
      <c r="P53" s="17"/>
      <c r="Q53" s="17"/>
      <c r="R53" s="17"/>
      <c r="S53" s="17"/>
      <c r="T53" s="52"/>
    </row>
    <row r="54" spans="1:20" x14ac:dyDescent="0.25">
      <c r="A54" t="s">
        <v>64</v>
      </c>
      <c r="B54" s="2">
        <f>((M53+R55)+(P57*TAN(PI()*P56/180)))/1000</f>
        <v>2.1737604307034011</v>
      </c>
      <c r="M54" s="51"/>
      <c r="N54" s="17"/>
      <c r="O54" s="17"/>
      <c r="P54" s="17"/>
      <c r="Q54" s="17"/>
      <c r="R54" s="17"/>
      <c r="S54" s="17"/>
      <c r="T54" s="52"/>
    </row>
    <row r="55" spans="1:20" x14ac:dyDescent="0.25">
      <c r="A55" t="s">
        <v>65</v>
      </c>
      <c r="B55" s="2">
        <f>((1/G17)*G12*(POWER(B54,2)-POWER(M53/1000,2)))/2</f>
        <v>91.745625842204049</v>
      </c>
      <c r="M55" s="51"/>
      <c r="N55" s="17"/>
      <c r="O55" s="17"/>
      <c r="P55" s="17"/>
      <c r="Q55" s="17"/>
      <c r="R55" s="17">
        <v>300</v>
      </c>
      <c r="S55" s="17"/>
      <c r="T55" s="52"/>
    </row>
    <row r="56" spans="1:20" x14ac:dyDescent="0.25">
      <c r="A56" s="63" t="s">
        <v>61</v>
      </c>
      <c r="B56" s="63"/>
      <c r="C56" s="63"/>
      <c r="D56" s="63"/>
      <c r="E56" s="63"/>
      <c r="F56" s="63"/>
      <c r="G56" s="2">
        <f>((0.9*G49)+B55)/G48</f>
        <v>1.7823075842662301</v>
      </c>
      <c r="H56" s="62" t="str">
        <f>IF(G56&gt;1.4,"SAFE","UNSAFE")</f>
        <v>SAFE</v>
      </c>
      <c r="M56" s="51" t="s">
        <v>64</v>
      </c>
      <c r="N56" s="17" t="s">
        <v>65</v>
      </c>
      <c r="O56" s="17"/>
      <c r="P56" s="17">
        <v>30</v>
      </c>
      <c r="Q56" s="17"/>
      <c r="R56" s="17"/>
      <c r="S56" s="17"/>
      <c r="T56" s="52"/>
    </row>
    <row r="57" spans="1:20" x14ac:dyDescent="0.25">
      <c r="M57" s="51"/>
      <c r="N57" s="17"/>
      <c r="O57" s="17"/>
      <c r="P57" s="17">
        <v>1600</v>
      </c>
      <c r="Q57" s="17"/>
      <c r="R57" s="17"/>
      <c r="S57" s="17"/>
      <c r="T57" s="52"/>
    </row>
    <row r="58" spans="1:20" x14ac:dyDescent="0.25">
      <c r="M58" s="51"/>
      <c r="N58" s="17"/>
      <c r="O58" s="17"/>
      <c r="P58" s="17"/>
      <c r="Q58" s="17">
        <v>400</v>
      </c>
      <c r="R58" s="17"/>
      <c r="S58" s="17"/>
      <c r="T58" s="52"/>
    </row>
    <row r="59" spans="1:20" x14ac:dyDescent="0.25">
      <c r="M59" s="51"/>
      <c r="N59" s="17"/>
      <c r="O59" s="17"/>
      <c r="P59" s="17"/>
      <c r="Q59" s="17"/>
      <c r="R59" s="17"/>
      <c r="S59" s="17"/>
      <c r="T59" s="52"/>
    </row>
    <row r="60" spans="1:20" x14ac:dyDescent="0.25">
      <c r="M60" s="51"/>
      <c r="N60" s="64" t="s">
        <v>66</v>
      </c>
      <c r="O60" s="64"/>
      <c r="P60" s="64"/>
      <c r="Q60" s="64"/>
      <c r="R60" s="64"/>
      <c r="S60" s="17"/>
      <c r="T60" s="52"/>
    </row>
    <row r="61" spans="1:20" ht="15.75" thickBot="1" x14ac:dyDescent="0.3">
      <c r="M61" s="54"/>
      <c r="N61" s="55"/>
      <c r="O61" s="55"/>
      <c r="P61" s="55"/>
      <c r="Q61" s="55"/>
      <c r="R61" s="55"/>
      <c r="S61" s="55"/>
      <c r="T61" s="56"/>
    </row>
  </sheetData>
  <mergeCells count="44">
    <mergeCell ref="A52:F52"/>
    <mergeCell ref="C53:J53"/>
    <mergeCell ref="N60:R60"/>
    <mergeCell ref="A56:F56"/>
    <mergeCell ref="F1:S2"/>
    <mergeCell ref="J4:O4"/>
    <mergeCell ref="A10:F10"/>
    <mergeCell ref="A18:F18"/>
    <mergeCell ref="A19:F19"/>
    <mergeCell ref="A12:F12"/>
    <mergeCell ref="A13:F13"/>
    <mergeCell ref="A14:F14"/>
    <mergeCell ref="A15:F15"/>
    <mergeCell ref="A16:F16"/>
    <mergeCell ref="A17:F17"/>
    <mergeCell ref="A23:H23"/>
    <mergeCell ref="E25:F25"/>
    <mergeCell ref="A34:H34"/>
    <mergeCell ref="A7:C7"/>
    <mergeCell ref="A8:F8"/>
    <mergeCell ref="A9:F9"/>
    <mergeCell ref="A20:F20"/>
    <mergeCell ref="A21:F21"/>
    <mergeCell ref="A25:B25"/>
    <mergeCell ref="C25:D25"/>
    <mergeCell ref="E24:F24"/>
    <mergeCell ref="A24:D24"/>
    <mergeCell ref="O46:S46"/>
    <mergeCell ref="N32:R32"/>
    <mergeCell ref="A47:F47"/>
    <mergeCell ref="A40:F40"/>
    <mergeCell ref="A41:F41"/>
    <mergeCell ref="A42:F42"/>
    <mergeCell ref="D43:K43"/>
    <mergeCell ref="A44:F44"/>
    <mergeCell ref="A37:F37"/>
    <mergeCell ref="A39:F39"/>
    <mergeCell ref="A35:F35"/>
    <mergeCell ref="A36:F36"/>
    <mergeCell ref="A48:F48"/>
    <mergeCell ref="A49:F49"/>
    <mergeCell ref="A50:F50"/>
    <mergeCell ref="H50:I50"/>
    <mergeCell ref="A45:F4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2019-10-17T19:32:43Z</dcterms:created>
  <dcterms:modified xsi:type="dcterms:W3CDTF">2019-10-19T18:55:50Z</dcterms:modified>
</cp:coreProperties>
</file>