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vitragajanana/Desktop/github/"/>
    </mc:Choice>
  </mc:AlternateContent>
  <xr:revisionPtr revIDLastSave="0" documentId="13_ncr:1_{A2326B50-0E4E-DA4D-80A6-7A44F5558CA2}" xr6:coauthVersionLast="36" xr6:coauthVersionMax="36" xr10:uidLastSave="{00000000-0000-0000-0000-000000000000}"/>
  <bookViews>
    <workbookView xWindow="1440" yWindow="500" windowWidth="27340" windowHeight="15600" tabRatio="858" xr2:uid="{00000000-000D-0000-FFFF-FFFF00000000}"/>
  </bookViews>
  <sheets>
    <sheet name="Executive Summary" sheetId="18" r:id="rId1"/>
    <sheet name="Key Assumptions" sheetId="3" r:id="rId2"/>
    <sheet name="Historic Income Statement" sheetId="1" r:id="rId3"/>
    <sheet name="Historic Balance Sheet" sheetId="4" r:id="rId4"/>
    <sheet name="Cash Flow Statements" sheetId="7" r:id="rId5"/>
    <sheet name="Ratio Analysis" sheetId="17" r:id="rId6"/>
    <sheet name="Sales Growth - I" sheetId="8" r:id="rId7"/>
    <sheet name="Sales Growth - II" sheetId="23" r:id="rId8"/>
    <sheet name="Energy Outlook" sheetId="21" r:id="rId9"/>
    <sheet name="Capex Reduction" sheetId="20" r:id="rId10"/>
    <sheet name="Proforma &amp; Valuation" sheetId="9" r:id="rId11"/>
    <sheet name="Beta Estimation - I" sheetId="6" r:id="rId12"/>
    <sheet name="Beta Estimation - II" sheetId="19" r:id="rId13"/>
    <sheet name="CAPM Re" sheetId="12" r:id="rId14"/>
    <sheet name="Cost of Debt Rd" sheetId="13" r:id="rId15"/>
    <sheet name="WACC" sheetId="14" r:id="rId16"/>
    <sheet name="Equity  Payout" sheetId="10" r:id="rId17"/>
    <sheet name="Cost of Equity" sheetId="11" r:id="rId18"/>
  </sheets>
  <definedNames>
    <definedName name="CorpName">'Executive Summary'!$D$1</definedName>
    <definedName name="days">'Sales Growth - I'!#REF!</definedName>
    <definedName name="EarliestYear">'Executive Summary'!$D$4</definedName>
    <definedName name="LatestYear">'Executive Summary'!$D$3</definedName>
    <definedName name="Units">'Executive Summary'!$D$5</definedName>
  </definedNames>
  <calcPr calcId="181029" iterateCount="1000" iterateDelta="1.0000000000000001E-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8" l="1"/>
  <c r="C1" i="6" l="1"/>
  <c r="B3" i="14"/>
  <c r="B5" i="14" s="1"/>
  <c r="B12" i="11"/>
  <c r="B13" i="11" s="1"/>
  <c r="G6" i="11"/>
  <c r="G7" i="11"/>
  <c r="G8" i="11"/>
  <c r="G9" i="11"/>
  <c r="G10" i="11"/>
  <c r="G11" i="11"/>
  <c r="G12" i="11"/>
  <c r="G13" i="11"/>
  <c r="G5" i="11"/>
  <c r="E114" i="9"/>
  <c r="F114" i="9"/>
  <c r="G114" i="9"/>
  <c r="D114" i="9"/>
  <c r="B109" i="9"/>
  <c r="C109" i="9" s="1"/>
  <c r="D109" i="9" s="1"/>
  <c r="E109" i="9" s="1"/>
  <c r="F109" i="9" s="1"/>
  <c r="G109" i="9" s="1"/>
  <c r="C14" i="20"/>
  <c r="C79" i="17"/>
  <c r="D79" i="17" s="1"/>
  <c r="E79" i="17" s="1"/>
  <c r="F79" i="17" s="1"/>
  <c r="G79" i="17" s="1"/>
  <c r="H79" i="17" s="1"/>
  <c r="I79" i="17" s="1"/>
  <c r="J79" i="17" s="1"/>
  <c r="K79" i="17" s="1"/>
  <c r="L79" i="17" s="1"/>
  <c r="C59" i="17"/>
  <c r="D59" i="17" s="1"/>
  <c r="E59" i="17" s="1"/>
  <c r="F59" i="17" s="1"/>
  <c r="G59" i="17" s="1"/>
  <c r="H59" i="17" s="1"/>
  <c r="I59" i="17" s="1"/>
  <c r="J59" i="17" s="1"/>
  <c r="K59" i="17" s="1"/>
  <c r="L59" i="17" s="1"/>
  <c r="C11" i="17"/>
  <c r="D11" i="17" s="1"/>
  <c r="E11" i="17" s="1"/>
  <c r="F11" i="17" s="1"/>
  <c r="G11" i="17" s="1"/>
  <c r="H11" i="17" s="1"/>
  <c r="I11" i="17" s="1"/>
  <c r="J11" i="17" s="1"/>
  <c r="K11" i="17" s="1"/>
  <c r="L11" i="17" s="1"/>
  <c r="C8" i="23"/>
  <c r="B114" i="9"/>
  <c r="C114" i="9"/>
  <c r="B132" i="9"/>
  <c r="Q9" i="23"/>
  <c r="Q10" i="23" s="1"/>
  <c r="Q11" i="23" s="1"/>
  <c r="Q12" i="23" s="1"/>
  <c r="S9" i="23"/>
  <c r="S10" i="23" s="1"/>
  <c r="S11" i="23" s="1"/>
  <c r="S12" i="23" s="1"/>
  <c r="S13" i="23" s="1"/>
  <c r="Q13" i="23"/>
  <c r="N9" i="23"/>
  <c r="P9" i="23" s="1"/>
  <c r="K9" i="23"/>
  <c r="M9" i="23"/>
  <c r="K10" i="23"/>
  <c r="M10" i="23"/>
  <c r="K11" i="23"/>
  <c r="K12" i="23" s="1"/>
  <c r="K13" i="23" s="1"/>
  <c r="M11" i="23"/>
  <c r="M12" i="23" s="1"/>
  <c r="M13" i="23" s="1"/>
  <c r="H9" i="23"/>
  <c r="C23" i="23"/>
  <c r="C24" i="23"/>
  <c r="C25" i="23"/>
  <c r="C26" i="23" s="1"/>
  <c r="C27" i="23" s="1"/>
  <c r="C28" i="23" s="1"/>
  <c r="C29" i="23" s="1"/>
  <c r="C30" i="23" s="1"/>
  <c r="C31" i="23" s="1"/>
  <c r="C32" i="23" s="1"/>
  <c r="F23" i="23"/>
  <c r="F24" i="23"/>
  <c r="F25" i="23"/>
  <c r="F26" i="23"/>
  <c r="F27" i="23"/>
  <c r="F28" i="23"/>
  <c r="F29" i="23" s="1"/>
  <c r="F30" i="23" s="1"/>
  <c r="F31" i="23" s="1"/>
  <c r="F32" i="23" s="1"/>
  <c r="F33" i="23" s="1"/>
  <c r="H10" i="23"/>
  <c r="H11" i="23" s="1"/>
  <c r="H12" i="23"/>
  <c r="B120" i="9"/>
  <c r="C120" i="9" s="1"/>
  <c r="D120" i="9" s="1"/>
  <c r="E120" i="9" s="1"/>
  <c r="F120" i="9" s="1"/>
  <c r="G120" i="9" s="1"/>
  <c r="B136" i="9"/>
  <c r="B3" i="11"/>
  <c r="B5" i="11" s="1"/>
  <c r="D7" i="10"/>
  <c r="E7" i="10"/>
  <c r="F7" i="10"/>
  <c r="G7" i="10"/>
  <c r="H7" i="10"/>
  <c r="I7" i="10"/>
  <c r="J7" i="10"/>
  <c r="K7" i="10"/>
  <c r="C7" i="10"/>
  <c r="D6" i="10"/>
  <c r="E6" i="10"/>
  <c r="F6" i="10"/>
  <c r="G6" i="10"/>
  <c r="H6" i="10"/>
  <c r="I6" i="10"/>
  <c r="J6" i="10"/>
  <c r="K6" i="10"/>
  <c r="C6" i="10"/>
  <c r="C5" i="10"/>
  <c r="C8" i="10" s="1"/>
  <c r="D5" i="10"/>
  <c r="D8" i="10" s="1"/>
  <c r="E5" i="10"/>
  <c r="F5" i="10"/>
  <c r="G5" i="10"/>
  <c r="H5" i="10"/>
  <c r="I5" i="10"/>
  <c r="J5" i="10"/>
  <c r="J8" i="10" s="1"/>
  <c r="K5" i="10"/>
  <c r="K8" i="10" s="1"/>
  <c r="B5" i="10"/>
  <c r="C4" i="10"/>
  <c r="D4" i="10"/>
  <c r="E4" i="10"/>
  <c r="F4" i="10"/>
  <c r="G4" i="10"/>
  <c r="H4" i="10"/>
  <c r="I4" i="10"/>
  <c r="J4" i="10"/>
  <c r="K4" i="10"/>
  <c r="B4" i="10"/>
  <c r="B3" i="10"/>
  <c r="C3" i="10" s="1"/>
  <c r="D3" i="10" s="1"/>
  <c r="E3" i="10" s="1"/>
  <c r="F3" i="10" s="1"/>
  <c r="G3" i="10" s="1"/>
  <c r="H3" i="10" s="1"/>
  <c r="I3" i="10" s="1"/>
  <c r="J3" i="10" s="1"/>
  <c r="K3" i="10" s="1"/>
  <c r="B6" i="13"/>
  <c r="B7" i="13"/>
  <c r="C7" i="13"/>
  <c r="B9" i="3"/>
  <c r="K5" i="12"/>
  <c r="B8" i="3" s="1"/>
  <c r="A1" i="11"/>
  <c r="A1" i="10"/>
  <c r="A1" i="14"/>
  <c r="B17" i="13"/>
  <c r="A1" i="13"/>
  <c r="B5" i="13"/>
  <c r="C5" i="13"/>
  <c r="D1" i="6"/>
  <c r="O12" i="19"/>
  <c r="O11" i="19"/>
  <c r="O10" i="19"/>
  <c r="G7" i="12"/>
  <c r="G10" i="12"/>
  <c r="G11" i="12"/>
  <c r="G12" i="12"/>
  <c r="G15" i="12"/>
  <c r="G17" i="12"/>
  <c r="G18" i="12"/>
  <c r="G19" i="12"/>
  <c r="G23" i="12"/>
  <c r="G26" i="12"/>
  <c r="G27" i="12"/>
  <c r="G28" i="12"/>
  <c r="G31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K4" i="12" s="1"/>
  <c r="K6" i="12" s="1"/>
  <c r="G90" i="12"/>
  <c r="G91" i="12"/>
  <c r="F91" i="12"/>
  <c r="D91" i="12"/>
  <c r="F90" i="12"/>
  <c r="D90" i="12"/>
  <c r="F89" i="12"/>
  <c r="D89" i="12"/>
  <c r="F88" i="12"/>
  <c r="D88" i="12"/>
  <c r="F87" i="12"/>
  <c r="D87" i="12"/>
  <c r="F86" i="12"/>
  <c r="D86" i="12"/>
  <c r="F85" i="12"/>
  <c r="D85" i="12"/>
  <c r="F84" i="12"/>
  <c r="D84" i="12"/>
  <c r="F83" i="12"/>
  <c r="D83" i="12"/>
  <c r="F82" i="12"/>
  <c r="D82" i="12"/>
  <c r="F81" i="12"/>
  <c r="D81" i="12"/>
  <c r="F80" i="12"/>
  <c r="D80" i="12"/>
  <c r="F79" i="12"/>
  <c r="D79" i="12"/>
  <c r="F78" i="12"/>
  <c r="D78" i="12"/>
  <c r="F77" i="12"/>
  <c r="D77" i="12"/>
  <c r="F76" i="12"/>
  <c r="D76" i="12"/>
  <c r="F75" i="12"/>
  <c r="D75" i="12"/>
  <c r="F74" i="12"/>
  <c r="D74" i="12"/>
  <c r="F73" i="12"/>
  <c r="D73" i="12"/>
  <c r="F72" i="12"/>
  <c r="D72" i="12"/>
  <c r="F71" i="12"/>
  <c r="D71" i="12"/>
  <c r="F70" i="12"/>
  <c r="D70" i="12"/>
  <c r="F69" i="12"/>
  <c r="D69" i="12"/>
  <c r="F68" i="12"/>
  <c r="D68" i="12"/>
  <c r="F67" i="12"/>
  <c r="D67" i="12"/>
  <c r="F66" i="12"/>
  <c r="D66" i="12"/>
  <c r="F65" i="12"/>
  <c r="D65" i="12"/>
  <c r="F64" i="12"/>
  <c r="D64" i="12"/>
  <c r="F63" i="12"/>
  <c r="D63" i="12"/>
  <c r="F62" i="12"/>
  <c r="D62" i="12"/>
  <c r="F61" i="12"/>
  <c r="D61" i="12"/>
  <c r="F60" i="12"/>
  <c r="D60" i="12"/>
  <c r="F59" i="12"/>
  <c r="D59" i="12"/>
  <c r="F58" i="12"/>
  <c r="D58" i="12"/>
  <c r="F57" i="12"/>
  <c r="D57" i="12"/>
  <c r="F56" i="12"/>
  <c r="D56" i="12"/>
  <c r="F55" i="12"/>
  <c r="D55" i="12"/>
  <c r="F54" i="12"/>
  <c r="D54" i="12"/>
  <c r="F53" i="12"/>
  <c r="D53" i="12"/>
  <c r="F52" i="12"/>
  <c r="D52" i="12"/>
  <c r="F51" i="12"/>
  <c r="D51" i="12"/>
  <c r="F50" i="12"/>
  <c r="D50" i="12"/>
  <c r="F49" i="12"/>
  <c r="D49" i="12"/>
  <c r="F48" i="12"/>
  <c r="D48" i="12"/>
  <c r="F47" i="12"/>
  <c r="D47" i="12"/>
  <c r="F46" i="12"/>
  <c r="D46" i="12"/>
  <c r="F45" i="12"/>
  <c r="D45" i="12"/>
  <c r="F44" i="12"/>
  <c r="D44" i="12"/>
  <c r="F43" i="12"/>
  <c r="D43" i="12"/>
  <c r="F42" i="12"/>
  <c r="D42" i="12"/>
  <c r="F41" i="12"/>
  <c r="D41" i="12"/>
  <c r="F40" i="12"/>
  <c r="D40" i="12"/>
  <c r="F39" i="12"/>
  <c r="D39" i="12"/>
  <c r="F38" i="12"/>
  <c r="D38" i="12"/>
  <c r="F37" i="12"/>
  <c r="D37" i="12"/>
  <c r="F36" i="12"/>
  <c r="D36" i="12"/>
  <c r="F35" i="12"/>
  <c r="C35" i="12"/>
  <c r="F34" i="12"/>
  <c r="C34" i="12"/>
  <c r="F33" i="12"/>
  <c r="C33" i="12"/>
  <c r="G33" i="12" s="1"/>
  <c r="F32" i="12"/>
  <c r="C32" i="12"/>
  <c r="G32" i="12" s="1"/>
  <c r="F31" i="12"/>
  <c r="C31" i="12"/>
  <c r="F30" i="12"/>
  <c r="C30" i="12"/>
  <c r="G30" i="12" s="1"/>
  <c r="F29" i="12"/>
  <c r="C29" i="12"/>
  <c r="G29" i="12" s="1"/>
  <c r="F28" i="12"/>
  <c r="C28" i="12"/>
  <c r="F27" i="12"/>
  <c r="C27" i="12"/>
  <c r="F26" i="12"/>
  <c r="C26" i="12"/>
  <c r="F25" i="12"/>
  <c r="C25" i="12"/>
  <c r="G25" i="12" s="1"/>
  <c r="F24" i="12"/>
  <c r="C24" i="12"/>
  <c r="G24" i="12" s="1"/>
  <c r="F23" i="12"/>
  <c r="C23" i="12"/>
  <c r="F22" i="12"/>
  <c r="C22" i="12"/>
  <c r="G22" i="12" s="1"/>
  <c r="F21" i="12"/>
  <c r="C21" i="12"/>
  <c r="G21" i="12" s="1"/>
  <c r="F20" i="12"/>
  <c r="C20" i="12"/>
  <c r="G20" i="12" s="1"/>
  <c r="F19" i="12"/>
  <c r="C19" i="12"/>
  <c r="F18" i="12"/>
  <c r="C18" i="12"/>
  <c r="F17" i="12"/>
  <c r="C17" i="12"/>
  <c r="F16" i="12"/>
  <c r="C16" i="12"/>
  <c r="G16" i="12" s="1"/>
  <c r="F15" i="12"/>
  <c r="C15" i="12"/>
  <c r="F14" i="12"/>
  <c r="C14" i="12"/>
  <c r="G14" i="12" s="1"/>
  <c r="F13" i="12"/>
  <c r="C13" i="12"/>
  <c r="G13" i="12" s="1"/>
  <c r="F12" i="12"/>
  <c r="D12" i="12"/>
  <c r="F11" i="12"/>
  <c r="C11" i="12"/>
  <c r="F10" i="12"/>
  <c r="C10" i="12"/>
  <c r="F9" i="12"/>
  <c r="C9" i="12"/>
  <c r="G9" i="12" s="1"/>
  <c r="F8" i="12"/>
  <c r="C8" i="12"/>
  <c r="G8" i="12" s="1"/>
  <c r="F7" i="12"/>
  <c r="C7" i="12"/>
  <c r="F6" i="12"/>
  <c r="C6" i="12"/>
  <c r="G6" i="12" s="1"/>
  <c r="F5" i="12"/>
  <c r="C5" i="12"/>
  <c r="G5" i="12" s="1"/>
  <c r="F4" i="12"/>
  <c r="C4" i="12"/>
  <c r="G4" i="12" s="1"/>
  <c r="C3" i="12"/>
  <c r="K8" i="4"/>
  <c r="J8" i="4"/>
  <c r="K35" i="17" s="1"/>
  <c r="B106" i="9"/>
  <c r="C106" i="9" s="1"/>
  <c r="D106" i="9" s="1"/>
  <c r="E106" i="9" s="1"/>
  <c r="F106" i="9" s="1"/>
  <c r="G106" i="9" s="1"/>
  <c r="D96" i="9"/>
  <c r="D97" i="9"/>
  <c r="D98" i="9"/>
  <c r="D102" i="9"/>
  <c r="E96" i="9"/>
  <c r="E97" i="9"/>
  <c r="E98" i="9"/>
  <c r="E102" i="9"/>
  <c r="F96" i="9"/>
  <c r="F97" i="9"/>
  <c r="F98" i="9"/>
  <c r="F102" i="9"/>
  <c r="G96" i="9"/>
  <c r="G97" i="9"/>
  <c r="G98" i="9"/>
  <c r="G102" i="9"/>
  <c r="C96" i="9"/>
  <c r="C97" i="9"/>
  <c r="C98" i="9"/>
  <c r="C102" i="9"/>
  <c r="L40" i="17"/>
  <c r="B102" i="9"/>
  <c r="B99" i="9"/>
  <c r="B98" i="9"/>
  <c r="B97" i="9"/>
  <c r="B96" i="9"/>
  <c r="D39" i="17"/>
  <c r="J39" i="17"/>
  <c r="C39" i="17"/>
  <c r="C38" i="17"/>
  <c r="G49" i="17"/>
  <c r="H49" i="17"/>
  <c r="H47" i="17"/>
  <c r="G46" i="17"/>
  <c r="G44" i="17"/>
  <c r="H44" i="17"/>
  <c r="G41" i="17"/>
  <c r="H41" i="17"/>
  <c r="D40" i="17"/>
  <c r="E40" i="17"/>
  <c r="F40" i="17"/>
  <c r="G40" i="17"/>
  <c r="H40" i="17"/>
  <c r="I40" i="17"/>
  <c r="J40" i="17"/>
  <c r="K40" i="17"/>
  <c r="H36" i="17"/>
  <c r="G35" i="17"/>
  <c r="G33" i="17"/>
  <c r="H33" i="17"/>
  <c r="C51" i="17"/>
  <c r="C49" i="17"/>
  <c r="C47" i="17"/>
  <c r="C46" i="17"/>
  <c r="C43" i="17"/>
  <c r="C41" i="17"/>
  <c r="C40" i="17"/>
  <c r="C37" i="17"/>
  <c r="C36" i="17"/>
  <c r="C33" i="17"/>
  <c r="A3" i="23"/>
  <c r="J9" i="23"/>
  <c r="J10" i="23"/>
  <c r="J11" i="23" s="1"/>
  <c r="J12" i="23" s="1"/>
  <c r="G8" i="23"/>
  <c r="F9" i="23"/>
  <c r="G10" i="23"/>
  <c r="F10" i="23" s="1"/>
  <c r="G11" i="23"/>
  <c r="G5" i="23"/>
  <c r="F5" i="23" s="1"/>
  <c r="G4" i="23"/>
  <c r="G6" i="23"/>
  <c r="G7" i="23"/>
  <c r="F7" i="23" s="1"/>
  <c r="F8" i="23"/>
  <c r="G3" i="23"/>
  <c r="F4" i="23" s="1"/>
  <c r="C4" i="23"/>
  <c r="E4" i="23" s="1"/>
  <c r="C5" i="23"/>
  <c r="C6" i="23"/>
  <c r="C7" i="23"/>
  <c r="E8" i="23" s="1"/>
  <c r="C3" i="23"/>
  <c r="A4" i="23"/>
  <c r="A5" i="23" s="1"/>
  <c r="A6" i="23" s="1"/>
  <c r="A7" i="23" s="1"/>
  <c r="A8" i="23" s="1"/>
  <c r="A9" i="23" s="1"/>
  <c r="A10" i="23" s="1"/>
  <c r="A11" i="23" s="1"/>
  <c r="A12" i="23" s="1"/>
  <c r="A13" i="23" s="1"/>
  <c r="E6" i="23"/>
  <c r="E7" i="23"/>
  <c r="D5" i="23"/>
  <c r="D6" i="23"/>
  <c r="D7" i="23"/>
  <c r="D8" i="23"/>
  <c r="D4" i="23"/>
  <c r="C5" i="20"/>
  <c r="C6" i="20"/>
  <c r="C7" i="20"/>
  <c r="C8" i="20"/>
  <c r="C9" i="20"/>
  <c r="C10" i="20"/>
  <c r="C11" i="20"/>
  <c r="C12" i="20"/>
  <c r="C13" i="20"/>
  <c r="C4" i="20"/>
  <c r="B2" i="1"/>
  <c r="C44" i="17" s="1"/>
  <c r="C31" i="17"/>
  <c r="C119" i="21"/>
  <c r="F119" i="21"/>
  <c r="I119" i="21"/>
  <c r="C120" i="21"/>
  <c r="F120" i="21"/>
  <c r="I120" i="21"/>
  <c r="C121" i="21"/>
  <c r="F121" i="21"/>
  <c r="I121" i="21"/>
  <c r="C122" i="21"/>
  <c r="F122" i="21"/>
  <c r="I122" i="21"/>
  <c r="C123" i="21"/>
  <c r="F123" i="21"/>
  <c r="I123" i="21"/>
  <c r="C124" i="21"/>
  <c r="F124" i="21"/>
  <c r="I124" i="21"/>
  <c r="C125" i="21"/>
  <c r="F125" i="21"/>
  <c r="I125" i="21"/>
  <c r="C126" i="21"/>
  <c r="F126" i="21"/>
  <c r="I126" i="21"/>
  <c r="C127" i="21"/>
  <c r="F127" i="21"/>
  <c r="I127" i="21"/>
  <c r="C128" i="21"/>
  <c r="F128" i="21"/>
  <c r="I128" i="21"/>
  <c r="C129" i="21"/>
  <c r="F129" i="21"/>
  <c r="I129" i="21"/>
  <c r="C130" i="21"/>
  <c r="F130" i="21"/>
  <c r="I130" i="21"/>
  <c r="C131" i="21"/>
  <c r="F131" i="21"/>
  <c r="I131" i="21"/>
  <c r="C132" i="21"/>
  <c r="F132" i="21"/>
  <c r="I132" i="21"/>
  <c r="C133" i="21"/>
  <c r="F133" i="21"/>
  <c r="I133" i="21"/>
  <c r="C134" i="21"/>
  <c r="F134" i="21"/>
  <c r="I134" i="21"/>
  <c r="C135" i="21"/>
  <c r="F135" i="21"/>
  <c r="I135" i="21"/>
  <c r="C136" i="21"/>
  <c r="F136" i="21"/>
  <c r="I136" i="21"/>
  <c r="C137" i="21"/>
  <c r="F137" i="21"/>
  <c r="I137" i="21"/>
  <c r="C138" i="21"/>
  <c r="F138" i="21"/>
  <c r="I138" i="21"/>
  <c r="C139" i="21"/>
  <c r="F139" i="21"/>
  <c r="I139" i="21"/>
  <c r="C140" i="21"/>
  <c r="F140" i="21"/>
  <c r="I140" i="21"/>
  <c r="C141" i="21"/>
  <c r="F141" i="21"/>
  <c r="I141" i="21"/>
  <c r="C142" i="21"/>
  <c r="F142" i="21"/>
  <c r="I142" i="21"/>
  <c r="C143" i="21"/>
  <c r="F143" i="21"/>
  <c r="I143" i="21"/>
  <c r="C144" i="21"/>
  <c r="F144" i="21"/>
  <c r="I144" i="21"/>
  <c r="C145" i="21"/>
  <c r="F145" i="21"/>
  <c r="I145" i="21"/>
  <c r="C146" i="21"/>
  <c r="F146" i="21"/>
  <c r="I146" i="21"/>
  <c r="C147" i="21"/>
  <c r="F147" i="21"/>
  <c r="I147" i="21"/>
  <c r="C148" i="21"/>
  <c r="F148" i="21"/>
  <c r="I148" i="21"/>
  <c r="C149" i="21"/>
  <c r="F149" i="21"/>
  <c r="I149" i="21"/>
  <c r="C150" i="21"/>
  <c r="F150" i="21"/>
  <c r="I150" i="21"/>
  <c r="C151" i="21"/>
  <c r="F151" i="21"/>
  <c r="I151" i="21"/>
  <c r="C152" i="21"/>
  <c r="F152" i="21"/>
  <c r="I152" i="21"/>
  <c r="C153" i="21"/>
  <c r="F153" i="21"/>
  <c r="I153" i="21"/>
  <c r="C154" i="21"/>
  <c r="F154" i="21"/>
  <c r="I154" i="21"/>
  <c r="C155" i="21"/>
  <c r="F155" i="21"/>
  <c r="I155" i="21"/>
  <c r="C156" i="21"/>
  <c r="F156" i="21"/>
  <c r="I156" i="21"/>
  <c r="C157" i="21"/>
  <c r="F157" i="21"/>
  <c r="I157" i="21"/>
  <c r="C158" i="21"/>
  <c r="F158" i="21"/>
  <c r="I158" i="21"/>
  <c r="C159" i="21"/>
  <c r="F159" i="21"/>
  <c r="I159" i="21"/>
  <c r="C160" i="21"/>
  <c r="F160" i="21"/>
  <c r="I160" i="21"/>
  <c r="C161" i="21"/>
  <c r="F161" i="21"/>
  <c r="I161" i="21"/>
  <c r="C162" i="21"/>
  <c r="F162" i="21"/>
  <c r="I162" i="21"/>
  <c r="C163" i="21"/>
  <c r="F163" i="21"/>
  <c r="I163" i="21"/>
  <c r="C164" i="21"/>
  <c r="F164" i="21"/>
  <c r="I164" i="21"/>
  <c r="C165" i="21"/>
  <c r="F165" i="21"/>
  <c r="I165" i="21"/>
  <c r="C166" i="21"/>
  <c r="F166" i="21"/>
  <c r="I166" i="21"/>
  <c r="C167" i="21"/>
  <c r="F167" i="21"/>
  <c r="I167" i="21"/>
  <c r="C168" i="21"/>
  <c r="F168" i="21"/>
  <c r="I168" i="21"/>
  <c r="C169" i="21"/>
  <c r="F169" i="21"/>
  <c r="I169" i="21"/>
  <c r="C170" i="21"/>
  <c r="F170" i="21"/>
  <c r="I170" i="21"/>
  <c r="C171" i="21"/>
  <c r="F171" i="21"/>
  <c r="I171" i="21"/>
  <c r="C172" i="21"/>
  <c r="F172" i="21"/>
  <c r="I172" i="21"/>
  <c r="C173" i="21"/>
  <c r="F173" i="21"/>
  <c r="I173" i="21"/>
  <c r="C174" i="21"/>
  <c r="F174" i="21"/>
  <c r="I174" i="21"/>
  <c r="C175" i="21"/>
  <c r="F175" i="21"/>
  <c r="I175" i="21"/>
  <c r="C176" i="21"/>
  <c r="F176" i="21"/>
  <c r="I176" i="21"/>
  <c r="C177" i="21"/>
  <c r="F177" i="21"/>
  <c r="I177" i="21"/>
  <c r="C178" i="21"/>
  <c r="F178" i="21"/>
  <c r="I178" i="21"/>
  <c r="C179" i="21"/>
  <c r="F179" i="21"/>
  <c r="I179" i="21"/>
  <c r="C180" i="21"/>
  <c r="F180" i="21"/>
  <c r="I180" i="21"/>
  <c r="C181" i="21"/>
  <c r="F181" i="21"/>
  <c r="I181" i="21"/>
  <c r="C182" i="21"/>
  <c r="F182" i="21"/>
  <c r="I182" i="21"/>
  <c r="C183" i="21"/>
  <c r="F183" i="21"/>
  <c r="I183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4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5" i="21"/>
  <c r="C4" i="21"/>
  <c r="A1" i="20"/>
  <c r="A3" i="20"/>
  <c r="A4" i="20" s="1"/>
  <c r="A5" i="20" s="1"/>
  <c r="A6" i="20" s="1"/>
  <c r="A7" i="20" s="1"/>
  <c r="A8" i="20" s="1"/>
  <c r="A9" i="20" s="1"/>
  <c r="A10" i="20" s="1"/>
  <c r="A11" i="20" s="1"/>
  <c r="A12" i="20" s="1"/>
  <c r="A2" i="8"/>
  <c r="A3" i="8"/>
  <c r="A4" i="8" s="1"/>
  <c r="A5" i="8" s="1"/>
  <c r="A6" i="8" s="1"/>
  <c r="A7" i="8" s="1"/>
  <c r="A8" i="8" s="1"/>
  <c r="A9" i="8" s="1"/>
  <c r="A10" i="8" s="1"/>
  <c r="A11" i="8" s="1"/>
  <c r="D76" i="17"/>
  <c r="K76" i="17"/>
  <c r="C76" i="17"/>
  <c r="D75" i="17"/>
  <c r="C75" i="17"/>
  <c r="I69" i="17"/>
  <c r="G68" i="17"/>
  <c r="K68" i="17"/>
  <c r="C68" i="17"/>
  <c r="E67" i="17"/>
  <c r="E66" i="17"/>
  <c r="K65" i="17"/>
  <c r="C65" i="17"/>
  <c r="E26" i="17"/>
  <c r="G26" i="17"/>
  <c r="H26" i="17"/>
  <c r="C26" i="17"/>
  <c r="C24" i="17"/>
  <c r="D23" i="17"/>
  <c r="G23" i="17"/>
  <c r="I23" i="17"/>
  <c r="K23" i="17"/>
  <c r="C23" i="17"/>
  <c r="I22" i="17"/>
  <c r="I21" i="17"/>
  <c r="C1" i="17"/>
  <c r="D1" i="17" s="1"/>
  <c r="C20" i="17"/>
  <c r="E15" i="17"/>
  <c r="K15" i="17"/>
  <c r="D15" i="17"/>
  <c r="B1" i="4"/>
  <c r="C1" i="4"/>
  <c r="D1" i="4" s="1"/>
  <c r="E1" i="4" s="1"/>
  <c r="F1" i="4" s="1"/>
  <c r="G1" i="4" s="1"/>
  <c r="H1" i="4" s="1"/>
  <c r="I1" i="4" s="1"/>
  <c r="J1" i="4" s="1"/>
  <c r="K1" i="4" s="1"/>
  <c r="B1" i="1"/>
  <c r="C1" i="1"/>
  <c r="D1" i="1" s="1"/>
  <c r="E1" i="1" s="1"/>
  <c r="F1" i="1" s="1"/>
  <c r="G1" i="1" s="1"/>
  <c r="H1" i="1" s="1"/>
  <c r="I1" i="1" s="1"/>
  <c r="J1" i="1" s="1"/>
  <c r="K1" i="1" s="1"/>
  <c r="B1" i="7"/>
  <c r="C1" i="7" s="1"/>
  <c r="D1" i="7" s="1"/>
  <c r="E1" i="7" s="1"/>
  <c r="F1" i="7" s="1"/>
  <c r="G1" i="7" s="1"/>
  <c r="H1" i="7" s="1"/>
  <c r="I1" i="7" s="1"/>
  <c r="J1" i="7" s="1"/>
  <c r="K1" i="7" s="1"/>
  <c r="F53" i="7"/>
  <c r="E53" i="7"/>
  <c r="D53" i="7"/>
  <c r="C53" i="7"/>
  <c r="B24" i="7"/>
  <c r="B53" i="7" s="1"/>
  <c r="F13" i="7"/>
  <c r="F20" i="7" s="1"/>
  <c r="F22" i="7" s="1"/>
  <c r="F52" i="7" s="1"/>
  <c r="F54" i="7" s="1"/>
  <c r="E13" i="7"/>
  <c r="E20" i="7"/>
  <c r="E22" i="7"/>
  <c r="E52" i="7" s="1"/>
  <c r="D13" i="7"/>
  <c r="D20" i="7" s="1"/>
  <c r="D22" i="7" s="1"/>
  <c r="D52" i="7"/>
  <c r="D54" i="7" s="1"/>
  <c r="C13" i="7"/>
  <c r="C5" i="7"/>
  <c r="C20" i="7"/>
  <c r="C22" i="7" s="1"/>
  <c r="C52" i="7" s="1"/>
  <c r="B13" i="7"/>
  <c r="B20" i="7" s="1"/>
  <c r="B22" i="7" s="1"/>
  <c r="B52" i="7" s="1"/>
  <c r="B54" i="7" s="1"/>
  <c r="J50" i="7"/>
  <c r="I50" i="7"/>
  <c r="H50" i="7"/>
  <c r="G50" i="7"/>
  <c r="F50" i="7"/>
  <c r="E50" i="7"/>
  <c r="D50" i="7"/>
  <c r="C50" i="7"/>
  <c r="B50" i="7"/>
  <c r="K50" i="7"/>
  <c r="K13" i="7"/>
  <c r="K20" i="7"/>
  <c r="K22" i="7" s="1"/>
  <c r="K52" i="7" s="1"/>
  <c r="K54" i="7" s="1"/>
  <c r="K53" i="7"/>
  <c r="E54" i="7"/>
  <c r="C54" i="7"/>
  <c r="J43" i="7"/>
  <c r="J45" i="7" s="1"/>
  <c r="I43" i="7"/>
  <c r="I45" i="7"/>
  <c r="H43" i="7"/>
  <c r="H45" i="7" s="1"/>
  <c r="G43" i="7"/>
  <c r="G45" i="7"/>
  <c r="F43" i="7"/>
  <c r="F45" i="7"/>
  <c r="E43" i="7"/>
  <c r="E45" i="7"/>
  <c r="D43" i="7"/>
  <c r="D45" i="7" s="1"/>
  <c r="C43" i="7"/>
  <c r="C45" i="7" s="1"/>
  <c r="B43" i="7"/>
  <c r="B45" i="7" s="1"/>
  <c r="K43" i="7"/>
  <c r="K45" i="7"/>
  <c r="B31" i="7"/>
  <c r="B33" i="7" s="1"/>
  <c r="J31" i="7"/>
  <c r="J33" i="7"/>
  <c r="I31" i="7"/>
  <c r="I33" i="7"/>
  <c r="H31" i="7"/>
  <c r="H33" i="7" s="1"/>
  <c r="G31" i="7"/>
  <c r="G33" i="7"/>
  <c r="F31" i="7"/>
  <c r="F33" i="7"/>
  <c r="E31" i="7"/>
  <c r="E33" i="7" s="1"/>
  <c r="D31" i="7"/>
  <c r="D33" i="7" s="1"/>
  <c r="C31" i="7"/>
  <c r="C33" i="7"/>
  <c r="K31" i="7"/>
  <c r="K33" i="7" s="1"/>
  <c r="K7" i="1"/>
  <c r="K2" i="1"/>
  <c r="L65" i="17" s="1"/>
  <c r="B2" i="8"/>
  <c r="C2" i="1"/>
  <c r="D26" i="17" s="1"/>
  <c r="B3" i="8"/>
  <c r="C3" i="8" s="1"/>
  <c r="D2" i="1"/>
  <c r="B4" i="8"/>
  <c r="C4" i="8" s="1"/>
  <c r="E2" i="1"/>
  <c r="B5" i="8" s="1"/>
  <c r="F2" i="1"/>
  <c r="G50" i="17" s="1"/>
  <c r="B6" i="8"/>
  <c r="G2" i="1"/>
  <c r="B7" i="8"/>
  <c r="C7" i="8" s="1"/>
  <c r="H2" i="1"/>
  <c r="I39" i="17" s="1"/>
  <c r="I2" i="1"/>
  <c r="J50" i="17" s="1"/>
  <c r="J2" i="1"/>
  <c r="K38" i="17" s="1"/>
  <c r="B10" i="8"/>
  <c r="O59" i="17"/>
  <c r="D47" i="4"/>
  <c r="C47" i="4"/>
  <c r="C48" i="4" s="1"/>
  <c r="C50" i="4" s="1"/>
  <c r="B47" i="4"/>
  <c r="E47" i="4"/>
  <c r="F47" i="4"/>
  <c r="F48" i="4" s="1"/>
  <c r="B39" i="4"/>
  <c r="C52" i="17" s="1"/>
  <c r="C39" i="4"/>
  <c r="D39" i="4"/>
  <c r="E39" i="4"/>
  <c r="F39" i="4"/>
  <c r="F40" i="4" s="1"/>
  <c r="F41" i="4" s="1"/>
  <c r="G89" i="17" s="1"/>
  <c r="B33" i="4"/>
  <c r="C48" i="17" s="1"/>
  <c r="C33" i="4"/>
  <c r="D33" i="4"/>
  <c r="E48" i="17" s="1"/>
  <c r="E33" i="4"/>
  <c r="F33" i="4"/>
  <c r="G48" i="17" s="1"/>
  <c r="B30" i="4"/>
  <c r="C30" i="4"/>
  <c r="D30" i="4"/>
  <c r="E30" i="4"/>
  <c r="F30" i="4"/>
  <c r="G45" i="17" s="1"/>
  <c r="F34" i="4"/>
  <c r="E34" i="4"/>
  <c r="F85" i="17" s="1"/>
  <c r="C34" i="4"/>
  <c r="D85" i="17" s="1"/>
  <c r="E40" i="4"/>
  <c r="C40" i="4"/>
  <c r="B40" i="4"/>
  <c r="E41" i="4"/>
  <c r="F89" i="17" s="1"/>
  <c r="E48" i="4"/>
  <c r="D48" i="4"/>
  <c r="D50" i="4" s="1"/>
  <c r="E91" i="17" s="1"/>
  <c r="B48" i="4"/>
  <c r="F50" i="4"/>
  <c r="G90" i="17" s="1"/>
  <c r="E50" i="4"/>
  <c r="E51" i="4" s="1"/>
  <c r="B50" i="4"/>
  <c r="F6" i="4"/>
  <c r="F8" i="4"/>
  <c r="F19" i="4"/>
  <c r="F24" i="4"/>
  <c r="E19" i="4"/>
  <c r="E24" i="4"/>
  <c r="E7" i="4"/>
  <c r="E8" i="4"/>
  <c r="E14" i="4" s="1"/>
  <c r="D19" i="4"/>
  <c r="D24" i="4"/>
  <c r="D7" i="4"/>
  <c r="D8" i="4"/>
  <c r="C19" i="4"/>
  <c r="C24" i="4" s="1"/>
  <c r="C7" i="4"/>
  <c r="C8" i="4"/>
  <c r="B19" i="4"/>
  <c r="B24" i="4"/>
  <c r="B7" i="4"/>
  <c r="B8" i="4"/>
  <c r="C35" i="17" s="1"/>
  <c r="B14" i="4"/>
  <c r="B25" i="4" s="1"/>
  <c r="C16" i="1"/>
  <c r="C15" i="1" s="1"/>
  <c r="D24" i="17" s="1"/>
  <c r="D16" i="1"/>
  <c r="D15" i="1" s="1"/>
  <c r="F7" i="1"/>
  <c r="G21" i="17" s="1"/>
  <c r="F11" i="1"/>
  <c r="G22" i="17" s="1"/>
  <c r="F15" i="1"/>
  <c r="G24" i="17" s="1"/>
  <c r="E7" i="1"/>
  <c r="F67" i="17" s="1"/>
  <c r="E15" i="1"/>
  <c r="D7" i="1"/>
  <c r="E69" i="17" s="1"/>
  <c r="D11" i="1"/>
  <c r="E22" i="17" s="1"/>
  <c r="C7" i="1"/>
  <c r="C11" i="1"/>
  <c r="B15" i="1"/>
  <c r="B7" i="1"/>
  <c r="B11" i="1" s="1"/>
  <c r="J15" i="1"/>
  <c r="K24" i="17" s="1"/>
  <c r="J9" i="1"/>
  <c r="J7" i="1"/>
  <c r="K21" i="17" s="1"/>
  <c r="I15" i="1"/>
  <c r="I7" i="1"/>
  <c r="J69" i="17" s="1"/>
  <c r="I11" i="1"/>
  <c r="I20" i="1" s="1"/>
  <c r="J25" i="17" s="1"/>
  <c r="H15" i="1"/>
  <c r="I24" i="17" s="1"/>
  <c r="H7" i="1"/>
  <c r="I67" i="17" s="1"/>
  <c r="H11" i="1"/>
  <c r="H20" i="1"/>
  <c r="G7" i="1"/>
  <c r="H21" i="17" s="1"/>
  <c r="G15" i="1"/>
  <c r="H24" i="17" s="1"/>
  <c r="K15" i="1"/>
  <c r="L24" i="17" s="1"/>
  <c r="B9" i="9" s="1"/>
  <c r="K11" i="1"/>
  <c r="L22" i="17" s="1"/>
  <c r="N12" i="19"/>
  <c r="K7" i="12" s="1"/>
  <c r="N11" i="19"/>
  <c r="N10" i="19"/>
  <c r="A1" i="7"/>
  <c r="A1" i="4"/>
  <c r="A1" i="1"/>
  <c r="F5" i="6"/>
  <c r="H5" i="6" s="1"/>
  <c r="B6" i="6"/>
  <c r="F6" i="6"/>
  <c r="H6" i="6"/>
  <c r="B7" i="6"/>
  <c r="F7" i="6"/>
  <c r="H7" i="6"/>
  <c r="B8" i="6"/>
  <c r="H8" i="6" s="1"/>
  <c r="F8" i="6"/>
  <c r="B9" i="6"/>
  <c r="H9" i="6" s="1"/>
  <c r="F9" i="6"/>
  <c r="B10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4" i="6"/>
  <c r="H4" i="6"/>
  <c r="D5" i="6"/>
  <c r="G5" i="6"/>
  <c r="D6" i="6"/>
  <c r="G6" i="6" s="1"/>
  <c r="D7" i="6"/>
  <c r="G7" i="6"/>
  <c r="D8" i="6"/>
  <c r="G8" i="6" s="1"/>
  <c r="D9" i="6"/>
  <c r="G9" i="6" s="1"/>
  <c r="D10" i="6"/>
  <c r="G10" i="6" s="1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4" i="6"/>
  <c r="G4" i="6"/>
  <c r="K47" i="4"/>
  <c r="K39" i="4"/>
  <c r="L52" i="17" s="1"/>
  <c r="K30" i="4"/>
  <c r="K34" i="4" s="1"/>
  <c r="K41" i="4" s="1"/>
  <c r="K33" i="4"/>
  <c r="L48" i="17" s="1"/>
  <c r="B56" i="9"/>
  <c r="C56" i="9" s="1"/>
  <c r="D56" i="9" s="1"/>
  <c r="E56" i="9" s="1"/>
  <c r="F56" i="9" s="1"/>
  <c r="G56" i="9" s="1"/>
  <c r="K7" i="4"/>
  <c r="B36" i="9"/>
  <c r="C36" i="9"/>
  <c r="D36" i="9" s="1"/>
  <c r="E36" i="9" s="1"/>
  <c r="F36" i="9" s="1"/>
  <c r="G36" i="9" s="1"/>
  <c r="F1008" i="6"/>
  <c r="F1009" i="6"/>
  <c r="C2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001" i="6"/>
  <c r="D1002" i="6"/>
  <c r="D1003" i="6"/>
  <c r="D1004" i="6"/>
  <c r="D1005" i="6"/>
  <c r="D1006" i="6"/>
  <c r="D1007" i="6"/>
  <c r="D1008" i="6"/>
  <c r="D1009" i="6"/>
  <c r="A1" i="9"/>
  <c r="G47" i="4"/>
  <c r="G48" i="4"/>
  <c r="G50" i="4"/>
  <c r="G19" i="4"/>
  <c r="G24" i="4" s="1"/>
  <c r="G25" i="4" s="1"/>
  <c r="G7" i="4"/>
  <c r="G8" i="4"/>
  <c r="G14" i="4"/>
  <c r="J19" i="4"/>
  <c r="K75" i="17" s="1"/>
  <c r="J24" i="4"/>
  <c r="J7" i="4"/>
  <c r="J47" i="4"/>
  <c r="J48" i="4"/>
  <c r="J50" i="4"/>
  <c r="I19" i="4"/>
  <c r="I24" i="4" s="1"/>
  <c r="I25" i="4" s="1"/>
  <c r="I7" i="4"/>
  <c r="I14" i="4" s="1"/>
  <c r="I8" i="4"/>
  <c r="I47" i="4"/>
  <c r="I48" i="4"/>
  <c r="I50" i="4"/>
  <c r="H19" i="4"/>
  <c r="H24" i="4"/>
  <c r="H7" i="4"/>
  <c r="H14" i="4" s="1"/>
  <c r="H8" i="4"/>
  <c r="H47" i="4"/>
  <c r="H48" i="4"/>
  <c r="H50" i="4" s="1"/>
  <c r="K19" i="4"/>
  <c r="K24" i="4"/>
  <c r="J30" i="4"/>
  <c r="I30" i="4"/>
  <c r="I34" i="4" s="1"/>
  <c r="I41" i="4" s="1"/>
  <c r="H30" i="4"/>
  <c r="G30" i="4"/>
  <c r="J33" i="4"/>
  <c r="K48" i="17" s="1"/>
  <c r="I33" i="4"/>
  <c r="J48" i="17" s="1"/>
  <c r="H33" i="4"/>
  <c r="I48" i="17" s="1"/>
  <c r="G33" i="4"/>
  <c r="J39" i="4"/>
  <c r="K52" i="17" s="1"/>
  <c r="J40" i="4"/>
  <c r="I39" i="4"/>
  <c r="J52" i="17" s="1"/>
  <c r="I40" i="4"/>
  <c r="H39" i="4"/>
  <c r="G39" i="4"/>
  <c r="H52" i="17" s="1"/>
  <c r="K40" i="4"/>
  <c r="N20" i="17"/>
  <c r="J13" i="7"/>
  <c r="J20" i="7"/>
  <c r="J22" i="7" s="1"/>
  <c r="J52" i="7" s="1"/>
  <c r="J54" i="7" s="1"/>
  <c r="J53" i="7"/>
  <c r="I13" i="7"/>
  <c r="I20" i="7" s="1"/>
  <c r="I22" i="7" s="1"/>
  <c r="I52" i="7" s="1"/>
  <c r="I54" i="7" s="1"/>
  <c r="I53" i="7"/>
  <c r="H13" i="7"/>
  <c r="H20" i="7"/>
  <c r="H22" i="7" s="1"/>
  <c r="H52" i="7" s="1"/>
  <c r="H54" i="7" s="1"/>
  <c r="H53" i="7"/>
  <c r="G13" i="7"/>
  <c r="G20" i="7" s="1"/>
  <c r="G22" i="7" s="1"/>
  <c r="G52" i="7" s="1"/>
  <c r="G54" i="7" s="1"/>
  <c r="G53" i="7"/>
  <c r="C11" i="9"/>
  <c r="C24" i="9"/>
  <c r="C17" i="9"/>
  <c r="C27" i="9"/>
  <c r="C32" i="9"/>
  <c r="C20" i="9"/>
  <c r="C9" i="9"/>
  <c r="C21" i="9"/>
  <c r="C18" i="9"/>
  <c r="C8" i="9"/>
  <c r="C29" i="9"/>
  <c r="C19" i="9"/>
  <c r="C16" i="9"/>
  <c r="C34" i="9"/>
  <c r="C26" i="9"/>
  <c r="C31" i="9"/>
  <c r="C28" i="9"/>
  <c r="C7" i="9"/>
  <c r="C10" i="9"/>
  <c r="C23" i="9"/>
  <c r="C22" i="9"/>
  <c r="C30" i="9"/>
  <c r="C5" i="9"/>
  <c r="C33" i="9"/>
  <c r="C6" i="9"/>
  <c r="C12" i="9"/>
  <c r="C25" i="9"/>
  <c r="J91" i="17" l="1"/>
  <c r="J90" i="17"/>
  <c r="I51" i="4"/>
  <c r="J83" i="17"/>
  <c r="J63" i="17"/>
  <c r="H83" i="17"/>
  <c r="H63" i="17"/>
  <c r="I91" i="17"/>
  <c r="I90" i="17"/>
  <c r="H48" i="17"/>
  <c r="G34" i="4"/>
  <c r="J55" i="17"/>
  <c r="J6" i="17"/>
  <c r="J77" i="17"/>
  <c r="J89" i="17"/>
  <c r="F100" i="9"/>
  <c r="B100" i="9"/>
  <c r="E100" i="9"/>
  <c r="C100" i="9"/>
  <c r="G100" i="9"/>
  <c r="D100" i="9"/>
  <c r="K48" i="4"/>
  <c r="K50" i="4" s="1"/>
  <c r="I52" i="17"/>
  <c r="H40" i="4"/>
  <c r="H41" i="4" s="1"/>
  <c r="I89" i="17" s="1"/>
  <c r="I45" i="17"/>
  <c r="I70" i="17"/>
  <c r="H34" i="4"/>
  <c r="I83" i="17"/>
  <c r="I63" i="17"/>
  <c r="H25" i="4"/>
  <c r="H77" i="17"/>
  <c r="H6" i="17"/>
  <c r="H55" i="17"/>
  <c r="B6" i="14"/>
  <c r="B22" i="14" s="1"/>
  <c r="L89" i="17"/>
  <c r="H35" i="17"/>
  <c r="H68" i="17"/>
  <c r="K14" i="4"/>
  <c r="L85" i="17"/>
  <c r="L84" i="17"/>
  <c r="J45" i="17"/>
  <c r="J70" i="17"/>
  <c r="G40" i="4"/>
  <c r="G41" i="4" s="1"/>
  <c r="I35" i="17"/>
  <c r="I68" i="17"/>
  <c r="I71" i="17" s="1"/>
  <c r="J14" i="4"/>
  <c r="K90" i="17"/>
  <c r="K91" i="17"/>
  <c r="K45" i="17"/>
  <c r="K70" i="17"/>
  <c r="J25" i="4"/>
  <c r="H85" i="17"/>
  <c r="H84" i="17"/>
  <c r="J34" i="4"/>
  <c r="K85" i="17" s="1"/>
  <c r="K25" i="4"/>
  <c r="I85" i="17"/>
  <c r="I84" i="17"/>
  <c r="J68" i="17"/>
  <c r="J35" i="17"/>
  <c r="H90" i="17"/>
  <c r="H91" i="17"/>
  <c r="J85" i="17"/>
  <c r="J84" i="17"/>
  <c r="L45" i="17"/>
  <c r="L70" i="17"/>
  <c r="H45" i="17"/>
  <c r="H70" i="17"/>
  <c r="B34" i="9"/>
  <c r="C77" i="17"/>
  <c r="C55" i="17"/>
  <c r="C4" i="17"/>
  <c r="C6" i="17"/>
  <c r="C22" i="17"/>
  <c r="B20" i="1"/>
  <c r="C5" i="8"/>
  <c r="C6" i="8"/>
  <c r="D21" i="23"/>
  <c r="I9" i="23" s="1"/>
  <c r="C33" i="23"/>
  <c r="D22" i="17"/>
  <c r="C20" i="1"/>
  <c r="C41" i="4"/>
  <c r="D89" i="17" s="1"/>
  <c r="I25" i="17"/>
  <c r="H22" i="1"/>
  <c r="F83" i="17"/>
  <c r="F63" i="17"/>
  <c r="B11" i="6"/>
  <c r="H10" i="6"/>
  <c r="D20" i="1"/>
  <c r="E24" i="17"/>
  <c r="D84" i="17"/>
  <c r="K20" i="1"/>
  <c r="J11" i="1"/>
  <c r="D69" i="17"/>
  <c r="D67" i="17"/>
  <c r="D21" i="17"/>
  <c r="C14" i="4"/>
  <c r="F48" i="17"/>
  <c r="F15" i="17"/>
  <c r="D66" i="17"/>
  <c r="G91" i="17"/>
  <c r="J33" i="17"/>
  <c r="J42" i="17"/>
  <c r="K10" i="12"/>
  <c r="C69" i="17"/>
  <c r="C71" i="17" s="1"/>
  <c r="C21" i="17"/>
  <c r="D35" i="17"/>
  <c r="D68" i="17"/>
  <c r="F51" i="4"/>
  <c r="B9" i="8"/>
  <c r="B37" i="9"/>
  <c r="B49" i="9" s="1"/>
  <c r="L44" i="17"/>
  <c r="L33" i="17"/>
  <c r="B60" i="9" s="1"/>
  <c r="B11" i="8"/>
  <c r="C11" i="8" s="1"/>
  <c r="L42" i="17"/>
  <c r="C74" i="9" s="1"/>
  <c r="L31" i="17"/>
  <c r="B11" i="9" s="1"/>
  <c r="L38" i="17"/>
  <c r="B20" i="9" s="1"/>
  <c r="L41" i="17"/>
  <c r="L46" i="17"/>
  <c r="L47" i="17"/>
  <c r="L51" i="17"/>
  <c r="L39" i="17"/>
  <c r="L43" i="17"/>
  <c r="L23" i="17"/>
  <c r="B7" i="9" s="1"/>
  <c r="L76" i="17"/>
  <c r="B8" i="9" s="1"/>
  <c r="L68" i="17"/>
  <c r="L71" i="17" s="1"/>
  <c r="L4" i="17"/>
  <c r="L37" i="17"/>
  <c r="L26" i="17"/>
  <c r="B10" i="9" s="1"/>
  <c r="B45" i="9" s="1"/>
  <c r="L36" i="17"/>
  <c r="L34" i="17"/>
  <c r="J24" i="17"/>
  <c r="C67" i="17"/>
  <c r="F91" i="17"/>
  <c r="J44" i="17"/>
  <c r="G33" i="23"/>
  <c r="R10" i="23" s="1"/>
  <c r="F34" i="23"/>
  <c r="F35" i="23" s="1"/>
  <c r="F36" i="23" s="1"/>
  <c r="F37" i="23" s="1"/>
  <c r="F38" i="23" s="1"/>
  <c r="F39" i="23" s="1"/>
  <c r="F40" i="23" s="1"/>
  <c r="F41" i="23" s="1"/>
  <c r="F42" i="23" s="1"/>
  <c r="F43" i="23" s="1"/>
  <c r="F44" i="23" s="1"/>
  <c r="F45" i="23" s="1"/>
  <c r="F35" i="17"/>
  <c r="F84" i="17"/>
  <c r="F68" i="17"/>
  <c r="F71" i="17" s="1"/>
  <c r="J38" i="17"/>
  <c r="J49" i="17"/>
  <c r="J41" i="17"/>
  <c r="J46" i="17"/>
  <c r="J4" i="17"/>
  <c r="J51" i="17"/>
  <c r="J43" i="17"/>
  <c r="J26" i="17"/>
  <c r="J37" i="17"/>
  <c r="J34" i="17"/>
  <c r="J15" i="17"/>
  <c r="F39" i="17"/>
  <c r="F38" i="17"/>
  <c r="F51" i="17"/>
  <c r="F50" i="17"/>
  <c r="F49" i="17"/>
  <c r="F47" i="17"/>
  <c r="F46" i="17"/>
  <c r="F44" i="17"/>
  <c r="F43" i="17"/>
  <c r="F42" i="17"/>
  <c r="F41" i="17"/>
  <c r="F37" i="17"/>
  <c r="F36" i="17"/>
  <c r="F34" i="17"/>
  <c r="F33" i="17"/>
  <c r="F31" i="17"/>
  <c r="F64" i="17"/>
  <c r="F76" i="17"/>
  <c r="F75" i="17"/>
  <c r="F65" i="17"/>
  <c r="F23" i="17"/>
  <c r="E11" i="1"/>
  <c r="L21" i="17"/>
  <c r="B6" i="9" s="1"/>
  <c r="L69" i="17"/>
  <c r="L67" i="17"/>
  <c r="J65" i="17"/>
  <c r="K67" i="17"/>
  <c r="G71" i="17"/>
  <c r="J76" i="17"/>
  <c r="I22" i="1"/>
  <c r="F20" i="1"/>
  <c r="F7" i="4"/>
  <c r="G34" i="17"/>
  <c r="F45" i="17"/>
  <c r="F70" i="17"/>
  <c r="I51" i="17"/>
  <c r="I50" i="17"/>
  <c r="I49" i="17"/>
  <c r="I47" i="17"/>
  <c r="I46" i="17"/>
  <c r="I44" i="17"/>
  <c r="I43" i="17"/>
  <c r="I42" i="17"/>
  <c r="I41" i="17"/>
  <c r="I37" i="17"/>
  <c r="I36" i="17"/>
  <c r="I34" i="17"/>
  <c r="I33" i="17"/>
  <c r="I31" i="17"/>
  <c r="I76" i="17"/>
  <c r="I26" i="17"/>
  <c r="I38" i="17"/>
  <c r="I15" i="17"/>
  <c r="I75" i="17"/>
  <c r="I65" i="17"/>
  <c r="J23" i="17"/>
  <c r="L64" i="17"/>
  <c r="D65" i="17"/>
  <c r="K69" i="17"/>
  <c r="K71" i="17" s="1"/>
  <c r="J31" i="17"/>
  <c r="L49" i="17"/>
  <c r="G21" i="23"/>
  <c r="R9" i="23" s="1"/>
  <c r="E25" i="4"/>
  <c r="F4" i="17" s="1"/>
  <c r="E45" i="17"/>
  <c r="E70" i="17"/>
  <c r="D34" i="4"/>
  <c r="E85" i="17" s="1"/>
  <c r="D91" i="17"/>
  <c r="D90" i="17"/>
  <c r="F21" i="17"/>
  <c r="C66" i="17"/>
  <c r="L75" i="17"/>
  <c r="F11" i="23"/>
  <c r="G12" i="23"/>
  <c r="J36" i="17"/>
  <c r="G52" i="17"/>
  <c r="L50" i="17"/>
  <c r="L35" i="17"/>
  <c r="G11" i="1"/>
  <c r="H67" i="17"/>
  <c r="H66" i="17"/>
  <c r="J66" i="17"/>
  <c r="J21" i="17"/>
  <c r="J67" i="17"/>
  <c r="F24" i="17"/>
  <c r="E35" i="17"/>
  <c r="E68" i="17"/>
  <c r="E71" i="17" s="1"/>
  <c r="C91" i="17"/>
  <c r="C90" i="17"/>
  <c r="D45" i="17"/>
  <c r="D70" i="17"/>
  <c r="F52" i="17"/>
  <c r="F26" i="17"/>
  <c r="J64" i="17"/>
  <c r="L66" i="17"/>
  <c r="F90" i="17"/>
  <c r="B8" i="8"/>
  <c r="C8" i="8" s="1"/>
  <c r="J47" i="17"/>
  <c r="F66" i="17"/>
  <c r="F69" i="17"/>
  <c r="G67" i="17"/>
  <c r="G66" i="17"/>
  <c r="G69" i="17"/>
  <c r="E84" i="17"/>
  <c r="D14" i="4"/>
  <c r="B34" i="4"/>
  <c r="B41" i="4" s="1"/>
  <c r="C45" i="17"/>
  <c r="C70" i="17"/>
  <c r="E52" i="17"/>
  <c r="D40" i="4"/>
  <c r="L15" i="17"/>
  <c r="J22" i="17"/>
  <c r="I64" i="17"/>
  <c r="K66" i="17"/>
  <c r="H69" i="17"/>
  <c r="J75" i="17"/>
  <c r="E90" i="17"/>
  <c r="E5" i="23"/>
  <c r="P10" i="23"/>
  <c r="P11" i="23" s="1"/>
  <c r="P12" i="23" s="1"/>
  <c r="P13" i="23" s="1"/>
  <c r="D52" i="17"/>
  <c r="H39" i="17"/>
  <c r="H75" i="17"/>
  <c r="H65" i="17"/>
  <c r="E39" i="17"/>
  <c r="E38" i="17"/>
  <c r="E51" i="17"/>
  <c r="E50" i="17"/>
  <c r="E49" i="17"/>
  <c r="E47" i="17"/>
  <c r="E46" i="17"/>
  <c r="E44" i="17"/>
  <c r="E43" i="17"/>
  <c r="E42" i="17"/>
  <c r="E41" i="17"/>
  <c r="E37" i="17"/>
  <c r="E36" i="17"/>
  <c r="E34" i="17"/>
  <c r="E33" i="17"/>
  <c r="E31" i="17"/>
  <c r="E21" i="17"/>
  <c r="H23" i="17"/>
  <c r="H64" i="17"/>
  <c r="I66" i="17"/>
  <c r="G70" i="17"/>
  <c r="H76" i="17"/>
  <c r="H31" i="17"/>
  <c r="G36" i="17"/>
  <c r="H42" i="17"/>
  <c r="G47" i="17"/>
  <c r="H50" i="17"/>
  <c r="B101" i="9"/>
  <c r="B103" i="9" s="1"/>
  <c r="K26" i="17"/>
  <c r="G65" i="17"/>
  <c r="G75" i="17"/>
  <c r="G76" i="17"/>
  <c r="G31" i="17"/>
  <c r="F6" i="23"/>
  <c r="H34" i="17"/>
  <c r="G42" i="17"/>
  <c r="H13" i="23"/>
  <c r="K39" i="17"/>
  <c r="K51" i="17"/>
  <c r="K50" i="17"/>
  <c r="K49" i="17"/>
  <c r="K47" i="17"/>
  <c r="K46" i="17"/>
  <c r="K44" i="17"/>
  <c r="K43" i="17"/>
  <c r="K42" i="17"/>
  <c r="K41" i="17"/>
  <c r="K37" i="17"/>
  <c r="K36" i="17"/>
  <c r="K34" i="17"/>
  <c r="K33" i="17"/>
  <c r="K31" i="17"/>
  <c r="D38" i="17"/>
  <c r="D51" i="17"/>
  <c r="D50" i="17"/>
  <c r="D49" i="17"/>
  <c r="D47" i="17"/>
  <c r="D46" i="17"/>
  <c r="D44" i="17"/>
  <c r="D43" i="17"/>
  <c r="D42" i="17"/>
  <c r="D41" i="17"/>
  <c r="D37" i="17"/>
  <c r="D36" i="17"/>
  <c r="D34" i="17"/>
  <c r="D33" i="17"/>
  <c r="D31" i="17"/>
  <c r="H15" i="17"/>
  <c r="J13" i="23"/>
  <c r="H37" i="17"/>
  <c r="F8" i="10"/>
  <c r="B11" i="3"/>
  <c r="B7" i="14"/>
  <c r="B25" i="14" s="1"/>
  <c r="D48" i="17"/>
  <c r="G39" i="17"/>
  <c r="G38" i="17"/>
  <c r="H4" i="17"/>
  <c r="G15" i="17"/>
  <c r="E23" i="17"/>
  <c r="E65" i="17"/>
  <c r="E75" i="17"/>
  <c r="E76" i="17"/>
  <c r="G37" i="17"/>
  <c r="H43" i="17"/>
  <c r="H51" i="17"/>
  <c r="H38" i="17"/>
  <c r="B15" i="14"/>
  <c r="B16" i="14"/>
  <c r="G43" i="17"/>
  <c r="H46" i="17"/>
  <c r="G51" i="17"/>
  <c r="C42" i="17"/>
  <c r="C50" i="17"/>
  <c r="I8" i="10"/>
  <c r="C34" i="17"/>
  <c r="B9" i="13"/>
  <c r="H8" i="10"/>
  <c r="B10" i="10" s="1"/>
  <c r="B9" i="14"/>
  <c r="G8" i="10"/>
  <c r="N10" i="23"/>
  <c r="N11" i="23" s="1"/>
  <c r="N12" i="23" s="1"/>
  <c r="N13" i="23" s="1"/>
  <c r="E8" i="10"/>
  <c r="E1" i="17"/>
  <c r="D20" i="17"/>
  <c r="B66" i="9"/>
  <c r="G74" i="9"/>
  <c r="E74" i="9"/>
  <c r="D74" i="9"/>
  <c r="B17" i="9"/>
  <c r="B19" i="9"/>
  <c r="B22" i="9"/>
  <c r="B26" i="9"/>
  <c r="B24" i="9"/>
  <c r="B29" i="9"/>
  <c r="B27" i="9"/>
  <c r="B32" i="9"/>
  <c r="C75" i="9"/>
  <c r="B83" i="9"/>
  <c r="B23" i="14"/>
  <c r="B74" i="9"/>
  <c r="B70" i="9"/>
  <c r="G75" i="9"/>
  <c r="F74" i="9"/>
  <c r="E75" i="9"/>
  <c r="D75" i="9"/>
  <c r="B16" i="9"/>
  <c r="B18" i="9"/>
  <c r="B21" i="9"/>
  <c r="B30" i="9"/>
  <c r="B63" i="9"/>
  <c r="B51" i="4" l="1"/>
  <c r="C89" i="17"/>
  <c r="E63" i="17"/>
  <c r="E83" i="17"/>
  <c r="B43" i="9"/>
  <c r="D25" i="4"/>
  <c r="B85" i="9"/>
  <c r="B76" i="9"/>
  <c r="B38" i="9"/>
  <c r="B39" i="9" s="1"/>
  <c r="D41" i="4"/>
  <c r="C85" i="17"/>
  <c r="J20" i="1"/>
  <c r="K22" i="17"/>
  <c r="J71" i="17"/>
  <c r="C9" i="8"/>
  <c r="B22" i="1"/>
  <c r="C25" i="17"/>
  <c r="B33" i="9"/>
  <c r="G20" i="1"/>
  <c r="H22" i="17"/>
  <c r="C83" i="17"/>
  <c r="C63" i="17"/>
  <c r="D71" i="17"/>
  <c r="L25" i="17"/>
  <c r="K22" i="1"/>
  <c r="C34" i="23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H89" i="17"/>
  <c r="G51" i="4"/>
  <c r="F12" i="23"/>
  <c r="G13" i="23"/>
  <c r="F13" i="23" s="1"/>
  <c r="B65" i="9"/>
  <c r="K77" i="17"/>
  <c r="K55" i="17"/>
  <c r="K4" i="17"/>
  <c r="K6" i="17"/>
  <c r="H71" i="17"/>
  <c r="J41" i="4"/>
  <c r="B42" i="9"/>
  <c r="B108" i="9" s="1"/>
  <c r="E64" i="17"/>
  <c r="F77" i="17"/>
  <c r="F55" i="17"/>
  <c r="F6" i="17"/>
  <c r="G85" i="17"/>
  <c r="G84" i="17"/>
  <c r="F14" i="4"/>
  <c r="C64" i="17"/>
  <c r="B61" i="9"/>
  <c r="B62" i="9" s="1"/>
  <c r="B67" i="9" s="1"/>
  <c r="B25" i="9"/>
  <c r="B75" i="9"/>
  <c r="F75" i="9"/>
  <c r="H38" i="1"/>
  <c r="H37" i="1"/>
  <c r="I29" i="17" s="1"/>
  <c r="H24" i="1"/>
  <c r="L9" i="23"/>
  <c r="O9" i="23"/>
  <c r="C9" i="23"/>
  <c r="E9" i="23" s="1"/>
  <c r="B28" i="9"/>
  <c r="B84" i="9"/>
  <c r="B23" i="9"/>
  <c r="B73" i="9"/>
  <c r="H11" i="6"/>
  <c r="B12" i="6"/>
  <c r="G11" i="6"/>
  <c r="B64" i="9"/>
  <c r="B111" i="9" s="1"/>
  <c r="B90" i="9"/>
  <c r="C84" i="17"/>
  <c r="G25" i="17"/>
  <c r="F22" i="1"/>
  <c r="F46" i="23"/>
  <c r="F47" i="23" s="1"/>
  <c r="F48" i="23" s="1"/>
  <c r="F49" i="23" s="1"/>
  <c r="F50" i="23" s="1"/>
  <c r="F51" i="23" s="1"/>
  <c r="F52" i="23" s="1"/>
  <c r="F53" i="23" s="1"/>
  <c r="F54" i="23" s="1"/>
  <c r="F55" i="23" s="1"/>
  <c r="F56" i="23" s="1"/>
  <c r="F57" i="23" s="1"/>
  <c r="G45" i="23"/>
  <c r="R11" i="23" s="1"/>
  <c r="L77" i="17"/>
  <c r="B31" i="9" s="1"/>
  <c r="L55" i="17"/>
  <c r="L6" i="17"/>
  <c r="I38" i="1"/>
  <c r="I24" i="1"/>
  <c r="I37" i="1"/>
  <c r="J29" i="17" s="1"/>
  <c r="F22" i="17"/>
  <c r="E20" i="1"/>
  <c r="B91" i="9"/>
  <c r="D63" i="17"/>
  <c r="D83" i="17"/>
  <c r="C25" i="4"/>
  <c r="K84" i="17"/>
  <c r="B86" i="9"/>
  <c r="B87" i="9" s="1"/>
  <c r="B41" i="9"/>
  <c r="D64" i="17"/>
  <c r="C51" i="4"/>
  <c r="B10" i="14"/>
  <c r="B18" i="14" s="1"/>
  <c r="B10" i="3"/>
  <c r="D22" i="1"/>
  <c r="E25" i="17"/>
  <c r="C22" i="1"/>
  <c r="D25" i="17"/>
  <c r="C10" i="8"/>
  <c r="B92" i="9"/>
  <c r="H51" i="4"/>
  <c r="K83" i="17"/>
  <c r="K64" i="17"/>
  <c r="K63" i="17"/>
  <c r="L63" i="17"/>
  <c r="L83" i="17"/>
  <c r="I77" i="17"/>
  <c r="I55" i="17"/>
  <c r="I4" i="17"/>
  <c r="I6" i="17"/>
  <c r="L91" i="17"/>
  <c r="L90" i="17"/>
  <c r="K51" i="4"/>
  <c r="F1" i="17"/>
  <c r="E20" i="17"/>
  <c r="B44" i="9"/>
  <c r="B46" i="9" s="1"/>
  <c r="B71" i="9"/>
  <c r="B72" i="9" s="1"/>
  <c r="C46" i="23" l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D45" i="23"/>
  <c r="I11" i="23" s="1"/>
  <c r="D38" i="1"/>
  <c r="D24" i="1"/>
  <c r="D37" i="1"/>
  <c r="E29" i="17" s="1"/>
  <c r="D33" i="23"/>
  <c r="I10" i="23" s="1"/>
  <c r="O10" i="23" s="1"/>
  <c r="O11" i="23" s="1"/>
  <c r="H12" i="6"/>
  <c r="B13" i="6"/>
  <c r="G12" i="6"/>
  <c r="K38" i="1"/>
  <c r="K24" i="1"/>
  <c r="K37" i="1"/>
  <c r="L29" i="17" s="1"/>
  <c r="B38" i="1"/>
  <c r="B24" i="1"/>
  <c r="B37" i="1"/>
  <c r="C29" i="17" s="1"/>
  <c r="B112" i="9"/>
  <c r="B110" i="9" s="1"/>
  <c r="J95" i="17"/>
  <c r="J30" i="17"/>
  <c r="J3" i="17"/>
  <c r="J5" i="17" s="1"/>
  <c r="J8" i="17" s="1"/>
  <c r="I54" i="17"/>
  <c r="I28" i="17"/>
  <c r="H26" i="1"/>
  <c r="H29" i="1" s="1"/>
  <c r="G83" i="17"/>
  <c r="G63" i="17"/>
  <c r="F25" i="4"/>
  <c r="G64" i="17"/>
  <c r="K89" i="17"/>
  <c r="J51" i="4"/>
  <c r="E22" i="1"/>
  <c r="F25" i="17"/>
  <c r="B9" i="23"/>
  <c r="D9" i="23" s="1"/>
  <c r="F58" i="23"/>
  <c r="F59" i="23" s="1"/>
  <c r="F60" i="23" s="1"/>
  <c r="F61" i="23" s="1"/>
  <c r="F62" i="23" s="1"/>
  <c r="F63" i="23" s="1"/>
  <c r="F64" i="23" s="1"/>
  <c r="F65" i="23" s="1"/>
  <c r="F66" i="23" s="1"/>
  <c r="F67" i="23" s="1"/>
  <c r="F68" i="23" s="1"/>
  <c r="F69" i="23" s="1"/>
  <c r="D77" i="17"/>
  <c r="D6" i="17"/>
  <c r="D55" i="17"/>
  <c r="D4" i="17"/>
  <c r="L10" i="23"/>
  <c r="L11" i="23" s="1"/>
  <c r="J28" i="17"/>
  <c r="J54" i="17"/>
  <c r="I26" i="1"/>
  <c r="I29" i="1" s="1"/>
  <c r="F38" i="1"/>
  <c r="F37" i="1"/>
  <c r="G29" i="17" s="1"/>
  <c r="F24" i="1"/>
  <c r="I30" i="17"/>
  <c r="I3" i="17"/>
  <c r="I5" i="17" s="1"/>
  <c r="I8" i="17" s="1"/>
  <c r="I95" i="17"/>
  <c r="E77" i="17"/>
  <c r="E55" i="17"/>
  <c r="E4" i="17"/>
  <c r="E6" i="17"/>
  <c r="H25" i="17"/>
  <c r="G22" i="1"/>
  <c r="E89" i="17"/>
  <c r="D51" i="4"/>
  <c r="B77" i="9"/>
  <c r="B78" i="9" s="1"/>
  <c r="B89" i="9" s="1"/>
  <c r="E7" i="9" s="1"/>
  <c r="C24" i="1"/>
  <c r="C37" i="1"/>
  <c r="D29" i="17" s="1"/>
  <c r="C38" i="1"/>
  <c r="K25" i="17"/>
  <c r="J22" i="1"/>
  <c r="B93" i="9"/>
  <c r="B94" i="9" s="1"/>
  <c r="B104" i="9" s="1"/>
  <c r="G1" i="17"/>
  <c r="F20" i="17"/>
  <c r="D95" i="17" l="1"/>
  <c r="D30" i="17"/>
  <c r="D3" i="17"/>
  <c r="D5" i="17" s="1"/>
  <c r="D8" i="17" s="1"/>
  <c r="I99" i="17"/>
  <c r="I57" i="17"/>
  <c r="I56" i="17"/>
  <c r="I27" i="17"/>
  <c r="H33" i="1"/>
  <c r="H32" i="1"/>
  <c r="D54" i="17"/>
  <c r="C26" i="1"/>
  <c r="C29" i="1" s="1"/>
  <c r="D28" i="17"/>
  <c r="E54" i="17"/>
  <c r="E28" i="17"/>
  <c r="D26" i="1"/>
  <c r="D29" i="1" s="1"/>
  <c r="G95" i="17"/>
  <c r="G30" i="17"/>
  <c r="G3" i="17"/>
  <c r="L54" i="17"/>
  <c r="B12" i="9" s="1"/>
  <c r="L28" i="17"/>
  <c r="K26" i="1"/>
  <c r="K29" i="1" s="1"/>
  <c r="C89" i="9"/>
  <c r="J57" i="17"/>
  <c r="J16" i="17"/>
  <c r="J99" i="17"/>
  <c r="J56" i="17"/>
  <c r="J27" i="17"/>
  <c r="I33" i="1"/>
  <c r="I32" i="1"/>
  <c r="F70" i="23"/>
  <c r="F71" i="23" s="1"/>
  <c r="F72" i="23" s="1"/>
  <c r="F73" i="23" s="1"/>
  <c r="F74" i="23" s="1"/>
  <c r="F75" i="23" s="1"/>
  <c r="F76" i="23" s="1"/>
  <c r="F77" i="23" s="1"/>
  <c r="F78" i="23" s="1"/>
  <c r="F79" i="23" s="1"/>
  <c r="F80" i="23" s="1"/>
  <c r="G69" i="23"/>
  <c r="R13" i="23" s="1"/>
  <c r="L95" i="17"/>
  <c r="L3" i="17"/>
  <c r="L5" i="17" s="1"/>
  <c r="L8" i="17" s="1"/>
  <c r="L30" i="17"/>
  <c r="C11" i="23"/>
  <c r="E11" i="23" s="1"/>
  <c r="G38" i="1"/>
  <c r="G24" i="1"/>
  <c r="G37" i="1"/>
  <c r="H29" i="17" s="1"/>
  <c r="C54" i="17"/>
  <c r="C28" i="17"/>
  <c r="B26" i="1"/>
  <c r="B29" i="1" s="1"/>
  <c r="G54" i="17"/>
  <c r="G28" i="17"/>
  <c r="F26" i="1"/>
  <c r="F29" i="1" s="1"/>
  <c r="E38" i="1"/>
  <c r="E24" i="1"/>
  <c r="E37" i="1"/>
  <c r="F29" i="17" s="1"/>
  <c r="C95" i="17"/>
  <c r="C3" i="17"/>
  <c r="C5" i="17" s="1"/>
  <c r="C8" i="17" s="1"/>
  <c r="C30" i="17"/>
  <c r="J38" i="1"/>
  <c r="J24" i="1"/>
  <c r="J37" i="1"/>
  <c r="K29" i="17" s="1"/>
  <c r="G57" i="23"/>
  <c r="R12" i="23" s="1"/>
  <c r="G77" i="17"/>
  <c r="G4" i="17"/>
  <c r="G55" i="17"/>
  <c r="G6" i="17"/>
  <c r="C58" i="23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D57" i="23"/>
  <c r="I12" i="23" s="1"/>
  <c r="C10" i="23"/>
  <c r="E10" i="23" s="1"/>
  <c r="E95" i="17"/>
  <c r="E30" i="17"/>
  <c r="E3" i="17"/>
  <c r="E5" i="17" s="1"/>
  <c r="E8" i="17" s="1"/>
  <c r="H13" i="6"/>
  <c r="B14" i="6"/>
  <c r="G13" i="6"/>
  <c r="H1" i="17"/>
  <c r="G20" i="17"/>
  <c r="G57" i="17" l="1"/>
  <c r="F32" i="1"/>
  <c r="G27" i="17"/>
  <c r="G56" i="17"/>
  <c r="G99" i="17"/>
  <c r="F33" i="1"/>
  <c r="D69" i="23"/>
  <c r="I13" i="23" s="1"/>
  <c r="C70" i="23"/>
  <c r="C71" i="23" s="1"/>
  <c r="C72" i="23" s="1"/>
  <c r="C73" i="23" s="1"/>
  <c r="C74" i="23" s="1"/>
  <c r="C75" i="23" s="1"/>
  <c r="C76" i="23" s="1"/>
  <c r="C77" i="23" s="1"/>
  <c r="C78" i="23" s="1"/>
  <c r="C79" i="23" s="1"/>
  <c r="C80" i="23" s="1"/>
  <c r="D57" i="17"/>
  <c r="D27" i="17"/>
  <c r="D99" i="17"/>
  <c r="D56" i="17"/>
  <c r="C33" i="1"/>
  <c r="C32" i="1"/>
  <c r="D16" i="17"/>
  <c r="G5" i="17"/>
  <c r="G8" i="17" s="1"/>
  <c r="K54" i="17"/>
  <c r="K28" i="17"/>
  <c r="J26" i="1"/>
  <c r="J29" i="1" s="1"/>
  <c r="H30" i="17"/>
  <c r="H3" i="17"/>
  <c r="H5" i="17" s="1"/>
  <c r="H8" i="17" s="1"/>
  <c r="H95" i="17"/>
  <c r="H14" i="6"/>
  <c r="B15" i="6"/>
  <c r="G14" i="6"/>
  <c r="K95" i="17"/>
  <c r="K30" i="17"/>
  <c r="K3" i="17"/>
  <c r="K5" i="17" s="1"/>
  <c r="K8" i="17" s="1"/>
  <c r="B11" i="23"/>
  <c r="D11" i="23" s="1"/>
  <c r="B47" i="9"/>
  <c r="B48" i="9" s="1"/>
  <c r="C99" i="17"/>
  <c r="C57" i="17"/>
  <c r="C56" i="17"/>
  <c r="C27" i="17"/>
  <c r="B32" i="1"/>
  <c r="B33" i="1"/>
  <c r="B10" i="23"/>
  <c r="D10" i="23" s="1"/>
  <c r="F54" i="17"/>
  <c r="E26" i="1"/>
  <c r="E29" i="1" s="1"/>
  <c r="G16" i="17" s="1"/>
  <c r="F28" i="17"/>
  <c r="E57" i="17"/>
  <c r="E27" i="17"/>
  <c r="E99" i="17"/>
  <c r="E56" i="17"/>
  <c r="E16" i="17"/>
  <c r="D32" i="1"/>
  <c r="D33" i="1"/>
  <c r="L12" i="23"/>
  <c r="F95" i="17"/>
  <c r="F30" i="17"/>
  <c r="F3" i="17"/>
  <c r="F5" i="17" s="1"/>
  <c r="F8" i="17" s="1"/>
  <c r="H54" i="17"/>
  <c r="B2" i="3" s="1"/>
  <c r="B10" i="13" s="1"/>
  <c r="H28" i="17"/>
  <c r="G26" i="1"/>
  <c r="G29" i="1" s="1"/>
  <c r="L99" i="17"/>
  <c r="L57" i="17"/>
  <c r="L56" i="17"/>
  <c r="L27" i="17"/>
  <c r="K33" i="1"/>
  <c r="K32" i="1"/>
  <c r="O12" i="23"/>
  <c r="I1" i="17"/>
  <c r="H20" i="17"/>
  <c r="K99" i="17" l="1"/>
  <c r="K56" i="17"/>
  <c r="K27" i="17"/>
  <c r="K16" i="17"/>
  <c r="K57" i="17"/>
  <c r="J33" i="1"/>
  <c r="J32" i="1"/>
  <c r="C13" i="23"/>
  <c r="E13" i="23" s="1"/>
  <c r="L13" i="23"/>
  <c r="O13" i="23"/>
  <c r="H56" i="17"/>
  <c r="H16" i="17"/>
  <c r="H99" i="17"/>
  <c r="H57" i="17"/>
  <c r="H27" i="17"/>
  <c r="G33" i="1"/>
  <c r="G32" i="1"/>
  <c r="I16" i="17"/>
  <c r="B18" i="13"/>
  <c r="B11" i="13"/>
  <c r="B22" i="13" s="1"/>
  <c r="H15" i="6"/>
  <c r="B16" i="6"/>
  <c r="G15" i="6"/>
  <c r="C12" i="23"/>
  <c r="E12" i="23" s="1"/>
  <c r="F99" i="17"/>
  <c r="F57" i="17"/>
  <c r="F27" i="17"/>
  <c r="F16" i="17"/>
  <c r="F56" i="17"/>
  <c r="E33" i="1"/>
  <c r="E32" i="1"/>
  <c r="L16" i="17"/>
  <c r="B51" i="9"/>
  <c r="B107" i="9"/>
  <c r="B115" i="9" s="1"/>
  <c r="B121" i="9" s="1"/>
  <c r="B123" i="9" s="1"/>
  <c r="J1" i="17"/>
  <c r="I20" i="17"/>
  <c r="B8" i="14" l="1"/>
  <c r="B5" i="3"/>
  <c r="B4" i="3" s="1"/>
  <c r="B12" i="23"/>
  <c r="D12" i="23" s="1"/>
  <c r="G6" i="8"/>
  <c r="H16" i="6"/>
  <c r="B17" i="6"/>
  <c r="G16" i="6"/>
  <c r="K1" i="17"/>
  <c r="J20" i="17"/>
  <c r="H17" i="6" l="1"/>
  <c r="B18" i="6"/>
  <c r="G17" i="6"/>
  <c r="B24" i="14"/>
  <c r="B26" i="14" s="1"/>
  <c r="B28" i="14" s="1"/>
  <c r="B6" i="3" s="1"/>
  <c r="B17" i="14"/>
  <c r="B19" i="14" s="1"/>
  <c r="B5" i="9"/>
  <c r="C37" i="9" s="1"/>
  <c r="B3" i="3"/>
  <c r="B13" i="23"/>
  <c r="D13" i="23" s="1"/>
  <c r="L1" i="17"/>
  <c r="L20" i="17" s="1"/>
  <c r="K20" i="17"/>
  <c r="C92" i="9" l="1"/>
  <c r="C45" i="9"/>
  <c r="D37" i="9"/>
  <c r="C83" i="9"/>
  <c r="C49" i="9"/>
  <c r="C64" i="9"/>
  <c r="C85" i="9"/>
  <c r="C66" i="9"/>
  <c r="C73" i="9"/>
  <c r="C42" i="9"/>
  <c r="C108" i="9" s="1"/>
  <c r="C65" i="9"/>
  <c r="C38" i="9"/>
  <c r="C39" i="9" s="1"/>
  <c r="C44" i="9" s="1"/>
  <c r="C46" i="9" s="1"/>
  <c r="C86" i="9"/>
  <c r="C43" i="9"/>
  <c r="C61" i="9"/>
  <c r="C62" i="9" s="1"/>
  <c r="C63" i="9"/>
  <c r="C41" i="9"/>
  <c r="C90" i="9"/>
  <c r="C84" i="9"/>
  <c r="B129" i="9" s="1"/>
  <c r="C91" i="9"/>
  <c r="C60" i="9"/>
  <c r="C70" i="9"/>
  <c r="C71" i="9" s="1"/>
  <c r="C72" i="9" s="1"/>
  <c r="C77" i="9" s="1"/>
  <c r="C76" i="9"/>
  <c r="H18" i="6"/>
  <c r="B19" i="6"/>
  <c r="G18" i="6"/>
  <c r="C47" i="9" l="1"/>
  <c r="C48" i="9" s="1"/>
  <c r="C67" i="9"/>
  <c r="C78" i="9" s="1"/>
  <c r="B127" i="9"/>
  <c r="C112" i="9"/>
  <c r="C87" i="9"/>
  <c r="C93" i="9"/>
  <c r="C94" i="9" s="1"/>
  <c r="C99" i="9" s="1"/>
  <c r="C101" i="9" s="1"/>
  <c r="C103" i="9" s="1"/>
  <c r="C104" i="9" s="1"/>
  <c r="D63" i="9"/>
  <c r="D86" i="9"/>
  <c r="D60" i="9"/>
  <c r="D76" i="9"/>
  <c r="D64" i="9"/>
  <c r="D92" i="9"/>
  <c r="D90" i="9"/>
  <c r="D83" i="9"/>
  <c r="D85" i="9"/>
  <c r="D65" i="9"/>
  <c r="D91" i="9"/>
  <c r="D38" i="9"/>
  <c r="D39" i="9" s="1"/>
  <c r="D42" i="9"/>
  <c r="D108" i="9" s="1"/>
  <c r="D45" i="9"/>
  <c r="D41" i="9"/>
  <c r="D66" i="9"/>
  <c r="D70" i="9"/>
  <c r="D71" i="9" s="1"/>
  <c r="D72" i="9" s="1"/>
  <c r="D77" i="9" s="1"/>
  <c r="D84" i="9"/>
  <c r="D43" i="9"/>
  <c r="D49" i="9"/>
  <c r="D61" i="9"/>
  <c r="D62" i="9" s="1"/>
  <c r="D73" i="9"/>
  <c r="E37" i="9"/>
  <c r="B20" i="6"/>
  <c r="H19" i="6"/>
  <c r="G19" i="6"/>
  <c r="C111" i="9"/>
  <c r="C107" i="9" l="1"/>
  <c r="C51" i="9"/>
  <c r="D78" i="9"/>
  <c r="D89" i="9" s="1"/>
  <c r="D93" i="9" s="1"/>
  <c r="D94" i="9" s="1"/>
  <c r="D99" i="9" s="1"/>
  <c r="D101" i="9" s="1"/>
  <c r="D103" i="9" s="1"/>
  <c r="D104" i="9" s="1"/>
  <c r="D111" i="9"/>
  <c r="H20" i="6"/>
  <c r="B21" i="6"/>
  <c r="G20" i="6"/>
  <c r="D112" i="9"/>
  <c r="D87" i="9"/>
  <c r="E66" i="9"/>
  <c r="E38" i="9"/>
  <c r="E39" i="9" s="1"/>
  <c r="E85" i="9"/>
  <c r="E83" i="9"/>
  <c r="E73" i="9"/>
  <c r="E65" i="9"/>
  <c r="E49" i="9"/>
  <c r="E91" i="9"/>
  <c r="E63" i="9"/>
  <c r="E90" i="9"/>
  <c r="E76" i="9"/>
  <c r="E70" i="9"/>
  <c r="E92" i="9"/>
  <c r="E61" i="9"/>
  <c r="E86" i="9"/>
  <c r="E43" i="9"/>
  <c r="F37" i="9"/>
  <c r="E41" i="9"/>
  <c r="E84" i="9"/>
  <c r="E60" i="9"/>
  <c r="E45" i="9"/>
  <c r="E42" i="9"/>
  <c r="E108" i="9" s="1"/>
  <c r="E64" i="9"/>
  <c r="D67" i="9"/>
  <c r="D44" i="9"/>
  <c r="D46" i="9" s="1"/>
  <c r="D47" i="9" s="1"/>
  <c r="D48" i="9" s="1"/>
  <c r="C110" i="9"/>
  <c r="E62" i="9" l="1"/>
  <c r="E67" i="9" s="1"/>
  <c r="E71" i="9"/>
  <c r="E72" i="9" s="1"/>
  <c r="E77" i="9" s="1"/>
  <c r="E78" i="9" s="1"/>
  <c r="E89" i="9" s="1"/>
  <c r="E93" i="9" s="1"/>
  <c r="E94" i="9" s="1"/>
  <c r="E99" i="9" s="1"/>
  <c r="E101" i="9" s="1"/>
  <c r="E103" i="9" s="1"/>
  <c r="E104" i="9" s="1"/>
  <c r="E112" i="9"/>
  <c r="E87" i="9"/>
  <c r="B22" i="6"/>
  <c r="H21" i="6"/>
  <c r="G21" i="6"/>
  <c r="D110" i="9"/>
  <c r="E44" i="9"/>
  <c r="E46" i="9" s="1"/>
  <c r="E47" i="9" s="1"/>
  <c r="E48" i="9" s="1"/>
  <c r="D51" i="9"/>
  <c r="D107" i="9"/>
  <c r="D115" i="9" s="1"/>
  <c r="D121" i="9" s="1"/>
  <c r="D123" i="9" s="1"/>
  <c r="F61" i="9"/>
  <c r="F92" i="9"/>
  <c r="F83" i="9"/>
  <c r="F91" i="9"/>
  <c r="F60" i="9"/>
  <c r="F84" i="9"/>
  <c r="F38" i="9"/>
  <c r="F39" i="9" s="1"/>
  <c r="F45" i="9"/>
  <c r="F90" i="9"/>
  <c r="F66" i="9"/>
  <c r="F42" i="9"/>
  <c r="F108" i="9" s="1"/>
  <c r="F63" i="9"/>
  <c r="F111" i="9" s="1"/>
  <c r="F85" i="9"/>
  <c r="F49" i="9"/>
  <c r="G37" i="9"/>
  <c r="F86" i="9"/>
  <c r="F41" i="9"/>
  <c r="F73" i="9"/>
  <c r="F64" i="9"/>
  <c r="F65" i="9"/>
  <c r="F76" i="9"/>
  <c r="F43" i="9"/>
  <c r="F70" i="9"/>
  <c r="F71" i="9" s="1"/>
  <c r="F72" i="9" s="1"/>
  <c r="E111" i="9"/>
  <c r="E110" i="9" s="1"/>
  <c r="C115" i="9"/>
  <c r="C121" i="9" s="1"/>
  <c r="C123" i="9" s="1"/>
  <c r="F112" i="9" l="1"/>
  <c r="F87" i="9"/>
  <c r="H22" i="6"/>
  <c r="B23" i="6"/>
  <c r="G22" i="6"/>
  <c r="F110" i="9"/>
  <c r="E107" i="9"/>
  <c r="E115" i="9" s="1"/>
  <c r="E121" i="9" s="1"/>
  <c r="E123" i="9" s="1"/>
  <c r="E51" i="9"/>
  <c r="F77" i="9"/>
  <c r="G76" i="9"/>
  <c r="G83" i="9"/>
  <c r="G70" i="9"/>
  <c r="G65" i="9"/>
  <c r="G92" i="9"/>
  <c r="G42" i="9"/>
  <c r="G108" i="9" s="1"/>
  <c r="G49" i="9"/>
  <c r="G64" i="9"/>
  <c r="G90" i="9"/>
  <c r="G63" i="9"/>
  <c r="G86" i="9"/>
  <c r="G73" i="9"/>
  <c r="G41" i="9"/>
  <c r="G84" i="9"/>
  <c r="G91" i="9"/>
  <c r="G60" i="9"/>
  <c r="G62" i="9" s="1"/>
  <c r="G67" i="9" s="1"/>
  <c r="G38" i="9"/>
  <c r="G39" i="9" s="1"/>
  <c r="G44" i="9" s="1"/>
  <c r="G46" i="9" s="1"/>
  <c r="G85" i="9"/>
  <c r="G66" i="9"/>
  <c r="G61" i="9"/>
  <c r="G43" i="9"/>
  <c r="G45" i="9"/>
  <c r="F44" i="9"/>
  <c r="F46" i="9" s="1"/>
  <c r="F62" i="9"/>
  <c r="F67" i="9" s="1"/>
  <c r="G47" i="9" l="1"/>
  <c r="G48" i="9" s="1"/>
  <c r="G71" i="9"/>
  <c r="G72" i="9" s="1"/>
  <c r="G77" i="9" s="1"/>
  <c r="G78" i="9" s="1"/>
  <c r="G89" i="9" s="1"/>
  <c r="G93" i="9" s="1"/>
  <c r="G94" i="9" s="1"/>
  <c r="G99" i="9" s="1"/>
  <c r="G101" i="9" s="1"/>
  <c r="G103" i="9" s="1"/>
  <c r="G104" i="9" s="1"/>
  <c r="G112" i="9"/>
  <c r="G87" i="9"/>
  <c r="H23" i="6"/>
  <c r="B24" i="6"/>
  <c r="G23" i="6"/>
  <c r="G111" i="9"/>
  <c r="G110" i="9" s="1"/>
  <c r="F47" i="9"/>
  <c r="F48" i="9" s="1"/>
  <c r="F78" i="9"/>
  <c r="F89" i="9" s="1"/>
  <c r="F93" i="9" s="1"/>
  <c r="F94" i="9" s="1"/>
  <c r="F99" i="9" s="1"/>
  <c r="F101" i="9" s="1"/>
  <c r="F103" i="9" s="1"/>
  <c r="F104" i="9" s="1"/>
  <c r="F51" i="9" l="1"/>
  <c r="F107" i="9"/>
  <c r="F115" i="9" s="1"/>
  <c r="F121" i="9" s="1"/>
  <c r="F123" i="9" s="1"/>
  <c r="G51" i="9"/>
  <c r="G107" i="9"/>
  <c r="G115" i="9" s="1"/>
  <c r="G121" i="9" s="1"/>
  <c r="G122" i="9" s="1"/>
  <c r="G123" i="9" s="1"/>
  <c r="H24" i="6"/>
  <c r="B25" i="6"/>
  <c r="G24" i="6"/>
  <c r="H25" i="6" l="1"/>
  <c r="B26" i="6"/>
  <c r="G25" i="6"/>
  <c r="B126" i="9"/>
  <c r="B128" i="9" s="1"/>
  <c r="B130" i="9" s="1"/>
  <c r="B134" i="9" s="1"/>
  <c r="B138" i="9" l="1"/>
  <c r="B12" i="3"/>
  <c r="B9" i="18"/>
  <c r="H26" i="6"/>
  <c r="B27" i="6"/>
  <c r="G26" i="6"/>
  <c r="B28" i="6" l="1"/>
  <c r="H27" i="6"/>
  <c r="G27" i="6"/>
  <c r="H28" i="6" l="1"/>
  <c r="B29" i="6"/>
  <c r="G28" i="6"/>
  <c r="B30" i="6" l="1"/>
  <c r="H29" i="6"/>
  <c r="G29" i="6"/>
  <c r="H30" i="6" l="1"/>
  <c r="B31" i="6"/>
  <c r="G30" i="6"/>
  <c r="H31" i="6" l="1"/>
  <c r="B32" i="6"/>
  <c r="G31" i="6"/>
  <c r="H32" i="6" l="1"/>
  <c r="B33" i="6"/>
  <c r="G32" i="6"/>
  <c r="H33" i="6" l="1"/>
  <c r="B34" i="6"/>
  <c r="G33" i="6"/>
  <c r="H34" i="6" l="1"/>
  <c r="B35" i="6"/>
  <c r="G34" i="6"/>
  <c r="B36" i="6" l="1"/>
  <c r="H35" i="6"/>
  <c r="G35" i="6"/>
  <c r="H36" i="6" l="1"/>
  <c r="B37" i="6"/>
  <c r="G36" i="6"/>
  <c r="B38" i="6" l="1"/>
  <c r="H37" i="6"/>
  <c r="G37" i="6"/>
  <c r="H38" i="6" l="1"/>
  <c r="B39" i="6"/>
  <c r="G38" i="6"/>
  <c r="H39" i="6" l="1"/>
  <c r="B40" i="6"/>
  <c r="G39" i="6"/>
  <c r="H40" i="6" l="1"/>
  <c r="B41" i="6"/>
  <c r="G40" i="6"/>
  <c r="H41" i="6" l="1"/>
  <c r="B42" i="6"/>
  <c r="G41" i="6"/>
  <c r="H42" i="6" l="1"/>
  <c r="B43" i="6"/>
  <c r="G42" i="6"/>
  <c r="B44" i="6" l="1"/>
  <c r="H43" i="6"/>
  <c r="G43" i="6"/>
  <c r="H44" i="6" l="1"/>
  <c r="B45" i="6"/>
  <c r="G44" i="6"/>
  <c r="B46" i="6" l="1"/>
  <c r="H45" i="6"/>
  <c r="G45" i="6"/>
  <c r="H46" i="6" l="1"/>
  <c r="B47" i="6"/>
  <c r="G46" i="6"/>
  <c r="H47" i="6" l="1"/>
  <c r="B48" i="6"/>
  <c r="G47" i="6"/>
  <c r="H48" i="6" l="1"/>
  <c r="B49" i="6"/>
  <c r="G48" i="6"/>
  <c r="H49" i="6" l="1"/>
  <c r="B50" i="6"/>
  <c r="G49" i="6"/>
  <c r="H50" i="6" l="1"/>
  <c r="B51" i="6"/>
  <c r="G50" i="6"/>
  <c r="B52" i="6" l="1"/>
  <c r="H51" i="6"/>
  <c r="G51" i="6"/>
  <c r="H52" i="6" l="1"/>
  <c r="B53" i="6"/>
  <c r="G52" i="6"/>
  <c r="B54" i="6" l="1"/>
  <c r="H53" i="6"/>
  <c r="G53" i="6"/>
  <c r="H54" i="6" l="1"/>
  <c r="B55" i="6"/>
  <c r="G54" i="6"/>
  <c r="H55" i="6" l="1"/>
  <c r="B56" i="6"/>
  <c r="G55" i="6"/>
  <c r="H56" i="6" l="1"/>
  <c r="B57" i="6"/>
  <c r="G56" i="6"/>
  <c r="H57" i="6" l="1"/>
  <c r="B58" i="6"/>
  <c r="G57" i="6"/>
  <c r="H58" i="6" l="1"/>
  <c r="B59" i="6"/>
  <c r="G58" i="6"/>
  <c r="B60" i="6" l="1"/>
  <c r="H59" i="6"/>
  <c r="G59" i="6"/>
  <c r="H60" i="6" l="1"/>
  <c r="B61" i="6"/>
  <c r="G60" i="6"/>
  <c r="B62" i="6" l="1"/>
  <c r="H61" i="6"/>
  <c r="G61" i="6"/>
  <c r="H62" i="6" l="1"/>
  <c r="B63" i="6"/>
  <c r="G62" i="6"/>
  <c r="H63" i="6" l="1"/>
  <c r="B64" i="6"/>
  <c r="G63" i="6"/>
  <c r="H64" i="6" l="1"/>
  <c r="B65" i="6"/>
  <c r="G64" i="6"/>
  <c r="H65" i="6" l="1"/>
  <c r="B66" i="6"/>
  <c r="G65" i="6"/>
  <c r="H66" i="6" l="1"/>
  <c r="B67" i="6"/>
  <c r="G66" i="6"/>
  <c r="B68" i="6" l="1"/>
  <c r="H67" i="6"/>
  <c r="G67" i="6"/>
  <c r="H68" i="6" l="1"/>
  <c r="B69" i="6"/>
  <c r="G68" i="6"/>
  <c r="B70" i="6" l="1"/>
  <c r="H69" i="6"/>
  <c r="G69" i="6"/>
  <c r="H70" i="6" l="1"/>
  <c r="B71" i="6"/>
  <c r="G70" i="6"/>
  <c r="H71" i="6" l="1"/>
  <c r="B72" i="6"/>
  <c r="G71" i="6"/>
  <c r="H72" i="6" l="1"/>
  <c r="B73" i="6"/>
  <c r="G72" i="6"/>
  <c r="H73" i="6" l="1"/>
  <c r="B74" i="6"/>
  <c r="G73" i="6"/>
  <c r="H74" i="6" l="1"/>
  <c r="B75" i="6"/>
  <c r="G74" i="6"/>
  <c r="B76" i="6" l="1"/>
  <c r="H75" i="6"/>
  <c r="G75" i="6"/>
  <c r="B77" i="6" l="1"/>
  <c r="H76" i="6"/>
  <c r="G76" i="6"/>
  <c r="B78" i="6" l="1"/>
  <c r="H77" i="6"/>
  <c r="G77" i="6"/>
  <c r="H78" i="6" l="1"/>
  <c r="B79" i="6"/>
  <c r="G78" i="6"/>
  <c r="H79" i="6" l="1"/>
  <c r="B80" i="6"/>
  <c r="G79" i="6"/>
  <c r="H80" i="6" l="1"/>
  <c r="B81" i="6"/>
  <c r="G80" i="6"/>
  <c r="H81" i="6" l="1"/>
  <c r="B82" i="6"/>
  <c r="G81" i="6"/>
  <c r="H82" i="6" l="1"/>
  <c r="B83" i="6"/>
  <c r="G82" i="6"/>
  <c r="B84" i="6" l="1"/>
  <c r="H83" i="6"/>
  <c r="G83" i="6"/>
  <c r="B85" i="6" l="1"/>
  <c r="H84" i="6"/>
  <c r="G84" i="6"/>
  <c r="B86" i="6" l="1"/>
  <c r="H85" i="6"/>
  <c r="G85" i="6"/>
  <c r="H86" i="6" l="1"/>
  <c r="B87" i="6"/>
  <c r="G86" i="6"/>
  <c r="H87" i="6" l="1"/>
  <c r="B88" i="6"/>
  <c r="G87" i="6"/>
  <c r="H88" i="6" l="1"/>
  <c r="B89" i="6"/>
  <c r="G88" i="6"/>
  <c r="H89" i="6" l="1"/>
  <c r="B90" i="6"/>
  <c r="G89" i="6"/>
  <c r="H90" i="6" l="1"/>
  <c r="B91" i="6"/>
  <c r="G90" i="6"/>
  <c r="B92" i="6" l="1"/>
  <c r="H91" i="6"/>
  <c r="G91" i="6"/>
  <c r="B93" i="6" l="1"/>
  <c r="H92" i="6"/>
  <c r="G92" i="6"/>
  <c r="B94" i="6" l="1"/>
  <c r="H93" i="6"/>
  <c r="G93" i="6"/>
  <c r="H94" i="6" l="1"/>
  <c r="B95" i="6"/>
  <c r="G94" i="6"/>
  <c r="H95" i="6" l="1"/>
  <c r="B96" i="6"/>
  <c r="G95" i="6"/>
  <c r="H96" i="6" l="1"/>
  <c r="B97" i="6"/>
  <c r="G96" i="6"/>
  <c r="H97" i="6" l="1"/>
  <c r="B98" i="6"/>
  <c r="G97" i="6"/>
  <c r="H98" i="6" l="1"/>
  <c r="B99" i="6"/>
  <c r="G98" i="6"/>
  <c r="B100" i="6" l="1"/>
  <c r="H99" i="6"/>
  <c r="G99" i="6"/>
  <c r="B101" i="6" l="1"/>
  <c r="H100" i="6"/>
  <c r="G100" i="6"/>
  <c r="B102" i="6" l="1"/>
  <c r="H101" i="6"/>
  <c r="G101" i="6"/>
  <c r="H102" i="6" l="1"/>
  <c r="B103" i="6"/>
  <c r="G102" i="6"/>
  <c r="H103" i="6" l="1"/>
  <c r="B104" i="6"/>
  <c r="G103" i="6"/>
  <c r="H104" i="6" l="1"/>
  <c r="B105" i="6"/>
  <c r="G104" i="6"/>
  <c r="H105" i="6" l="1"/>
  <c r="B106" i="6"/>
  <c r="G105" i="6"/>
  <c r="H106" i="6" l="1"/>
  <c r="B107" i="6"/>
  <c r="G106" i="6"/>
  <c r="B108" i="6" l="1"/>
  <c r="H107" i="6"/>
  <c r="G107" i="6"/>
  <c r="B109" i="6" l="1"/>
  <c r="H108" i="6"/>
  <c r="G108" i="6"/>
  <c r="B110" i="6" l="1"/>
  <c r="H109" i="6"/>
  <c r="G109" i="6"/>
  <c r="H110" i="6" l="1"/>
  <c r="B111" i="6"/>
  <c r="G110" i="6"/>
  <c r="H111" i="6" l="1"/>
  <c r="B112" i="6"/>
  <c r="G111" i="6"/>
  <c r="H112" i="6" l="1"/>
  <c r="B113" i="6"/>
  <c r="G112" i="6"/>
  <c r="H113" i="6" l="1"/>
  <c r="B114" i="6"/>
  <c r="G113" i="6"/>
  <c r="H114" i="6" l="1"/>
  <c r="B115" i="6"/>
  <c r="G114" i="6"/>
  <c r="B116" i="6" l="1"/>
  <c r="H115" i="6"/>
  <c r="G115" i="6"/>
  <c r="B117" i="6" l="1"/>
  <c r="H116" i="6"/>
  <c r="G116" i="6"/>
  <c r="H117" i="6" l="1"/>
  <c r="B118" i="6"/>
  <c r="G117" i="6"/>
  <c r="H118" i="6" l="1"/>
  <c r="B119" i="6"/>
  <c r="G118" i="6"/>
  <c r="H119" i="6" l="1"/>
  <c r="B120" i="6"/>
  <c r="G119" i="6"/>
  <c r="H120" i="6" l="1"/>
  <c r="B121" i="6"/>
  <c r="G120" i="6"/>
  <c r="B122" i="6" l="1"/>
  <c r="H121" i="6"/>
  <c r="G121" i="6"/>
  <c r="H122" i="6" l="1"/>
  <c r="B123" i="6"/>
  <c r="G122" i="6"/>
  <c r="B124" i="6" l="1"/>
  <c r="H123" i="6"/>
  <c r="G123" i="6"/>
  <c r="B125" i="6" l="1"/>
  <c r="H124" i="6"/>
  <c r="G124" i="6"/>
  <c r="B126" i="6" l="1"/>
  <c r="H125" i="6"/>
  <c r="G125" i="6"/>
  <c r="H126" i="6" l="1"/>
  <c r="B127" i="6"/>
  <c r="G126" i="6"/>
  <c r="H127" i="6" l="1"/>
  <c r="B128" i="6"/>
  <c r="G127" i="6"/>
  <c r="H128" i="6" l="1"/>
  <c r="B129" i="6"/>
  <c r="G128" i="6"/>
  <c r="H129" i="6" l="1"/>
  <c r="B130" i="6"/>
  <c r="G129" i="6"/>
  <c r="H130" i="6" l="1"/>
  <c r="B131" i="6"/>
  <c r="G130" i="6"/>
  <c r="B132" i="6" l="1"/>
  <c r="H131" i="6"/>
  <c r="G131" i="6"/>
  <c r="B133" i="6" l="1"/>
  <c r="H132" i="6"/>
  <c r="G132" i="6"/>
  <c r="H133" i="6" l="1"/>
  <c r="B134" i="6"/>
  <c r="G133" i="6"/>
  <c r="H134" i="6" l="1"/>
  <c r="B135" i="6"/>
  <c r="G134" i="6"/>
  <c r="H135" i="6" l="1"/>
  <c r="B136" i="6"/>
  <c r="G135" i="6"/>
  <c r="H136" i="6" l="1"/>
  <c r="B137" i="6"/>
  <c r="G136" i="6"/>
  <c r="B138" i="6" l="1"/>
  <c r="H137" i="6"/>
  <c r="G137" i="6"/>
  <c r="H138" i="6" l="1"/>
  <c r="B139" i="6"/>
  <c r="G138" i="6"/>
  <c r="B140" i="6" l="1"/>
  <c r="H139" i="6"/>
  <c r="G139" i="6"/>
  <c r="B141" i="6" l="1"/>
  <c r="H140" i="6"/>
  <c r="G140" i="6"/>
  <c r="B142" i="6" l="1"/>
  <c r="H141" i="6"/>
  <c r="G141" i="6"/>
  <c r="H142" i="6" l="1"/>
  <c r="B143" i="6"/>
  <c r="G142" i="6"/>
  <c r="H143" i="6" l="1"/>
  <c r="B144" i="6"/>
  <c r="G143" i="6"/>
  <c r="H144" i="6" l="1"/>
  <c r="B145" i="6"/>
  <c r="G144" i="6"/>
  <c r="H145" i="6" l="1"/>
  <c r="B146" i="6"/>
  <c r="G145" i="6"/>
  <c r="H146" i="6" l="1"/>
  <c r="B147" i="6"/>
  <c r="G146" i="6"/>
  <c r="B148" i="6" l="1"/>
  <c r="H147" i="6"/>
  <c r="G147" i="6"/>
  <c r="B149" i="6" l="1"/>
  <c r="H148" i="6"/>
  <c r="G148" i="6"/>
  <c r="H149" i="6" l="1"/>
  <c r="B150" i="6"/>
  <c r="G149" i="6"/>
  <c r="H150" i="6" l="1"/>
  <c r="B151" i="6"/>
  <c r="G150" i="6"/>
  <c r="H151" i="6" l="1"/>
  <c r="B152" i="6"/>
  <c r="G151" i="6"/>
  <c r="H152" i="6" l="1"/>
  <c r="B153" i="6"/>
  <c r="G152" i="6"/>
  <c r="B154" i="6" l="1"/>
  <c r="H153" i="6"/>
  <c r="G153" i="6"/>
  <c r="H154" i="6" l="1"/>
  <c r="B155" i="6"/>
  <c r="G154" i="6"/>
  <c r="B156" i="6" l="1"/>
  <c r="H155" i="6"/>
  <c r="G155" i="6"/>
  <c r="B157" i="6" l="1"/>
  <c r="H156" i="6"/>
  <c r="G156" i="6"/>
  <c r="B158" i="6" l="1"/>
  <c r="H157" i="6"/>
  <c r="G157" i="6"/>
  <c r="H158" i="6" l="1"/>
  <c r="B159" i="6"/>
  <c r="G158" i="6"/>
  <c r="H159" i="6" l="1"/>
  <c r="B160" i="6"/>
  <c r="G159" i="6"/>
  <c r="H160" i="6" l="1"/>
  <c r="B161" i="6"/>
  <c r="G160" i="6"/>
  <c r="H161" i="6" l="1"/>
  <c r="B162" i="6"/>
  <c r="G161" i="6"/>
  <c r="H162" i="6" l="1"/>
  <c r="B163" i="6"/>
  <c r="G162" i="6"/>
  <c r="B164" i="6" l="1"/>
  <c r="H163" i="6"/>
  <c r="G163" i="6"/>
  <c r="B165" i="6" l="1"/>
  <c r="H164" i="6"/>
  <c r="G164" i="6"/>
  <c r="H165" i="6" l="1"/>
  <c r="B166" i="6"/>
  <c r="G165" i="6"/>
  <c r="H166" i="6" l="1"/>
  <c r="B167" i="6"/>
  <c r="G166" i="6"/>
  <c r="H167" i="6" l="1"/>
  <c r="B168" i="6"/>
  <c r="G167" i="6"/>
  <c r="H168" i="6" l="1"/>
  <c r="B169" i="6"/>
  <c r="G168" i="6"/>
  <c r="H169" i="6" l="1"/>
  <c r="B170" i="6"/>
  <c r="G169" i="6"/>
  <c r="H170" i="6" l="1"/>
  <c r="B171" i="6"/>
  <c r="G170" i="6"/>
  <c r="B172" i="6" l="1"/>
  <c r="H171" i="6"/>
  <c r="G171" i="6"/>
  <c r="B173" i="6" l="1"/>
  <c r="H172" i="6"/>
  <c r="G172" i="6"/>
  <c r="B174" i="6" l="1"/>
  <c r="H173" i="6"/>
  <c r="G173" i="6"/>
  <c r="H174" i="6" l="1"/>
  <c r="B175" i="6"/>
  <c r="G174" i="6"/>
  <c r="H175" i="6" l="1"/>
  <c r="B176" i="6"/>
  <c r="G175" i="6"/>
  <c r="H176" i="6" l="1"/>
  <c r="B177" i="6"/>
  <c r="G176" i="6"/>
  <c r="H177" i="6" l="1"/>
  <c r="B178" i="6"/>
  <c r="G177" i="6"/>
  <c r="H178" i="6" l="1"/>
  <c r="B179" i="6"/>
  <c r="G178" i="6"/>
  <c r="B180" i="6" l="1"/>
  <c r="H179" i="6"/>
  <c r="G179" i="6"/>
  <c r="B181" i="6" l="1"/>
  <c r="H180" i="6"/>
  <c r="G180" i="6"/>
  <c r="H181" i="6" l="1"/>
  <c r="B182" i="6"/>
  <c r="G181" i="6"/>
  <c r="H182" i="6" l="1"/>
  <c r="B183" i="6"/>
  <c r="G182" i="6"/>
  <c r="H183" i="6" l="1"/>
  <c r="B184" i="6"/>
  <c r="G183" i="6"/>
  <c r="H184" i="6" l="1"/>
  <c r="B185" i="6"/>
  <c r="G184" i="6"/>
  <c r="B186" i="6" l="1"/>
  <c r="H185" i="6"/>
  <c r="G185" i="6"/>
  <c r="H186" i="6" l="1"/>
  <c r="B187" i="6"/>
  <c r="G186" i="6"/>
  <c r="B188" i="6" l="1"/>
  <c r="H187" i="6"/>
  <c r="G187" i="6"/>
  <c r="B189" i="6" l="1"/>
  <c r="H188" i="6"/>
  <c r="G188" i="6"/>
  <c r="B190" i="6" l="1"/>
  <c r="H189" i="6"/>
  <c r="G189" i="6"/>
  <c r="H190" i="6" l="1"/>
  <c r="B191" i="6"/>
  <c r="G190" i="6"/>
  <c r="H191" i="6" l="1"/>
  <c r="B192" i="6"/>
  <c r="G191" i="6"/>
  <c r="H192" i="6" l="1"/>
  <c r="B193" i="6"/>
  <c r="G192" i="6"/>
  <c r="H193" i="6" l="1"/>
  <c r="B194" i="6"/>
  <c r="G193" i="6"/>
  <c r="H194" i="6" l="1"/>
  <c r="B195" i="6"/>
  <c r="G194" i="6"/>
  <c r="B196" i="6" l="1"/>
  <c r="H195" i="6"/>
  <c r="G195" i="6"/>
  <c r="B197" i="6" l="1"/>
  <c r="H196" i="6"/>
  <c r="G196" i="6"/>
  <c r="H197" i="6" l="1"/>
  <c r="B198" i="6"/>
  <c r="G197" i="6"/>
  <c r="H198" i="6" l="1"/>
  <c r="B199" i="6"/>
  <c r="G198" i="6"/>
  <c r="H199" i="6" l="1"/>
  <c r="B200" i="6"/>
  <c r="G199" i="6"/>
  <c r="H200" i="6" l="1"/>
  <c r="B201" i="6"/>
  <c r="G200" i="6"/>
  <c r="H201" i="6" l="1"/>
  <c r="B202" i="6"/>
  <c r="G201" i="6"/>
  <c r="H202" i="6" l="1"/>
  <c r="B203" i="6"/>
  <c r="G202" i="6"/>
  <c r="H203" i="6" l="1"/>
  <c r="B204" i="6"/>
  <c r="G203" i="6"/>
  <c r="H204" i="6" l="1"/>
  <c r="B205" i="6"/>
  <c r="G204" i="6"/>
  <c r="H205" i="6" l="1"/>
  <c r="B206" i="6"/>
  <c r="G205" i="6"/>
  <c r="H206" i="6" l="1"/>
  <c r="B207" i="6"/>
  <c r="G206" i="6"/>
  <c r="B208" i="6" l="1"/>
  <c r="H207" i="6"/>
  <c r="G207" i="6"/>
  <c r="H208" i="6" l="1"/>
  <c r="B209" i="6"/>
  <c r="G208" i="6"/>
  <c r="H209" i="6" l="1"/>
  <c r="B210" i="6"/>
  <c r="G209" i="6"/>
  <c r="H210" i="6" l="1"/>
  <c r="B211" i="6"/>
  <c r="G210" i="6"/>
  <c r="H211" i="6" l="1"/>
  <c r="B212" i="6"/>
  <c r="G211" i="6"/>
  <c r="H212" i="6" l="1"/>
  <c r="B213" i="6"/>
  <c r="G212" i="6"/>
  <c r="H213" i="6" l="1"/>
  <c r="B214" i="6"/>
  <c r="G213" i="6"/>
  <c r="H214" i="6" l="1"/>
  <c r="B215" i="6"/>
  <c r="G214" i="6"/>
  <c r="B216" i="6" l="1"/>
  <c r="H215" i="6"/>
  <c r="G215" i="6"/>
  <c r="H216" i="6" l="1"/>
  <c r="B217" i="6"/>
  <c r="G216" i="6"/>
  <c r="H217" i="6" l="1"/>
  <c r="B218" i="6"/>
  <c r="G217" i="6"/>
  <c r="H218" i="6" l="1"/>
  <c r="B219" i="6"/>
  <c r="G218" i="6"/>
  <c r="H219" i="6" l="1"/>
  <c r="B220" i="6"/>
  <c r="G219" i="6"/>
  <c r="H220" i="6" l="1"/>
  <c r="B221" i="6"/>
  <c r="G220" i="6"/>
  <c r="H221" i="6" l="1"/>
  <c r="B222" i="6"/>
  <c r="G221" i="6"/>
  <c r="H222" i="6" l="1"/>
  <c r="B223" i="6"/>
  <c r="G222" i="6"/>
  <c r="B224" i="6" l="1"/>
  <c r="H223" i="6"/>
  <c r="G223" i="6"/>
  <c r="H224" i="6" l="1"/>
  <c r="B225" i="6"/>
  <c r="G224" i="6"/>
  <c r="H225" i="6" l="1"/>
  <c r="B226" i="6"/>
  <c r="G225" i="6"/>
  <c r="H226" i="6" l="1"/>
  <c r="B227" i="6"/>
  <c r="G226" i="6"/>
  <c r="H227" i="6" l="1"/>
  <c r="B228" i="6"/>
  <c r="G227" i="6"/>
  <c r="B229" i="6" l="1"/>
  <c r="H228" i="6"/>
  <c r="G228" i="6"/>
  <c r="H229" i="6" l="1"/>
  <c r="B230" i="6"/>
  <c r="G229" i="6"/>
  <c r="H230" i="6" l="1"/>
  <c r="B231" i="6"/>
  <c r="G230" i="6"/>
  <c r="B232" i="6" l="1"/>
  <c r="H231" i="6"/>
  <c r="G231" i="6"/>
  <c r="H232" i="6" l="1"/>
  <c r="B233" i="6"/>
  <c r="G232" i="6"/>
  <c r="H233" i="6" l="1"/>
  <c r="B234" i="6"/>
  <c r="G233" i="6"/>
  <c r="H234" i="6" l="1"/>
  <c r="B235" i="6"/>
  <c r="G234" i="6"/>
  <c r="H235" i="6" l="1"/>
  <c r="B236" i="6"/>
  <c r="G235" i="6"/>
  <c r="H236" i="6" l="1"/>
  <c r="B237" i="6"/>
  <c r="G236" i="6"/>
  <c r="H237" i="6" l="1"/>
  <c r="B238" i="6"/>
  <c r="G237" i="6"/>
  <c r="H238" i="6" l="1"/>
  <c r="B239" i="6"/>
  <c r="G238" i="6"/>
  <c r="B240" i="6" l="1"/>
  <c r="H239" i="6"/>
  <c r="G239" i="6"/>
  <c r="H240" i="6" l="1"/>
  <c r="B241" i="6"/>
  <c r="G240" i="6"/>
  <c r="H241" i="6" l="1"/>
  <c r="B242" i="6"/>
  <c r="G241" i="6"/>
  <c r="H242" i="6" l="1"/>
  <c r="B243" i="6"/>
  <c r="G242" i="6"/>
  <c r="H243" i="6" l="1"/>
  <c r="B244" i="6"/>
  <c r="G243" i="6"/>
  <c r="H244" i="6" l="1"/>
  <c r="B245" i="6"/>
  <c r="G244" i="6"/>
  <c r="H245" i="6" l="1"/>
  <c r="B246" i="6"/>
  <c r="G245" i="6"/>
  <c r="H246" i="6" l="1"/>
  <c r="B247" i="6"/>
  <c r="G246" i="6"/>
  <c r="B248" i="6" l="1"/>
  <c r="H247" i="6"/>
  <c r="G247" i="6"/>
  <c r="H248" i="6" l="1"/>
  <c r="B249" i="6"/>
  <c r="G248" i="6"/>
  <c r="H249" i="6" l="1"/>
  <c r="B250" i="6"/>
  <c r="G249" i="6"/>
  <c r="H250" i="6" l="1"/>
  <c r="B251" i="6"/>
  <c r="G250" i="6"/>
  <c r="H251" i="6" l="1"/>
  <c r="B252" i="6"/>
  <c r="G251" i="6"/>
  <c r="H252" i="6" l="1"/>
  <c r="B253" i="6"/>
  <c r="G252" i="6"/>
  <c r="H253" i="6" l="1"/>
  <c r="B254" i="6"/>
  <c r="G253" i="6"/>
  <c r="H254" i="6" l="1"/>
  <c r="B255" i="6"/>
  <c r="G254" i="6"/>
  <c r="B256" i="6" l="1"/>
  <c r="H255" i="6"/>
  <c r="G255" i="6"/>
  <c r="H256" i="6" l="1"/>
  <c r="B257" i="6"/>
  <c r="G256" i="6"/>
  <c r="H257" i="6" l="1"/>
  <c r="B258" i="6"/>
  <c r="G257" i="6"/>
  <c r="H258" i="6" l="1"/>
  <c r="B259" i="6"/>
  <c r="G258" i="6"/>
  <c r="H259" i="6" l="1"/>
  <c r="B260" i="6"/>
  <c r="G259" i="6"/>
  <c r="B261" i="6" l="1"/>
  <c r="H260" i="6"/>
  <c r="G260" i="6"/>
  <c r="H261" i="6" l="1"/>
  <c r="B262" i="6"/>
  <c r="G261" i="6"/>
  <c r="H262" i="6" l="1"/>
  <c r="B263" i="6"/>
  <c r="G262" i="6"/>
  <c r="B264" i="6" l="1"/>
  <c r="H263" i="6"/>
  <c r="G263" i="6"/>
  <c r="H264" i="6" l="1"/>
  <c r="B265" i="6"/>
  <c r="G264" i="6"/>
  <c r="H265" i="6" l="1"/>
  <c r="B266" i="6"/>
  <c r="G265" i="6"/>
  <c r="H266" i="6" l="1"/>
  <c r="B267" i="6"/>
  <c r="G266" i="6"/>
  <c r="H267" i="6" l="1"/>
  <c r="B268" i="6"/>
  <c r="G267" i="6"/>
  <c r="H268" i="6" l="1"/>
  <c r="B269" i="6"/>
  <c r="G268" i="6"/>
  <c r="H269" i="6" l="1"/>
  <c r="B270" i="6"/>
  <c r="G269" i="6"/>
  <c r="H270" i="6" l="1"/>
  <c r="B271" i="6"/>
  <c r="G270" i="6"/>
  <c r="B272" i="6" l="1"/>
  <c r="H271" i="6"/>
  <c r="G271" i="6"/>
  <c r="H272" i="6" l="1"/>
  <c r="B273" i="6"/>
  <c r="G272" i="6"/>
  <c r="B274" i="6" l="1"/>
  <c r="H273" i="6"/>
  <c r="G273" i="6"/>
  <c r="H274" i="6" l="1"/>
  <c r="B275" i="6"/>
  <c r="G274" i="6"/>
  <c r="H275" i="6" l="1"/>
  <c r="B276" i="6"/>
  <c r="G275" i="6"/>
  <c r="H276" i="6" l="1"/>
  <c r="B277" i="6"/>
  <c r="G276" i="6"/>
  <c r="H277" i="6" l="1"/>
  <c r="B278" i="6"/>
  <c r="G277" i="6"/>
  <c r="H278" i="6" l="1"/>
  <c r="B279" i="6"/>
  <c r="G278" i="6"/>
  <c r="B280" i="6" l="1"/>
  <c r="H279" i="6"/>
  <c r="G279" i="6"/>
  <c r="H280" i="6" l="1"/>
  <c r="B281" i="6"/>
  <c r="G280" i="6"/>
  <c r="H281" i="6" l="1"/>
  <c r="B282" i="6"/>
  <c r="G281" i="6"/>
  <c r="H282" i="6" l="1"/>
  <c r="B283" i="6"/>
  <c r="G282" i="6"/>
  <c r="H283" i="6" l="1"/>
  <c r="B284" i="6"/>
  <c r="G283" i="6"/>
  <c r="H284" i="6" l="1"/>
  <c r="B285" i="6"/>
  <c r="G284" i="6"/>
  <c r="H285" i="6" l="1"/>
  <c r="B286" i="6"/>
  <c r="G285" i="6"/>
  <c r="H286" i="6" l="1"/>
  <c r="B287" i="6"/>
  <c r="G286" i="6"/>
  <c r="B288" i="6" l="1"/>
  <c r="H287" i="6"/>
  <c r="G287" i="6"/>
  <c r="H288" i="6" l="1"/>
  <c r="B289" i="6"/>
  <c r="G288" i="6"/>
  <c r="H289" i="6" l="1"/>
  <c r="B290" i="6"/>
  <c r="G289" i="6"/>
  <c r="H290" i="6" l="1"/>
  <c r="B291" i="6"/>
  <c r="G290" i="6"/>
  <c r="H291" i="6" l="1"/>
  <c r="B292" i="6"/>
  <c r="G291" i="6"/>
  <c r="B293" i="6" l="1"/>
  <c r="H292" i="6"/>
  <c r="G292" i="6"/>
  <c r="H293" i="6" l="1"/>
  <c r="B294" i="6"/>
  <c r="G293" i="6"/>
  <c r="H294" i="6" l="1"/>
  <c r="B295" i="6"/>
  <c r="G294" i="6"/>
  <c r="B296" i="6" l="1"/>
  <c r="H295" i="6"/>
  <c r="G295" i="6"/>
  <c r="H296" i="6" l="1"/>
  <c r="B297" i="6"/>
  <c r="G296" i="6"/>
  <c r="H297" i="6" l="1"/>
  <c r="B298" i="6"/>
  <c r="G297" i="6"/>
  <c r="H298" i="6" l="1"/>
  <c r="B299" i="6"/>
  <c r="G298" i="6"/>
  <c r="H299" i="6" l="1"/>
  <c r="B300" i="6"/>
  <c r="G299" i="6"/>
  <c r="H300" i="6" l="1"/>
  <c r="B301" i="6"/>
  <c r="G300" i="6"/>
  <c r="H301" i="6" l="1"/>
  <c r="B302" i="6"/>
  <c r="G301" i="6"/>
  <c r="H302" i="6" l="1"/>
  <c r="B303" i="6"/>
  <c r="G302" i="6"/>
  <c r="B304" i="6" l="1"/>
  <c r="H303" i="6"/>
  <c r="G303" i="6"/>
  <c r="H304" i="6" l="1"/>
  <c r="B305" i="6"/>
  <c r="G304" i="6"/>
  <c r="H305" i="6" l="1"/>
  <c r="B306" i="6"/>
  <c r="G305" i="6"/>
  <c r="H306" i="6" l="1"/>
  <c r="B307" i="6"/>
  <c r="G306" i="6"/>
  <c r="H307" i="6" l="1"/>
  <c r="B308" i="6"/>
  <c r="G307" i="6"/>
  <c r="H308" i="6" l="1"/>
  <c r="B309" i="6"/>
  <c r="G308" i="6"/>
  <c r="H309" i="6" l="1"/>
  <c r="B310" i="6"/>
  <c r="G309" i="6"/>
  <c r="H310" i="6" l="1"/>
  <c r="B311" i="6"/>
  <c r="G310" i="6"/>
  <c r="B312" i="6" l="1"/>
  <c r="H311" i="6"/>
  <c r="G311" i="6"/>
  <c r="H312" i="6" l="1"/>
  <c r="B313" i="6"/>
  <c r="G312" i="6"/>
  <c r="H313" i="6" l="1"/>
  <c r="B314" i="6"/>
  <c r="G313" i="6"/>
  <c r="H314" i="6" l="1"/>
  <c r="B315" i="6"/>
  <c r="G314" i="6"/>
  <c r="H315" i="6" l="1"/>
  <c r="B316" i="6"/>
  <c r="G315" i="6"/>
  <c r="H316" i="6" l="1"/>
  <c r="B317" i="6"/>
  <c r="G316" i="6"/>
  <c r="H317" i="6" l="1"/>
  <c r="B318" i="6"/>
  <c r="G317" i="6"/>
  <c r="H318" i="6" l="1"/>
  <c r="B319" i="6"/>
  <c r="G318" i="6"/>
  <c r="B320" i="6" l="1"/>
  <c r="H319" i="6"/>
  <c r="G319" i="6"/>
  <c r="H320" i="6" l="1"/>
  <c r="B321" i="6"/>
  <c r="G320" i="6"/>
  <c r="H321" i="6" l="1"/>
  <c r="B322" i="6"/>
  <c r="G321" i="6"/>
  <c r="H322" i="6" l="1"/>
  <c r="B323" i="6"/>
  <c r="G322" i="6"/>
  <c r="H323" i="6" l="1"/>
  <c r="B324" i="6"/>
  <c r="G323" i="6"/>
  <c r="B325" i="6" l="1"/>
  <c r="H324" i="6"/>
  <c r="G324" i="6"/>
  <c r="B326" i="6" l="1"/>
  <c r="H325" i="6"/>
  <c r="G325" i="6"/>
  <c r="H326" i="6" l="1"/>
  <c r="B327" i="6"/>
  <c r="G326" i="6"/>
  <c r="B328" i="6" l="1"/>
  <c r="H327" i="6"/>
  <c r="G327" i="6"/>
  <c r="H328" i="6" l="1"/>
  <c r="B329" i="6"/>
  <c r="G328" i="6"/>
  <c r="H329" i="6" l="1"/>
  <c r="B330" i="6"/>
  <c r="G329" i="6"/>
  <c r="H330" i="6" l="1"/>
  <c r="B331" i="6"/>
  <c r="G330" i="6"/>
  <c r="H331" i="6" l="1"/>
  <c r="B332" i="6"/>
  <c r="G331" i="6"/>
  <c r="B333" i="6" l="1"/>
  <c r="H332" i="6"/>
  <c r="G332" i="6"/>
  <c r="B334" i="6" l="1"/>
  <c r="H333" i="6"/>
  <c r="G333" i="6"/>
  <c r="H334" i="6" l="1"/>
  <c r="B335" i="6"/>
  <c r="G334" i="6"/>
  <c r="B336" i="6" l="1"/>
  <c r="H335" i="6"/>
  <c r="G335" i="6"/>
  <c r="H336" i="6" l="1"/>
  <c r="B337" i="6"/>
  <c r="G336" i="6"/>
  <c r="H337" i="6" l="1"/>
  <c r="B338" i="6"/>
  <c r="G337" i="6"/>
  <c r="H338" i="6" l="1"/>
  <c r="B339" i="6"/>
  <c r="G338" i="6"/>
  <c r="H339" i="6" l="1"/>
  <c r="B340" i="6"/>
  <c r="G339" i="6"/>
  <c r="H340" i="6" l="1"/>
  <c r="B341" i="6"/>
  <c r="G340" i="6"/>
  <c r="B342" i="6" l="1"/>
  <c r="H341" i="6"/>
  <c r="G341" i="6"/>
  <c r="H342" i="6" l="1"/>
  <c r="B343" i="6"/>
  <c r="G342" i="6"/>
  <c r="B344" i="6" l="1"/>
  <c r="H343" i="6"/>
  <c r="G343" i="6"/>
  <c r="H344" i="6" l="1"/>
  <c r="B345" i="6"/>
  <c r="G344" i="6"/>
  <c r="H345" i="6" l="1"/>
  <c r="B346" i="6"/>
  <c r="G345" i="6"/>
  <c r="H346" i="6" l="1"/>
  <c r="B347" i="6"/>
  <c r="G346" i="6"/>
  <c r="H347" i="6" l="1"/>
  <c r="B348" i="6"/>
  <c r="G347" i="6"/>
  <c r="H348" i="6" l="1"/>
  <c r="B349" i="6"/>
  <c r="G348" i="6"/>
  <c r="B350" i="6" l="1"/>
  <c r="H349" i="6"/>
  <c r="G349" i="6"/>
  <c r="B351" i="6" l="1"/>
  <c r="H350" i="6"/>
  <c r="G350" i="6"/>
  <c r="B352" i="6" l="1"/>
  <c r="H351" i="6"/>
  <c r="G351" i="6"/>
  <c r="H352" i="6" l="1"/>
  <c r="B353" i="6"/>
  <c r="G352" i="6"/>
  <c r="H353" i="6" l="1"/>
  <c r="B354" i="6"/>
  <c r="G353" i="6"/>
  <c r="H354" i="6" l="1"/>
  <c r="B355" i="6"/>
  <c r="G354" i="6"/>
  <c r="H355" i="6" l="1"/>
  <c r="B356" i="6"/>
  <c r="G355" i="6"/>
  <c r="H356" i="6" l="1"/>
  <c r="B357" i="6"/>
  <c r="G356" i="6"/>
  <c r="B358" i="6" l="1"/>
  <c r="H357" i="6"/>
  <c r="G357" i="6"/>
  <c r="H358" i="6" l="1"/>
  <c r="B359" i="6"/>
  <c r="G358" i="6"/>
  <c r="B360" i="6" l="1"/>
  <c r="H359" i="6"/>
  <c r="G359" i="6"/>
  <c r="H360" i="6" l="1"/>
  <c r="B361" i="6"/>
  <c r="G360" i="6"/>
  <c r="B362" i="6" l="1"/>
  <c r="H361" i="6"/>
  <c r="G361" i="6"/>
  <c r="H362" i="6" l="1"/>
  <c r="B363" i="6"/>
  <c r="G362" i="6"/>
  <c r="H363" i="6" l="1"/>
  <c r="B364" i="6"/>
  <c r="G363" i="6"/>
  <c r="H364" i="6" l="1"/>
  <c r="B365" i="6"/>
  <c r="G364" i="6"/>
  <c r="B366" i="6" l="1"/>
  <c r="H365" i="6"/>
  <c r="G365" i="6"/>
  <c r="H366" i="6" l="1"/>
  <c r="B367" i="6"/>
  <c r="G366" i="6"/>
  <c r="B368" i="6" l="1"/>
  <c r="H367" i="6"/>
  <c r="G367" i="6"/>
  <c r="H368" i="6" l="1"/>
  <c r="B369" i="6"/>
  <c r="G368" i="6"/>
  <c r="H369" i="6" l="1"/>
  <c r="B370" i="6"/>
  <c r="G369" i="6"/>
  <c r="H370" i="6" l="1"/>
  <c r="B371" i="6"/>
  <c r="G370" i="6"/>
  <c r="H371" i="6" l="1"/>
  <c r="B372" i="6"/>
  <c r="G371" i="6"/>
  <c r="H372" i="6" l="1"/>
  <c r="B373" i="6"/>
  <c r="G372" i="6"/>
  <c r="B374" i="6" l="1"/>
  <c r="H373" i="6"/>
  <c r="G373" i="6"/>
  <c r="B375" i="6" l="1"/>
  <c r="H374" i="6"/>
  <c r="G374" i="6"/>
  <c r="B376" i="6" l="1"/>
  <c r="H375" i="6"/>
  <c r="G375" i="6"/>
  <c r="H376" i="6" l="1"/>
  <c r="B377" i="6"/>
  <c r="G376" i="6"/>
  <c r="H377" i="6" l="1"/>
  <c r="B378" i="6"/>
  <c r="G377" i="6"/>
  <c r="H378" i="6" l="1"/>
  <c r="B379" i="6"/>
  <c r="G378" i="6"/>
  <c r="H379" i="6" l="1"/>
  <c r="B380" i="6"/>
  <c r="G379" i="6"/>
  <c r="H380" i="6" l="1"/>
  <c r="B381" i="6"/>
  <c r="G380" i="6"/>
  <c r="B382" i="6" l="1"/>
  <c r="H381" i="6"/>
  <c r="G381" i="6"/>
  <c r="B383" i="6" l="1"/>
  <c r="H382" i="6"/>
  <c r="G382" i="6"/>
  <c r="H383" i="6" l="1"/>
  <c r="B384" i="6"/>
  <c r="G383" i="6"/>
  <c r="H384" i="6" l="1"/>
  <c r="B385" i="6"/>
  <c r="G384" i="6"/>
  <c r="B386" i="6" l="1"/>
  <c r="H385" i="6"/>
  <c r="G385" i="6"/>
  <c r="H386" i="6" l="1"/>
  <c r="B387" i="6"/>
  <c r="G386" i="6"/>
  <c r="H387" i="6" l="1"/>
  <c r="B388" i="6"/>
  <c r="G387" i="6"/>
  <c r="B389" i="6" l="1"/>
  <c r="H388" i="6"/>
  <c r="G388" i="6"/>
  <c r="B390" i="6" l="1"/>
  <c r="H389" i="6"/>
  <c r="G389" i="6"/>
  <c r="H390" i="6" l="1"/>
  <c r="B391" i="6"/>
  <c r="G390" i="6"/>
  <c r="B392" i="6" l="1"/>
  <c r="H391" i="6"/>
  <c r="G391" i="6"/>
  <c r="H392" i="6" l="1"/>
  <c r="B393" i="6"/>
  <c r="G392" i="6"/>
  <c r="H393" i="6" l="1"/>
  <c r="B394" i="6"/>
  <c r="G393" i="6"/>
  <c r="B395" i="6" l="1"/>
  <c r="G394" i="6"/>
  <c r="H394" i="6"/>
  <c r="H395" i="6" l="1"/>
  <c r="B396" i="6"/>
  <c r="G395" i="6"/>
  <c r="H396" i="6" l="1"/>
  <c r="B397" i="6"/>
  <c r="G396" i="6"/>
  <c r="B398" i="6" l="1"/>
  <c r="H397" i="6"/>
  <c r="G397" i="6"/>
  <c r="H398" i="6" l="1"/>
  <c r="B399" i="6"/>
  <c r="G398" i="6"/>
  <c r="B400" i="6" l="1"/>
  <c r="H399" i="6"/>
  <c r="G399" i="6"/>
  <c r="H400" i="6" l="1"/>
  <c r="B401" i="6"/>
  <c r="G400" i="6"/>
  <c r="H401" i="6" l="1"/>
  <c r="B402" i="6"/>
  <c r="G401" i="6"/>
  <c r="H402" i="6" l="1"/>
  <c r="B403" i="6"/>
  <c r="G402" i="6"/>
  <c r="H403" i="6" l="1"/>
  <c r="B404" i="6"/>
  <c r="G403" i="6"/>
  <c r="H404" i="6" l="1"/>
  <c r="B405" i="6"/>
  <c r="G404" i="6"/>
  <c r="B406" i="6" l="1"/>
  <c r="H405" i="6"/>
  <c r="G405" i="6"/>
  <c r="H406" i="6" l="1"/>
  <c r="B407" i="6"/>
  <c r="G406" i="6"/>
  <c r="H407" i="6" l="1"/>
  <c r="B408" i="6"/>
  <c r="G407" i="6"/>
  <c r="H408" i="6" l="1"/>
  <c r="B409" i="6"/>
  <c r="G408" i="6"/>
  <c r="H409" i="6" l="1"/>
  <c r="B410" i="6"/>
  <c r="G409" i="6"/>
  <c r="H410" i="6" l="1"/>
  <c r="B411" i="6"/>
  <c r="G410" i="6"/>
  <c r="H411" i="6" l="1"/>
  <c r="B412" i="6"/>
  <c r="G411" i="6"/>
  <c r="H412" i="6" l="1"/>
  <c r="B413" i="6"/>
  <c r="G412" i="6"/>
  <c r="B414" i="6" l="1"/>
  <c r="H413" i="6"/>
  <c r="G413" i="6"/>
  <c r="H414" i="6" l="1"/>
  <c r="B415" i="6"/>
  <c r="G414" i="6"/>
  <c r="H415" i="6" l="1"/>
  <c r="B416" i="6"/>
  <c r="G415" i="6"/>
  <c r="H416" i="6" l="1"/>
  <c r="B417" i="6"/>
  <c r="G416" i="6"/>
  <c r="H417" i="6" l="1"/>
  <c r="B418" i="6"/>
  <c r="G417" i="6"/>
  <c r="H418" i="6" l="1"/>
  <c r="B419" i="6"/>
  <c r="G418" i="6"/>
  <c r="H419" i="6" l="1"/>
  <c r="B420" i="6"/>
  <c r="G419" i="6"/>
  <c r="B421" i="6" l="1"/>
  <c r="H420" i="6"/>
  <c r="G420" i="6"/>
  <c r="H421" i="6" l="1"/>
  <c r="B422" i="6"/>
  <c r="G421" i="6"/>
  <c r="H422" i="6" l="1"/>
  <c r="B423" i="6"/>
  <c r="G422" i="6"/>
  <c r="H423" i="6" l="1"/>
  <c r="B424" i="6"/>
  <c r="G423" i="6"/>
  <c r="H424" i="6" l="1"/>
  <c r="B425" i="6"/>
  <c r="G424" i="6"/>
  <c r="H425" i="6" l="1"/>
  <c r="B426" i="6"/>
  <c r="G425" i="6"/>
  <c r="H426" i="6" l="1"/>
  <c r="B427" i="6"/>
  <c r="G426" i="6"/>
  <c r="H427" i="6" l="1"/>
  <c r="G427" i="6"/>
  <c r="B428" i="6"/>
  <c r="B429" i="6" l="1"/>
  <c r="H428" i="6"/>
  <c r="G428" i="6"/>
  <c r="H429" i="6" l="1"/>
  <c r="B430" i="6"/>
  <c r="G429" i="6"/>
  <c r="H430" i="6" l="1"/>
  <c r="B431" i="6"/>
  <c r="G430" i="6"/>
  <c r="H431" i="6" l="1"/>
  <c r="B432" i="6"/>
  <c r="G431" i="6"/>
  <c r="H432" i="6" l="1"/>
  <c r="B433" i="6"/>
  <c r="G432" i="6"/>
  <c r="B434" i="6" l="1"/>
  <c r="H433" i="6"/>
  <c r="G433" i="6"/>
  <c r="H434" i="6" l="1"/>
  <c r="B435" i="6"/>
  <c r="G434" i="6"/>
  <c r="H435" i="6" l="1"/>
  <c r="B436" i="6"/>
  <c r="G435" i="6"/>
  <c r="B437" i="6" l="1"/>
  <c r="H436" i="6"/>
  <c r="G436" i="6"/>
  <c r="H437" i="6" l="1"/>
  <c r="B438" i="6"/>
  <c r="G437" i="6"/>
  <c r="H438" i="6" l="1"/>
  <c r="B439" i="6"/>
  <c r="G438" i="6"/>
  <c r="H439" i="6" l="1"/>
  <c r="B440" i="6"/>
  <c r="G439" i="6"/>
  <c r="H440" i="6" l="1"/>
  <c r="B441" i="6"/>
  <c r="G440" i="6"/>
  <c r="B442" i="6" l="1"/>
  <c r="H441" i="6"/>
  <c r="G441" i="6"/>
  <c r="H442" i="6" l="1"/>
  <c r="B443" i="6"/>
  <c r="G442" i="6"/>
  <c r="H443" i="6" l="1"/>
  <c r="B444" i="6"/>
  <c r="G443" i="6"/>
  <c r="B445" i="6" l="1"/>
  <c r="H444" i="6"/>
  <c r="G444" i="6"/>
  <c r="H445" i="6" l="1"/>
  <c r="B446" i="6"/>
  <c r="G445" i="6"/>
  <c r="H446" i="6" l="1"/>
  <c r="B447" i="6"/>
  <c r="G446" i="6"/>
  <c r="H447" i="6" l="1"/>
  <c r="B448" i="6"/>
  <c r="G447" i="6"/>
  <c r="H448" i="6" l="1"/>
  <c r="B449" i="6"/>
  <c r="G448" i="6"/>
  <c r="H449" i="6" l="1"/>
  <c r="B450" i="6"/>
  <c r="G449" i="6"/>
  <c r="H450" i="6" l="1"/>
  <c r="B451" i="6"/>
  <c r="G450" i="6"/>
  <c r="H451" i="6" l="1"/>
  <c r="B452" i="6"/>
  <c r="G451" i="6"/>
  <c r="B453" i="6" l="1"/>
  <c r="H452" i="6"/>
  <c r="G452" i="6"/>
  <c r="H453" i="6" l="1"/>
  <c r="B454" i="6"/>
  <c r="G453" i="6"/>
  <c r="H454" i="6" l="1"/>
  <c r="B455" i="6"/>
  <c r="G454" i="6"/>
  <c r="H455" i="6" l="1"/>
  <c r="B456" i="6"/>
  <c r="G455" i="6"/>
  <c r="H456" i="6" l="1"/>
  <c r="B457" i="6"/>
  <c r="G456" i="6"/>
  <c r="H457" i="6" l="1"/>
  <c r="B458" i="6"/>
  <c r="G457" i="6"/>
  <c r="H458" i="6" l="1"/>
  <c r="B459" i="6"/>
  <c r="G458" i="6"/>
  <c r="H459" i="6" l="1"/>
  <c r="B460" i="6"/>
  <c r="G459" i="6"/>
  <c r="B461" i="6" l="1"/>
  <c r="H460" i="6"/>
  <c r="G460" i="6"/>
  <c r="H461" i="6" l="1"/>
  <c r="B462" i="6"/>
  <c r="G461" i="6"/>
  <c r="H462" i="6" l="1"/>
  <c r="B463" i="6"/>
  <c r="G462" i="6"/>
  <c r="H463" i="6" l="1"/>
  <c r="B464" i="6"/>
  <c r="G463" i="6"/>
  <c r="H464" i="6" l="1"/>
  <c r="B465" i="6"/>
  <c r="G464" i="6"/>
  <c r="B466" i="6" l="1"/>
  <c r="H465" i="6"/>
  <c r="G465" i="6"/>
  <c r="H466" i="6" l="1"/>
  <c r="B467" i="6"/>
  <c r="G466" i="6"/>
  <c r="H467" i="6" l="1"/>
  <c r="B468" i="6"/>
  <c r="G467" i="6"/>
  <c r="B469" i="6" l="1"/>
  <c r="H468" i="6"/>
  <c r="G468" i="6"/>
  <c r="H469" i="6" l="1"/>
  <c r="B470" i="6"/>
  <c r="G469" i="6"/>
  <c r="H470" i="6" l="1"/>
  <c r="B471" i="6"/>
  <c r="G470" i="6"/>
  <c r="H471" i="6" l="1"/>
  <c r="B472" i="6"/>
  <c r="G471" i="6"/>
  <c r="H472" i="6" l="1"/>
  <c r="B473" i="6"/>
  <c r="G472" i="6"/>
  <c r="B474" i="6" l="1"/>
  <c r="H473" i="6"/>
  <c r="G473" i="6"/>
  <c r="H474" i="6" l="1"/>
  <c r="B475" i="6"/>
  <c r="G474" i="6"/>
  <c r="H475" i="6" l="1"/>
  <c r="B476" i="6"/>
  <c r="G475" i="6"/>
  <c r="B477" i="6" l="1"/>
  <c r="H476" i="6"/>
  <c r="G476" i="6"/>
  <c r="H477" i="6" l="1"/>
  <c r="B478" i="6"/>
  <c r="G477" i="6"/>
  <c r="H478" i="6" l="1"/>
  <c r="B479" i="6"/>
  <c r="G478" i="6"/>
  <c r="H479" i="6" l="1"/>
  <c r="B480" i="6"/>
  <c r="G479" i="6"/>
  <c r="H480" i="6" l="1"/>
  <c r="B481" i="6"/>
  <c r="G480" i="6"/>
  <c r="H481" i="6" l="1"/>
  <c r="B482" i="6"/>
  <c r="G481" i="6"/>
  <c r="H482" i="6" l="1"/>
  <c r="B483" i="6"/>
  <c r="G482" i="6"/>
  <c r="H483" i="6" l="1"/>
  <c r="B484" i="6"/>
  <c r="G483" i="6"/>
  <c r="B485" i="6" l="1"/>
  <c r="H484" i="6"/>
  <c r="G484" i="6"/>
  <c r="H485" i="6" l="1"/>
  <c r="B486" i="6"/>
  <c r="G485" i="6"/>
  <c r="H486" i="6" l="1"/>
  <c r="B487" i="6"/>
  <c r="G486" i="6"/>
  <c r="H487" i="6" l="1"/>
  <c r="B488" i="6"/>
  <c r="G487" i="6"/>
  <c r="H488" i="6" l="1"/>
  <c r="B489" i="6"/>
  <c r="G488" i="6"/>
  <c r="H489" i="6" l="1"/>
  <c r="B490" i="6"/>
  <c r="G489" i="6"/>
  <c r="H490" i="6" l="1"/>
  <c r="B491" i="6"/>
  <c r="G490" i="6"/>
  <c r="H491" i="6" l="1"/>
  <c r="B492" i="6"/>
  <c r="G491" i="6"/>
  <c r="B493" i="6" l="1"/>
  <c r="H492" i="6"/>
  <c r="G492" i="6"/>
  <c r="H493" i="6" l="1"/>
  <c r="B494" i="6"/>
  <c r="G493" i="6"/>
  <c r="H494" i="6" l="1"/>
  <c r="B495" i="6"/>
  <c r="G494" i="6"/>
  <c r="H495" i="6" l="1"/>
  <c r="B496" i="6"/>
  <c r="G495" i="6"/>
  <c r="H496" i="6" l="1"/>
  <c r="B497" i="6"/>
  <c r="G496" i="6"/>
  <c r="B498" i="6" l="1"/>
  <c r="H497" i="6"/>
  <c r="G497" i="6"/>
  <c r="H498" i="6" l="1"/>
  <c r="B499" i="6"/>
  <c r="G498" i="6"/>
  <c r="H499" i="6" l="1"/>
  <c r="B500" i="6"/>
  <c r="G499" i="6"/>
  <c r="B501" i="6" l="1"/>
  <c r="H500" i="6"/>
  <c r="G500" i="6"/>
  <c r="H501" i="6" l="1"/>
  <c r="B502" i="6"/>
  <c r="G501" i="6"/>
  <c r="H502" i="6" l="1"/>
  <c r="B503" i="6"/>
  <c r="G502" i="6"/>
  <c r="H503" i="6" l="1"/>
  <c r="B504" i="6"/>
  <c r="G503" i="6"/>
  <c r="H504" i="6" l="1"/>
  <c r="B505" i="6"/>
  <c r="G504" i="6"/>
  <c r="H505" i="6" l="1"/>
  <c r="B506" i="6"/>
  <c r="G505" i="6"/>
  <c r="H506" i="6" l="1"/>
  <c r="B507" i="6"/>
  <c r="G506" i="6"/>
  <c r="H507" i="6" l="1"/>
  <c r="B508" i="6"/>
  <c r="G507" i="6"/>
  <c r="B509" i="6" l="1"/>
  <c r="H508" i="6"/>
  <c r="G508" i="6"/>
  <c r="H509" i="6" l="1"/>
  <c r="B510" i="6"/>
  <c r="G509" i="6"/>
  <c r="H510" i="6" l="1"/>
  <c r="B511" i="6"/>
  <c r="G510" i="6"/>
  <c r="H511" i="6" l="1"/>
  <c r="B512" i="6"/>
  <c r="G511" i="6"/>
  <c r="H512" i="6" l="1"/>
  <c r="B513" i="6"/>
  <c r="G512" i="6"/>
  <c r="H513" i="6" l="1"/>
  <c r="B514" i="6"/>
  <c r="G513" i="6"/>
  <c r="H514" i="6" l="1"/>
  <c r="B515" i="6"/>
  <c r="G514" i="6"/>
  <c r="H515" i="6" l="1"/>
  <c r="B516" i="6"/>
  <c r="G515" i="6"/>
  <c r="H516" i="6" l="1"/>
  <c r="B517" i="6"/>
  <c r="G516" i="6"/>
  <c r="H517" i="6" l="1"/>
  <c r="B518" i="6"/>
  <c r="G517" i="6"/>
  <c r="H518" i="6" l="1"/>
  <c r="B519" i="6"/>
  <c r="G518" i="6"/>
  <c r="H519" i="6" l="1"/>
  <c r="B520" i="6"/>
  <c r="G519" i="6"/>
  <c r="H520" i="6" l="1"/>
  <c r="B521" i="6"/>
  <c r="G520" i="6"/>
  <c r="H521" i="6" l="1"/>
  <c r="B522" i="6"/>
  <c r="G521" i="6"/>
  <c r="H522" i="6" l="1"/>
  <c r="B523" i="6"/>
  <c r="G522" i="6"/>
  <c r="H523" i="6" l="1"/>
  <c r="B524" i="6"/>
  <c r="G523" i="6"/>
  <c r="H524" i="6" l="1"/>
  <c r="B525" i="6"/>
  <c r="G524" i="6"/>
  <c r="H525" i="6" l="1"/>
  <c r="B526" i="6"/>
  <c r="G525" i="6"/>
  <c r="H526" i="6" l="1"/>
  <c r="B527" i="6"/>
  <c r="G526" i="6"/>
  <c r="H527" i="6" l="1"/>
  <c r="B528" i="6"/>
  <c r="G527" i="6"/>
  <c r="H528" i="6" l="1"/>
  <c r="B529" i="6"/>
  <c r="G528" i="6"/>
  <c r="H529" i="6" l="1"/>
  <c r="B530" i="6"/>
  <c r="G529" i="6"/>
  <c r="B531" i="6" l="1"/>
  <c r="H530" i="6"/>
  <c r="G530" i="6"/>
  <c r="H531" i="6" l="1"/>
  <c r="B532" i="6"/>
  <c r="G531" i="6"/>
  <c r="H532" i="6" l="1"/>
  <c r="B533" i="6"/>
  <c r="G532" i="6"/>
  <c r="H533" i="6" l="1"/>
  <c r="B534" i="6"/>
  <c r="G533" i="6"/>
  <c r="H534" i="6" l="1"/>
  <c r="B535" i="6"/>
  <c r="G534" i="6"/>
  <c r="H535" i="6" l="1"/>
  <c r="B536" i="6"/>
  <c r="G535" i="6"/>
  <c r="H536" i="6" l="1"/>
  <c r="B537" i="6"/>
  <c r="G536" i="6"/>
  <c r="H537" i="6" l="1"/>
  <c r="B538" i="6"/>
  <c r="G537" i="6"/>
  <c r="H538" i="6" l="1"/>
  <c r="G538" i="6"/>
  <c r="B539" i="6"/>
  <c r="B540" i="6" l="1"/>
  <c r="H539" i="6"/>
  <c r="G539" i="6"/>
  <c r="H540" i="6" l="1"/>
  <c r="B541" i="6"/>
  <c r="G540" i="6"/>
  <c r="H541" i="6" l="1"/>
  <c r="B542" i="6"/>
  <c r="G541" i="6"/>
  <c r="H542" i="6" l="1"/>
  <c r="B543" i="6"/>
  <c r="G542" i="6"/>
  <c r="B544" i="6" l="1"/>
  <c r="H543" i="6"/>
  <c r="G543" i="6"/>
  <c r="H544" i="6" l="1"/>
  <c r="B545" i="6"/>
  <c r="G544" i="6"/>
  <c r="H545" i="6" l="1"/>
  <c r="B546" i="6"/>
  <c r="G545" i="6"/>
  <c r="H546" i="6" l="1"/>
  <c r="B547" i="6"/>
  <c r="G546" i="6"/>
  <c r="B548" i="6" l="1"/>
  <c r="H547" i="6"/>
  <c r="G547" i="6"/>
  <c r="H548" i="6" l="1"/>
  <c r="B549" i="6"/>
  <c r="G548" i="6"/>
  <c r="H549" i="6" l="1"/>
  <c r="B550" i="6"/>
  <c r="G549" i="6"/>
  <c r="H550" i="6" l="1"/>
  <c r="B551" i="6"/>
  <c r="G550" i="6"/>
  <c r="B552" i="6" l="1"/>
  <c r="H551" i="6"/>
  <c r="G551" i="6"/>
  <c r="H552" i="6" l="1"/>
  <c r="B553" i="6"/>
  <c r="G552" i="6"/>
  <c r="H553" i="6" l="1"/>
  <c r="B554" i="6"/>
  <c r="G553" i="6"/>
  <c r="H554" i="6" l="1"/>
  <c r="B555" i="6"/>
  <c r="G554" i="6"/>
  <c r="B556" i="6" l="1"/>
  <c r="H555" i="6"/>
  <c r="G555" i="6"/>
  <c r="H556" i="6" l="1"/>
  <c r="B557" i="6"/>
  <c r="G556" i="6"/>
  <c r="H557" i="6" l="1"/>
  <c r="B558" i="6"/>
  <c r="G557" i="6"/>
  <c r="H558" i="6" l="1"/>
  <c r="B559" i="6"/>
  <c r="G558" i="6"/>
  <c r="B560" i="6" l="1"/>
  <c r="H559" i="6"/>
  <c r="G559" i="6"/>
  <c r="H560" i="6" l="1"/>
  <c r="B561" i="6"/>
  <c r="G560" i="6"/>
  <c r="H561" i="6" l="1"/>
  <c r="B562" i="6"/>
  <c r="G561" i="6"/>
  <c r="H562" i="6" l="1"/>
  <c r="B563" i="6"/>
  <c r="G562" i="6"/>
  <c r="B564" i="6" l="1"/>
  <c r="H563" i="6"/>
  <c r="G563" i="6"/>
  <c r="H564" i="6" l="1"/>
  <c r="B565" i="6"/>
  <c r="G564" i="6"/>
  <c r="H565" i="6" l="1"/>
  <c r="B566" i="6"/>
  <c r="G565" i="6"/>
  <c r="H566" i="6" l="1"/>
  <c r="B567" i="6"/>
  <c r="G566" i="6"/>
  <c r="B568" i="6" l="1"/>
  <c r="H567" i="6"/>
  <c r="G567" i="6"/>
  <c r="H568" i="6" l="1"/>
  <c r="B569" i="6"/>
  <c r="G568" i="6"/>
  <c r="H569" i="6" l="1"/>
  <c r="B570" i="6"/>
  <c r="G569" i="6"/>
  <c r="H570" i="6" l="1"/>
  <c r="B571" i="6"/>
  <c r="G570" i="6"/>
  <c r="B572" i="6" l="1"/>
  <c r="H571" i="6"/>
  <c r="G571" i="6"/>
  <c r="H572" i="6" l="1"/>
  <c r="B573" i="6"/>
  <c r="G572" i="6"/>
  <c r="H573" i="6" l="1"/>
  <c r="B574" i="6"/>
  <c r="G573" i="6"/>
  <c r="H574" i="6" l="1"/>
  <c r="B575" i="6"/>
  <c r="G574" i="6"/>
  <c r="B576" i="6" l="1"/>
  <c r="H575" i="6"/>
  <c r="G575" i="6"/>
  <c r="H576" i="6" l="1"/>
  <c r="B577" i="6"/>
  <c r="G576" i="6"/>
  <c r="H577" i="6" l="1"/>
  <c r="B578" i="6"/>
  <c r="G577" i="6"/>
  <c r="H578" i="6" l="1"/>
  <c r="B579" i="6"/>
  <c r="G578" i="6"/>
  <c r="B580" i="6" l="1"/>
  <c r="H579" i="6"/>
  <c r="G579" i="6"/>
  <c r="H580" i="6" l="1"/>
  <c r="B581" i="6"/>
  <c r="G580" i="6"/>
  <c r="H581" i="6" l="1"/>
  <c r="B582" i="6"/>
  <c r="G581" i="6"/>
  <c r="H582" i="6" l="1"/>
  <c r="B583" i="6"/>
  <c r="G582" i="6"/>
  <c r="B584" i="6" l="1"/>
  <c r="H583" i="6"/>
  <c r="G583" i="6"/>
  <c r="H584" i="6" l="1"/>
  <c r="B585" i="6"/>
  <c r="G584" i="6"/>
  <c r="H585" i="6" l="1"/>
  <c r="B586" i="6"/>
  <c r="G585" i="6"/>
  <c r="H586" i="6" l="1"/>
  <c r="B587" i="6"/>
  <c r="G586" i="6"/>
  <c r="B588" i="6" l="1"/>
  <c r="H587" i="6"/>
  <c r="G587" i="6"/>
  <c r="H588" i="6" l="1"/>
  <c r="B589" i="6"/>
  <c r="G588" i="6"/>
  <c r="H589" i="6" l="1"/>
  <c r="B590" i="6"/>
  <c r="G589" i="6"/>
  <c r="H590" i="6" l="1"/>
  <c r="B591" i="6"/>
  <c r="G590" i="6"/>
  <c r="B592" i="6" l="1"/>
  <c r="H591" i="6"/>
  <c r="G591" i="6"/>
  <c r="H592" i="6" l="1"/>
  <c r="B593" i="6"/>
  <c r="G592" i="6"/>
  <c r="H593" i="6" l="1"/>
  <c r="B594" i="6"/>
  <c r="G593" i="6"/>
  <c r="H594" i="6" l="1"/>
  <c r="B595" i="6"/>
  <c r="G594" i="6"/>
  <c r="B596" i="6" l="1"/>
  <c r="H595" i="6"/>
  <c r="G595" i="6"/>
  <c r="H596" i="6" l="1"/>
  <c r="B597" i="6"/>
  <c r="G596" i="6"/>
  <c r="H597" i="6" l="1"/>
  <c r="B598" i="6"/>
  <c r="G597" i="6"/>
  <c r="H598" i="6" l="1"/>
  <c r="B599" i="6"/>
  <c r="G598" i="6"/>
  <c r="B600" i="6" l="1"/>
  <c r="H599" i="6"/>
  <c r="G599" i="6"/>
  <c r="H600" i="6" l="1"/>
  <c r="B601" i="6"/>
  <c r="G600" i="6"/>
  <c r="H601" i="6" l="1"/>
  <c r="B602" i="6"/>
  <c r="G601" i="6"/>
  <c r="H602" i="6" l="1"/>
  <c r="G602" i="6"/>
  <c r="B603" i="6"/>
  <c r="B604" i="6" l="1"/>
  <c r="H603" i="6"/>
  <c r="G603" i="6"/>
  <c r="H604" i="6" l="1"/>
  <c r="B605" i="6"/>
  <c r="G604" i="6"/>
  <c r="H605" i="6" l="1"/>
  <c r="B606" i="6"/>
  <c r="G605" i="6"/>
  <c r="H606" i="6" l="1"/>
  <c r="B607" i="6"/>
  <c r="G606" i="6"/>
  <c r="B608" i="6" l="1"/>
  <c r="H607" i="6"/>
  <c r="G607" i="6"/>
  <c r="H608" i="6" l="1"/>
  <c r="B609" i="6"/>
  <c r="G608" i="6"/>
  <c r="H609" i="6" l="1"/>
  <c r="B610" i="6"/>
  <c r="G609" i="6"/>
  <c r="H610" i="6" l="1"/>
  <c r="B611" i="6"/>
  <c r="G610" i="6"/>
  <c r="B612" i="6" l="1"/>
  <c r="H611" i="6"/>
  <c r="G611" i="6"/>
  <c r="H612" i="6" l="1"/>
  <c r="B613" i="6"/>
  <c r="G612" i="6"/>
  <c r="B614" i="6" l="1"/>
  <c r="H613" i="6"/>
  <c r="G613" i="6"/>
  <c r="H614" i="6" l="1"/>
  <c r="B615" i="6"/>
  <c r="G614" i="6"/>
  <c r="H615" i="6" l="1"/>
  <c r="B616" i="6"/>
  <c r="G615" i="6"/>
  <c r="B617" i="6" l="1"/>
  <c r="H616" i="6"/>
  <c r="G616" i="6"/>
  <c r="B618" i="6" l="1"/>
  <c r="H617" i="6"/>
  <c r="G617" i="6"/>
  <c r="H618" i="6" l="1"/>
  <c r="B619" i="6"/>
  <c r="G618" i="6"/>
  <c r="H619" i="6" l="1"/>
  <c r="B620" i="6"/>
  <c r="G619" i="6"/>
  <c r="H620" i="6" l="1"/>
  <c r="G620" i="6"/>
  <c r="B621" i="6"/>
  <c r="B622" i="6" l="1"/>
  <c r="H621" i="6"/>
  <c r="G621" i="6"/>
  <c r="H622" i="6" l="1"/>
  <c r="B623" i="6"/>
  <c r="G622" i="6"/>
  <c r="H623" i="6" l="1"/>
  <c r="B624" i="6"/>
  <c r="G623" i="6"/>
  <c r="B625" i="6" l="1"/>
  <c r="H624" i="6"/>
  <c r="G624" i="6"/>
  <c r="B626" i="6" l="1"/>
  <c r="H625" i="6"/>
  <c r="G625" i="6"/>
  <c r="H626" i="6" l="1"/>
  <c r="B627" i="6"/>
  <c r="G626" i="6"/>
  <c r="H627" i="6" l="1"/>
  <c r="B628" i="6"/>
  <c r="G627" i="6"/>
  <c r="H628" i="6" l="1"/>
  <c r="B629" i="6"/>
  <c r="G628" i="6"/>
  <c r="B630" i="6" l="1"/>
  <c r="H629" i="6"/>
  <c r="G629" i="6"/>
  <c r="H630" i="6" l="1"/>
  <c r="B631" i="6"/>
  <c r="G630" i="6"/>
  <c r="H631" i="6" l="1"/>
  <c r="B632" i="6"/>
  <c r="G631" i="6"/>
  <c r="B633" i="6" l="1"/>
  <c r="H632" i="6"/>
  <c r="G632" i="6"/>
  <c r="B634" i="6" l="1"/>
  <c r="H633" i="6"/>
  <c r="G633" i="6"/>
  <c r="H634" i="6" l="1"/>
  <c r="B635" i="6"/>
  <c r="G634" i="6"/>
  <c r="H635" i="6" l="1"/>
  <c r="B636" i="6"/>
  <c r="G635" i="6"/>
  <c r="H636" i="6" l="1"/>
  <c r="B637" i="6"/>
  <c r="G636" i="6"/>
  <c r="B638" i="6" l="1"/>
  <c r="H637" i="6"/>
  <c r="G637" i="6"/>
  <c r="H638" i="6" l="1"/>
  <c r="B639" i="6"/>
  <c r="G638" i="6"/>
  <c r="H639" i="6" l="1"/>
  <c r="B640" i="6"/>
  <c r="G639" i="6"/>
  <c r="B641" i="6" l="1"/>
  <c r="H640" i="6"/>
  <c r="G640" i="6"/>
  <c r="B642" i="6" l="1"/>
  <c r="H641" i="6"/>
  <c r="G641" i="6"/>
  <c r="H642" i="6" l="1"/>
  <c r="B643" i="6"/>
  <c r="G642" i="6"/>
  <c r="H643" i="6" l="1"/>
  <c r="B644" i="6"/>
  <c r="G643" i="6"/>
  <c r="H644" i="6" l="1"/>
  <c r="B645" i="6"/>
  <c r="G644" i="6"/>
  <c r="B646" i="6" l="1"/>
  <c r="H645" i="6"/>
  <c r="G645" i="6"/>
  <c r="H646" i="6" l="1"/>
  <c r="B647" i="6"/>
  <c r="G646" i="6"/>
  <c r="H647" i="6" l="1"/>
  <c r="B648" i="6"/>
  <c r="G647" i="6"/>
  <c r="B649" i="6" l="1"/>
  <c r="H648" i="6"/>
  <c r="G648" i="6"/>
  <c r="B650" i="6" l="1"/>
  <c r="H649" i="6"/>
  <c r="G649" i="6"/>
  <c r="H650" i="6" l="1"/>
  <c r="B651" i="6"/>
  <c r="G650" i="6"/>
  <c r="H651" i="6" l="1"/>
  <c r="B652" i="6"/>
  <c r="G651" i="6"/>
  <c r="H652" i="6" l="1"/>
  <c r="B653" i="6"/>
  <c r="G652" i="6"/>
  <c r="B654" i="6" l="1"/>
  <c r="H653" i="6"/>
  <c r="G653" i="6"/>
  <c r="H654" i="6" l="1"/>
  <c r="B655" i="6"/>
  <c r="G654" i="6"/>
  <c r="H655" i="6" l="1"/>
  <c r="B656" i="6"/>
  <c r="G655" i="6"/>
  <c r="B657" i="6" l="1"/>
  <c r="H656" i="6"/>
  <c r="G656" i="6"/>
  <c r="B658" i="6" l="1"/>
  <c r="H657" i="6"/>
  <c r="G657" i="6"/>
  <c r="H658" i="6" l="1"/>
  <c r="B659" i="6"/>
  <c r="G658" i="6"/>
  <c r="H659" i="6" l="1"/>
  <c r="B660" i="6"/>
  <c r="G659" i="6"/>
  <c r="H660" i="6" l="1"/>
  <c r="B661" i="6"/>
  <c r="G660" i="6"/>
  <c r="B662" i="6" l="1"/>
  <c r="H661" i="6"/>
  <c r="G661" i="6"/>
  <c r="H662" i="6" l="1"/>
  <c r="B663" i="6"/>
  <c r="G662" i="6"/>
  <c r="H663" i="6" l="1"/>
  <c r="B664" i="6"/>
  <c r="G663" i="6"/>
  <c r="B665" i="6" l="1"/>
  <c r="H664" i="6"/>
  <c r="G664" i="6"/>
  <c r="B666" i="6" l="1"/>
  <c r="H665" i="6"/>
  <c r="G665" i="6"/>
  <c r="H666" i="6" l="1"/>
  <c r="B667" i="6"/>
  <c r="G666" i="6"/>
  <c r="H667" i="6" l="1"/>
  <c r="B668" i="6"/>
  <c r="G667" i="6"/>
  <c r="H668" i="6" l="1"/>
  <c r="B669" i="6"/>
  <c r="G668" i="6"/>
  <c r="B670" i="6" l="1"/>
  <c r="H669" i="6"/>
  <c r="G669" i="6"/>
  <c r="H670" i="6" l="1"/>
  <c r="B671" i="6"/>
  <c r="G670" i="6"/>
  <c r="H671" i="6" l="1"/>
  <c r="G671" i="6"/>
  <c r="B672" i="6"/>
  <c r="B673" i="6" l="1"/>
  <c r="H672" i="6"/>
  <c r="G672" i="6"/>
  <c r="B674" i="6" l="1"/>
  <c r="H673" i="6"/>
  <c r="G673" i="6"/>
  <c r="H674" i="6" l="1"/>
  <c r="B675" i="6"/>
  <c r="G674" i="6"/>
  <c r="H675" i="6" l="1"/>
  <c r="B676" i="6"/>
  <c r="G675" i="6"/>
  <c r="H676" i="6" l="1"/>
  <c r="B677" i="6"/>
  <c r="G676" i="6"/>
  <c r="B678" i="6" l="1"/>
  <c r="H677" i="6"/>
  <c r="G677" i="6"/>
  <c r="H678" i="6" l="1"/>
  <c r="B679" i="6"/>
  <c r="G678" i="6"/>
  <c r="H679" i="6" l="1"/>
  <c r="G679" i="6"/>
  <c r="B680" i="6"/>
  <c r="B681" i="6" l="1"/>
  <c r="H680" i="6"/>
  <c r="G680" i="6"/>
  <c r="B682" i="6" l="1"/>
  <c r="H681" i="6"/>
  <c r="G681" i="6"/>
  <c r="H682" i="6" l="1"/>
  <c r="B683" i="6"/>
  <c r="G682" i="6"/>
  <c r="H683" i="6" l="1"/>
  <c r="B684" i="6"/>
  <c r="G683" i="6"/>
  <c r="H684" i="6" l="1"/>
  <c r="B685" i="6"/>
  <c r="G684" i="6"/>
  <c r="B686" i="6" l="1"/>
  <c r="H685" i="6"/>
  <c r="G685" i="6"/>
  <c r="H686" i="6" l="1"/>
  <c r="B687" i="6"/>
  <c r="G686" i="6"/>
  <c r="H687" i="6" l="1"/>
  <c r="B688" i="6"/>
  <c r="G687" i="6"/>
  <c r="B689" i="6" l="1"/>
  <c r="H688" i="6"/>
  <c r="G688" i="6"/>
  <c r="B690" i="6" l="1"/>
  <c r="H689" i="6"/>
  <c r="G689" i="6"/>
  <c r="H690" i="6" l="1"/>
  <c r="B691" i="6"/>
  <c r="G690" i="6"/>
  <c r="H691" i="6" l="1"/>
  <c r="B692" i="6"/>
  <c r="G691" i="6"/>
  <c r="H692" i="6" l="1"/>
  <c r="B693" i="6"/>
  <c r="G692" i="6"/>
  <c r="B694" i="6" l="1"/>
  <c r="H693" i="6"/>
  <c r="G693" i="6"/>
  <c r="H694" i="6" l="1"/>
  <c r="B695" i="6"/>
  <c r="G694" i="6"/>
  <c r="B696" i="6" l="1"/>
  <c r="G695" i="6"/>
  <c r="H695" i="6"/>
  <c r="H696" i="6" l="1"/>
  <c r="B697" i="6"/>
  <c r="G696" i="6"/>
  <c r="B698" i="6" l="1"/>
  <c r="H697" i="6"/>
  <c r="G697" i="6"/>
  <c r="H698" i="6" l="1"/>
  <c r="B699" i="6"/>
  <c r="G698" i="6"/>
  <c r="H699" i="6" l="1"/>
  <c r="B700" i="6"/>
  <c r="G699" i="6"/>
  <c r="B701" i="6" l="1"/>
  <c r="H700" i="6"/>
  <c r="G700" i="6"/>
  <c r="B702" i="6" l="1"/>
  <c r="H701" i="6"/>
  <c r="G701" i="6"/>
  <c r="H702" i="6" l="1"/>
  <c r="B703" i="6"/>
  <c r="G702" i="6"/>
  <c r="H703" i="6" l="1"/>
  <c r="B704" i="6"/>
  <c r="G703" i="6"/>
  <c r="H704" i="6" l="1"/>
  <c r="B705" i="6"/>
  <c r="G704" i="6"/>
  <c r="B706" i="6" l="1"/>
  <c r="H705" i="6"/>
  <c r="G705" i="6"/>
  <c r="H706" i="6" l="1"/>
  <c r="B707" i="6"/>
  <c r="G706" i="6"/>
  <c r="H707" i="6" l="1"/>
  <c r="B708" i="6"/>
  <c r="G707" i="6"/>
  <c r="H708" i="6" l="1"/>
  <c r="B709" i="6"/>
  <c r="G708" i="6"/>
  <c r="B710" i="6" l="1"/>
  <c r="H709" i="6"/>
  <c r="G709" i="6"/>
  <c r="H710" i="6" l="1"/>
  <c r="G710" i="6"/>
  <c r="B711" i="6"/>
  <c r="B712" i="6" l="1"/>
  <c r="G711" i="6"/>
  <c r="H711" i="6"/>
  <c r="H712" i="6" l="1"/>
  <c r="B713" i="6"/>
  <c r="G712" i="6"/>
  <c r="B714" i="6" l="1"/>
  <c r="H713" i="6"/>
  <c r="G713" i="6"/>
  <c r="H714" i="6" l="1"/>
  <c r="B715" i="6"/>
  <c r="G714" i="6"/>
  <c r="H715" i="6" l="1"/>
  <c r="B716" i="6"/>
  <c r="G715" i="6"/>
  <c r="B717" i="6" l="1"/>
  <c r="H716" i="6"/>
  <c r="G716" i="6"/>
  <c r="B718" i="6" l="1"/>
  <c r="H717" i="6"/>
  <c r="G717" i="6"/>
  <c r="H718" i="6" l="1"/>
  <c r="B719" i="6"/>
  <c r="G718" i="6"/>
  <c r="H719" i="6" l="1"/>
  <c r="B720" i="6"/>
  <c r="G719" i="6"/>
  <c r="H720" i="6" l="1"/>
  <c r="G720" i="6"/>
  <c r="B721" i="6"/>
  <c r="B722" i="6" l="1"/>
  <c r="H721" i="6"/>
  <c r="G721" i="6"/>
  <c r="H722" i="6" l="1"/>
  <c r="B723" i="6"/>
  <c r="G722" i="6"/>
  <c r="H723" i="6" l="1"/>
  <c r="B724" i="6"/>
  <c r="G723" i="6"/>
  <c r="H724" i="6" l="1"/>
  <c r="B725" i="6"/>
  <c r="G724" i="6"/>
  <c r="B726" i="6" l="1"/>
  <c r="H725" i="6"/>
  <c r="G725" i="6"/>
  <c r="H726" i="6" l="1"/>
  <c r="G726" i="6"/>
  <c r="B727" i="6"/>
  <c r="B728" i="6" l="1"/>
  <c r="H727" i="6"/>
  <c r="G727" i="6"/>
  <c r="H728" i="6" l="1"/>
  <c r="B729" i="6"/>
  <c r="G728" i="6"/>
  <c r="B730" i="6" l="1"/>
  <c r="H729" i="6"/>
  <c r="G729" i="6"/>
  <c r="H730" i="6" l="1"/>
  <c r="B731" i="6"/>
  <c r="G730" i="6"/>
  <c r="H731" i="6" l="1"/>
  <c r="B732" i="6"/>
  <c r="G731" i="6"/>
  <c r="B733" i="6" l="1"/>
  <c r="H732" i="6"/>
  <c r="G732" i="6"/>
  <c r="B734" i="6" l="1"/>
  <c r="H733" i="6"/>
  <c r="G733" i="6"/>
  <c r="H734" i="6" l="1"/>
  <c r="B735" i="6"/>
  <c r="G734" i="6"/>
  <c r="H735" i="6" l="1"/>
  <c r="G735" i="6"/>
  <c r="B736" i="6"/>
  <c r="H736" i="6" l="1"/>
  <c r="B737" i="6"/>
  <c r="G736" i="6"/>
  <c r="B738" i="6" l="1"/>
  <c r="H737" i="6"/>
  <c r="G737" i="6"/>
  <c r="H738" i="6" l="1"/>
  <c r="B739" i="6"/>
  <c r="G738" i="6"/>
  <c r="H739" i="6" l="1"/>
  <c r="B740" i="6"/>
  <c r="G739" i="6"/>
  <c r="H740" i="6" l="1"/>
  <c r="B741" i="6"/>
  <c r="G740" i="6"/>
  <c r="B742" i="6" l="1"/>
  <c r="H741" i="6"/>
  <c r="G741" i="6"/>
  <c r="H742" i="6" l="1"/>
  <c r="B743" i="6"/>
  <c r="G742" i="6"/>
  <c r="B744" i="6" l="1"/>
  <c r="H743" i="6"/>
  <c r="G743" i="6"/>
  <c r="H744" i="6" l="1"/>
  <c r="B745" i="6"/>
  <c r="G744" i="6"/>
  <c r="B746" i="6" l="1"/>
  <c r="H745" i="6"/>
  <c r="G745" i="6"/>
  <c r="H746" i="6" l="1"/>
  <c r="B747" i="6"/>
  <c r="G746" i="6"/>
  <c r="H747" i="6" l="1"/>
  <c r="B748" i="6"/>
  <c r="G747" i="6"/>
  <c r="B749" i="6" l="1"/>
  <c r="H748" i="6"/>
  <c r="G748" i="6"/>
  <c r="B750" i="6" l="1"/>
  <c r="H749" i="6"/>
  <c r="G749" i="6"/>
  <c r="H750" i="6" l="1"/>
  <c r="B751" i="6"/>
  <c r="G750" i="6"/>
  <c r="H751" i="6" l="1"/>
  <c r="B752" i="6"/>
  <c r="G751" i="6"/>
  <c r="H752" i="6" l="1"/>
  <c r="B753" i="6"/>
  <c r="G752" i="6"/>
  <c r="B754" i="6" l="1"/>
  <c r="H753" i="6"/>
  <c r="G753" i="6"/>
  <c r="H754" i="6" l="1"/>
  <c r="B755" i="6"/>
  <c r="G754" i="6"/>
  <c r="H755" i="6" l="1"/>
  <c r="B756" i="6"/>
  <c r="G755" i="6"/>
  <c r="H756" i="6" l="1"/>
  <c r="B757" i="6"/>
  <c r="G756" i="6"/>
  <c r="B758" i="6" l="1"/>
  <c r="H757" i="6"/>
  <c r="G757" i="6"/>
  <c r="H758" i="6" l="1"/>
  <c r="B759" i="6"/>
  <c r="G758" i="6"/>
  <c r="B760" i="6" l="1"/>
  <c r="H759" i="6"/>
  <c r="G759" i="6"/>
  <c r="H760" i="6" l="1"/>
  <c r="B761" i="6"/>
  <c r="G760" i="6"/>
  <c r="B762" i="6" l="1"/>
  <c r="H761" i="6"/>
  <c r="G761" i="6"/>
  <c r="H762" i="6" l="1"/>
  <c r="B763" i="6"/>
  <c r="G762" i="6"/>
  <c r="H763" i="6" l="1"/>
  <c r="G763" i="6"/>
  <c r="B764" i="6"/>
  <c r="B765" i="6" l="1"/>
  <c r="H764" i="6"/>
  <c r="G764" i="6"/>
  <c r="B766" i="6" l="1"/>
  <c r="H765" i="6"/>
  <c r="G765" i="6"/>
  <c r="H766" i="6" l="1"/>
  <c r="B767" i="6"/>
  <c r="G766" i="6"/>
  <c r="H767" i="6" l="1"/>
  <c r="G767" i="6"/>
  <c r="B768" i="6"/>
  <c r="H768" i="6" l="1"/>
  <c r="G768" i="6"/>
  <c r="B769" i="6"/>
  <c r="B770" i="6" l="1"/>
  <c r="H769" i="6"/>
  <c r="G769" i="6"/>
  <c r="H770" i="6" l="1"/>
  <c r="B771" i="6"/>
  <c r="G770" i="6"/>
  <c r="H771" i="6" l="1"/>
  <c r="B772" i="6"/>
  <c r="G771" i="6"/>
  <c r="H772" i="6" l="1"/>
  <c r="B773" i="6"/>
  <c r="G772" i="6"/>
  <c r="B774" i="6" l="1"/>
  <c r="H773" i="6"/>
  <c r="G773" i="6"/>
  <c r="H774" i="6" l="1"/>
  <c r="B775" i="6"/>
  <c r="G774" i="6"/>
  <c r="B776" i="6" l="1"/>
  <c r="H775" i="6"/>
  <c r="G775" i="6"/>
  <c r="H776" i="6" l="1"/>
  <c r="B777" i="6"/>
  <c r="G776" i="6"/>
  <c r="B778" i="6" l="1"/>
  <c r="H777" i="6"/>
  <c r="G777" i="6"/>
  <c r="H778" i="6" l="1"/>
  <c r="B779" i="6"/>
  <c r="G778" i="6"/>
  <c r="H779" i="6" l="1"/>
  <c r="B780" i="6"/>
  <c r="G779" i="6"/>
  <c r="B781" i="6" l="1"/>
  <c r="H780" i="6"/>
  <c r="G780" i="6"/>
  <c r="B782" i="6" l="1"/>
  <c r="H781" i="6"/>
  <c r="G781" i="6"/>
  <c r="H782" i="6" l="1"/>
  <c r="B783" i="6"/>
  <c r="G782" i="6"/>
  <c r="H783" i="6" l="1"/>
  <c r="B784" i="6"/>
  <c r="G783" i="6"/>
  <c r="H784" i="6" l="1"/>
  <c r="B785" i="6"/>
  <c r="G784" i="6"/>
  <c r="B786" i="6" l="1"/>
  <c r="H785" i="6"/>
  <c r="G785" i="6"/>
  <c r="H786" i="6" l="1"/>
  <c r="B787" i="6"/>
  <c r="G786" i="6"/>
  <c r="H787" i="6" l="1"/>
  <c r="B788" i="6"/>
  <c r="G787" i="6"/>
  <c r="H788" i="6" l="1"/>
  <c r="B789" i="6"/>
  <c r="G788" i="6"/>
  <c r="B790" i="6" l="1"/>
  <c r="H789" i="6"/>
  <c r="G789" i="6"/>
  <c r="H790" i="6" l="1"/>
  <c r="B791" i="6"/>
  <c r="G790" i="6"/>
  <c r="B792" i="6" l="1"/>
  <c r="G791" i="6"/>
  <c r="H791" i="6"/>
  <c r="H792" i="6" l="1"/>
  <c r="B793" i="6"/>
  <c r="G792" i="6"/>
  <c r="B794" i="6" l="1"/>
  <c r="H793" i="6"/>
  <c r="G793" i="6"/>
  <c r="H794" i="6" l="1"/>
  <c r="B795" i="6"/>
  <c r="G794" i="6"/>
  <c r="H795" i="6" l="1"/>
  <c r="G795" i="6"/>
  <c r="B796" i="6"/>
  <c r="B797" i="6" l="1"/>
  <c r="H796" i="6"/>
  <c r="G796" i="6"/>
  <c r="B798" i="6" l="1"/>
  <c r="H797" i="6"/>
  <c r="G797" i="6"/>
  <c r="H798" i="6" l="1"/>
  <c r="B799" i="6"/>
  <c r="G798" i="6"/>
  <c r="H799" i="6" l="1"/>
  <c r="B800" i="6"/>
  <c r="G799" i="6"/>
  <c r="H800" i="6" l="1"/>
  <c r="B801" i="6"/>
  <c r="G800" i="6"/>
  <c r="B802" i="6" l="1"/>
  <c r="H801" i="6"/>
  <c r="G801" i="6"/>
  <c r="H802" i="6" l="1"/>
  <c r="B803" i="6"/>
  <c r="G802" i="6"/>
  <c r="H803" i="6" l="1"/>
  <c r="B804" i="6"/>
  <c r="G803" i="6"/>
  <c r="H804" i="6" l="1"/>
  <c r="B805" i="6"/>
  <c r="G804" i="6"/>
  <c r="B806" i="6" l="1"/>
  <c r="H805" i="6"/>
  <c r="G805" i="6"/>
  <c r="H806" i="6" l="1"/>
  <c r="G806" i="6"/>
  <c r="B807" i="6"/>
  <c r="B808" i="6" l="1"/>
  <c r="H807" i="6"/>
  <c r="G807" i="6"/>
  <c r="H808" i="6" l="1"/>
  <c r="B809" i="6"/>
  <c r="G808" i="6"/>
  <c r="H809" i="6" l="1"/>
  <c r="G809" i="6"/>
  <c r="B810" i="6"/>
  <c r="H810" i="6" l="1"/>
  <c r="B811" i="6"/>
  <c r="G810" i="6"/>
  <c r="B812" i="6" l="1"/>
  <c r="H811" i="6"/>
  <c r="G811" i="6"/>
  <c r="H812" i="6" l="1"/>
  <c r="B813" i="6"/>
  <c r="G812" i="6"/>
  <c r="H813" i="6" l="1"/>
  <c r="B814" i="6"/>
  <c r="G813" i="6"/>
  <c r="B815" i="6" l="1"/>
  <c r="H814" i="6"/>
  <c r="G814" i="6"/>
  <c r="H815" i="6" l="1"/>
  <c r="B816" i="6"/>
  <c r="G815" i="6"/>
  <c r="H816" i="6" l="1"/>
  <c r="B817" i="6"/>
  <c r="G816" i="6"/>
  <c r="H817" i="6" l="1"/>
  <c r="B818" i="6"/>
  <c r="G817" i="6"/>
  <c r="B819" i="6" l="1"/>
  <c r="H818" i="6"/>
  <c r="G818" i="6"/>
  <c r="H819" i="6" l="1"/>
  <c r="B820" i="6"/>
  <c r="G819" i="6"/>
  <c r="H820" i="6" l="1"/>
  <c r="B821" i="6"/>
  <c r="G820" i="6"/>
  <c r="H821" i="6" l="1"/>
  <c r="B822" i="6"/>
  <c r="G821" i="6"/>
  <c r="B823" i="6" l="1"/>
  <c r="G822" i="6"/>
  <c r="H822" i="6"/>
  <c r="H823" i="6" l="1"/>
  <c r="B824" i="6"/>
  <c r="G823" i="6"/>
  <c r="H824" i="6" l="1"/>
  <c r="B825" i="6"/>
  <c r="G824" i="6"/>
  <c r="H825" i="6" l="1"/>
  <c r="B826" i="6"/>
  <c r="G825" i="6"/>
  <c r="B827" i="6" l="1"/>
  <c r="H826" i="6"/>
  <c r="G826" i="6"/>
  <c r="H827" i="6" l="1"/>
  <c r="B828" i="6"/>
  <c r="G827" i="6"/>
  <c r="H828" i="6" l="1"/>
  <c r="B829" i="6"/>
  <c r="G828" i="6"/>
  <c r="H829" i="6" l="1"/>
  <c r="B830" i="6"/>
  <c r="G829" i="6"/>
  <c r="B831" i="6" l="1"/>
  <c r="H830" i="6"/>
  <c r="G830" i="6"/>
  <c r="G831" i="6" l="1"/>
  <c r="H831" i="6"/>
  <c r="B832" i="6"/>
  <c r="H832" i="6" l="1"/>
  <c r="B833" i="6"/>
  <c r="G832" i="6"/>
  <c r="H833" i="6" l="1"/>
  <c r="B834" i="6"/>
  <c r="G833" i="6"/>
  <c r="B835" i="6" l="1"/>
  <c r="H834" i="6"/>
  <c r="G834" i="6"/>
  <c r="H835" i="6" l="1"/>
  <c r="B836" i="6"/>
  <c r="G835" i="6"/>
  <c r="H836" i="6" l="1"/>
  <c r="B837" i="6"/>
  <c r="G836" i="6"/>
  <c r="H837" i="6" l="1"/>
  <c r="B838" i="6"/>
  <c r="G837" i="6"/>
  <c r="B839" i="6" l="1"/>
  <c r="H838" i="6"/>
  <c r="G838" i="6"/>
  <c r="B840" i="6" l="1"/>
  <c r="G839" i="6"/>
  <c r="H839" i="6"/>
  <c r="H840" i="6" l="1"/>
  <c r="B841" i="6"/>
  <c r="G840" i="6"/>
  <c r="H841" i="6" l="1"/>
  <c r="B842" i="6"/>
  <c r="G841" i="6"/>
  <c r="B843" i="6" l="1"/>
  <c r="H842" i="6"/>
  <c r="G842" i="6"/>
  <c r="B844" i="6" l="1"/>
  <c r="H843" i="6"/>
  <c r="G843" i="6"/>
  <c r="H844" i="6" l="1"/>
  <c r="B845" i="6"/>
  <c r="G844" i="6"/>
  <c r="H845" i="6" l="1"/>
  <c r="B846" i="6"/>
  <c r="G845" i="6"/>
  <c r="B847" i="6" l="1"/>
  <c r="H846" i="6"/>
  <c r="G846" i="6"/>
  <c r="H847" i="6" l="1"/>
  <c r="B848" i="6"/>
  <c r="G847" i="6"/>
  <c r="H848" i="6" l="1"/>
  <c r="B849" i="6"/>
  <c r="G848" i="6"/>
  <c r="H849" i="6" l="1"/>
  <c r="B850" i="6"/>
  <c r="G849" i="6"/>
  <c r="B851" i="6" l="1"/>
  <c r="G850" i="6"/>
  <c r="H850" i="6"/>
  <c r="H851" i="6" l="1"/>
  <c r="B852" i="6"/>
  <c r="G851" i="6"/>
  <c r="H852" i="6" l="1"/>
  <c r="B853" i="6"/>
  <c r="G852" i="6"/>
  <c r="H853" i="6" l="1"/>
  <c r="B854" i="6"/>
  <c r="G853" i="6"/>
  <c r="B855" i="6" l="1"/>
  <c r="G854" i="6"/>
  <c r="H854" i="6"/>
  <c r="H855" i="6" l="1"/>
  <c r="B856" i="6"/>
  <c r="G855" i="6"/>
  <c r="H856" i="6" l="1"/>
  <c r="B857" i="6"/>
  <c r="G856" i="6"/>
  <c r="H857" i="6" l="1"/>
  <c r="B858" i="6"/>
  <c r="G857" i="6"/>
  <c r="B859" i="6" l="1"/>
  <c r="H858" i="6"/>
  <c r="G858" i="6"/>
  <c r="H859" i="6" l="1"/>
  <c r="G859" i="6"/>
  <c r="B860" i="6"/>
  <c r="H860" i="6" l="1"/>
  <c r="B861" i="6"/>
  <c r="G860" i="6"/>
  <c r="H861" i="6" l="1"/>
  <c r="B862" i="6"/>
  <c r="G861" i="6"/>
  <c r="B863" i="6" l="1"/>
  <c r="H862" i="6"/>
  <c r="G862" i="6"/>
  <c r="H863" i="6" l="1"/>
  <c r="G863" i="6"/>
  <c r="B864" i="6"/>
  <c r="H864" i="6" l="1"/>
  <c r="B865" i="6"/>
  <c r="G864" i="6"/>
  <c r="H865" i="6" l="1"/>
  <c r="B866" i="6"/>
  <c r="G865" i="6"/>
  <c r="B867" i="6" l="1"/>
  <c r="H866" i="6"/>
  <c r="G866" i="6"/>
  <c r="H867" i="6" l="1"/>
  <c r="B868" i="6"/>
  <c r="G867" i="6"/>
  <c r="H868" i="6" l="1"/>
  <c r="B869" i="6"/>
  <c r="G868" i="6"/>
  <c r="H869" i="6" l="1"/>
  <c r="B870" i="6"/>
  <c r="G869" i="6"/>
  <c r="B871" i="6" l="1"/>
  <c r="H870" i="6"/>
  <c r="G870" i="6"/>
  <c r="B872" i="6" l="1"/>
  <c r="H871" i="6"/>
  <c r="G871" i="6"/>
  <c r="H872" i="6" l="1"/>
  <c r="B873" i="6"/>
  <c r="G872" i="6"/>
  <c r="H873" i="6" l="1"/>
  <c r="B874" i="6"/>
  <c r="G873" i="6"/>
  <c r="B875" i="6" l="1"/>
  <c r="H874" i="6"/>
  <c r="G874" i="6"/>
  <c r="B876" i="6" l="1"/>
  <c r="G875" i="6"/>
  <c r="H875" i="6"/>
  <c r="H876" i="6" l="1"/>
  <c r="B877" i="6"/>
  <c r="G876" i="6"/>
  <c r="H877" i="6" l="1"/>
  <c r="B878" i="6"/>
  <c r="G877" i="6"/>
  <c r="B879" i="6" l="1"/>
  <c r="H878" i="6"/>
  <c r="G878" i="6"/>
  <c r="H879" i="6" l="1"/>
  <c r="B880" i="6"/>
  <c r="G879" i="6"/>
  <c r="H880" i="6" l="1"/>
  <c r="B881" i="6"/>
  <c r="G880" i="6"/>
  <c r="H881" i="6" l="1"/>
  <c r="B882" i="6"/>
  <c r="G881" i="6"/>
  <c r="B883" i="6" l="1"/>
  <c r="H882" i="6"/>
  <c r="G882" i="6"/>
  <c r="H883" i="6" l="1"/>
  <c r="B884" i="6"/>
  <c r="G883" i="6"/>
  <c r="H884" i="6" l="1"/>
  <c r="B885" i="6"/>
  <c r="G884" i="6"/>
  <c r="H885" i="6" l="1"/>
  <c r="B886" i="6"/>
  <c r="G885" i="6"/>
  <c r="B887" i="6" l="1"/>
  <c r="G886" i="6"/>
  <c r="H886" i="6"/>
  <c r="H887" i="6" l="1"/>
  <c r="B888" i="6"/>
  <c r="G887" i="6"/>
  <c r="H888" i="6" l="1"/>
  <c r="B889" i="6"/>
  <c r="G888" i="6"/>
  <c r="H889" i="6" l="1"/>
  <c r="B890" i="6"/>
  <c r="G889" i="6"/>
  <c r="B891" i="6" l="1"/>
  <c r="H890" i="6"/>
  <c r="G890" i="6"/>
  <c r="H891" i="6" l="1"/>
  <c r="G891" i="6"/>
  <c r="B892" i="6"/>
  <c r="H892" i="6" l="1"/>
  <c r="B893" i="6"/>
  <c r="G892" i="6"/>
  <c r="H893" i="6" l="1"/>
  <c r="B894" i="6"/>
  <c r="G893" i="6"/>
  <c r="B895" i="6" l="1"/>
  <c r="H894" i="6"/>
  <c r="G894" i="6"/>
  <c r="B896" i="6" l="1"/>
  <c r="G895" i="6"/>
  <c r="H895" i="6"/>
  <c r="H896" i="6" l="1"/>
  <c r="B897" i="6"/>
  <c r="G896" i="6"/>
  <c r="H897" i="6" l="1"/>
  <c r="B898" i="6"/>
  <c r="G897" i="6"/>
  <c r="B899" i="6" l="1"/>
  <c r="H898" i="6"/>
  <c r="G898" i="6"/>
  <c r="H899" i="6" l="1"/>
  <c r="B900" i="6"/>
  <c r="G899" i="6"/>
  <c r="H900" i="6" l="1"/>
  <c r="B901" i="6"/>
  <c r="G900" i="6"/>
  <c r="H901" i="6" l="1"/>
  <c r="B902" i="6"/>
  <c r="G901" i="6"/>
  <c r="B903" i="6" l="1"/>
  <c r="H902" i="6"/>
  <c r="G902" i="6"/>
  <c r="B904" i="6" l="1"/>
  <c r="H903" i="6"/>
  <c r="G903" i="6"/>
  <c r="H904" i="6" l="1"/>
  <c r="B905" i="6"/>
  <c r="G904" i="6"/>
  <c r="H905" i="6" l="1"/>
  <c r="B906" i="6"/>
  <c r="G905" i="6"/>
  <c r="B907" i="6" l="1"/>
  <c r="H906" i="6"/>
  <c r="G906" i="6"/>
  <c r="B908" i="6" l="1"/>
  <c r="H907" i="6"/>
  <c r="G907" i="6"/>
  <c r="H908" i="6" l="1"/>
  <c r="B909" i="6"/>
  <c r="G908" i="6"/>
  <c r="H909" i="6" l="1"/>
  <c r="B910" i="6"/>
  <c r="G909" i="6"/>
  <c r="B911" i="6" l="1"/>
  <c r="H910" i="6"/>
  <c r="G910" i="6"/>
  <c r="H911" i="6" l="1"/>
  <c r="B912" i="6"/>
  <c r="G911" i="6"/>
  <c r="H912" i="6" l="1"/>
  <c r="B913" i="6"/>
  <c r="G912" i="6"/>
  <c r="H913" i="6" l="1"/>
  <c r="B914" i="6"/>
  <c r="G913" i="6"/>
  <c r="B915" i="6" l="1"/>
  <c r="H914" i="6"/>
  <c r="G914" i="6"/>
  <c r="G915" i="6" l="1"/>
  <c r="B916" i="6"/>
  <c r="H915" i="6"/>
  <c r="H916" i="6" l="1"/>
  <c r="B917" i="6"/>
  <c r="G916" i="6"/>
  <c r="H917" i="6" l="1"/>
  <c r="B918" i="6"/>
  <c r="G917" i="6"/>
  <c r="B919" i="6" l="1"/>
  <c r="H918" i="6"/>
  <c r="G918" i="6"/>
  <c r="H919" i="6" l="1"/>
  <c r="B920" i="6"/>
  <c r="G919" i="6"/>
  <c r="H920" i="6" l="1"/>
  <c r="B921" i="6"/>
  <c r="G920" i="6"/>
  <c r="H921" i="6" l="1"/>
  <c r="G921" i="6"/>
  <c r="B922" i="6"/>
  <c r="B923" i="6" l="1"/>
  <c r="H922" i="6"/>
  <c r="G922" i="6"/>
  <c r="H923" i="6" l="1"/>
  <c r="B924" i="6"/>
  <c r="G923" i="6"/>
  <c r="H924" i="6" l="1"/>
  <c r="B925" i="6"/>
  <c r="G924" i="6"/>
  <c r="H925" i="6" l="1"/>
  <c r="B926" i="6"/>
  <c r="G925" i="6"/>
  <c r="B927" i="6" l="1"/>
  <c r="H926" i="6"/>
  <c r="G926" i="6"/>
  <c r="H927" i="6" l="1"/>
  <c r="B928" i="6"/>
  <c r="G927" i="6"/>
  <c r="H928" i="6" l="1"/>
  <c r="B929" i="6"/>
  <c r="G928" i="6"/>
  <c r="H929" i="6" l="1"/>
  <c r="B930" i="6"/>
  <c r="G929" i="6"/>
  <c r="B931" i="6" l="1"/>
  <c r="H930" i="6"/>
  <c r="G930" i="6"/>
  <c r="H931" i="6" l="1"/>
  <c r="B932" i="6"/>
  <c r="G931" i="6"/>
  <c r="H932" i="6" l="1"/>
  <c r="B933" i="6"/>
  <c r="G932" i="6"/>
  <c r="H933" i="6" l="1"/>
  <c r="B934" i="6"/>
  <c r="G933" i="6"/>
  <c r="B935" i="6" l="1"/>
  <c r="H934" i="6"/>
  <c r="G934" i="6"/>
  <c r="H935" i="6" l="1"/>
  <c r="B936" i="6"/>
  <c r="G935" i="6"/>
  <c r="H936" i="6" l="1"/>
  <c r="B937" i="6"/>
  <c r="G936" i="6"/>
  <c r="H937" i="6" l="1"/>
  <c r="G937" i="6"/>
  <c r="B938" i="6"/>
  <c r="B939" i="6" l="1"/>
  <c r="H938" i="6"/>
  <c r="G938" i="6"/>
  <c r="H939" i="6" l="1"/>
  <c r="G939" i="6"/>
  <c r="B940" i="6"/>
  <c r="H940" i="6" l="1"/>
  <c r="B941" i="6"/>
  <c r="G940" i="6"/>
  <c r="H941" i="6" l="1"/>
  <c r="B942" i="6"/>
  <c r="G941" i="6"/>
  <c r="B943" i="6" l="1"/>
  <c r="H942" i="6"/>
  <c r="G942" i="6"/>
  <c r="H943" i="6" l="1"/>
  <c r="B944" i="6"/>
  <c r="G943" i="6"/>
  <c r="H944" i="6" l="1"/>
  <c r="B945" i="6"/>
  <c r="G944" i="6"/>
  <c r="H945" i="6" l="1"/>
  <c r="B946" i="6"/>
  <c r="G945" i="6"/>
  <c r="B947" i="6" l="1"/>
  <c r="H946" i="6"/>
  <c r="G946" i="6"/>
  <c r="H947" i="6" l="1"/>
  <c r="G947" i="6"/>
  <c r="B948" i="6"/>
  <c r="H948" i="6" l="1"/>
  <c r="B949" i="6"/>
  <c r="G948" i="6"/>
  <c r="H949" i="6" l="1"/>
  <c r="B950" i="6"/>
  <c r="G949" i="6"/>
  <c r="B951" i="6" l="1"/>
  <c r="H950" i="6"/>
  <c r="G950" i="6"/>
  <c r="H951" i="6" l="1"/>
  <c r="B952" i="6"/>
  <c r="G951" i="6"/>
  <c r="H952" i="6" l="1"/>
  <c r="B953" i="6"/>
  <c r="G952" i="6"/>
  <c r="H953" i="6" l="1"/>
  <c r="B954" i="6"/>
  <c r="G953" i="6"/>
  <c r="B955" i="6" l="1"/>
  <c r="H954" i="6"/>
  <c r="G954" i="6"/>
  <c r="H955" i="6" l="1"/>
  <c r="B956" i="6"/>
  <c r="G955" i="6"/>
  <c r="H956" i="6" l="1"/>
  <c r="B957" i="6"/>
  <c r="G956" i="6"/>
  <c r="H957" i="6" l="1"/>
  <c r="B958" i="6"/>
  <c r="G957" i="6"/>
  <c r="B959" i="6" l="1"/>
  <c r="H958" i="6"/>
  <c r="G958" i="6"/>
  <c r="H959" i="6" l="1"/>
  <c r="B960" i="6"/>
  <c r="G959" i="6"/>
  <c r="H960" i="6" l="1"/>
  <c r="B961" i="6"/>
  <c r="G960" i="6"/>
  <c r="H961" i="6" l="1"/>
  <c r="G961" i="6"/>
  <c r="B962" i="6"/>
  <c r="B963" i="6" l="1"/>
  <c r="H962" i="6"/>
  <c r="G962" i="6"/>
  <c r="B964" i="6" l="1"/>
  <c r="G963" i="6"/>
  <c r="H963" i="6"/>
  <c r="H964" i="6" l="1"/>
  <c r="B965" i="6"/>
  <c r="G964" i="6"/>
  <c r="H965" i="6" l="1"/>
  <c r="B966" i="6"/>
  <c r="G965" i="6"/>
  <c r="B967" i="6" l="1"/>
  <c r="H966" i="6"/>
  <c r="G966" i="6"/>
  <c r="H967" i="6" l="1"/>
  <c r="B968" i="6"/>
  <c r="G967" i="6"/>
  <c r="H968" i="6" l="1"/>
  <c r="B969" i="6"/>
  <c r="G968" i="6"/>
  <c r="H969" i="6" l="1"/>
  <c r="B970" i="6"/>
  <c r="G969" i="6"/>
  <c r="B971" i="6" l="1"/>
  <c r="H970" i="6"/>
  <c r="G970" i="6"/>
  <c r="H971" i="6" l="1"/>
  <c r="B972" i="6"/>
  <c r="G971" i="6"/>
  <c r="H972" i="6" l="1"/>
  <c r="B973" i="6"/>
  <c r="G972" i="6"/>
  <c r="H973" i="6" l="1"/>
  <c r="B974" i="6"/>
  <c r="G973" i="6"/>
  <c r="B975" i="6" l="1"/>
  <c r="H974" i="6"/>
  <c r="G974" i="6"/>
  <c r="H975" i="6" l="1"/>
  <c r="B976" i="6"/>
  <c r="G975" i="6"/>
  <c r="H976" i="6" l="1"/>
  <c r="B977" i="6"/>
  <c r="G976" i="6"/>
  <c r="H977" i="6" l="1"/>
  <c r="B978" i="6"/>
  <c r="G977" i="6"/>
  <c r="B979" i="6" l="1"/>
  <c r="H978" i="6"/>
  <c r="G978" i="6"/>
  <c r="B980" i="6" l="1"/>
  <c r="G979" i="6"/>
  <c r="H979" i="6"/>
  <c r="H980" i="6" l="1"/>
  <c r="B981" i="6"/>
  <c r="G980" i="6"/>
  <c r="H981" i="6" l="1"/>
  <c r="B982" i="6"/>
  <c r="G981" i="6"/>
  <c r="B983" i="6" l="1"/>
  <c r="H982" i="6"/>
  <c r="G982" i="6"/>
  <c r="H983" i="6" l="1"/>
  <c r="B984" i="6"/>
  <c r="G983" i="6"/>
  <c r="H984" i="6" l="1"/>
  <c r="B985" i="6"/>
  <c r="G984" i="6"/>
  <c r="H985" i="6" l="1"/>
  <c r="G985" i="6"/>
  <c r="B986" i="6"/>
  <c r="B987" i="6" l="1"/>
  <c r="H986" i="6"/>
  <c r="G986" i="6"/>
  <c r="H987" i="6" l="1"/>
  <c r="B988" i="6"/>
  <c r="G987" i="6"/>
  <c r="H988" i="6" l="1"/>
  <c r="B989" i="6"/>
  <c r="G988" i="6"/>
  <c r="H989" i="6" l="1"/>
  <c r="B990" i="6"/>
  <c r="G989" i="6"/>
  <c r="H990" i="6" l="1"/>
  <c r="B991" i="6"/>
  <c r="G990" i="6"/>
  <c r="H991" i="6" l="1"/>
  <c r="B992" i="6"/>
  <c r="G991" i="6"/>
  <c r="H992" i="6" l="1"/>
  <c r="B993" i="6"/>
  <c r="G992" i="6"/>
  <c r="H993" i="6" l="1"/>
  <c r="B994" i="6"/>
  <c r="G993" i="6"/>
  <c r="G994" i="6" l="1"/>
  <c r="H994" i="6"/>
  <c r="B995" i="6"/>
  <c r="H995" i="6" l="1"/>
  <c r="B996" i="6"/>
  <c r="G995" i="6"/>
  <c r="H996" i="6" l="1"/>
  <c r="B997" i="6"/>
  <c r="G996" i="6"/>
  <c r="H997" i="6" l="1"/>
  <c r="B998" i="6"/>
  <c r="G997" i="6"/>
  <c r="H998" i="6" l="1"/>
  <c r="G998" i="6"/>
  <c r="B999" i="6"/>
  <c r="H999" i="6" l="1"/>
  <c r="G999" i="6"/>
  <c r="B1000" i="6"/>
  <c r="H1000" i="6" l="1"/>
  <c r="B1001" i="6"/>
  <c r="G1000" i="6"/>
  <c r="H1001" i="6" l="1"/>
  <c r="G1001" i="6"/>
  <c r="B1002" i="6"/>
  <c r="H1002" i="6" l="1"/>
  <c r="B1003" i="6"/>
  <c r="G1002" i="6"/>
  <c r="H1003" i="6" l="1"/>
  <c r="B1004" i="6"/>
  <c r="G1003" i="6"/>
  <c r="H1004" i="6" l="1"/>
  <c r="B1005" i="6"/>
  <c r="G1004" i="6"/>
  <c r="H1005" i="6" l="1"/>
  <c r="B1006" i="6"/>
  <c r="G1005" i="6"/>
  <c r="H1006" i="6" l="1"/>
  <c r="B1007" i="6"/>
  <c r="G1006" i="6"/>
  <c r="B1008" i="6" l="1"/>
  <c r="H1007" i="6"/>
  <c r="G1007" i="6"/>
  <c r="H1008" i="6" l="1"/>
  <c r="B1009" i="6"/>
  <c r="G1008" i="6"/>
  <c r="H1009" i="6" l="1"/>
  <c r="G1009" i="6"/>
  <c r="K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KeithM</author>
  </authors>
  <commentList>
    <comment ref="A3" authorId="0" shapeId="0" xr:uid="{00000000-0006-0000-0100-000001000000}">
      <text>
        <r>
          <rPr>
            <sz val="8"/>
            <color indexed="81"/>
            <rFont val="Tahoma"/>
            <family val="2"/>
          </rPr>
          <t>Enter the year of the latest Income Statement.</t>
        </r>
      </text>
    </comment>
    <comment ref="A4" authorId="0" shapeId="0" xr:uid="{00000000-0006-0000-0100-000002000000}">
      <text>
        <r>
          <rPr>
            <sz val="8"/>
            <color indexed="81"/>
            <rFont val="Tahoma"/>
            <family val="2"/>
          </rPr>
          <t xml:space="preserve">Enter the year of the earliest Income Statement. </t>
        </r>
      </text>
    </comment>
  </commentList>
</comments>
</file>

<file path=xl/sharedStrings.xml><?xml version="1.0" encoding="utf-8"?>
<sst xmlns="http://schemas.openxmlformats.org/spreadsheetml/2006/main" count="903" uniqueCount="429">
  <si>
    <t>Cash &amp; cash equivalents</t>
  </si>
  <si>
    <t>Short-term investments</t>
  </si>
  <si>
    <t>-</t>
  </si>
  <si>
    <t>Accounts &amp; notes receivable, net</t>
  </si>
  <si>
    <t>Accounts &amp; notes receivable-related parties</t>
  </si>
  <si>
    <t>Inventories</t>
  </si>
  <si>
    <t>Prepaid expenses &amp; other current assets</t>
  </si>
  <si>
    <t>Total current assets</t>
  </si>
  <si>
    <t>Goodwill</t>
  </si>
  <si>
    <t>Intangibles</t>
  </si>
  <si>
    <t>Other assets</t>
  </si>
  <si>
    <t>Total assets</t>
  </si>
  <si>
    <t>Accounts payable</t>
  </si>
  <si>
    <t>Short-term debt</t>
  </si>
  <si>
    <t>Total current liabilities</t>
  </si>
  <si>
    <t>Long-term debt</t>
  </si>
  <si>
    <t>Common stock</t>
  </si>
  <si>
    <t>Treasury stock, at cost</t>
  </si>
  <si>
    <t>Accumulated other comprehensive income (loss)</t>
  </si>
  <si>
    <t>Retained earnings</t>
  </si>
  <si>
    <t>Total common stockholders' equity</t>
  </si>
  <si>
    <t>Assets</t>
  </si>
  <si>
    <t>Current Assets</t>
  </si>
  <si>
    <t>Cash</t>
  </si>
  <si>
    <t>Other Current Assets</t>
  </si>
  <si>
    <t>Total Cash</t>
  </si>
  <si>
    <t>Receivables</t>
  </si>
  <si>
    <t xml:space="preserve">Prepaid expenses </t>
  </si>
  <si>
    <t>Non-Current Assets</t>
  </si>
  <si>
    <t>Property, Plant &amp; Equipment</t>
  </si>
  <si>
    <t>Gross Property,Plant &amp; Equipment</t>
  </si>
  <si>
    <t>Accumulated Depreciation</t>
  </si>
  <si>
    <t>Net property, plant &amp; equipment</t>
  </si>
  <si>
    <t>Equity &amp; Other Investments</t>
  </si>
  <si>
    <t>Total Non-Current Assets</t>
  </si>
  <si>
    <t>Liabilities &amp; Stockholders' Equity</t>
  </si>
  <si>
    <t>Liabilities</t>
  </si>
  <si>
    <t>Stockholders' Equity</t>
  </si>
  <si>
    <t>Current Liabilites</t>
  </si>
  <si>
    <t>Non-Current Liabilities</t>
  </si>
  <si>
    <t>Accrued Liabilities</t>
  </si>
  <si>
    <t>Other Current Liabilities</t>
  </si>
  <si>
    <t>Deferred Tax Liabilities</t>
  </si>
  <si>
    <t>Pension &amp; Other Retirement Benefits</t>
  </si>
  <si>
    <t>Other Non-Current Liabilities</t>
  </si>
  <si>
    <t>Total Non-Current Liabilities</t>
  </si>
  <si>
    <t>Total Stockholders' Equity</t>
  </si>
  <si>
    <t>Additional Paid-in Capital</t>
  </si>
  <si>
    <t>Accummulated Minority Interest</t>
  </si>
  <si>
    <t>Total Liabilities &amp; Stockholders' Equity</t>
  </si>
  <si>
    <t>Equity in earnings of affiliates</t>
  </si>
  <si>
    <t>Gain on dispositions</t>
  </si>
  <si>
    <t>Other income</t>
  </si>
  <si>
    <t>Depreciation, depletion &amp; amortization</t>
  </si>
  <si>
    <t>Impairments</t>
  </si>
  <si>
    <t>Taxes other than income taxes</t>
  </si>
  <si>
    <t>Accretion on discounted liabilities</t>
  </si>
  <si>
    <t>Interest &amp; debt expense</t>
  </si>
  <si>
    <t>Provision (benefit) for income taxes</t>
  </si>
  <si>
    <t>Income (loss) from discontinued operations</t>
  </si>
  <si>
    <t>Net income (loss)</t>
  </si>
  <si>
    <t>Dividends paid per share of common stock</t>
  </si>
  <si>
    <t>Total number of employees</t>
  </si>
  <si>
    <t>Number of common stockholders</t>
  </si>
  <si>
    <t>Foreign currency translation adjustments</t>
  </si>
  <si>
    <t>Gross Profit</t>
  </si>
  <si>
    <t>Sales &amp; Other Operating Revenues</t>
  </si>
  <si>
    <t>Cost of Operating Revenues</t>
  </si>
  <si>
    <t>Operating Expenses</t>
  </si>
  <si>
    <t>Exploration Expenses</t>
  </si>
  <si>
    <t>Income from Continuing Operations</t>
  </si>
  <si>
    <t>Net Income from Continuing Operations</t>
  </si>
  <si>
    <t>Earnings Before Taxes</t>
  </si>
  <si>
    <t>Earnings Before Interest &amp; Taxes</t>
  </si>
  <si>
    <t>Earnings Per Share</t>
  </si>
  <si>
    <t>Basic</t>
  </si>
  <si>
    <t>Diluted</t>
  </si>
  <si>
    <t>Weighted Average Shares O/S</t>
  </si>
  <si>
    <t>Earnings Before Interest ,Taxes &amp; Depreciation</t>
  </si>
  <si>
    <t>WACC</t>
  </si>
  <si>
    <t>Dry hole costs &amp; leasehold impairments</t>
  </si>
  <si>
    <t>Deferred taxes</t>
  </si>
  <si>
    <t>Undistributed equity losses (earnings)</t>
  </si>
  <si>
    <t>Loss (gain) on dispositions</t>
  </si>
  <si>
    <t>Loss (income) from discontinued operations</t>
  </si>
  <si>
    <t>Other net income adjustments</t>
  </si>
  <si>
    <t>Accounts &amp; notes receivable</t>
  </si>
  <si>
    <t>Taxes &amp; other accruals</t>
  </si>
  <si>
    <t>Net cash flows from continuing operating activities</t>
  </si>
  <si>
    <t>Net cash flows from discontinued operations</t>
  </si>
  <si>
    <t>Capital expenditures &amp; investments</t>
  </si>
  <si>
    <t>Working capital changes associated with investing activities</t>
  </si>
  <si>
    <t>Proceeds from asset dispositions</t>
  </si>
  <si>
    <t>Net sales (purchases) of short-term investments</t>
  </si>
  <si>
    <t>Long-term advances/loans - related parties</t>
  </si>
  <si>
    <t>Collection of advances/loans - related parties</t>
  </si>
  <si>
    <t>Other cash flows from investing activities</t>
  </si>
  <si>
    <t>Net cash flows from continuing investing activities</t>
  </si>
  <si>
    <t>Issuance of debt</t>
  </si>
  <si>
    <t>Repayment of debt</t>
  </si>
  <si>
    <t>Special cash distribution from Phillips 66</t>
  </si>
  <si>
    <t>Change in restricted cash</t>
  </si>
  <si>
    <t>Issuance of company common stock</t>
  </si>
  <si>
    <t>Repurchase of company common stock</t>
  </si>
  <si>
    <t>Dividends paid</t>
  </si>
  <si>
    <t>Other cash flows from financing activities</t>
  </si>
  <si>
    <t>Net cash flows from continuing financing activities</t>
  </si>
  <si>
    <t>Cash &amp; cash equivalents at beginning of year</t>
  </si>
  <si>
    <t>Cash &amp; cash equivalents at end of year</t>
  </si>
  <si>
    <t>Cash payments for interest</t>
  </si>
  <si>
    <t>Cash payments for income taxes</t>
  </si>
  <si>
    <t>Other cash flows from Operating activities</t>
  </si>
  <si>
    <t>Total Other Cash flows</t>
  </si>
  <si>
    <t>Operating Activities</t>
  </si>
  <si>
    <t>Investing Activities</t>
  </si>
  <si>
    <t>Net Cash Flows from Operating Activities</t>
  </si>
  <si>
    <t>Net Cash Flows from Investing Activities</t>
  </si>
  <si>
    <t>Financing Activities</t>
  </si>
  <si>
    <t>Net cash flows from Financing Activities</t>
  </si>
  <si>
    <t>Exchange Rate Effect</t>
  </si>
  <si>
    <t>Net change in Cash &amp; Cash Equivalents</t>
  </si>
  <si>
    <t>Free Cash Flow</t>
  </si>
  <si>
    <t>Change in Cash &amp; Cash Equivalents</t>
  </si>
  <si>
    <t>Operating Cash Flow</t>
  </si>
  <si>
    <t>Tax rate</t>
  </si>
  <si>
    <t>Company Name</t>
  </si>
  <si>
    <t>ConocoPhilips</t>
  </si>
  <si>
    <t>Latest Income Statement Year</t>
  </si>
  <si>
    <t>Earliest Income Statement Year</t>
  </si>
  <si>
    <t>Units</t>
  </si>
  <si>
    <t>Ticker Symbol</t>
  </si>
  <si>
    <t>COP</t>
  </si>
  <si>
    <t>DECOMPOSING PROFITABILITY: DUPONT ALTERNATIVE</t>
  </si>
  <si>
    <t>NOPAT / Sales</t>
  </si>
  <si>
    <t>x</t>
  </si>
  <si>
    <t>Sales / Net Assets</t>
  </si>
  <si>
    <t>=</t>
  </si>
  <si>
    <t>Operating ROA</t>
  </si>
  <si>
    <t>Net Financial Leverage</t>
  </si>
  <si>
    <t>EVALUATING OPERATING MANAGEMENT</t>
  </si>
  <si>
    <t>Key Growth Rates:</t>
  </si>
  <si>
    <t>Annual Sales Growth</t>
  </si>
  <si>
    <t>Annual Net Income Growth</t>
  </si>
  <si>
    <t>Key Profitability Ratios: </t>
  </si>
  <si>
    <t>EBITDA Margin</t>
  </si>
  <si>
    <t>NOPAT Margin</t>
  </si>
  <si>
    <t>EVALUATING INVESTMENT MANAGEMENT</t>
  </si>
  <si>
    <t>Working Capital Management:</t>
  </si>
  <si>
    <t>Operating Working Capital Turnover</t>
  </si>
  <si>
    <t>Long-Term Asset Management:</t>
  </si>
  <si>
    <t>PP&amp;E Turnover</t>
  </si>
  <si>
    <t>Depreciation &amp; Amortization / Sales</t>
  </si>
  <si>
    <t>EVALUATING FINANCIAL MANAGEMENT</t>
  </si>
  <si>
    <t>Short-Term Liquidity:</t>
  </si>
  <si>
    <t>Debt and Long-Term Solvency:</t>
  </si>
  <si>
    <t>Liabilities-to-Equity</t>
  </si>
  <si>
    <t>Debt-to-Equity</t>
  </si>
  <si>
    <t>Debt-to-Capital</t>
  </si>
  <si>
    <t>Interest Coverage Ratio:</t>
  </si>
  <si>
    <t>Payout Ratio:</t>
  </si>
  <si>
    <t>Dividend Payout Ratio</t>
  </si>
  <si>
    <t>Total Liabilities</t>
  </si>
  <si>
    <t>SG&amp;A</t>
  </si>
  <si>
    <t>Less: Minority Interest</t>
  </si>
  <si>
    <t>Less : Selling, general &amp; administrative expenses</t>
  </si>
  <si>
    <t>Less : Depreciation, depletion &amp; amortization</t>
  </si>
  <si>
    <t>Less : Other Operating Expenses</t>
  </si>
  <si>
    <t>Total Operating Profit</t>
  </si>
  <si>
    <t>Number of periods of data=</t>
  </si>
  <si>
    <t>Time period</t>
  </si>
  <si>
    <t>Index Level</t>
  </si>
  <si>
    <t>Return(Mkt)</t>
  </si>
  <si>
    <t>Gross Profit Margin</t>
  </si>
  <si>
    <t>Operating Profit Margin</t>
  </si>
  <si>
    <t>Net Profit Margin</t>
  </si>
  <si>
    <t>Operating Working Capital/Sales</t>
  </si>
  <si>
    <t>Revenue</t>
  </si>
  <si>
    <t>COGS</t>
  </si>
  <si>
    <t>Net Interest Expense</t>
  </si>
  <si>
    <t>Days' Inventory (DIO)</t>
  </si>
  <si>
    <t>Days' Payables (DPO)</t>
  </si>
  <si>
    <t>Margin % of Sales</t>
  </si>
  <si>
    <t>ROE (Operating ROA  * Net Financial Leverage)</t>
  </si>
  <si>
    <t>Values</t>
  </si>
  <si>
    <t>Tax Rate</t>
  </si>
  <si>
    <t>Sales Growth</t>
  </si>
  <si>
    <t xml:space="preserve">* NA - not available, </t>
  </si>
  <si>
    <t>n/a - not applicable</t>
  </si>
  <si>
    <t>Current Ratio  - &gt; (Current Assets) / Current Liabilities</t>
  </si>
  <si>
    <t>Quick Ratio -&gt; (Cash + Accounts Receivable + Short-Term or Marketable Securities) / (Current Liabilities)</t>
  </si>
  <si>
    <t>Cash Ratio -&gt; (Cash + Short-Term or Marketable Securities) / (Current Liabilities)</t>
  </si>
  <si>
    <t>Interest Coverage (Operating Income) / (Interest Expense)</t>
  </si>
  <si>
    <t>Validation</t>
  </si>
  <si>
    <t>Days' Receivables (DSO)</t>
  </si>
  <si>
    <t>Cash Conversion Cycle CCC = DIO + DSO - DPO</t>
  </si>
  <si>
    <t>Payables Turnover (COGS/Payables)</t>
  </si>
  <si>
    <t>Return on Equity</t>
  </si>
  <si>
    <t>NA</t>
  </si>
  <si>
    <t>Year</t>
  </si>
  <si>
    <t>Sales growth</t>
  </si>
  <si>
    <t>Dividend growth</t>
  </si>
  <si>
    <t>Adj Close Price</t>
  </si>
  <si>
    <t>Return</t>
  </si>
  <si>
    <t>S&amp;P</t>
  </si>
  <si>
    <t>Date</t>
  </si>
  <si>
    <t>Sales</t>
  </si>
  <si>
    <t>Dividends</t>
  </si>
  <si>
    <t>Total</t>
  </si>
  <si>
    <t>Return(COP)</t>
  </si>
  <si>
    <t>Return(S&amp;P_</t>
  </si>
  <si>
    <t>Recommendatoin</t>
  </si>
  <si>
    <t>Date of Valuation</t>
  </si>
  <si>
    <t>Required Rate of Retrn on Equity</t>
  </si>
  <si>
    <t>Beta</t>
  </si>
  <si>
    <t>Value of stock</t>
  </si>
  <si>
    <t>000's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</si>
  <si>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</si>
  <si>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</si>
  <si>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</si>
  <si>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</si>
  <si>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</si>
  <si>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</si>
  <si>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</si>
  <si>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</si>
  <si>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</si>
  <si>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</si>
  <si>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</si>
  <si>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</si>
  <si>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</si>
  <si>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</si>
  <si>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</si>
  <si>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</si>
  <si>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</si>
  <si>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</si>
  <si>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</si>
  <si>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</si>
  <si>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</si>
  <si>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</si>
  <si>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</si>
  <si>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SUMMARY OUTPUT - 24 Months</t>
  </si>
  <si>
    <t>SUMMARY OUTPUT - 36 Months</t>
  </si>
  <si>
    <t>Months</t>
  </si>
  <si>
    <t>R2</t>
  </si>
  <si>
    <t>SUMMARY OUTPUT - 12 Months</t>
  </si>
  <si>
    <t>Purchased Commodities</t>
  </si>
  <si>
    <t xml:space="preserve">Production &amp; operating expenses </t>
  </si>
  <si>
    <t>Foreign currency transaction losses (gains)</t>
  </si>
  <si>
    <t>YOY Growth</t>
  </si>
  <si>
    <t>NOPAT</t>
  </si>
  <si>
    <t>Other Expenses</t>
  </si>
  <si>
    <t>EBT Margin</t>
  </si>
  <si>
    <t>Return on Assets (Net Income/Total Assets)</t>
  </si>
  <si>
    <t>Capex</t>
  </si>
  <si>
    <t xml:space="preserve">**Courtesy of ConocoPhillips Investor Relations.
</t>
  </si>
  <si>
    <t>Dated Brent Crude Oil</t>
  </si>
  <si>
    <t>Month</t>
  </si>
  <si>
    <t>Change</t>
  </si>
  <si>
    <t>WTI Crude Oil</t>
  </si>
  <si>
    <t>Natural Gas</t>
  </si>
  <si>
    <t>Interes &amp; Debt Expense</t>
  </si>
  <si>
    <t>Income Statement</t>
  </si>
  <si>
    <t>Balance Sheet</t>
  </si>
  <si>
    <t>Depreciation,depletion &amp; Amortization</t>
  </si>
  <si>
    <t>Other Operating Expenses</t>
  </si>
  <si>
    <t>Interest &amp; Debt Expense</t>
  </si>
  <si>
    <t>Minority Interest</t>
  </si>
  <si>
    <t>Profit &amp; Loss Assumptions</t>
  </si>
  <si>
    <t>Balance Sheet Assumptions</t>
  </si>
  <si>
    <t>SALES GROWTH</t>
  </si>
  <si>
    <t>Short-Term Investments</t>
  </si>
  <si>
    <t>YOY Rate</t>
  </si>
  <si>
    <t>Production</t>
  </si>
  <si>
    <t>Avg Sales Price</t>
  </si>
  <si>
    <t>CRUDE OIL</t>
  </si>
  <si>
    <t>Proved Reserves</t>
  </si>
  <si>
    <t>Natural Gas Liquids</t>
  </si>
  <si>
    <t>Total Production</t>
  </si>
  <si>
    <t>Bitumen</t>
  </si>
  <si>
    <t>Crude_Oil = 1.4436835 + 0.9781734*Crude -1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</si>
  <si>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</si>
  <si>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</si>
  <si>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</si>
  <si>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</si>
  <si>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</si>
  <si>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</si>
  <si>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</si>
  <si>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</si>
  <si>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</si>
  <si>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</si>
  <si>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</si>
  <si>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</si>
  <si>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Slope</t>
  </si>
  <si>
    <t>Natural_Gas = 0.303001 + 0.9358096*NaturalGas-1</t>
  </si>
  <si>
    <t>Crude OIL</t>
  </si>
  <si>
    <t>Regression Equation</t>
  </si>
  <si>
    <t>Debt to Asset Ratio</t>
  </si>
  <si>
    <t>Net Income</t>
  </si>
  <si>
    <t>Add : Depreciation</t>
  </si>
  <si>
    <t>Change in Net Working Capital</t>
  </si>
  <si>
    <t>Current Liabilities</t>
  </si>
  <si>
    <t>Long Term FCF Growth</t>
  </si>
  <si>
    <t>Pretax Cost of Debt</t>
  </si>
  <si>
    <t>Terminal Value</t>
  </si>
  <si>
    <t>Long-Term FCF Growth</t>
  </si>
  <si>
    <t>S&amp;P 500</t>
  </si>
  <si>
    <t>Dividend Yield</t>
  </si>
  <si>
    <t>T.Bond rate</t>
  </si>
  <si>
    <t>Return on bond</t>
  </si>
  <si>
    <t>10-Year Treasury Bond</t>
  </si>
  <si>
    <t>Risk-Free Rate</t>
  </si>
  <si>
    <t>S&amp;P Return</t>
  </si>
  <si>
    <t>Market Risk Premium</t>
  </si>
  <si>
    <t>Expected Return</t>
  </si>
  <si>
    <t>Average Tax Rate over the last 5 years</t>
  </si>
  <si>
    <t>After-Tax Cost of Debt</t>
  </si>
  <si>
    <t>Long-Term Debt</t>
  </si>
  <si>
    <t>Equity value, E</t>
  </si>
  <si>
    <t>Net debt, D</t>
  </si>
  <si>
    <t>Market risk free rate</t>
  </si>
  <si>
    <t>Expected market return</t>
  </si>
  <si>
    <t>Shares outstanding</t>
  </si>
  <si>
    <r>
      <t xml:space="preserve">Accounts Receivable Turnover  </t>
    </r>
    <r>
      <rPr>
        <i/>
        <sz val="12"/>
        <color theme="1"/>
        <rFont val="Times New Roman"/>
        <family val="1"/>
      </rPr>
      <t xml:space="preserve"> Revenue / (Average Accounts Receivable)</t>
    </r>
  </si>
  <si>
    <r>
      <t xml:space="preserve">Inventory Turnover </t>
    </r>
    <r>
      <rPr>
        <i/>
        <sz val="12"/>
        <color theme="1"/>
        <rFont val="Times New Roman"/>
        <family val="1"/>
      </rPr>
      <t>(Cost of Sales) / (Average Inventory)</t>
    </r>
  </si>
  <si>
    <r>
      <t xml:space="preserve">*Accrued Liabilities include </t>
    </r>
    <r>
      <rPr>
        <i/>
        <sz val="12"/>
        <color rgb="FF0070C0"/>
        <rFont val="Times New Roman"/>
        <family val="1"/>
      </rPr>
      <t>Employee Benefit Obligations+Other accruals</t>
    </r>
  </si>
  <si>
    <r>
      <t>*Non-Current Liabilities include</t>
    </r>
    <r>
      <rPr>
        <i/>
        <sz val="12"/>
        <color theme="4" tint="-0.249977111117893"/>
        <rFont val="Times New Roman"/>
        <family val="1"/>
      </rPr>
      <t xml:space="preserve"> Other liabilities &amp; deferred credits, Asset retirement obligations &amp; accrued environmental costs,Joint venture acquisition obligation - related party </t>
    </r>
  </si>
  <si>
    <r>
      <t xml:space="preserve">*Accumulated other comprehensive income include </t>
    </r>
    <r>
      <rPr>
        <i/>
        <sz val="12"/>
        <color rgb="FF0070C0"/>
        <rFont val="Times New Roman"/>
        <family val="1"/>
      </rPr>
      <t>Foreign Currency Translation , Defined benefit plans,Hedging &amp; Unearned employee compensation</t>
    </r>
  </si>
  <si>
    <r>
      <t>**Provision (benefit) for income taxes Include</t>
    </r>
    <r>
      <rPr>
        <i/>
        <sz val="12"/>
        <color theme="1"/>
        <rFont val="Times New Roman"/>
        <family val="1"/>
      </rPr>
      <t xml:space="preserve"> </t>
    </r>
    <r>
      <rPr>
        <i/>
        <sz val="12"/>
        <color rgb="FF0070C0"/>
        <rFont val="Times New Roman"/>
        <family val="1"/>
      </rPr>
      <t>Current/Deferred provision (benefit) for income taxes-federal,taxes-foreign &amp; taxes-state and local</t>
    </r>
  </si>
  <si>
    <t>Interest Expense</t>
  </si>
  <si>
    <t>Share price (Feb 2016)</t>
  </si>
  <si>
    <t>Weight of Debt</t>
  </si>
  <si>
    <t>Weight of Equity</t>
  </si>
  <si>
    <t>After Tax Cost of Debt</t>
  </si>
  <si>
    <t>Cost of Equity</t>
  </si>
  <si>
    <t xml:space="preserve"> </t>
  </si>
  <si>
    <t>Rd based on Interest Expense</t>
  </si>
  <si>
    <t>Rd based on Bond Issue</t>
  </si>
  <si>
    <t>Bond Rating</t>
  </si>
  <si>
    <t>A2</t>
  </si>
  <si>
    <t>*Downgraded by moody in August 2015</t>
  </si>
  <si>
    <t>Average Bond Yield</t>
  </si>
  <si>
    <t>ISIN</t>
  </si>
  <si>
    <t>Currency</t>
  </si>
  <si>
    <t>Coupon</t>
  </si>
  <si>
    <t>Yield</t>
  </si>
  <si>
    <t>Moody's Rating</t>
  </si>
  <si>
    <t>Maturity Date</t>
  </si>
  <si>
    <t>Bid</t>
  </si>
  <si>
    <t>Ask</t>
  </si>
  <si>
    <t>ConocoPhillips</t>
  </si>
  <si>
    <t>US208251AE82</t>
  </si>
  <si>
    <t>USD</t>
  </si>
  <si>
    <t>Baa2</t>
  </si>
  <si>
    <t>US20825CAF14</t>
  </si>
  <si>
    <t>US20825CAN48</t>
  </si>
  <si>
    <t>US20825CAP95</t>
  </si>
  <si>
    <t>US20825CAQ78</t>
  </si>
  <si>
    <t>US20825CAR51</t>
  </si>
  <si>
    <t>US20825CAU80</t>
  </si>
  <si>
    <t>US20826FAA49</t>
  </si>
  <si>
    <t>US20826FAB22</t>
  </si>
  <si>
    <t>US718507BH88</t>
  </si>
  <si>
    <t>US718507BK18</t>
  </si>
  <si>
    <t>%</t>
  </si>
  <si>
    <t>Issuer</t>
  </si>
  <si>
    <t>Cost of Debt, Rd</t>
  </si>
  <si>
    <t xml:space="preserve">Bond Issues </t>
  </si>
  <si>
    <t>2012-2015</t>
  </si>
  <si>
    <t>Dividends per share</t>
  </si>
  <si>
    <t>Total cash dividends</t>
  </si>
  <si>
    <t>Plus increase in treasury stock</t>
  </si>
  <si>
    <t xml:space="preserve">Payout to equity                                                                                                                                                                                                                                                </t>
  </si>
  <si>
    <t>na</t>
  </si>
  <si>
    <t>Less :  increase in common stock and surplus</t>
  </si>
  <si>
    <t>Discounted value</t>
  </si>
  <si>
    <t>Add back initial cash</t>
  </si>
  <si>
    <t>Firm value</t>
  </si>
  <si>
    <t>Subtract total debt value (January 2009)</t>
  </si>
  <si>
    <t>Implied equity value</t>
  </si>
  <si>
    <t>Number of shares outstanding (January 2009)</t>
  </si>
  <si>
    <t>Implied value per share</t>
  </si>
  <si>
    <t>Market price per share (EOM March 2009)</t>
  </si>
  <si>
    <t xml:space="preserve"> over or under-valued?</t>
  </si>
  <si>
    <t>YOY Growth in Production Revenues</t>
  </si>
  <si>
    <t>YOY Production Growth</t>
  </si>
  <si>
    <t>Yearly Price Projected</t>
  </si>
  <si>
    <t>Valid</t>
  </si>
  <si>
    <t xml:space="preserve">3 year CAGR </t>
  </si>
  <si>
    <t>Slope (Beta)           =</t>
  </si>
  <si>
    <t>Rationale</t>
  </si>
  <si>
    <t>Key Financial Assumption</t>
  </si>
  <si>
    <t xml:space="preserve">Based on the interest paid in 2015 and the average yield of bonds </t>
  </si>
  <si>
    <t>CAPM</t>
  </si>
  <si>
    <t>Data used : 3 years ( 2012-2015)</t>
  </si>
  <si>
    <t>Additional Assumptions</t>
  </si>
  <si>
    <t>*Courtesy http://www.conocophillips.com/investor-relations/Investor%20Presentation%20Documents/4Q15_Earnings_Call_Deck_FINAL-020416.pdf</t>
  </si>
  <si>
    <t>Production + SG&amp;A* (2016)</t>
  </si>
  <si>
    <t>COGS % Margin (2016)</t>
  </si>
  <si>
    <t>Add : Accretion on Discounted Liabilities</t>
  </si>
  <si>
    <t>Other Adjustments</t>
  </si>
  <si>
    <t>Less : Capital Expenditure*</t>
  </si>
  <si>
    <t>2017**</t>
  </si>
  <si>
    <t>2016**</t>
  </si>
  <si>
    <t>Sales Growth based on the Production of Oil &amp; Gas projected by COP and historical trend of Crude Oil Prices</t>
  </si>
  <si>
    <t>Current Share price (Feb 2016)</t>
  </si>
  <si>
    <t>Dividend</t>
  </si>
  <si>
    <t>Dividend Growth</t>
  </si>
  <si>
    <t>Current Market Value of Stock</t>
  </si>
  <si>
    <t>Dividends Per Share</t>
  </si>
  <si>
    <t>Re</t>
  </si>
  <si>
    <t>Method 1 : Dividend Capitalization</t>
  </si>
  <si>
    <t>Weighted Average Cost of Capital (WACC) : Method 1</t>
  </si>
  <si>
    <t>Weighted Average Cost of Capital (WACC) : Method 2</t>
  </si>
  <si>
    <t>Cost of Equity (Dividend Growth)</t>
  </si>
  <si>
    <t>Estimated WACC</t>
  </si>
  <si>
    <t>Long-term debt*</t>
  </si>
  <si>
    <t>Long term Debt (2016)**</t>
  </si>
  <si>
    <t>**No Additional Debt in 2016</t>
  </si>
  <si>
    <t>Considering Capex &amp; other projections</t>
  </si>
  <si>
    <t>Calculations on WACC Worksheet</t>
  </si>
  <si>
    <t>Equity Payout</t>
  </si>
  <si>
    <t>Cost of Equity (Equity Payout)</t>
  </si>
  <si>
    <t>After tax Cost of Debt</t>
  </si>
  <si>
    <t>Risk Free Rate</t>
  </si>
  <si>
    <t>10-Year treasury bond yield</t>
  </si>
  <si>
    <t>Stock Price</t>
  </si>
  <si>
    <t>Estimated</t>
  </si>
  <si>
    <t>Actual</t>
  </si>
  <si>
    <t>Revenue from Oil &amp; Gas Production**</t>
  </si>
  <si>
    <t>** Production Revenues from Projected Production &amp; Predicted Oil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</si>
</sst>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yyyy"/>
    <numFmt numFmtId="167" formatCode="_(&quot;$&quot;* #,##0_);_(&quot;$&quot;* \(#,##0\);_(&quot;$&quot;* &quot;-&quot;??_);_(@_)"/>
    <numFmt numFmtId="168" formatCode="0.000"/>
    <numFmt numFmtId="169" formatCode="0.0000000"/>
    <numFmt numFmtId="170" formatCode="[$-409]d\-mmm\-yy;@"/>
    <numFmt numFmtId="171" formatCode="0.000%"/>
    <numFmt numFmtId="172" formatCode="0.00000"/>
    <numFmt numFmtId="173" formatCode="0.0%"/>
  </numFmts>
  <fonts count="4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Helvetica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2"/>
      <name val="Tms Rmn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0"/>
      <color rgb="FF0070C0"/>
      <name val="Times New Roman"/>
      <family val="1"/>
    </font>
    <font>
      <i/>
      <sz val="12"/>
      <color rgb="FF0070C0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4" tint="-0.249977111117893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6"/>
      <color indexed="12"/>
      <name val="Times New Roman"/>
      <family val="1"/>
    </font>
    <font>
      <sz val="12"/>
      <color rgb="FF193DD4"/>
      <name val="Times New Roman"/>
      <family val="1"/>
    </font>
    <font>
      <b/>
      <sz val="12"/>
      <color rgb="FF193DD4"/>
      <name val="Times New Roman"/>
      <family val="1"/>
    </font>
    <font>
      <sz val="18"/>
      <color theme="1"/>
      <name val="Times New Roman"/>
      <family val="1"/>
    </font>
    <font>
      <b/>
      <sz val="12"/>
      <color rgb="FF0000FF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0"/>
      <name val="Times New Roman"/>
      <family val="1"/>
    </font>
    <font>
      <b/>
      <sz val="12"/>
      <color theme="0"/>
      <name val="Tms Rmn"/>
    </font>
    <font>
      <b/>
      <sz val="12"/>
      <name val="Tms Rmn"/>
    </font>
    <font>
      <sz val="12"/>
      <name val="Geneva"/>
      <family val="2"/>
    </font>
    <font>
      <i/>
      <sz val="12"/>
      <name val="Geneva"/>
      <family val="2"/>
    </font>
    <font>
      <b/>
      <i/>
      <sz val="12"/>
      <name val="Tms Rmn"/>
    </font>
    <font>
      <i/>
      <sz val="12"/>
      <name val="Tms Rmn"/>
    </font>
    <font>
      <i/>
      <sz val="12"/>
      <name val="Times New Roman"/>
      <family val="1"/>
    </font>
    <font>
      <sz val="12"/>
      <color rgb="FF008000"/>
      <name val="Times New Roman"/>
      <family val="1"/>
    </font>
    <font>
      <sz val="18"/>
      <name val="Times New Roman"/>
      <family val="1"/>
    </font>
    <font>
      <sz val="8"/>
      <name val="Arial"/>
      <family val="2"/>
    </font>
    <font>
      <sz val="12"/>
      <color rgb="FF193DD4"/>
      <name val="Tms Rmn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7">
    <xf numFmtId="0" fontId="0" fillId="0" borderId="0"/>
    <xf numFmtId="164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/>
  </cellStyleXfs>
  <cellXfs count="546">
    <xf numFmtId="0" fontId="0" fillId="0" borderId="0" xfId="0"/>
    <xf numFmtId="0" fontId="0" fillId="0" borderId="5" xfId="0" applyFill="1" applyBorder="1"/>
    <xf numFmtId="0" fontId="8" fillId="0" borderId="0" xfId="0" applyFont="1"/>
    <xf numFmtId="0" fontId="0" fillId="0" borderId="0" xfId="0" applyBorder="1"/>
    <xf numFmtId="9" fontId="9" fillId="0" borderId="0" xfId="4" applyFont="1"/>
    <xf numFmtId="0" fontId="12" fillId="0" borderId="0" xfId="0" applyFont="1"/>
    <xf numFmtId="0" fontId="0" fillId="0" borderId="5" xfId="0" applyBorder="1"/>
    <xf numFmtId="164" fontId="0" fillId="0" borderId="11" xfId="1" applyFont="1" applyBorder="1"/>
    <xf numFmtId="0" fontId="0" fillId="0" borderId="0" xfId="0" applyFill="1" applyBorder="1" applyAlignment="1"/>
    <xf numFmtId="0" fontId="0" fillId="0" borderId="14" xfId="0" applyFill="1" applyBorder="1" applyAlignment="1"/>
    <xf numFmtId="0" fontId="5" fillId="0" borderId="36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Continuous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6" xfId="0" applyBorder="1"/>
    <xf numFmtId="0" fontId="0" fillId="0" borderId="0" xfId="0" applyBorder="1" applyAlignment="1"/>
    <xf numFmtId="0" fontId="13" fillId="0" borderId="11" xfId="0" applyFont="1" applyBorder="1"/>
    <xf numFmtId="0" fontId="13" fillId="0" borderId="0" xfId="0" applyFont="1"/>
    <xf numFmtId="0" fontId="13" fillId="0" borderId="0" xfId="0" applyFont="1" applyFill="1"/>
    <xf numFmtId="0" fontId="13" fillId="0" borderId="20" xfId="0" applyFont="1" applyFill="1" applyBorder="1"/>
    <xf numFmtId="0" fontId="13" fillId="0" borderId="0" xfId="0" applyFont="1" applyFill="1" applyBorder="1"/>
    <xf numFmtId="10" fontId="13" fillId="0" borderId="5" xfId="4" applyNumberFormat="1" applyFont="1" applyFill="1" applyBorder="1"/>
    <xf numFmtId="2" fontId="13" fillId="0" borderId="5" xfId="0" applyNumberFormat="1" applyFont="1" applyFill="1" applyBorder="1"/>
    <xf numFmtId="0" fontId="13" fillId="0" borderId="22" xfId="0" applyFont="1" applyFill="1" applyBorder="1"/>
    <xf numFmtId="10" fontId="13" fillId="0" borderId="11" xfId="4" applyNumberFormat="1" applyFont="1" applyFill="1" applyBorder="1"/>
    <xf numFmtId="10" fontId="13" fillId="0" borderId="5" xfId="4" applyNumberFormat="1" applyFont="1" applyBorder="1"/>
    <xf numFmtId="0" fontId="13" fillId="0" borderId="5" xfId="0" applyFont="1" applyBorder="1"/>
    <xf numFmtId="0" fontId="13" fillId="0" borderId="20" xfId="0" applyFont="1" applyBorder="1"/>
    <xf numFmtId="0" fontId="13" fillId="0" borderId="0" xfId="0" applyFont="1" applyBorder="1"/>
    <xf numFmtId="10" fontId="13" fillId="0" borderId="0" xfId="4" applyNumberFormat="1" applyFont="1" applyFill="1" applyBorder="1"/>
    <xf numFmtId="10" fontId="13" fillId="0" borderId="5" xfId="4" applyNumberFormat="1" applyFont="1" applyFill="1" applyBorder="1" applyAlignment="1">
      <alignment horizontal="right"/>
    </xf>
    <xf numFmtId="0" fontId="13" fillId="0" borderId="22" xfId="0" applyFont="1" applyBorder="1"/>
    <xf numFmtId="10" fontId="13" fillId="0" borderId="23" xfId="4" applyNumberFormat="1" applyFont="1" applyFill="1" applyBorder="1"/>
    <xf numFmtId="10" fontId="13" fillId="0" borderId="15" xfId="4" applyNumberFormat="1" applyFont="1" applyFill="1" applyBorder="1" applyAlignment="1">
      <alignment horizontal="right"/>
    </xf>
    <xf numFmtId="0" fontId="13" fillId="0" borderId="24" xfId="0" applyFont="1" applyFill="1" applyBorder="1"/>
    <xf numFmtId="0" fontId="13" fillId="0" borderId="25" xfId="0" applyFont="1" applyFill="1" applyBorder="1"/>
    <xf numFmtId="0" fontId="13" fillId="0" borderId="28" xfId="0" applyFont="1" applyFill="1" applyBorder="1"/>
    <xf numFmtId="0" fontId="13" fillId="0" borderId="5" xfId="0" applyFont="1" applyFill="1" applyBorder="1"/>
    <xf numFmtId="0" fontId="18" fillId="0" borderId="0" xfId="0" applyFont="1" applyFill="1" applyBorder="1"/>
    <xf numFmtId="10" fontId="18" fillId="0" borderId="5" xfId="4" applyNumberFormat="1" applyFont="1" applyFill="1" applyBorder="1"/>
    <xf numFmtId="2" fontId="13" fillId="0" borderId="5" xfId="4" applyNumberFormat="1" applyFont="1" applyFill="1" applyBorder="1"/>
    <xf numFmtId="2" fontId="13" fillId="0" borderId="5" xfId="4" applyNumberFormat="1" applyFont="1" applyBorder="1"/>
    <xf numFmtId="2" fontId="13" fillId="0" borderId="5" xfId="0" applyNumberFormat="1" applyFont="1" applyBorder="1"/>
    <xf numFmtId="0" fontId="13" fillId="0" borderId="23" xfId="0" applyFont="1" applyBorder="1"/>
    <xf numFmtId="2" fontId="13" fillId="0" borderId="15" xfId="0" applyNumberFormat="1" applyFont="1" applyBorder="1"/>
    <xf numFmtId="0" fontId="13" fillId="0" borderId="15" xfId="0" applyFont="1" applyBorder="1"/>
    <xf numFmtId="0" fontId="17" fillId="0" borderId="11" xfId="0" applyFont="1" applyBorder="1"/>
    <xf numFmtId="0" fontId="20" fillId="0" borderId="0" xfId="0" applyFont="1" applyFill="1" applyBorder="1"/>
    <xf numFmtId="0" fontId="17" fillId="0" borderId="20" xfId="0" applyFont="1" applyFill="1" applyBorder="1"/>
    <xf numFmtId="0" fontId="17" fillId="0" borderId="0" xfId="0" applyFont="1" applyFill="1" applyBorder="1"/>
    <xf numFmtId="0" fontId="17" fillId="0" borderId="23" xfId="0" applyFont="1" applyFill="1" applyBorder="1"/>
    <xf numFmtId="0" fontId="17" fillId="0" borderId="11" xfId="0" applyFont="1" applyBorder="1" applyAlignment="1">
      <alignment horizontal="center"/>
    </xf>
    <xf numFmtId="0" fontId="20" fillId="0" borderId="20" xfId="0" applyFont="1" applyBorder="1"/>
    <xf numFmtId="0" fontId="17" fillId="0" borderId="20" xfId="0" applyFont="1" applyBorder="1"/>
    <xf numFmtId="0" fontId="18" fillId="0" borderId="10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 indent="2"/>
    </xf>
    <xf numFmtId="167" fontId="13" fillId="0" borderId="5" xfId="0" applyNumberFormat="1" applyFont="1" applyFill="1" applyBorder="1"/>
    <xf numFmtId="167" fontId="13" fillId="0" borderId="9" xfId="0" applyNumberFormat="1" applyFont="1" applyFill="1" applyBorder="1"/>
    <xf numFmtId="0" fontId="13" fillId="0" borderId="5" xfId="0" applyFont="1" applyFill="1" applyBorder="1" applyAlignment="1">
      <alignment horizontal="left" indent="3"/>
    </xf>
    <xf numFmtId="167" fontId="13" fillId="0" borderId="0" xfId="0" applyNumberFormat="1" applyFont="1" applyFill="1"/>
    <xf numFmtId="0" fontId="13" fillId="0" borderId="5" xfId="0" applyFont="1" applyFill="1" applyBorder="1" applyAlignment="1">
      <alignment horizontal="left" indent="1"/>
    </xf>
    <xf numFmtId="167" fontId="18" fillId="0" borderId="5" xfId="0" applyNumberFormat="1" applyFont="1" applyFill="1" applyBorder="1"/>
    <xf numFmtId="167" fontId="18" fillId="0" borderId="9" xfId="0" applyNumberFormat="1" applyFont="1" applyFill="1" applyBorder="1"/>
    <xf numFmtId="0" fontId="18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3" fillId="0" borderId="15" xfId="0" applyFont="1" applyFill="1" applyBorder="1" applyAlignment="1">
      <alignment horizontal="left"/>
    </xf>
    <xf numFmtId="9" fontId="13" fillId="0" borderId="0" xfId="4" applyFont="1" applyFill="1"/>
    <xf numFmtId="10" fontId="13" fillId="0" borderId="0" xfId="4" applyNumberFormat="1" applyFont="1" applyFill="1"/>
    <xf numFmtId="166" fontId="15" fillId="0" borderId="5" xfId="0" applyNumberFormat="1" applyFont="1" applyFill="1" applyBorder="1" applyAlignment="1">
      <alignment horizontal="center" vertical="top" wrapText="1"/>
    </xf>
    <xf numFmtId="166" fontId="15" fillId="0" borderId="9" xfId="0" applyNumberFormat="1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left" indent="4"/>
    </xf>
    <xf numFmtId="167" fontId="13" fillId="0" borderId="5" xfId="1" applyNumberFormat="1" applyFont="1" applyFill="1" applyBorder="1"/>
    <xf numFmtId="0" fontId="18" fillId="0" borderId="2" xfId="0" applyFont="1" applyFill="1" applyBorder="1" applyAlignment="1">
      <alignment horizontal="left" indent="4"/>
    </xf>
    <xf numFmtId="0" fontId="18" fillId="0" borderId="2" xfId="0" applyFont="1" applyFill="1" applyBorder="1" applyAlignment="1">
      <alignment horizontal="left" indent="2"/>
    </xf>
    <xf numFmtId="0" fontId="19" fillId="0" borderId="2" xfId="0" applyFont="1" applyFill="1" applyBorder="1" applyAlignment="1">
      <alignment horizontal="left" indent="4"/>
    </xf>
    <xf numFmtId="0" fontId="18" fillId="0" borderId="2" xfId="0" applyFont="1" applyFill="1" applyBorder="1" applyAlignment="1">
      <alignment horizontal="left" indent="1"/>
    </xf>
    <xf numFmtId="167" fontId="13" fillId="0" borderId="5" xfId="0" applyNumberFormat="1" applyFont="1" applyFill="1" applyBorder="1" applyAlignment="1">
      <alignment horizontal="right"/>
    </xf>
    <xf numFmtId="0" fontId="13" fillId="0" borderId="2" xfId="0" applyFont="1" applyFill="1" applyBorder="1" applyAlignment="1">
      <alignment horizontal="left" indent="2"/>
    </xf>
    <xf numFmtId="0" fontId="23" fillId="0" borderId="2" xfId="0" applyFont="1" applyFill="1" applyBorder="1" applyAlignment="1">
      <alignment horizontal="left" indent="4"/>
    </xf>
    <xf numFmtId="0" fontId="18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 indent="3"/>
    </xf>
    <xf numFmtId="167" fontId="13" fillId="0" borderId="0" xfId="0" applyNumberFormat="1" applyFont="1" applyFill="1" applyAlignment="1">
      <alignment horizontal="left" indent="3"/>
    </xf>
    <xf numFmtId="0" fontId="13" fillId="0" borderId="0" xfId="0" applyFont="1" applyFill="1" applyAlignment="1">
      <alignment horizontal="left" indent="3"/>
    </xf>
    <xf numFmtId="0" fontId="13" fillId="0" borderId="2" xfId="0" applyFont="1" applyFill="1" applyBorder="1" applyAlignment="1">
      <alignment horizontal="left" indent="1"/>
    </xf>
    <xf numFmtId="0" fontId="18" fillId="0" borderId="4" xfId="0" applyFont="1" applyFill="1" applyBorder="1" applyAlignment="1">
      <alignment horizontal="left"/>
    </xf>
    <xf numFmtId="167" fontId="18" fillId="0" borderId="15" xfId="0" applyNumberFormat="1" applyFont="1" applyFill="1" applyBorder="1"/>
    <xf numFmtId="165" fontId="13" fillId="0" borderId="0" xfId="0" applyNumberFormat="1" applyFont="1" applyFill="1"/>
    <xf numFmtId="0" fontId="15" fillId="0" borderId="2" xfId="0" applyFont="1" applyFill="1" applyBorder="1" applyAlignment="1">
      <alignment horizontal="left" vertical="top"/>
    </xf>
    <xf numFmtId="0" fontId="15" fillId="0" borderId="5" xfId="0" applyFont="1" applyFill="1" applyBorder="1" applyAlignment="1">
      <alignment horizontal="right" vertical="top" wrapText="1"/>
    </xf>
    <xf numFmtId="0" fontId="15" fillId="0" borderId="2" xfId="0" applyFont="1" applyFill="1" applyBorder="1" applyAlignment="1">
      <alignment horizontal="left" vertical="top" indent="1"/>
    </xf>
    <xf numFmtId="0" fontId="15" fillId="0" borderId="2" xfId="0" applyFont="1" applyFill="1" applyBorder="1" applyAlignment="1">
      <alignment horizontal="left" vertical="top" indent="2"/>
    </xf>
    <xf numFmtId="0" fontId="18" fillId="0" borderId="20" xfId="0" applyFont="1" applyFill="1" applyBorder="1" applyAlignment="1">
      <alignment horizontal="left"/>
    </xf>
    <xf numFmtId="167" fontId="16" fillId="0" borderId="5" xfId="0" applyNumberFormat="1" applyFont="1" applyBorder="1"/>
    <xf numFmtId="167" fontId="16" fillId="0" borderId="20" xfId="0" applyNumberFormat="1" applyFont="1" applyBorder="1"/>
    <xf numFmtId="0" fontId="13" fillId="0" borderId="20" xfId="0" applyFont="1" applyFill="1" applyBorder="1" applyAlignment="1">
      <alignment horizontal="left" indent="2"/>
    </xf>
    <xf numFmtId="167" fontId="13" fillId="0" borderId="20" xfId="0" applyNumberFormat="1" applyFont="1" applyFill="1" applyBorder="1"/>
    <xf numFmtId="0" fontId="13" fillId="0" borderId="5" xfId="0" applyFont="1" applyBorder="1" applyAlignment="1">
      <alignment horizontal="left" indent="2"/>
    </xf>
    <xf numFmtId="0" fontId="13" fillId="0" borderId="0" xfId="0" applyFont="1" applyAlignment="1">
      <alignment horizontal="left" indent="2"/>
    </xf>
    <xf numFmtId="167" fontId="18" fillId="0" borderId="20" xfId="0" applyNumberFormat="1" applyFont="1" applyFill="1" applyBorder="1"/>
    <xf numFmtId="0" fontId="13" fillId="0" borderId="20" xfId="0" applyFont="1" applyFill="1" applyBorder="1" applyAlignment="1">
      <alignment horizontal="left"/>
    </xf>
    <xf numFmtId="0" fontId="13" fillId="0" borderId="20" xfId="0" applyFont="1" applyFill="1" applyBorder="1" applyAlignment="1">
      <alignment horizontal="left" indent="1"/>
    </xf>
    <xf numFmtId="0" fontId="13" fillId="0" borderId="20" xfId="0" applyFont="1" applyFill="1" applyBorder="1" applyAlignment="1">
      <alignment horizontal="left" indent="3"/>
    </xf>
    <xf numFmtId="0" fontId="18" fillId="0" borderId="20" xfId="0" applyFont="1" applyFill="1" applyBorder="1" applyAlignment="1">
      <alignment horizontal="left" indent="1"/>
    </xf>
    <xf numFmtId="0" fontId="18" fillId="0" borderId="22" xfId="0" applyFont="1" applyFill="1" applyBorder="1" applyAlignment="1">
      <alignment horizontal="left"/>
    </xf>
    <xf numFmtId="167" fontId="18" fillId="0" borderId="15" xfId="0" applyNumberFormat="1" applyFont="1" applyFill="1" applyBorder="1" applyAlignment="1">
      <alignment horizontal="right"/>
    </xf>
    <xf numFmtId="167" fontId="18" fillId="0" borderId="22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left"/>
    </xf>
    <xf numFmtId="165" fontId="13" fillId="0" borderId="0" xfId="0" applyNumberFormat="1" applyFont="1"/>
    <xf numFmtId="167" fontId="18" fillId="0" borderId="0" xfId="0" applyNumberFormat="1" applyFont="1" applyFill="1" applyBorder="1" applyAlignment="1">
      <alignment horizontal="right"/>
    </xf>
    <xf numFmtId="0" fontId="18" fillId="0" borderId="28" xfId="0" applyFont="1" applyFill="1" applyBorder="1" applyAlignment="1">
      <alignment horizontal="left"/>
    </xf>
    <xf numFmtId="167" fontId="18" fillId="0" borderId="28" xfId="0" applyNumberFormat="1" applyFont="1" applyFill="1" applyBorder="1" applyAlignment="1">
      <alignment horizontal="right"/>
    </xf>
    <xf numFmtId="0" fontId="13" fillId="0" borderId="28" xfId="0" applyFont="1" applyBorder="1"/>
    <xf numFmtId="0" fontId="13" fillId="0" borderId="0" xfId="0" applyFont="1" applyFill="1" applyAlignment="1">
      <alignment horizontal="left" indent="1"/>
    </xf>
    <xf numFmtId="0" fontId="13" fillId="0" borderId="0" xfId="0" applyFont="1" applyFill="1" applyAlignment="1">
      <alignment horizontal="right"/>
    </xf>
    <xf numFmtId="0" fontId="13" fillId="0" borderId="2" xfId="0" applyFont="1" applyBorder="1"/>
    <xf numFmtId="0" fontId="13" fillId="0" borderId="4" xfId="0" applyFont="1" applyBorder="1"/>
    <xf numFmtId="0" fontId="13" fillId="0" borderId="17" xfId="0" applyFont="1" applyBorder="1"/>
    <xf numFmtId="164" fontId="13" fillId="0" borderId="11" xfId="1" applyFont="1" applyBorder="1"/>
    <xf numFmtId="10" fontId="0" fillId="0" borderId="44" xfId="0" applyNumberFormat="1" applyBorder="1" applyAlignment="1"/>
    <xf numFmtId="0" fontId="13" fillId="0" borderId="16" xfId="0" applyFont="1" applyBorder="1"/>
    <xf numFmtId="164" fontId="13" fillId="0" borderId="3" xfId="1" applyFont="1" applyBorder="1"/>
    <xf numFmtId="10" fontId="13" fillId="0" borderId="3" xfId="0" applyNumberFormat="1" applyFont="1" applyBorder="1"/>
    <xf numFmtId="10" fontId="13" fillId="0" borderId="17" xfId="4" applyNumberFormat="1" applyFont="1" applyBorder="1"/>
    <xf numFmtId="0" fontId="14" fillId="0" borderId="1" xfId="13" applyFont="1" applyBorder="1"/>
    <xf numFmtId="0" fontId="14" fillId="0" borderId="2" xfId="13" applyFont="1" applyBorder="1"/>
    <xf numFmtId="0" fontId="14" fillId="0" borderId="4" xfId="13" applyFont="1" applyBorder="1"/>
    <xf numFmtId="0" fontId="13" fillId="0" borderId="1" xfId="0" applyFont="1" applyBorder="1"/>
    <xf numFmtId="10" fontId="13" fillId="0" borderId="16" xfId="4" applyNumberFormat="1" applyFont="1" applyBorder="1"/>
    <xf numFmtId="10" fontId="13" fillId="0" borderId="3" xfId="4" applyNumberFormat="1" applyFont="1" applyBorder="1"/>
    <xf numFmtId="0" fontId="13" fillId="0" borderId="18" xfId="0" applyFont="1" applyBorder="1"/>
    <xf numFmtId="10" fontId="13" fillId="0" borderId="30" xfId="4" applyNumberFormat="1" applyFont="1" applyBorder="1"/>
    <xf numFmtId="0" fontId="0" fillId="0" borderId="40" xfId="0" applyFill="1" applyBorder="1"/>
    <xf numFmtId="0" fontId="0" fillId="0" borderId="6" xfId="0" applyFill="1" applyBorder="1"/>
    <xf numFmtId="0" fontId="0" fillId="3" borderId="0" xfId="0" applyFill="1"/>
    <xf numFmtId="0" fontId="13" fillId="3" borderId="2" xfId="0" applyFont="1" applyFill="1" applyBorder="1"/>
    <xf numFmtId="0" fontId="13" fillId="3" borderId="0" xfId="0" applyFont="1" applyFill="1" applyBorder="1"/>
    <xf numFmtId="0" fontId="13" fillId="3" borderId="3" xfId="0" applyFont="1" applyFill="1" applyBorder="1"/>
    <xf numFmtId="0" fontId="13" fillId="0" borderId="11" xfId="0" applyFont="1" applyBorder="1" applyAlignment="1">
      <alignment horizontal="center"/>
    </xf>
    <xf numFmtId="0" fontId="13" fillId="3" borderId="0" xfId="0" applyFont="1" applyFill="1"/>
    <xf numFmtId="0" fontId="13" fillId="3" borderId="0" xfId="0" applyFont="1" applyFill="1" applyAlignment="1"/>
    <xf numFmtId="0" fontId="0" fillId="3" borderId="12" xfId="0" applyFill="1" applyBorder="1"/>
    <xf numFmtId="0" fontId="0" fillId="3" borderId="16" xfId="0" applyFill="1" applyBorder="1"/>
    <xf numFmtId="0" fontId="0" fillId="3" borderId="0" xfId="0" applyFill="1" applyBorder="1"/>
    <xf numFmtId="0" fontId="13" fillId="3" borderId="0" xfId="0" applyFont="1" applyFill="1" applyBorder="1" applyAlignment="1"/>
    <xf numFmtId="0" fontId="13" fillId="3" borderId="3" xfId="0" applyFont="1" applyFill="1" applyBorder="1" applyAlignme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4" xfId="0" applyFill="1" applyBorder="1"/>
    <xf numFmtId="0" fontId="0" fillId="3" borderId="17" xfId="0" applyFill="1" applyBorder="1"/>
    <xf numFmtId="0" fontId="25" fillId="2" borderId="1" xfId="0" applyFont="1" applyFill="1" applyBorder="1" applyAlignment="1" applyProtection="1">
      <alignment horizontal="left" indent="4"/>
    </xf>
    <xf numFmtId="0" fontId="25" fillId="2" borderId="12" xfId="0" applyFont="1" applyFill="1" applyBorder="1" applyAlignment="1" applyProtection="1">
      <alignment horizontal="left" indent="2"/>
    </xf>
    <xf numFmtId="0" fontId="25" fillId="2" borderId="12" xfId="0" applyFont="1" applyFill="1" applyBorder="1" applyProtection="1"/>
    <xf numFmtId="0" fontId="25" fillId="2" borderId="2" xfId="0" applyFont="1" applyFill="1" applyBorder="1" applyAlignment="1" applyProtection="1">
      <alignment horizontal="left" indent="4"/>
    </xf>
    <xf numFmtId="0" fontId="25" fillId="2" borderId="0" xfId="0" applyFont="1" applyFill="1" applyBorder="1" applyAlignment="1" applyProtection="1">
      <alignment horizontal="left" indent="2"/>
    </xf>
    <xf numFmtId="0" fontId="25" fillId="2" borderId="0" xfId="0" applyFont="1" applyFill="1" applyBorder="1" applyProtection="1"/>
    <xf numFmtId="0" fontId="26" fillId="2" borderId="4" xfId="0" applyFont="1" applyFill="1" applyBorder="1" applyAlignment="1" applyProtection="1">
      <alignment horizontal="left" indent="4"/>
    </xf>
    <xf numFmtId="0" fontId="26" fillId="2" borderId="14" xfId="0" applyFont="1" applyFill="1" applyBorder="1" applyAlignment="1" applyProtection="1">
      <alignment horizontal="left" indent="2"/>
    </xf>
    <xf numFmtId="0" fontId="26" fillId="2" borderId="14" xfId="0" applyFont="1" applyFill="1" applyBorder="1" applyAlignment="1" applyProtection="1">
      <alignment horizontal="left"/>
    </xf>
    <xf numFmtId="0" fontId="14" fillId="0" borderId="2" xfId="7" applyFont="1" applyBorder="1" applyAlignment="1">
      <alignment horizontal="left"/>
    </xf>
    <xf numFmtId="1" fontId="13" fillId="0" borderId="11" xfId="0" applyNumberFormat="1" applyFont="1" applyBorder="1"/>
    <xf numFmtId="164" fontId="13" fillId="0" borderId="11" xfId="0" applyNumberFormat="1" applyFont="1" applyBorder="1"/>
    <xf numFmtId="2" fontId="13" fillId="0" borderId="11" xfId="0" applyNumberFormat="1" applyFont="1" applyBorder="1"/>
    <xf numFmtId="1" fontId="13" fillId="0" borderId="11" xfId="0" applyNumberFormat="1" applyFont="1" applyFill="1" applyBorder="1"/>
    <xf numFmtId="10" fontId="13" fillId="0" borderId="0" xfId="4" applyNumberFormat="1" applyFont="1"/>
    <xf numFmtId="2" fontId="13" fillId="0" borderId="0" xfId="0" applyNumberFormat="1" applyFont="1"/>
    <xf numFmtId="0" fontId="18" fillId="0" borderId="0" xfId="0" applyFont="1"/>
    <xf numFmtId="164" fontId="13" fillId="0" borderId="11" xfId="1" applyNumberFormat="1" applyFont="1" applyBorder="1"/>
    <xf numFmtId="0" fontId="20" fillId="0" borderId="11" xfId="0" applyFont="1" applyBorder="1"/>
    <xf numFmtId="164" fontId="20" fillId="0" borderId="11" xfId="1" applyFont="1" applyBorder="1"/>
    <xf numFmtId="9" fontId="20" fillId="0" borderId="11" xfId="4" applyFont="1" applyBorder="1"/>
    <xf numFmtId="10" fontId="20" fillId="0" borderId="11" xfId="4" applyNumberFormat="1" applyFont="1" applyBorder="1"/>
    <xf numFmtId="0" fontId="13" fillId="0" borderId="51" xfId="0" applyFont="1" applyBorder="1"/>
    <xf numFmtId="16" fontId="13" fillId="0" borderId="51" xfId="0" applyNumberFormat="1" applyFont="1" applyBorder="1"/>
    <xf numFmtId="0" fontId="13" fillId="0" borderId="52" xfId="0" applyFont="1" applyBorder="1"/>
    <xf numFmtId="2" fontId="13" fillId="0" borderId="53" xfId="0" applyNumberFormat="1" applyFont="1" applyBorder="1"/>
    <xf numFmtId="0" fontId="13" fillId="0" borderId="61" xfId="0" applyFont="1" applyBorder="1"/>
    <xf numFmtId="164" fontId="13" fillId="0" borderId="0" xfId="0" applyNumberFormat="1" applyFont="1"/>
    <xf numFmtId="2" fontId="13" fillId="0" borderId="0" xfId="4" applyNumberFormat="1" applyFont="1"/>
    <xf numFmtId="164" fontId="13" fillId="0" borderId="17" xfId="1" applyFont="1" applyBorder="1"/>
    <xf numFmtId="0" fontId="13" fillId="3" borderId="4" xfId="0" applyFont="1" applyFill="1" applyBorder="1"/>
    <xf numFmtId="0" fontId="13" fillId="3" borderId="14" xfId="0" applyFont="1" applyFill="1" applyBorder="1"/>
    <xf numFmtId="0" fontId="13" fillId="3" borderId="17" xfId="0" applyFont="1" applyFill="1" applyBorder="1"/>
    <xf numFmtId="10" fontId="13" fillId="0" borderId="5" xfId="4" applyNumberFormat="1" applyFont="1" applyFill="1" applyBorder="1" applyAlignment="1">
      <alignment horizontal="center"/>
    </xf>
    <xf numFmtId="10" fontId="13" fillId="0" borderId="11" xfId="4" applyNumberFormat="1" applyFont="1" applyFill="1" applyBorder="1" applyAlignment="1">
      <alignment horizontal="center"/>
    </xf>
    <xf numFmtId="10" fontId="13" fillId="0" borderId="5" xfId="4" applyNumberFormat="1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10" fontId="13" fillId="0" borderId="15" xfId="4" applyNumberFormat="1" applyFont="1" applyFill="1" applyBorder="1" applyAlignment="1">
      <alignment horizontal="center"/>
    </xf>
    <xf numFmtId="0" fontId="13" fillId="0" borderId="28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2" fontId="13" fillId="0" borderId="5" xfId="4" applyNumberFormat="1" applyFont="1" applyFill="1" applyBorder="1" applyAlignment="1">
      <alignment horizontal="center"/>
    </xf>
    <xf numFmtId="2" fontId="13" fillId="0" borderId="5" xfId="4" applyNumberFormat="1" applyFont="1" applyBorder="1" applyAlignment="1">
      <alignment horizontal="center"/>
    </xf>
    <xf numFmtId="2" fontId="13" fillId="0" borderId="5" xfId="0" applyNumberFormat="1" applyFont="1" applyBorder="1" applyAlignment="1">
      <alignment horizontal="center"/>
    </xf>
    <xf numFmtId="2" fontId="13" fillId="0" borderId="5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0" xfId="0" applyFont="1" applyAlignment="1">
      <alignment horizontal="center"/>
    </xf>
    <xf numFmtId="165" fontId="4" fillId="0" borderId="0" xfId="1" applyNumberFormat="1" applyFont="1" applyBorder="1"/>
    <xf numFmtId="164" fontId="0" fillId="3" borderId="0" xfId="0" applyNumberFormat="1" applyFill="1"/>
    <xf numFmtId="167" fontId="28" fillId="0" borderId="5" xfId="0" applyNumberFormat="1" applyFont="1" applyFill="1" applyBorder="1"/>
    <xf numFmtId="167" fontId="28" fillId="0" borderId="20" xfId="0" applyNumberFormat="1" applyFont="1" applyFill="1" applyBorder="1"/>
    <xf numFmtId="44" fontId="28" fillId="0" borderId="5" xfId="0" applyNumberFormat="1" applyFont="1" applyFill="1" applyBorder="1"/>
    <xf numFmtId="167" fontId="29" fillId="0" borderId="5" xfId="0" applyNumberFormat="1" applyFont="1" applyFill="1" applyBorder="1" applyAlignment="1">
      <alignment horizontal="right"/>
    </xf>
    <xf numFmtId="0" fontId="28" fillId="0" borderId="5" xfId="0" applyFont="1" applyFill="1" applyBorder="1" applyAlignment="1">
      <alignment horizontal="right"/>
    </xf>
    <xf numFmtId="0" fontId="28" fillId="0" borderId="15" xfId="0" applyFont="1" applyFill="1" applyBorder="1" applyAlignment="1">
      <alignment horizontal="right"/>
    </xf>
    <xf numFmtId="167" fontId="28" fillId="0" borderId="5" xfId="1" applyNumberFormat="1" applyFont="1" applyFill="1" applyBorder="1"/>
    <xf numFmtId="167" fontId="28" fillId="0" borderId="9" xfId="0" applyNumberFormat="1" applyFont="1" applyFill="1" applyBorder="1"/>
    <xf numFmtId="0" fontId="28" fillId="0" borderId="9" xfId="0" applyFont="1" applyFill="1" applyBorder="1"/>
    <xf numFmtId="0" fontId="28" fillId="0" borderId="0" xfId="0" applyFont="1" applyFill="1" applyBorder="1"/>
    <xf numFmtId="167" fontId="28" fillId="0" borderId="15" xfId="0" applyNumberFormat="1" applyFont="1" applyFill="1" applyBorder="1"/>
    <xf numFmtId="167" fontId="28" fillId="0" borderId="27" xfId="0" applyNumberFormat="1" applyFont="1" applyFill="1" applyBorder="1"/>
    <xf numFmtId="0" fontId="0" fillId="4" borderId="41" xfId="0" applyFill="1" applyBorder="1"/>
    <xf numFmtId="169" fontId="0" fillId="4" borderId="7" xfId="0" applyNumberFormat="1" applyFill="1" applyBorder="1"/>
    <xf numFmtId="0" fontId="0" fillId="4" borderId="8" xfId="0" applyFill="1" applyBorder="1"/>
    <xf numFmtId="0" fontId="13" fillId="0" borderId="3" xfId="0" applyFont="1" applyBorder="1"/>
    <xf numFmtId="0" fontId="13" fillId="0" borderId="14" xfId="0" applyFont="1" applyBorder="1"/>
    <xf numFmtId="0" fontId="15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 wrapText="1"/>
    </xf>
    <xf numFmtId="0" fontId="15" fillId="0" borderId="4" xfId="0" applyFont="1" applyBorder="1" applyAlignment="1"/>
    <xf numFmtId="165" fontId="13" fillId="0" borderId="11" xfId="1" applyNumberFormat="1" applyFont="1" applyBorder="1"/>
    <xf numFmtId="164" fontId="13" fillId="0" borderId="13" xfId="1" applyNumberFormat="1" applyFont="1" applyBorder="1"/>
    <xf numFmtId="165" fontId="13" fillId="0" borderId="13" xfId="1" applyNumberFormat="1" applyFont="1" applyBorder="1"/>
    <xf numFmtId="165" fontId="13" fillId="0" borderId="53" xfId="1" applyNumberFormat="1" applyFont="1" applyBorder="1"/>
    <xf numFmtId="165" fontId="13" fillId="0" borderId="54" xfId="1" applyNumberFormat="1" applyFont="1" applyBorder="1"/>
    <xf numFmtId="0" fontId="13" fillId="0" borderId="15" xfId="0" applyFont="1" applyFill="1" applyBorder="1"/>
    <xf numFmtId="0" fontId="8" fillId="0" borderId="51" xfId="0" applyFont="1" applyBorder="1"/>
    <xf numFmtId="0" fontId="0" fillId="0" borderId="13" xfId="0" applyBorder="1" applyAlignment="1">
      <alignment horizontal="right"/>
    </xf>
    <xf numFmtId="10" fontId="0" fillId="0" borderId="13" xfId="4" applyNumberFormat="1" applyFont="1" applyBorder="1"/>
    <xf numFmtId="0" fontId="8" fillId="0" borderId="52" xfId="0" applyFont="1" applyBorder="1"/>
    <xf numFmtId="164" fontId="0" fillId="0" borderId="53" xfId="1" applyFont="1" applyBorder="1"/>
    <xf numFmtId="10" fontId="0" fillId="0" borderId="54" xfId="4" applyNumberFormat="1" applyFont="1" applyBorder="1"/>
    <xf numFmtId="0" fontId="0" fillId="5" borderId="50" xfId="0" applyFill="1" applyBorder="1"/>
    <xf numFmtId="0" fontId="0" fillId="5" borderId="45" xfId="0" applyFill="1" applyBorder="1"/>
    <xf numFmtId="0" fontId="0" fillId="5" borderId="46" xfId="0" applyFill="1" applyBorder="1"/>
    <xf numFmtId="0" fontId="16" fillId="5" borderId="11" xfId="0" applyFont="1" applyFill="1" applyBorder="1"/>
    <xf numFmtId="0" fontId="17" fillId="5" borderId="11" xfId="0" applyFont="1" applyFill="1" applyBorder="1"/>
    <xf numFmtId="0" fontId="22" fillId="5" borderId="1" xfId="0" applyFont="1" applyFill="1" applyBorder="1" applyAlignment="1">
      <alignment horizontal="left" vertical="top"/>
    </xf>
    <xf numFmtId="0" fontId="21" fillId="5" borderId="24" xfId="0" applyFont="1" applyFill="1" applyBorder="1" applyAlignment="1">
      <alignment horizontal="left" vertical="top"/>
    </xf>
    <xf numFmtId="0" fontId="22" fillId="5" borderId="28" xfId="0" applyFont="1" applyFill="1" applyBorder="1" applyAlignment="1">
      <alignment horizontal="left" vertical="top"/>
    </xf>
    <xf numFmtId="0" fontId="17" fillId="5" borderId="11" xfId="0" applyFont="1" applyFill="1" applyBorder="1" applyAlignment="1">
      <alignment horizontal="center"/>
    </xf>
    <xf numFmtId="0" fontId="18" fillId="5" borderId="11" xfId="0" applyFont="1" applyFill="1" applyBorder="1"/>
    <xf numFmtId="0" fontId="13" fillId="5" borderId="44" xfId="0" applyFont="1" applyFill="1" applyBorder="1"/>
    <xf numFmtId="0" fontId="13" fillId="5" borderId="11" xfId="0" applyFont="1" applyFill="1" applyBorder="1"/>
    <xf numFmtId="17" fontId="13" fillId="0" borderId="28" xfId="0" applyNumberFormat="1" applyFont="1" applyBorder="1"/>
    <xf numFmtId="164" fontId="13" fillId="0" borderId="28" xfId="1" applyNumberFormat="1" applyFont="1" applyBorder="1"/>
    <xf numFmtId="0" fontId="13" fillId="0" borderId="9" xfId="0" applyFont="1" applyBorder="1"/>
    <xf numFmtId="17" fontId="13" fillId="0" borderId="5" xfId="0" applyNumberFormat="1" applyFont="1" applyBorder="1"/>
    <xf numFmtId="164" fontId="13" fillId="0" borderId="5" xfId="1" applyNumberFormat="1" applyFont="1" applyBorder="1"/>
    <xf numFmtId="10" fontId="13" fillId="0" borderId="9" xfId="0" applyNumberFormat="1" applyFont="1" applyBorder="1"/>
    <xf numFmtId="10" fontId="13" fillId="0" borderId="5" xfId="0" applyNumberFormat="1" applyFont="1" applyBorder="1"/>
    <xf numFmtId="17" fontId="13" fillId="0" borderId="15" xfId="0" applyNumberFormat="1" applyFont="1" applyBorder="1"/>
    <xf numFmtId="164" fontId="13" fillId="0" borderId="15" xfId="1" applyNumberFormat="1" applyFont="1" applyBorder="1"/>
    <xf numFmtId="10" fontId="13" fillId="0" borderId="27" xfId="0" applyNumberFormat="1" applyFont="1" applyBorder="1"/>
    <xf numFmtId="10" fontId="13" fillId="0" borderId="15" xfId="0" applyNumberFormat="1" applyFont="1" applyBorder="1"/>
    <xf numFmtId="10" fontId="13" fillId="0" borderId="11" xfId="4" applyNumberFormat="1" applyFont="1" applyBorder="1"/>
    <xf numFmtId="0" fontId="22" fillId="5" borderId="24" xfId="0" applyFont="1" applyFill="1" applyBorder="1" applyAlignment="1">
      <alignment horizontal="left" vertical="top"/>
    </xf>
    <xf numFmtId="0" fontId="13" fillId="5" borderId="0" xfId="0" applyFont="1" applyFill="1"/>
    <xf numFmtId="0" fontId="13" fillId="5" borderId="11" xfId="0" applyFont="1" applyFill="1" applyBorder="1" applyAlignment="1">
      <alignment wrapText="1"/>
    </xf>
    <xf numFmtId="10" fontId="13" fillId="5" borderId="11" xfId="4" applyNumberFormat="1" applyFont="1" applyFill="1" applyBorder="1" applyAlignment="1">
      <alignment wrapText="1"/>
    </xf>
    <xf numFmtId="0" fontId="15" fillId="0" borderId="0" xfId="7" applyFont="1" applyAlignment="1">
      <alignment horizontal="center"/>
    </xf>
    <xf numFmtId="0" fontId="32" fillId="0" borderId="0" xfId="7" applyFont="1" applyAlignment="1"/>
    <xf numFmtId="0" fontId="33" fillId="0" borderId="0" xfId="7" applyFont="1"/>
    <xf numFmtId="0" fontId="14" fillId="0" borderId="0" xfId="7" applyFont="1"/>
    <xf numFmtId="0" fontId="14" fillId="0" borderId="2" xfId="7" applyFont="1" applyBorder="1"/>
    <xf numFmtId="10" fontId="14" fillId="0" borderId="3" xfId="7" applyNumberFormat="1" applyFont="1" applyBorder="1"/>
    <xf numFmtId="0" fontId="14" fillId="0" borderId="2" xfId="7" applyFont="1" applyFill="1" applyBorder="1"/>
    <xf numFmtId="10" fontId="14" fillId="0" borderId="3" xfId="7" applyNumberFormat="1" applyFont="1" applyFill="1" applyBorder="1"/>
    <xf numFmtId="0" fontId="14" fillId="0" borderId="4" xfId="7" applyFont="1" applyBorder="1"/>
    <xf numFmtId="10" fontId="14" fillId="0" borderId="17" xfId="7" applyNumberFormat="1" applyFont="1" applyBorder="1"/>
    <xf numFmtId="0" fontId="14" fillId="0" borderId="0" xfId="7" applyFont="1" applyBorder="1"/>
    <xf numFmtId="10" fontId="14" fillId="0" borderId="0" xfId="7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32" fillId="0" borderId="0" xfId="7" applyNumberFormat="1" applyFont="1" applyBorder="1" applyAlignment="1">
      <alignment horizontal="center"/>
    </xf>
    <xf numFmtId="0" fontId="32" fillId="0" borderId="0" xfId="7" applyNumberFormat="1" applyFont="1"/>
    <xf numFmtId="0" fontId="32" fillId="0" borderId="0" xfId="7" applyFont="1"/>
    <xf numFmtId="165" fontId="1" fillId="0" borderId="0" xfId="1" applyNumberFormat="1" applyFont="1" applyBorder="1"/>
    <xf numFmtId="3" fontId="33" fillId="0" borderId="0" xfId="7" applyNumberFormat="1" applyFont="1"/>
    <xf numFmtId="0" fontId="33" fillId="0" borderId="0" xfId="7" applyNumberFormat="1" applyFont="1"/>
    <xf numFmtId="9" fontId="33" fillId="0" borderId="0" xfId="4" applyFont="1"/>
    <xf numFmtId="10" fontId="33" fillId="0" borderId="0" xfId="4" applyNumberFormat="1" applyFont="1"/>
    <xf numFmtId="3" fontId="1" fillId="0" borderId="0" xfId="8" applyNumberFormat="1" applyFont="1" applyBorder="1"/>
    <xf numFmtId="0" fontId="32" fillId="0" borderId="0" xfId="7" applyFont="1" applyBorder="1" applyAlignment="1">
      <alignment horizontal="center"/>
    </xf>
    <xf numFmtId="3" fontId="33" fillId="0" borderId="0" xfId="7" applyNumberFormat="1" applyFont="1" applyBorder="1"/>
    <xf numFmtId="165" fontId="33" fillId="0" borderId="0" xfId="1" applyNumberFormat="1" applyFont="1" applyBorder="1"/>
    <xf numFmtId="165" fontId="32" fillId="0" borderId="0" xfId="1" applyNumberFormat="1" applyFont="1" applyBorder="1"/>
    <xf numFmtId="0" fontId="33" fillId="0" borderId="0" xfId="7" applyNumberFormat="1" applyFont="1" applyBorder="1"/>
    <xf numFmtId="0" fontId="1" fillId="0" borderId="0" xfId="0" applyFont="1" applyBorder="1"/>
    <xf numFmtId="9" fontId="1" fillId="0" borderId="0" xfId="4" applyFont="1"/>
    <xf numFmtId="165" fontId="1" fillId="0" borderId="0" xfId="0" applyNumberFormat="1" applyFont="1" applyBorder="1"/>
    <xf numFmtId="165" fontId="13" fillId="0" borderId="5" xfId="1" applyNumberFormat="1" applyFont="1" applyBorder="1"/>
    <xf numFmtId="165" fontId="13" fillId="0" borderId="6" xfId="1" applyNumberFormat="1" applyFont="1" applyBorder="1"/>
    <xf numFmtId="0" fontId="18" fillId="0" borderId="42" xfId="0" applyFont="1" applyFill="1" applyBorder="1" applyAlignment="1">
      <alignment horizontal="left"/>
    </xf>
    <xf numFmtId="165" fontId="18" fillId="0" borderId="5" xfId="1" applyNumberFormat="1" applyFont="1" applyBorder="1"/>
    <xf numFmtId="165" fontId="18" fillId="0" borderId="6" xfId="1" applyNumberFormat="1" applyFont="1" applyBorder="1"/>
    <xf numFmtId="3" fontId="13" fillId="0" borderId="11" xfId="8" applyNumberFormat="1" applyFont="1" applyBorder="1"/>
    <xf numFmtId="3" fontId="13" fillId="0" borderId="13" xfId="8" applyNumberFormat="1" applyFont="1" applyBorder="1"/>
    <xf numFmtId="3" fontId="13" fillId="0" borderId="7" xfId="8" applyNumberFormat="1" applyFont="1" applyBorder="1"/>
    <xf numFmtId="3" fontId="13" fillId="0" borderId="8" xfId="8" applyNumberFormat="1" applyFont="1" applyBorder="1"/>
    <xf numFmtId="3" fontId="13" fillId="0" borderId="0" xfId="8" applyNumberFormat="1" applyFont="1" applyBorder="1"/>
    <xf numFmtId="3" fontId="13" fillId="0" borderId="3" xfId="8" applyNumberFormat="1" applyFont="1" applyBorder="1"/>
    <xf numFmtId="3" fontId="13" fillId="0" borderId="5" xfId="8" applyNumberFormat="1" applyFont="1" applyBorder="1"/>
    <xf numFmtId="3" fontId="13" fillId="0" borderId="6" xfId="8" applyNumberFormat="1" applyFont="1" applyBorder="1"/>
    <xf numFmtId="165" fontId="14" fillId="0" borderId="5" xfId="1" applyNumberFormat="1" applyFont="1" applyBorder="1"/>
    <xf numFmtId="165" fontId="14" fillId="0" borderId="6" xfId="1" applyNumberFormat="1" applyFont="1" applyBorder="1"/>
    <xf numFmtId="165" fontId="15" fillId="0" borderId="5" xfId="1" applyNumberFormat="1" applyFont="1" applyBorder="1"/>
    <xf numFmtId="165" fontId="15" fillId="0" borderId="6" xfId="1" applyNumberFormat="1" applyFont="1" applyBorder="1"/>
    <xf numFmtId="0" fontId="14" fillId="0" borderId="5" xfId="7" applyNumberFormat="1" applyFont="1" applyBorder="1"/>
    <xf numFmtId="0" fontId="14" fillId="0" borderId="6" xfId="7" applyNumberFormat="1" applyFont="1" applyBorder="1"/>
    <xf numFmtId="0" fontId="13" fillId="0" borderId="6" xfId="0" applyFont="1" applyBorder="1"/>
    <xf numFmtId="165" fontId="15" fillId="0" borderId="7" xfId="1" applyNumberFormat="1" applyFont="1" applyBorder="1"/>
    <xf numFmtId="165" fontId="15" fillId="0" borderId="8" xfId="1" applyNumberFormat="1" applyFont="1" applyBorder="1"/>
    <xf numFmtId="165" fontId="13" fillId="0" borderId="0" xfId="0" applyNumberFormat="1" applyFont="1" applyBorder="1"/>
    <xf numFmtId="165" fontId="13" fillId="0" borderId="3" xfId="0" applyNumberFormat="1" applyFont="1" applyBorder="1"/>
    <xf numFmtId="0" fontId="13" fillId="0" borderId="2" xfId="0" applyFont="1" applyBorder="1" applyAlignment="1">
      <alignment horizontal="left" indent="2"/>
    </xf>
    <xf numFmtId="0" fontId="13" fillId="0" borderId="2" xfId="0" applyFont="1" applyBorder="1" applyAlignment="1">
      <alignment horizontal="left"/>
    </xf>
    <xf numFmtId="165" fontId="13" fillId="0" borderId="0" xfId="1" applyNumberFormat="1" applyFont="1" applyBorder="1"/>
    <xf numFmtId="165" fontId="13" fillId="0" borderId="14" xfId="0" applyNumberFormat="1" applyFont="1" applyBorder="1"/>
    <xf numFmtId="165" fontId="13" fillId="0" borderId="17" xfId="0" applyNumberFormat="1" applyFont="1" applyBorder="1"/>
    <xf numFmtId="9" fontId="13" fillId="0" borderId="0" xfId="4" applyFont="1"/>
    <xf numFmtId="9" fontId="13" fillId="0" borderId="12" xfId="4" applyFont="1" applyBorder="1"/>
    <xf numFmtId="0" fontId="13" fillId="0" borderId="12" xfId="0" applyFont="1" applyBorder="1"/>
    <xf numFmtId="10" fontId="13" fillId="0" borderId="0" xfId="0" applyNumberFormat="1" applyFont="1" applyBorder="1"/>
    <xf numFmtId="165" fontId="13" fillId="0" borderId="5" xfId="0" applyNumberFormat="1" applyFont="1" applyBorder="1"/>
    <xf numFmtId="0" fontId="13" fillId="0" borderId="42" xfId="0" applyFont="1" applyBorder="1"/>
    <xf numFmtId="165" fontId="13" fillId="0" borderId="15" xfId="0" applyNumberFormat="1" applyFont="1" applyBorder="1"/>
    <xf numFmtId="165" fontId="13" fillId="0" borderId="23" xfId="0" applyNumberFormat="1" applyFont="1" applyBorder="1"/>
    <xf numFmtId="165" fontId="13" fillId="0" borderId="58" xfId="0" applyNumberFormat="1" applyFont="1" applyBorder="1"/>
    <xf numFmtId="3" fontId="13" fillId="0" borderId="16" xfId="0" applyNumberFormat="1" applyFont="1" applyBorder="1"/>
    <xf numFmtId="3" fontId="13" fillId="0" borderId="3" xfId="0" applyNumberFormat="1" applyFont="1" applyBorder="1"/>
    <xf numFmtId="0" fontId="14" fillId="0" borderId="2" xfId="0" applyFont="1" applyBorder="1"/>
    <xf numFmtId="0" fontId="14" fillId="0" borderId="4" xfId="0" applyFont="1" applyBorder="1"/>
    <xf numFmtId="3" fontId="14" fillId="0" borderId="17" xfId="0" applyNumberFormat="1" applyFont="1" applyBorder="1" applyAlignment="1">
      <alignment horizontal="right" wrapText="1"/>
    </xf>
    <xf numFmtId="4" fontId="14" fillId="0" borderId="0" xfId="0" applyNumberFormat="1" applyFont="1" applyBorder="1" applyAlignment="1">
      <alignment horizontal="right" wrapText="1"/>
    </xf>
    <xf numFmtId="0" fontId="13" fillId="0" borderId="1" xfId="0" applyFont="1" applyFill="1" applyBorder="1"/>
    <xf numFmtId="164" fontId="15" fillId="0" borderId="16" xfId="1" applyFont="1" applyFill="1" applyBorder="1"/>
    <xf numFmtId="0" fontId="13" fillId="0" borderId="2" xfId="0" applyFont="1" applyFill="1" applyBorder="1"/>
    <xf numFmtId="0" fontId="13" fillId="0" borderId="3" xfId="0" applyFont="1" applyFill="1" applyBorder="1"/>
    <xf numFmtId="0" fontId="14" fillId="0" borderId="2" xfId="0" applyFont="1" applyFill="1" applyBorder="1"/>
    <xf numFmtId="164" fontId="15" fillId="0" borderId="3" xfId="1" applyFont="1" applyFill="1" applyBorder="1"/>
    <xf numFmtId="164" fontId="13" fillId="0" borderId="3" xfId="1" applyFont="1" applyFill="1" applyBorder="1"/>
    <xf numFmtId="0" fontId="13" fillId="0" borderId="4" xfId="0" applyFont="1" applyFill="1" applyBorder="1"/>
    <xf numFmtId="0" fontId="34" fillId="0" borderId="17" xfId="0" applyFont="1" applyFill="1" applyBorder="1" applyAlignment="1">
      <alignment horizontal="center"/>
    </xf>
    <xf numFmtId="0" fontId="15" fillId="5" borderId="42" xfId="7" applyFont="1" applyFill="1" applyBorder="1"/>
    <xf numFmtId="0" fontId="15" fillId="5" borderId="15" xfId="7" applyNumberFormat="1" applyFont="1" applyFill="1" applyBorder="1" applyAlignment="1">
      <alignment horizontal="center"/>
    </xf>
    <xf numFmtId="0" fontId="15" fillId="5" borderId="59" xfId="7" applyNumberFormat="1" applyFont="1" applyFill="1" applyBorder="1" applyAlignment="1">
      <alignment horizontal="center"/>
    </xf>
    <xf numFmtId="0" fontId="15" fillId="5" borderId="43" xfId="7" applyFont="1" applyFill="1" applyBorder="1"/>
    <xf numFmtId="0" fontId="15" fillId="5" borderId="11" xfId="7" applyNumberFormat="1" applyFont="1" applyFill="1" applyBorder="1" applyAlignment="1">
      <alignment horizontal="center"/>
    </xf>
    <xf numFmtId="0" fontId="15" fillId="5" borderId="13" xfId="7" applyNumberFormat="1" applyFont="1" applyFill="1" applyBorder="1" applyAlignment="1">
      <alignment horizontal="center"/>
    </xf>
    <xf numFmtId="0" fontId="15" fillId="5" borderId="47" xfId="7" applyFont="1" applyFill="1" applyBorder="1"/>
    <xf numFmtId="0" fontId="15" fillId="5" borderId="45" xfId="7" applyNumberFormat="1" applyFont="1" applyFill="1" applyBorder="1" applyAlignment="1">
      <alignment horizontal="center"/>
    </xf>
    <xf numFmtId="0" fontId="15" fillId="5" borderId="46" xfId="7" applyNumberFormat="1" applyFont="1" applyFill="1" applyBorder="1" applyAlignment="1">
      <alignment horizontal="center"/>
    </xf>
    <xf numFmtId="0" fontId="13" fillId="5" borderId="43" xfId="0" applyFont="1" applyFill="1" applyBorder="1"/>
    <xf numFmtId="0" fontId="15" fillId="5" borderId="31" xfId="7" applyNumberFormat="1" applyFont="1" applyFill="1" applyBorder="1" applyAlignment="1">
      <alignment horizontal="center"/>
    </xf>
    <xf numFmtId="0" fontId="15" fillId="5" borderId="32" xfId="7" applyNumberFormat="1" applyFont="1" applyFill="1" applyBorder="1" applyAlignment="1">
      <alignment horizontal="center"/>
    </xf>
    <xf numFmtId="0" fontId="15" fillId="5" borderId="35" xfId="7" applyNumberFormat="1" applyFont="1" applyFill="1" applyBorder="1" applyAlignment="1">
      <alignment horizontal="center"/>
    </xf>
    <xf numFmtId="1" fontId="35" fillId="0" borderId="21" xfId="0" applyNumberFormat="1" applyFont="1" applyFill="1" applyBorder="1"/>
    <xf numFmtId="0" fontId="0" fillId="0" borderId="0" xfId="0" applyFont="1"/>
    <xf numFmtId="0" fontId="12" fillId="0" borderId="0" xfId="0" applyFont="1" applyFill="1" applyBorder="1"/>
    <xf numFmtId="7" fontId="36" fillId="0" borderId="0" xfId="0" applyNumberFormat="1" applyFont="1" applyFill="1" applyBorder="1"/>
    <xf numFmtId="0" fontId="37" fillId="0" borderId="0" xfId="0" applyFont="1"/>
    <xf numFmtId="0" fontId="12" fillId="0" borderId="19" xfId="0" applyFont="1" applyBorder="1"/>
    <xf numFmtId="0" fontId="40" fillId="0" borderId="0" xfId="0" applyFont="1"/>
    <xf numFmtId="0" fontId="38" fillId="0" borderId="0" xfId="0" applyFont="1"/>
    <xf numFmtId="0" fontId="12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12" fillId="0" borderId="0" xfId="0" applyFont="1" applyBorder="1" applyAlignment="1">
      <alignment horizontal="center"/>
    </xf>
    <xf numFmtId="0" fontId="37" fillId="0" borderId="0" xfId="0" applyFont="1" applyBorder="1"/>
    <xf numFmtId="0" fontId="39" fillId="0" borderId="19" xfId="0" applyFont="1" applyBorder="1"/>
    <xf numFmtId="0" fontId="12" fillId="0" borderId="9" xfId="0" applyFont="1" applyBorder="1" applyAlignment="1">
      <alignment horizontal="center"/>
    </xf>
    <xf numFmtId="0" fontId="12" fillId="0" borderId="20" xfId="0" applyFont="1" applyBorder="1"/>
    <xf numFmtId="168" fontId="12" fillId="0" borderId="0" xfId="0" applyNumberFormat="1" applyFont="1"/>
    <xf numFmtId="0" fontId="38" fillId="5" borderId="66" xfId="0" applyFont="1" applyFill="1" applyBorder="1"/>
    <xf numFmtId="14" fontId="13" fillId="0" borderId="5" xfId="0" applyNumberFormat="1" applyFont="1" applyBorder="1"/>
    <xf numFmtId="14" fontId="13" fillId="0" borderId="15" xfId="0" applyNumberFormat="1" applyFont="1" applyBorder="1"/>
    <xf numFmtId="0" fontId="12" fillId="0" borderId="0" xfId="0" applyFont="1" applyBorder="1"/>
    <xf numFmtId="0" fontId="39" fillId="5" borderId="66" xfId="0" applyFont="1" applyFill="1" applyBorder="1"/>
    <xf numFmtId="0" fontId="14" fillId="0" borderId="5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2" fillId="0" borderId="25" xfId="0" applyFont="1" applyBorder="1"/>
    <xf numFmtId="0" fontId="40" fillId="5" borderId="66" xfId="0" applyFont="1" applyFill="1" applyBorder="1"/>
    <xf numFmtId="10" fontId="36" fillId="0" borderId="25" xfId="0" applyNumberFormat="1" applyFont="1" applyFill="1" applyBorder="1"/>
    <xf numFmtId="0" fontId="12" fillId="5" borderId="19" xfId="0" applyFont="1" applyFill="1" applyBorder="1"/>
    <xf numFmtId="172" fontId="12" fillId="5" borderId="19" xfId="0" applyNumberFormat="1" applyFont="1" applyFill="1" applyBorder="1"/>
    <xf numFmtId="0" fontId="14" fillId="0" borderId="11" xfId="0" applyFont="1" applyBorder="1" applyAlignment="1">
      <alignment horizontal="center"/>
    </xf>
    <xf numFmtId="2" fontId="14" fillId="0" borderId="11" xfId="0" applyNumberFormat="1" applyFont="1" applyBorder="1" applyAlignment="1">
      <alignment horizontal="center"/>
    </xf>
    <xf numFmtId="10" fontId="14" fillId="0" borderId="11" xfId="4" applyNumberFormat="1" applyFont="1" applyBorder="1" applyAlignment="1">
      <alignment horizontal="center"/>
    </xf>
    <xf numFmtId="10" fontId="14" fillId="0" borderId="11" xfId="0" applyNumberFormat="1" applyFont="1" applyBorder="1" applyAlignment="1">
      <alignment horizontal="center"/>
    </xf>
    <xf numFmtId="0" fontId="13" fillId="0" borderId="63" xfId="0" applyFont="1" applyBorder="1"/>
    <xf numFmtId="0" fontId="13" fillId="0" borderId="64" xfId="0" applyFont="1" applyBorder="1"/>
    <xf numFmtId="0" fontId="13" fillId="0" borderId="65" xfId="0" applyFont="1" applyBorder="1"/>
    <xf numFmtId="9" fontId="13" fillId="0" borderId="11" xfId="4" applyFont="1" applyBorder="1"/>
    <xf numFmtId="10" fontId="13" fillId="0" borderId="59" xfId="0" applyNumberFormat="1" applyFont="1" applyBorder="1"/>
    <xf numFmtId="10" fontId="13" fillId="0" borderId="13" xfId="0" applyNumberFormat="1" applyFont="1" applyBorder="1"/>
    <xf numFmtId="0" fontId="13" fillId="0" borderId="52" xfId="0" applyFont="1" applyFill="1" applyBorder="1"/>
    <xf numFmtId="0" fontId="13" fillId="0" borderId="53" xfId="0" applyFont="1" applyBorder="1"/>
    <xf numFmtId="2" fontId="13" fillId="0" borderId="54" xfId="0" applyNumberFormat="1" applyFont="1" applyBorder="1"/>
    <xf numFmtId="171" fontId="13" fillId="0" borderId="18" xfId="0" applyNumberFormat="1" applyFont="1" applyFill="1" applyBorder="1"/>
    <xf numFmtId="171" fontId="13" fillId="0" borderId="29" xfId="0" applyNumberFormat="1" applyFont="1" applyFill="1" applyBorder="1"/>
    <xf numFmtId="171" fontId="13" fillId="0" borderId="30" xfId="0" applyNumberFormat="1" applyFont="1" applyFill="1" applyBorder="1"/>
    <xf numFmtId="10" fontId="13" fillId="0" borderId="11" xfId="0" applyNumberFormat="1" applyFont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10" fontId="14" fillId="0" borderId="11" xfId="0" applyNumberFormat="1" applyFont="1" applyFill="1" applyBorder="1" applyAlignment="1">
      <alignment horizontal="center"/>
    </xf>
    <xf numFmtId="10" fontId="14" fillId="0" borderId="11" xfId="4" applyNumberFormat="1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2" fontId="14" fillId="0" borderId="11" xfId="0" applyNumberFormat="1" applyFont="1" applyFill="1" applyBorder="1" applyAlignment="1">
      <alignment horizontal="center"/>
    </xf>
    <xf numFmtId="10" fontId="42" fillId="0" borderId="11" xfId="0" applyNumberFormat="1" applyFont="1" applyBorder="1" applyAlignment="1">
      <alignment horizontal="center"/>
    </xf>
    <xf numFmtId="0" fontId="41" fillId="5" borderId="11" xfId="0" applyFont="1" applyFill="1" applyBorder="1" applyAlignment="1">
      <alignment horizontal="center"/>
    </xf>
    <xf numFmtId="0" fontId="14" fillId="5" borderId="11" xfId="0" applyFont="1" applyFill="1" applyBorder="1" applyAlignment="1">
      <alignment horizontal="center"/>
    </xf>
    <xf numFmtId="0" fontId="13" fillId="0" borderId="50" xfId="0" applyFont="1" applyBorder="1"/>
    <xf numFmtId="0" fontId="13" fillId="0" borderId="45" xfId="0" applyFont="1" applyBorder="1"/>
    <xf numFmtId="0" fontId="13" fillId="0" borderId="46" xfId="0" applyFont="1" applyBorder="1"/>
    <xf numFmtId="0" fontId="13" fillId="0" borderId="13" xfId="0" applyFont="1" applyBorder="1"/>
    <xf numFmtId="10" fontId="13" fillId="0" borderId="11" xfId="0" applyNumberFormat="1" applyFont="1" applyBorder="1"/>
    <xf numFmtId="10" fontId="13" fillId="0" borderId="53" xfId="4" applyNumberFormat="1" applyFont="1" applyBorder="1"/>
    <xf numFmtId="0" fontId="13" fillId="0" borderId="54" xfId="0" applyFont="1" applyBorder="1"/>
    <xf numFmtId="0" fontId="13" fillId="0" borderId="40" xfId="0" applyFont="1" applyBorder="1"/>
    <xf numFmtId="10" fontId="13" fillId="0" borderId="28" xfId="0" applyNumberFormat="1" applyFont="1" applyBorder="1"/>
    <xf numFmtId="14" fontId="13" fillId="0" borderId="28" xfId="0" applyNumberFormat="1" applyFont="1" applyBorder="1"/>
    <xf numFmtId="14" fontId="13" fillId="0" borderId="11" xfId="0" applyNumberFormat="1" applyFont="1" applyBorder="1"/>
    <xf numFmtId="0" fontId="13" fillId="0" borderId="55" xfId="0" applyFont="1" applyBorder="1"/>
    <xf numFmtId="10" fontId="13" fillId="0" borderId="53" xfId="0" applyNumberFormat="1" applyFont="1" applyBorder="1"/>
    <xf numFmtId="0" fontId="13" fillId="0" borderId="56" xfId="0" applyFont="1" applyBorder="1"/>
    <xf numFmtId="10" fontId="13" fillId="0" borderId="57" xfId="4" applyNumberFormat="1" applyFont="1" applyFill="1" applyBorder="1" applyAlignment="1">
      <alignment vertical="center"/>
    </xf>
    <xf numFmtId="10" fontId="13" fillId="0" borderId="44" xfId="4" applyNumberFormat="1" applyFont="1" applyFill="1" applyBorder="1" applyAlignment="1">
      <alignment vertical="center"/>
    </xf>
    <xf numFmtId="0" fontId="13" fillId="0" borderId="41" xfId="0" applyFont="1" applyBorder="1"/>
    <xf numFmtId="0" fontId="13" fillId="0" borderId="7" xfId="0" applyFont="1" applyBorder="1"/>
    <xf numFmtId="10" fontId="13" fillId="0" borderId="7" xfId="4" applyNumberFormat="1" applyFont="1" applyBorder="1"/>
    <xf numFmtId="14" fontId="13" fillId="0" borderId="7" xfId="0" applyNumberFormat="1" applyFont="1" applyBorder="1"/>
    <xf numFmtId="0" fontId="14" fillId="0" borderId="0" xfId="13" applyFont="1"/>
    <xf numFmtId="0" fontId="15" fillId="0" borderId="0" xfId="13" applyFont="1" applyFill="1"/>
    <xf numFmtId="0" fontId="13" fillId="5" borderId="1" xfId="0" applyFont="1" applyFill="1" applyBorder="1"/>
    <xf numFmtId="0" fontId="17" fillId="5" borderId="45" xfId="0" applyFont="1" applyFill="1" applyBorder="1"/>
    <xf numFmtId="0" fontId="17" fillId="5" borderId="46" xfId="0" applyFont="1" applyFill="1" applyBorder="1"/>
    <xf numFmtId="9" fontId="13" fillId="0" borderId="11" xfId="0" applyNumberFormat="1" applyFont="1" applyBorder="1"/>
    <xf numFmtId="164" fontId="14" fillId="0" borderId="3" xfId="1" applyFont="1" applyBorder="1"/>
    <xf numFmtId="164" fontId="13" fillId="0" borderId="0" xfId="1" applyFont="1"/>
    <xf numFmtId="173" fontId="13" fillId="0" borderId="0" xfId="4" applyNumberFormat="1" applyFont="1"/>
    <xf numFmtId="165" fontId="13" fillId="0" borderId="3" xfId="1" applyNumberFormat="1" applyFont="1" applyBorder="1"/>
    <xf numFmtId="165" fontId="13" fillId="0" borderId="11" xfId="1" applyNumberFormat="1" applyFont="1" applyFill="1" applyBorder="1" applyAlignment="1">
      <alignment horizontal="left"/>
    </xf>
    <xf numFmtId="10" fontId="13" fillId="0" borderId="11" xfId="4" applyNumberFormat="1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9" fontId="13" fillId="0" borderId="3" xfId="4" applyFont="1" applyBorder="1"/>
    <xf numFmtId="164" fontId="13" fillId="0" borderId="0" xfId="1" applyFont="1" applyBorder="1"/>
    <xf numFmtId="164" fontId="13" fillId="0" borderId="14" xfId="1" applyFont="1" applyBorder="1"/>
    <xf numFmtId="164" fontId="13" fillId="0" borderId="16" xfId="1" applyFont="1" applyFill="1" applyBorder="1"/>
    <xf numFmtId="9" fontId="13" fillId="0" borderId="3" xfId="4" applyFont="1" applyFill="1" applyBorder="1"/>
    <xf numFmtId="164" fontId="31" fillId="0" borderId="3" xfId="1" applyFont="1" applyFill="1" applyBorder="1" applyAlignment="1">
      <alignment horizontal="right"/>
    </xf>
    <xf numFmtId="0" fontId="14" fillId="0" borderId="0" xfId="13" applyFont="1" applyBorder="1"/>
    <xf numFmtId="0" fontId="13" fillId="6" borderId="18" xfId="0" applyFont="1" applyFill="1" applyBorder="1"/>
    <xf numFmtId="0" fontId="13" fillId="6" borderId="30" xfId="0" applyFont="1" applyFill="1" applyBorder="1"/>
    <xf numFmtId="0" fontId="15" fillId="5" borderId="18" xfId="7" applyFont="1" applyFill="1" applyBorder="1"/>
    <xf numFmtId="10" fontId="15" fillId="5" borderId="67" xfId="4" applyNumberFormat="1" applyFont="1" applyFill="1" applyBorder="1"/>
    <xf numFmtId="0" fontId="14" fillId="0" borderId="1" xfId="0" applyFont="1" applyFill="1" applyBorder="1"/>
    <xf numFmtId="10" fontId="13" fillId="0" borderId="3" xfId="1" applyNumberFormat="1" applyFont="1" applyBorder="1"/>
    <xf numFmtId="165" fontId="14" fillId="0" borderId="3" xfId="7" applyNumberFormat="1" applyFont="1" applyBorder="1"/>
    <xf numFmtId="0" fontId="19" fillId="7" borderId="18" xfId="0" applyFont="1" applyFill="1" applyBorder="1"/>
    <xf numFmtId="10" fontId="25" fillId="7" borderId="30" xfId="0" applyNumberFormat="1" applyFont="1" applyFill="1" applyBorder="1"/>
    <xf numFmtId="0" fontId="13" fillId="0" borderId="11" xfId="0" applyFont="1" applyBorder="1" applyAlignment="1">
      <alignment horizontal="left"/>
    </xf>
    <xf numFmtId="0" fontId="13" fillId="0" borderId="11" xfId="0" applyFont="1" applyBorder="1" applyAlignment="1"/>
    <xf numFmtId="0" fontId="13" fillId="0" borderId="11" xfId="0" applyFont="1" applyBorder="1" applyAlignment="1">
      <alignment horizontal="left" wrapText="1"/>
    </xf>
    <xf numFmtId="0" fontId="13" fillId="0" borderId="11" xfId="0" applyFont="1" applyFill="1" applyBorder="1" applyAlignment="1">
      <alignment horizontal="left"/>
    </xf>
    <xf numFmtId="164" fontId="1" fillId="0" borderId="0" xfId="1" applyFont="1"/>
    <xf numFmtId="0" fontId="45" fillId="0" borderId="48" xfId="0" applyFont="1" applyFill="1" applyBorder="1"/>
    <xf numFmtId="0" fontId="13" fillId="3" borderId="1" xfId="0" applyFont="1" applyFill="1" applyBorder="1"/>
    <xf numFmtId="0" fontId="13" fillId="3" borderId="12" xfId="0" applyFont="1" applyFill="1" applyBorder="1"/>
    <xf numFmtId="0" fontId="13" fillId="3" borderId="16" xfId="0" applyFont="1" applyFill="1" applyBorder="1"/>
    <xf numFmtId="164" fontId="28" fillId="0" borderId="11" xfId="1" applyFont="1" applyBorder="1"/>
    <xf numFmtId="0" fontId="13" fillId="3" borderId="11" xfId="0" applyFont="1" applyFill="1" applyBorder="1" applyAlignment="1">
      <alignment horizontal="center"/>
    </xf>
    <xf numFmtId="0" fontId="27" fillId="0" borderId="33" xfId="0" applyFont="1" applyFill="1" applyBorder="1" applyAlignment="1" applyProtection="1">
      <alignment horizontal="center"/>
      <protection locked="0"/>
    </xf>
    <xf numFmtId="0" fontId="27" fillId="0" borderId="34" xfId="0" applyFont="1" applyFill="1" applyBorder="1" applyAlignment="1" applyProtection="1">
      <alignment horizontal="center"/>
      <protection locked="0"/>
    </xf>
    <xf numFmtId="0" fontId="25" fillId="2" borderId="2" xfId="0" applyFont="1" applyFill="1" applyBorder="1" applyAlignment="1" applyProtection="1">
      <alignment horizontal="left" indent="4"/>
    </xf>
    <xf numFmtId="0" fontId="25" fillId="2" borderId="0" xfId="0" applyFont="1" applyFill="1" applyBorder="1" applyAlignment="1" applyProtection="1">
      <alignment horizontal="left" indent="4"/>
    </xf>
    <xf numFmtId="0" fontId="27" fillId="0" borderId="11" xfId="0" applyFont="1" applyFill="1" applyBorder="1" applyAlignment="1" applyProtection="1">
      <alignment horizontal="center"/>
      <protection locked="0"/>
    </xf>
    <xf numFmtId="0" fontId="27" fillId="0" borderId="13" xfId="0" applyFont="1" applyFill="1" applyBorder="1" applyAlignment="1" applyProtection="1">
      <alignment horizontal="center"/>
      <protection locked="0"/>
    </xf>
    <xf numFmtId="0" fontId="27" fillId="0" borderId="21" xfId="0" applyFont="1" applyFill="1" applyBorder="1" applyAlignment="1" applyProtection="1">
      <alignment horizontal="center"/>
      <protection locked="0"/>
    </xf>
    <xf numFmtId="0" fontId="27" fillId="0" borderId="35" xfId="0" applyFont="1" applyFill="1" applyBorder="1" applyAlignment="1" applyProtection="1">
      <alignment horizontal="center"/>
      <protection locked="0"/>
    </xf>
    <xf numFmtId="0" fontId="13" fillId="0" borderId="18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170" fontId="28" fillId="0" borderId="18" xfId="0" applyNumberFormat="1" applyFont="1" applyBorder="1" applyAlignment="1">
      <alignment horizontal="center"/>
    </xf>
    <xf numFmtId="170" fontId="28" fillId="0" borderId="30" xfId="0" applyNumberFormat="1" applyFont="1" applyBorder="1" applyAlignment="1">
      <alignment horizontal="center"/>
    </xf>
    <xf numFmtId="0" fontId="13" fillId="0" borderId="28" xfId="0" applyFont="1" applyBorder="1" applyAlignment="1">
      <alignment horizontal="left" wrapText="1"/>
    </xf>
    <xf numFmtId="0" fontId="13" fillId="0" borderId="15" xfId="0" applyFont="1" applyBorder="1" applyAlignment="1">
      <alignment horizontal="left" wrapText="1"/>
    </xf>
    <xf numFmtId="0" fontId="17" fillId="0" borderId="2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7" fillId="5" borderId="11" xfId="0" applyFont="1" applyFill="1" applyBorder="1" applyAlignment="1">
      <alignment horizontal="center"/>
    </xf>
    <xf numFmtId="0" fontId="17" fillId="5" borderId="2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 wrapText="1"/>
    </xf>
    <xf numFmtId="0" fontId="13" fillId="0" borderId="59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5" borderId="6" xfId="0" applyFont="1" applyFill="1" applyBorder="1" applyAlignment="1">
      <alignment horizontal="center" wrapText="1"/>
    </xf>
    <xf numFmtId="0" fontId="13" fillId="5" borderId="8" xfId="0" applyFont="1" applyFill="1" applyBorder="1" applyAlignment="1">
      <alignment horizontal="center" wrapText="1"/>
    </xf>
    <xf numFmtId="0" fontId="18" fillId="5" borderId="28" xfId="0" applyFont="1" applyFill="1" applyBorder="1" applyAlignment="1">
      <alignment horizontal="center" wrapText="1"/>
    </xf>
    <xf numFmtId="0" fontId="18" fillId="5" borderId="15" xfId="0" applyFont="1" applyFill="1" applyBorder="1" applyAlignment="1">
      <alignment horizontal="center" wrapText="1"/>
    </xf>
    <xf numFmtId="0" fontId="13" fillId="0" borderId="62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5" borderId="56" xfId="0" applyFont="1" applyFill="1" applyBorder="1" applyAlignment="1">
      <alignment horizontal="center" vertical="center"/>
    </xf>
    <xf numFmtId="0" fontId="13" fillId="5" borderId="57" xfId="0" applyFont="1" applyFill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3" fillId="5" borderId="52" xfId="0" applyFont="1" applyFill="1" applyBorder="1" applyAlignment="1">
      <alignment horizontal="center"/>
    </xf>
    <xf numFmtId="0" fontId="13" fillId="5" borderId="53" xfId="0" applyFont="1" applyFill="1" applyBorder="1" applyAlignment="1">
      <alignment horizontal="center"/>
    </xf>
    <xf numFmtId="0" fontId="13" fillId="0" borderId="60" xfId="0" applyFont="1" applyBorder="1" applyAlignment="1">
      <alignment horizontal="center" vertical="center"/>
    </xf>
    <xf numFmtId="0" fontId="13" fillId="5" borderId="18" xfId="0" applyFont="1" applyFill="1" applyBorder="1" applyAlignment="1">
      <alignment horizontal="center"/>
    </xf>
    <xf numFmtId="0" fontId="13" fillId="5" borderId="29" xfId="0" applyFont="1" applyFill="1" applyBorder="1" applyAlignment="1">
      <alignment horizontal="center"/>
    </xf>
    <xf numFmtId="0" fontId="13" fillId="5" borderId="30" xfId="0" applyFont="1" applyFill="1" applyBorder="1" applyAlignment="1">
      <alignment horizontal="center"/>
    </xf>
    <xf numFmtId="0" fontId="13" fillId="5" borderId="24" xfId="0" applyFont="1" applyFill="1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0" fontId="13" fillId="0" borderId="0" xfId="0" applyFont="1" applyAlignment="1">
      <alignment horizontal="left" wrapText="1"/>
    </xf>
    <xf numFmtId="0" fontId="43" fillId="0" borderId="0" xfId="7" applyFont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15" fillId="5" borderId="1" xfId="7" applyFont="1" applyFill="1" applyBorder="1" applyAlignment="1">
      <alignment horizontal="center"/>
    </xf>
    <xf numFmtId="0" fontId="15" fillId="5" borderId="12" xfId="7" applyFont="1" applyFill="1" applyBorder="1" applyAlignment="1">
      <alignment horizontal="center"/>
    </xf>
    <xf numFmtId="0" fontId="15" fillId="5" borderId="16" xfId="7" applyFont="1" applyFill="1" applyBorder="1" applyAlignment="1">
      <alignment horizontal="center"/>
    </xf>
    <xf numFmtId="0" fontId="14" fillId="5" borderId="18" xfId="7" applyFont="1" applyFill="1" applyBorder="1" applyAlignment="1">
      <alignment horizontal="center"/>
    </xf>
    <xf numFmtId="0" fontId="14" fillId="5" borderId="30" xfId="7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0" fontId="15" fillId="0" borderId="49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3" fillId="5" borderId="21" xfId="0" applyFont="1" applyFill="1" applyBorder="1" applyAlignment="1">
      <alignment horizontal="center"/>
    </xf>
    <xf numFmtId="0" fontId="13" fillId="5" borderId="32" xfId="0" applyFont="1" applyFill="1" applyBorder="1" applyAlignment="1">
      <alignment horizontal="center"/>
    </xf>
    <xf numFmtId="0" fontId="13" fillId="5" borderId="22" xfId="0" applyFont="1" applyFill="1" applyBorder="1" applyAlignment="1">
      <alignment horizontal="center"/>
    </xf>
    <xf numFmtId="0" fontId="13" fillId="5" borderId="23" xfId="0" applyFont="1" applyFill="1" applyBorder="1" applyAlignment="1">
      <alignment horizontal="center"/>
    </xf>
    <xf numFmtId="0" fontId="13" fillId="5" borderId="27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/>
    </xf>
  </cellXfs>
  <cellStyles count="17">
    <cellStyle name="Comma 2" xfId="8" xr:uid="{00000000-0005-0000-0000-000000000000}"/>
    <cellStyle name="Currency" xfId="1" builtinId="4"/>
    <cellStyle name="Followed Hyperlink" xfId="3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2" builtinId="8" hidden="1"/>
    <cellStyle name="Hyperlink" xfId="5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  <cellStyle name="Normal 2" xfId="7" xr:uid="{00000000-0005-0000-0000-00000D000000}"/>
    <cellStyle name="Normal 3" xfId="16" xr:uid="{00000000-0005-0000-0000-00000E000000}"/>
    <cellStyle name="Normal_Cascade Corp" xfId="13" xr:uid="{00000000-0005-0000-0000-00000F000000}"/>
    <cellStyle name="Percent" xfId="4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193D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 - ConocoPhilips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'Sales Growth - I'!$B$1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'Sales Growth - I'!$A$3:$A$11</c:f>
              <c:numCache>
                <c:formatCode>General</c:formatCode>
                <c:ptCount val="9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</c:numCache>
            </c:numRef>
          </c:xVal>
          <c:yVal>
            <c:numRef>
              <c:f>'Sales Growth - I'!$C$3:$C$11</c:f>
              <c:numCache>
                <c:formatCode>0.00%</c:formatCode>
                <c:ptCount val="9"/>
                <c:pt idx="0">
                  <c:v>3.1677832413021134E-2</c:v>
                </c:pt>
                <c:pt idx="1">
                  <c:v>0.26574976220468383</c:v>
                </c:pt>
                <c:pt idx="2">
                  <c:v>-0.38098642467767752</c:v>
                </c:pt>
                <c:pt idx="3">
                  <c:v>0.30359603648533362</c:v>
                </c:pt>
                <c:pt idx="4">
                  <c:v>0.26463466814326342</c:v>
                </c:pt>
                <c:pt idx="5">
                  <c:v>-0.75319433498125199</c:v>
                </c:pt>
                <c:pt idx="6">
                  <c:v>-6.0576736984710666E-2</c:v>
                </c:pt>
                <c:pt idx="7">
                  <c:v>-4.6885729982145352E-2</c:v>
                </c:pt>
                <c:pt idx="8">
                  <c:v>-0.44278329160437346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42-6642-93BF-003E6B771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37120"/>
        <c:axId val="87937024"/>
      </c:scatterChart>
      <c:valAx>
        <c:axId val="7403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7024"/>
        <c:crosses val="autoZero"/>
        <c:crossBetween val="midCat"/>
      </c:valAx>
      <c:valAx>
        <c:axId val="879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37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Oil &amp; Gas Production and Revenue Growth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97997581762951E-2"/>
          <c:y val="0.12070234113712401"/>
          <c:w val="0.89937208410746383"/>
          <c:h val="0.81909698996655489"/>
        </c:manualLayout>
      </c:layout>
      <c:scatterChart>
        <c:scatterStyle val="lineMarker"/>
        <c:varyColors val="0"/>
        <c:ser>
          <c:idx val="0"/>
          <c:order val="0"/>
          <c:tx>
            <c:v>Operating Revenue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'Sales Growth - II'!$A$6:$A$13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xVal>
          <c:yVal>
            <c:numRef>
              <c:f>'Sales Growth - II'!$D$6:$D$13</c:f>
              <c:numCache>
                <c:formatCode>0.00%</c:formatCode>
                <c:ptCount val="8"/>
                <c:pt idx="0">
                  <c:v>-6.0576736984710666E-2</c:v>
                </c:pt>
                <c:pt idx="1">
                  <c:v>-4.6885729982145352E-2</c:v>
                </c:pt>
                <c:pt idx="2">
                  <c:v>-0.44278329160437346</c:v>
                </c:pt>
                <c:pt idx="3">
                  <c:v>-0.28605251037340096</c:v>
                </c:pt>
                <c:pt idx="4">
                  <c:v>0.31777128159150281</c:v>
                </c:pt>
                <c:pt idx="5">
                  <c:v>0.17400423088488592</c:v>
                </c:pt>
                <c:pt idx="6">
                  <c:v>0.11277380392951741</c:v>
                </c:pt>
                <c:pt idx="7">
                  <c:v>8.2873844046949197E-2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8-E44D-9295-5928D22038C7}"/>
            </c:ext>
          </c:extLst>
        </c:ser>
        <c:ser>
          <c:idx val="1"/>
          <c:order val="1"/>
          <c:tx>
            <c:v>Oil &amp; Gas Revenues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'Sales Growth - II'!$A$6:$A$13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xVal>
          <c:yVal>
            <c:numRef>
              <c:f>'Sales Growth - II'!$E$6:$E$13</c:f>
              <c:numCache>
                <c:formatCode>0.00%</c:formatCode>
                <c:ptCount val="8"/>
                <c:pt idx="0">
                  <c:v>-5.736341965749614E-2</c:v>
                </c:pt>
                <c:pt idx="1">
                  <c:v>-3.474417425561549E-2</c:v>
                </c:pt>
                <c:pt idx="2">
                  <c:v>-0.44773020072563785</c:v>
                </c:pt>
                <c:pt idx="3">
                  <c:v>-0.28605251037340096</c:v>
                </c:pt>
                <c:pt idx="4">
                  <c:v>0.31777128159150281</c:v>
                </c:pt>
                <c:pt idx="5">
                  <c:v>0.17400423088488592</c:v>
                </c:pt>
                <c:pt idx="6">
                  <c:v>0.11277380392951741</c:v>
                </c:pt>
                <c:pt idx="7">
                  <c:v>8.2873844046949197E-2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28-E44D-9295-5928D2203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24928"/>
        <c:axId val="93274496"/>
      </c:scatterChart>
      <c:valAx>
        <c:axId val="9092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74496"/>
        <c:crosses val="autoZero"/>
        <c:crossBetween val="midCat"/>
      </c:valAx>
      <c:valAx>
        <c:axId val="932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2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WTI Crude Oil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'Energy Outlook'!$B$2</c:f>
              <c:strCache>
                <c:ptCount val="1"/>
                <c:pt idx="0">
                  <c:v>WTI Crude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Outlook'!$A$3:$A$183</c:f>
              <c:numCache>
                <c:formatCode>mmm\-yy</c:formatCode>
                <c:ptCount val="181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</c:numCache>
            </c:numRef>
          </c:xVal>
          <c:yVal>
            <c:numRef>
              <c:f>'Energy Outlook'!$B$3:$B$183</c:f>
              <c:numCache>
                <c:formatCode>_-"$"* #,##0.00_-;\-"$"* #,##0.00_-;_-"$"* "-"??_-;_-@_-</c:formatCode>
                <c:ptCount val="181"/>
                <c:pt idx="0">
                  <c:v>29.57</c:v>
                </c:pt>
                <c:pt idx="1">
                  <c:v>27.24</c:v>
                </c:pt>
                <c:pt idx="2">
                  <c:v>27.37</c:v>
                </c:pt>
                <c:pt idx="3">
                  <c:v>28.61</c:v>
                </c:pt>
                <c:pt idx="4">
                  <c:v>27.56</c:v>
                </c:pt>
                <c:pt idx="5">
                  <c:v>26.44</c:v>
                </c:pt>
                <c:pt idx="6">
                  <c:v>27.45</c:v>
                </c:pt>
                <c:pt idx="7">
                  <c:v>25.59</c:v>
                </c:pt>
                <c:pt idx="8">
                  <c:v>22.18</c:v>
                </c:pt>
                <c:pt idx="9">
                  <c:v>19.59</c:v>
                </c:pt>
                <c:pt idx="10">
                  <c:v>19.309999999999999</c:v>
                </c:pt>
                <c:pt idx="11">
                  <c:v>19.690000000000001</c:v>
                </c:pt>
                <c:pt idx="12">
                  <c:v>20.72</c:v>
                </c:pt>
                <c:pt idx="13">
                  <c:v>24.38</c:v>
                </c:pt>
                <c:pt idx="14">
                  <c:v>26.24</c:v>
                </c:pt>
                <c:pt idx="15">
                  <c:v>27.04</c:v>
                </c:pt>
                <c:pt idx="16">
                  <c:v>25.51</c:v>
                </c:pt>
                <c:pt idx="17">
                  <c:v>26.92</c:v>
                </c:pt>
                <c:pt idx="18">
                  <c:v>28.37</c:v>
                </c:pt>
                <c:pt idx="19">
                  <c:v>29.67</c:v>
                </c:pt>
                <c:pt idx="20">
                  <c:v>28.85</c:v>
                </c:pt>
                <c:pt idx="21">
                  <c:v>26.56</c:v>
                </c:pt>
                <c:pt idx="22">
                  <c:v>29.44</c:v>
                </c:pt>
                <c:pt idx="23">
                  <c:v>32.950000000000003</c:v>
                </c:pt>
                <c:pt idx="24">
                  <c:v>35.799999999999997</c:v>
                </c:pt>
                <c:pt idx="25">
                  <c:v>33.32</c:v>
                </c:pt>
                <c:pt idx="26">
                  <c:v>28.09</c:v>
                </c:pt>
                <c:pt idx="27">
                  <c:v>28.13</c:v>
                </c:pt>
                <c:pt idx="28">
                  <c:v>30.71</c:v>
                </c:pt>
                <c:pt idx="29">
                  <c:v>30.75</c:v>
                </c:pt>
                <c:pt idx="30">
                  <c:v>31.58</c:v>
                </c:pt>
                <c:pt idx="31">
                  <c:v>28.28</c:v>
                </c:pt>
                <c:pt idx="32">
                  <c:v>30.32</c:v>
                </c:pt>
                <c:pt idx="33">
                  <c:v>31.09</c:v>
                </c:pt>
                <c:pt idx="34">
                  <c:v>32.119999999999997</c:v>
                </c:pt>
                <c:pt idx="35">
                  <c:v>34.24</c:v>
                </c:pt>
                <c:pt idx="36">
                  <c:v>34.729999999999997</c:v>
                </c:pt>
                <c:pt idx="37">
                  <c:v>36.729999999999997</c:v>
                </c:pt>
                <c:pt idx="38">
                  <c:v>36.72</c:v>
                </c:pt>
                <c:pt idx="39">
                  <c:v>40.29</c:v>
                </c:pt>
                <c:pt idx="40">
                  <c:v>38.03</c:v>
                </c:pt>
                <c:pt idx="41">
                  <c:v>40.82</c:v>
                </c:pt>
                <c:pt idx="42">
                  <c:v>44.92</c:v>
                </c:pt>
                <c:pt idx="43">
                  <c:v>45.93</c:v>
                </c:pt>
                <c:pt idx="44">
                  <c:v>53.25</c:v>
                </c:pt>
                <c:pt idx="45">
                  <c:v>48.45</c:v>
                </c:pt>
                <c:pt idx="46">
                  <c:v>43.23</c:v>
                </c:pt>
                <c:pt idx="47">
                  <c:v>46.82</c:v>
                </c:pt>
                <c:pt idx="48">
                  <c:v>47.96</c:v>
                </c:pt>
                <c:pt idx="49">
                  <c:v>54.17</c:v>
                </c:pt>
                <c:pt idx="50">
                  <c:v>52.96</c:v>
                </c:pt>
                <c:pt idx="51">
                  <c:v>49.81</c:v>
                </c:pt>
                <c:pt idx="52">
                  <c:v>56.39</c:v>
                </c:pt>
                <c:pt idx="53">
                  <c:v>58.67</c:v>
                </c:pt>
                <c:pt idx="54">
                  <c:v>64.959999999999994</c:v>
                </c:pt>
                <c:pt idx="55">
                  <c:v>65.540000000000006</c:v>
                </c:pt>
                <c:pt idx="56">
                  <c:v>62.36</c:v>
                </c:pt>
                <c:pt idx="57">
                  <c:v>58.28</c:v>
                </c:pt>
                <c:pt idx="58">
                  <c:v>59.41</c:v>
                </c:pt>
                <c:pt idx="59">
                  <c:v>65.48</c:v>
                </c:pt>
                <c:pt idx="60">
                  <c:v>61.62</c:v>
                </c:pt>
                <c:pt idx="61">
                  <c:v>62.89</c:v>
                </c:pt>
                <c:pt idx="62">
                  <c:v>69.540000000000006</c:v>
                </c:pt>
                <c:pt idx="63">
                  <c:v>70.930000000000007</c:v>
                </c:pt>
                <c:pt idx="64">
                  <c:v>70.930000000000007</c:v>
                </c:pt>
                <c:pt idx="65">
                  <c:v>74.400000000000006</c:v>
                </c:pt>
                <c:pt idx="66">
                  <c:v>73.040000000000006</c:v>
                </c:pt>
                <c:pt idx="67">
                  <c:v>63.82</c:v>
                </c:pt>
                <c:pt idx="68">
                  <c:v>58.85</c:v>
                </c:pt>
                <c:pt idx="69">
                  <c:v>59.13</c:v>
                </c:pt>
                <c:pt idx="70">
                  <c:v>62</c:v>
                </c:pt>
                <c:pt idx="71">
                  <c:v>54.24</c:v>
                </c:pt>
                <c:pt idx="72">
                  <c:v>59.25</c:v>
                </c:pt>
                <c:pt idx="73">
                  <c:v>60.6</c:v>
                </c:pt>
                <c:pt idx="74">
                  <c:v>63.94</c:v>
                </c:pt>
                <c:pt idx="75">
                  <c:v>63.45</c:v>
                </c:pt>
                <c:pt idx="76">
                  <c:v>67.489999999999995</c:v>
                </c:pt>
                <c:pt idx="77">
                  <c:v>74.14</c:v>
                </c:pt>
                <c:pt idx="78">
                  <c:v>72.38</c:v>
                </c:pt>
                <c:pt idx="79">
                  <c:v>79.91</c:v>
                </c:pt>
                <c:pt idx="80">
                  <c:v>85.9</c:v>
                </c:pt>
                <c:pt idx="81">
                  <c:v>94.76</c:v>
                </c:pt>
                <c:pt idx="82">
                  <c:v>91.36</c:v>
                </c:pt>
                <c:pt idx="83">
                  <c:v>92.98</c:v>
                </c:pt>
                <c:pt idx="84">
                  <c:v>95.38</c:v>
                </c:pt>
                <c:pt idx="85">
                  <c:v>105.47</c:v>
                </c:pt>
                <c:pt idx="86">
                  <c:v>112.62</c:v>
                </c:pt>
                <c:pt idx="87">
                  <c:v>125.37</c:v>
                </c:pt>
                <c:pt idx="88">
                  <c:v>133.93</c:v>
                </c:pt>
                <c:pt idx="89">
                  <c:v>133.38</c:v>
                </c:pt>
                <c:pt idx="90">
                  <c:v>116.64</c:v>
                </c:pt>
                <c:pt idx="91">
                  <c:v>103.94</c:v>
                </c:pt>
                <c:pt idx="92">
                  <c:v>76.61</c:v>
                </c:pt>
                <c:pt idx="93">
                  <c:v>57.29</c:v>
                </c:pt>
                <c:pt idx="94">
                  <c:v>41.44</c:v>
                </c:pt>
                <c:pt idx="95">
                  <c:v>41.74</c:v>
                </c:pt>
                <c:pt idx="96">
                  <c:v>39.15</c:v>
                </c:pt>
                <c:pt idx="97">
                  <c:v>47.98</c:v>
                </c:pt>
                <c:pt idx="98">
                  <c:v>49.81</c:v>
                </c:pt>
                <c:pt idx="99">
                  <c:v>59.12</c:v>
                </c:pt>
                <c:pt idx="100">
                  <c:v>69.58</c:v>
                </c:pt>
                <c:pt idx="101">
                  <c:v>64.14</c:v>
                </c:pt>
                <c:pt idx="102">
                  <c:v>71.06</c:v>
                </c:pt>
                <c:pt idx="103">
                  <c:v>69.44</c:v>
                </c:pt>
                <c:pt idx="104">
                  <c:v>75.77</c:v>
                </c:pt>
                <c:pt idx="105">
                  <c:v>78</c:v>
                </c:pt>
                <c:pt idx="106">
                  <c:v>74.489999999999995</c:v>
                </c:pt>
                <c:pt idx="107">
                  <c:v>78.34</c:v>
                </c:pt>
                <c:pt idx="108">
                  <c:v>76.3</c:v>
                </c:pt>
                <c:pt idx="109">
                  <c:v>81.25</c:v>
                </c:pt>
                <c:pt idx="110">
                  <c:v>84.5</c:v>
                </c:pt>
                <c:pt idx="111">
                  <c:v>73.739999999999995</c:v>
                </c:pt>
                <c:pt idx="112">
                  <c:v>75.349999999999994</c:v>
                </c:pt>
                <c:pt idx="113">
                  <c:v>76.16</c:v>
                </c:pt>
                <c:pt idx="114">
                  <c:v>76.599999999999994</c:v>
                </c:pt>
                <c:pt idx="115">
                  <c:v>75.260000000000005</c:v>
                </c:pt>
                <c:pt idx="116">
                  <c:v>81.900000000000006</c:v>
                </c:pt>
                <c:pt idx="117">
                  <c:v>84.19</c:v>
                </c:pt>
                <c:pt idx="118">
                  <c:v>89.22</c:v>
                </c:pt>
                <c:pt idx="119">
                  <c:v>89.51</c:v>
                </c:pt>
                <c:pt idx="120">
                  <c:v>89.37</c:v>
                </c:pt>
                <c:pt idx="121">
                  <c:v>102.92</c:v>
                </c:pt>
                <c:pt idx="122">
                  <c:v>110.04</c:v>
                </c:pt>
                <c:pt idx="123">
                  <c:v>101.25</c:v>
                </c:pt>
                <c:pt idx="124">
                  <c:v>96.25</c:v>
                </c:pt>
                <c:pt idx="125">
                  <c:v>97.19</c:v>
                </c:pt>
                <c:pt idx="126">
                  <c:v>86.32</c:v>
                </c:pt>
                <c:pt idx="127">
                  <c:v>85.62</c:v>
                </c:pt>
                <c:pt idx="128">
                  <c:v>86.41</c:v>
                </c:pt>
                <c:pt idx="129">
                  <c:v>97.07</c:v>
                </c:pt>
                <c:pt idx="130">
                  <c:v>98.61</c:v>
                </c:pt>
                <c:pt idx="131">
                  <c:v>100.15</c:v>
                </c:pt>
                <c:pt idx="132">
                  <c:v>102.26</c:v>
                </c:pt>
                <c:pt idx="133">
                  <c:v>106.15</c:v>
                </c:pt>
                <c:pt idx="134">
                  <c:v>103.28</c:v>
                </c:pt>
                <c:pt idx="135">
                  <c:v>94.51</c:v>
                </c:pt>
                <c:pt idx="136">
                  <c:v>82.36</c:v>
                </c:pt>
                <c:pt idx="137">
                  <c:v>87.89</c:v>
                </c:pt>
                <c:pt idx="138">
                  <c:v>94.11</c:v>
                </c:pt>
                <c:pt idx="139">
                  <c:v>94.61</c:v>
                </c:pt>
                <c:pt idx="140">
                  <c:v>89.52</c:v>
                </c:pt>
                <c:pt idx="141">
                  <c:v>86.69</c:v>
                </c:pt>
                <c:pt idx="142">
                  <c:v>88.19</c:v>
                </c:pt>
                <c:pt idx="143">
                  <c:v>94.65</c:v>
                </c:pt>
                <c:pt idx="144">
                  <c:v>95.3</c:v>
                </c:pt>
                <c:pt idx="145">
                  <c:v>93.12</c:v>
                </c:pt>
                <c:pt idx="146">
                  <c:v>92.02</c:v>
                </c:pt>
                <c:pt idx="147">
                  <c:v>94.72</c:v>
                </c:pt>
                <c:pt idx="148">
                  <c:v>95.79</c:v>
                </c:pt>
                <c:pt idx="149">
                  <c:v>104.55</c:v>
                </c:pt>
                <c:pt idx="150">
                  <c:v>106.55</c:v>
                </c:pt>
                <c:pt idx="151">
                  <c:v>106.31</c:v>
                </c:pt>
                <c:pt idx="152">
                  <c:v>100.5</c:v>
                </c:pt>
                <c:pt idx="153">
                  <c:v>93.81</c:v>
                </c:pt>
                <c:pt idx="154">
                  <c:v>97.9</c:v>
                </c:pt>
                <c:pt idx="155">
                  <c:v>95</c:v>
                </c:pt>
                <c:pt idx="156">
                  <c:v>100.7</c:v>
                </c:pt>
                <c:pt idx="157">
                  <c:v>100.57</c:v>
                </c:pt>
                <c:pt idx="158">
                  <c:v>102.18</c:v>
                </c:pt>
                <c:pt idx="159">
                  <c:v>102</c:v>
                </c:pt>
                <c:pt idx="160">
                  <c:v>105.24</c:v>
                </c:pt>
                <c:pt idx="161">
                  <c:v>102.99</c:v>
                </c:pt>
                <c:pt idx="162">
                  <c:v>96.38</c:v>
                </c:pt>
                <c:pt idx="163">
                  <c:v>93.35</c:v>
                </c:pt>
                <c:pt idx="164">
                  <c:v>84.4</c:v>
                </c:pt>
                <c:pt idx="165">
                  <c:v>75.7</c:v>
                </c:pt>
                <c:pt idx="166">
                  <c:v>59.1</c:v>
                </c:pt>
                <c:pt idx="167">
                  <c:v>47.6</c:v>
                </c:pt>
                <c:pt idx="168">
                  <c:v>50.72</c:v>
                </c:pt>
                <c:pt idx="169">
                  <c:v>47.78</c:v>
                </c:pt>
                <c:pt idx="170">
                  <c:v>54.2</c:v>
                </c:pt>
                <c:pt idx="171">
                  <c:v>59.26</c:v>
                </c:pt>
                <c:pt idx="172">
                  <c:v>59.8</c:v>
                </c:pt>
                <c:pt idx="173">
                  <c:v>51.16</c:v>
                </c:pt>
                <c:pt idx="174">
                  <c:v>42.86</c:v>
                </c:pt>
                <c:pt idx="175">
                  <c:v>45.48</c:v>
                </c:pt>
                <c:pt idx="176">
                  <c:v>46.2</c:v>
                </c:pt>
                <c:pt idx="177">
                  <c:v>42.65</c:v>
                </c:pt>
                <c:pt idx="178">
                  <c:v>37.24</c:v>
                </c:pt>
                <c:pt idx="179">
                  <c:v>31.7</c:v>
                </c:pt>
                <c:pt idx="180">
                  <c:v>30.35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13-F844-8F2D-331900463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56416"/>
        <c:axId val="93358720"/>
      </c:scatterChart>
      <c:valAx>
        <c:axId val="93356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8720"/>
        <c:crosses val="autoZero"/>
        <c:crossBetween val="midCat"/>
      </c:valAx>
      <c:valAx>
        <c:axId val="9335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Dollars</a:t>
                </a:r>
                <a:r>
                  <a:rPr lang="en-US" baseline="0"/>
                  <a:t> per Barrel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56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'Energy Outlook'!$E$2</c:f>
              <c:strCache>
                <c:ptCount val="1"/>
                <c:pt idx="0">
                  <c:v>Dated Brent Crude Oil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Outlook'!$D$3:$D$183</c:f>
              <c:numCache>
                <c:formatCode>mmm\-yy</c:formatCode>
                <c:ptCount val="181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</c:numCache>
            </c:numRef>
          </c:xVal>
          <c:yVal>
            <c:numRef>
              <c:f>'Energy Outlook'!$E$3:$E$183</c:f>
              <c:numCache>
                <c:formatCode>_-"$"* #,##0.00_-;\-"$"* #,##0.00_-;_-"$"* "-"??_-;_-@_-</c:formatCode>
                <c:ptCount val="181"/>
                <c:pt idx="0">
                  <c:v>27.41</c:v>
                </c:pt>
                <c:pt idx="1">
                  <c:v>24.4</c:v>
                </c:pt>
                <c:pt idx="2">
                  <c:v>25.55</c:v>
                </c:pt>
                <c:pt idx="3">
                  <c:v>28.45</c:v>
                </c:pt>
                <c:pt idx="4">
                  <c:v>27.72</c:v>
                </c:pt>
                <c:pt idx="5">
                  <c:v>24.54</c:v>
                </c:pt>
                <c:pt idx="6">
                  <c:v>25.67</c:v>
                </c:pt>
                <c:pt idx="7">
                  <c:v>25.54</c:v>
                </c:pt>
                <c:pt idx="8">
                  <c:v>20.48</c:v>
                </c:pt>
                <c:pt idx="9">
                  <c:v>18.940000000000001</c:v>
                </c:pt>
                <c:pt idx="10">
                  <c:v>18.600000000000001</c:v>
                </c:pt>
                <c:pt idx="11">
                  <c:v>19.48</c:v>
                </c:pt>
                <c:pt idx="12">
                  <c:v>20.29</c:v>
                </c:pt>
                <c:pt idx="13">
                  <c:v>23.69</c:v>
                </c:pt>
                <c:pt idx="14">
                  <c:v>25.65</c:v>
                </c:pt>
                <c:pt idx="15">
                  <c:v>25.43</c:v>
                </c:pt>
                <c:pt idx="16">
                  <c:v>24.13</c:v>
                </c:pt>
                <c:pt idx="17">
                  <c:v>25.77</c:v>
                </c:pt>
                <c:pt idx="18">
                  <c:v>26.63</c:v>
                </c:pt>
                <c:pt idx="19">
                  <c:v>28.34</c:v>
                </c:pt>
                <c:pt idx="20">
                  <c:v>27.55</c:v>
                </c:pt>
                <c:pt idx="21">
                  <c:v>24.5</c:v>
                </c:pt>
                <c:pt idx="22">
                  <c:v>28.52</c:v>
                </c:pt>
                <c:pt idx="23">
                  <c:v>31.29</c:v>
                </c:pt>
                <c:pt idx="24">
                  <c:v>32.65</c:v>
                </c:pt>
                <c:pt idx="25">
                  <c:v>30.34</c:v>
                </c:pt>
                <c:pt idx="26">
                  <c:v>25.02</c:v>
                </c:pt>
                <c:pt idx="27">
                  <c:v>25.81</c:v>
                </c:pt>
                <c:pt idx="28">
                  <c:v>27.55</c:v>
                </c:pt>
                <c:pt idx="29">
                  <c:v>28.4</c:v>
                </c:pt>
                <c:pt idx="30">
                  <c:v>29.83</c:v>
                </c:pt>
                <c:pt idx="31">
                  <c:v>27.1</c:v>
                </c:pt>
                <c:pt idx="32">
                  <c:v>29.59</c:v>
                </c:pt>
                <c:pt idx="33">
                  <c:v>28.77</c:v>
                </c:pt>
                <c:pt idx="34">
                  <c:v>29.88</c:v>
                </c:pt>
                <c:pt idx="35">
                  <c:v>31.18</c:v>
                </c:pt>
                <c:pt idx="36">
                  <c:v>30.87</c:v>
                </c:pt>
                <c:pt idx="37">
                  <c:v>33.799999999999997</c:v>
                </c:pt>
                <c:pt idx="38">
                  <c:v>33.36</c:v>
                </c:pt>
                <c:pt idx="39">
                  <c:v>37.92</c:v>
                </c:pt>
                <c:pt idx="40">
                  <c:v>35.19</c:v>
                </c:pt>
                <c:pt idx="41">
                  <c:v>38.369999999999997</c:v>
                </c:pt>
                <c:pt idx="42">
                  <c:v>43.03</c:v>
                </c:pt>
                <c:pt idx="43">
                  <c:v>43.38</c:v>
                </c:pt>
                <c:pt idx="44">
                  <c:v>49.77</c:v>
                </c:pt>
                <c:pt idx="45">
                  <c:v>43.05</c:v>
                </c:pt>
                <c:pt idx="46">
                  <c:v>39.65</c:v>
                </c:pt>
                <c:pt idx="47">
                  <c:v>44.28</c:v>
                </c:pt>
                <c:pt idx="48">
                  <c:v>45.56</c:v>
                </c:pt>
                <c:pt idx="49">
                  <c:v>53.08</c:v>
                </c:pt>
                <c:pt idx="50">
                  <c:v>51.86</c:v>
                </c:pt>
                <c:pt idx="51">
                  <c:v>48.67</c:v>
                </c:pt>
                <c:pt idx="52">
                  <c:v>54.31</c:v>
                </c:pt>
                <c:pt idx="53">
                  <c:v>57.58</c:v>
                </c:pt>
                <c:pt idx="54">
                  <c:v>64.09</c:v>
                </c:pt>
                <c:pt idx="55">
                  <c:v>62.98</c:v>
                </c:pt>
                <c:pt idx="56">
                  <c:v>58.52</c:v>
                </c:pt>
                <c:pt idx="57">
                  <c:v>55.53</c:v>
                </c:pt>
                <c:pt idx="58">
                  <c:v>56.75</c:v>
                </c:pt>
                <c:pt idx="59">
                  <c:v>63.57</c:v>
                </c:pt>
                <c:pt idx="60">
                  <c:v>59.92</c:v>
                </c:pt>
                <c:pt idx="61">
                  <c:v>62.25</c:v>
                </c:pt>
                <c:pt idx="62">
                  <c:v>70.44</c:v>
                </c:pt>
                <c:pt idx="63">
                  <c:v>70.19</c:v>
                </c:pt>
                <c:pt idx="64">
                  <c:v>68.86</c:v>
                </c:pt>
                <c:pt idx="65">
                  <c:v>73.900000000000006</c:v>
                </c:pt>
                <c:pt idx="66">
                  <c:v>73.61</c:v>
                </c:pt>
                <c:pt idx="67">
                  <c:v>62.77</c:v>
                </c:pt>
                <c:pt idx="68">
                  <c:v>58.38</c:v>
                </c:pt>
                <c:pt idx="69">
                  <c:v>58.48</c:v>
                </c:pt>
                <c:pt idx="70">
                  <c:v>62.31</c:v>
                </c:pt>
                <c:pt idx="71">
                  <c:v>54.3</c:v>
                </c:pt>
                <c:pt idx="72">
                  <c:v>57.76</c:v>
                </c:pt>
                <c:pt idx="73">
                  <c:v>62.14</c:v>
                </c:pt>
                <c:pt idx="74">
                  <c:v>67.400000000000006</c:v>
                </c:pt>
                <c:pt idx="75">
                  <c:v>67.48</c:v>
                </c:pt>
                <c:pt idx="76">
                  <c:v>71.319999999999993</c:v>
                </c:pt>
                <c:pt idx="77">
                  <c:v>77.2</c:v>
                </c:pt>
                <c:pt idx="78">
                  <c:v>70.8</c:v>
                </c:pt>
                <c:pt idx="79">
                  <c:v>77.13</c:v>
                </c:pt>
                <c:pt idx="80">
                  <c:v>83.04</c:v>
                </c:pt>
                <c:pt idx="81">
                  <c:v>92.53</c:v>
                </c:pt>
                <c:pt idx="82">
                  <c:v>91.45</c:v>
                </c:pt>
                <c:pt idx="83">
                  <c:v>91.92</c:v>
                </c:pt>
                <c:pt idx="84">
                  <c:v>94.82</c:v>
                </c:pt>
                <c:pt idx="85">
                  <c:v>103.28</c:v>
                </c:pt>
                <c:pt idx="86">
                  <c:v>110.44</c:v>
                </c:pt>
                <c:pt idx="87">
                  <c:v>123.94</c:v>
                </c:pt>
                <c:pt idx="88">
                  <c:v>133.05000000000001</c:v>
                </c:pt>
                <c:pt idx="89">
                  <c:v>133.9</c:v>
                </c:pt>
                <c:pt idx="90">
                  <c:v>113.85</c:v>
                </c:pt>
                <c:pt idx="91">
                  <c:v>99.06</c:v>
                </c:pt>
                <c:pt idx="92">
                  <c:v>72.84</c:v>
                </c:pt>
                <c:pt idx="93">
                  <c:v>53.24</c:v>
                </c:pt>
                <c:pt idx="94">
                  <c:v>41.58</c:v>
                </c:pt>
                <c:pt idx="95">
                  <c:v>44.86</c:v>
                </c:pt>
                <c:pt idx="96">
                  <c:v>43.24</c:v>
                </c:pt>
                <c:pt idx="97">
                  <c:v>46.84</c:v>
                </c:pt>
                <c:pt idx="98">
                  <c:v>50.85</c:v>
                </c:pt>
                <c:pt idx="99">
                  <c:v>57.94</c:v>
                </c:pt>
                <c:pt idx="100">
                  <c:v>68.59</c:v>
                </c:pt>
                <c:pt idx="101">
                  <c:v>64.92</c:v>
                </c:pt>
                <c:pt idx="102">
                  <c:v>72.5</c:v>
                </c:pt>
                <c:pt idx="103">
                  <c:v>67.69</c:v>
                </c:pt>
                <c:pt idx="104">
                  <c:v>73.19</c:v>
                </c:pt>
                <c:pt idx="105">
                  <c:v>77.040000000000006</c:v>
                </c:pt>
                <c:pt idx="106">
                  <c:v>74.67</c:v>
                </c:pt>
                <c:pt idx="107">
                  <c:v>76.37</c:v>
                </c:pt>
                <c:pt idx="108">
                  <c:v>74.31</c:v>
                </c:pt>
                <c:pt idx="109">
                  <c:v>79.27</c:v>
                </c:pt>
                <c:pt idx="110">
                  <c:v>84.93</c:v>
                </c:pt>
                <c:pt idx="111">
                  <c:v>76.25</c:v>
                </c:pt>
                <c:pt idx="112">
                  <c:v>74.84</c:v>
                </c:pt>
                <c:pt idx="113">
                  <c:v>74.739999999999995</c:v>
                </c:pt>
                <c:pt idx="114">
                  <c:v>76.69</c:v>
                </c:pt>
                <c:pt idx="115">
                  <c:v>77.790000000000006</c:v>
                </c:pt>
                <c:pt idx="116">
                  <c:v>82.92</c:v>
                </c:pt>
                <c:pt idx="117">
                  <c:v>85.67</c:v>
                </c:pt>
                <c:pt idx="118">
                  <c:v>91.8</c:v>
                </c:pt>
                <c:pt idx="119">
                  <c:v>96.29</c:v>
                </c:pt>
                <c:pt idx="120">
                  <c:v>103.96</c:v>
                </c:pt>
                <c:pt idx="121">
                  <c:v>114.44</c:v>
                </c:pt>
                <c:pt idx="122">
                  <c:v>123.15</c:v>
                </c:pt>
                <c:pt idx="123">
                  <c:v>114.46</c:v>
                </c:pt>
                <c:pt idx="124">
                  <c:v>113.76</c:v>
                </c:pt>
                <c:pt idx="125">
                  <c:v>116.46</c:v>
                </c:pt>
                <c:pt idx="126">
                  <c:v>110.08</c:v>
                </c:pt>
                <c:pt idx="127">
                  <c:v>110.88</c:v>
                </c:pt>
                <c:pt idx="128">
                  <c:v>109.47</c:v>
                </c:pt>
                <c:pt idx="129">
                  <c:v>110.5</c:v>
                </c:pt>
                <c:pt idx="130">
                  <c:v>107.97</c:v>
                </c:pt>
                <c:pt idx="131">
                  <c:v>110.99</c:v>
                </c:pt>
                <c:pt idx="132">
                  <c:v>119.7</c:v>
                </c:pt>
                <c:pt idx="133">
                  <c:v>124.93</c:v>
                </c:pt>
                <c:pt idx="134">
                  <c:v>120.59</c:v>
                </c:pt>
                <c:pt idx="135">
                  <c:v>110.52</c:v>
                </c:pt>
                <c:pt idx="136">
                  <c:v>95.59</c:v>
                </c:pt>
                <c:pt idx="137">
                  <c:v>103.14</c:v>
                </c:pt>
                <c:pt idx="138">
                  <c:v>113.34</c:v>
                </c:pt>
                <c:pt idx="139">
                  <c:v>113.38</c:v>
                </c:pt>
                <c:pt idx="140">
                  <c:v>111.97</c:v>
                </c:pt>
                <c:pt idx="141">
                  <c:v>109.71</c:v>
                </c:pt>
                <c:pt idx="142">
                  <c:v>109.64</c:v>
                </c:pt>
                <c:pt idx="143">
                  <c:v>112.93</c:v>
                </c:pt>
                <c:pt idx="144">
                  <c:v>116.46</c:v>
                </c:pt>
                <c:pt idx="145">
                  <c:v>109.24</c:v>
                </c:pt>
                <c:pt idx="146">
                  <c:v>102.88</c:v>
                </c:pt>
                <c:pt idx="147">
                  <c:v>103.03</c:v>
                </c:pt>
                <c:pt idx="148">
                  <c:v>103.11</c:v>
                </c:pt>
                <c:pt idx="149">
                  <c:v>107.72</c:v>
                </c:pt>
                <c:pt idx="150">
                  <c:v>110.96</c:v>
                </c:pt>
                <c:pt idx="151">
                  <c:v>111.62</c:v>
                </c:pt>
                <c:pt idx="152">
                  <c:v>109.48</c:v>
                </c:pt>
                <c:pt idx="153">
                  <c:v>108.08</c:v>
                </c:pt>
                <c:pt idx="154">
                  <c:v>110.63</c:v>
                </c:pt>
                <c:pt idx="155">
                  <c:v>107.57</c:v>
                </c:pt>
                <c:pt idx="156">
                  <c:v>108.81</c:v>
                </c:pt>
                <c:pt idx="157">
                  <c:v>107.41</c:v>
                </c:pt>
                <c:pt idx="158">
                  <c:v>107.88</c:v>
                </c:pt>
                <c:pt idx="159">
                  <c:v>109.68</c:v>
                </c:pt>
                <c:pt idx="160">
                  <c:v>111.87</c:v>
                </c:pt>
                <c:pt idx="161">
                  <c:v>106.98</c:v>
                </c:pt>
                <c:pt idx="162">
                  <c:v>101.92</c:v>
                </c:pt>
                <c:pt idx="163">
                  <c:v>97.34</c:v>
                </c:pt>
                <c:pt idx="164">
                  <c:v>87.27</c:v>
                </c:pt>
                <c:pt idx="165">
                  <c:v>78.44</c:v>
                </c:pt>
                <c:pt idx="166">
                  <c:v>62.16</c:v>
                </c:pt>
                <c:pt idx="167">
                  <c:v>48.42</c:v>
                </c:pt>
                <c:pt idx="168">
                  <c:v>57.93</c:v>
                </c:pt>
                <c:pt idx="169">
                  <c:v>55.79</c:v>
                </c:pt>
                <c:pt idx="170">
                  <c:v>59.39</c:v>
                </c:pt>
                <c:pt idx="171">
                  <c:v>64.56</c:v>
                </c:pt>
                <c:pt idx="172">
                  <c:v>62.35</c:v>
                </c:pt>
                <c:pt idx="173">
                  <c:v>55.87</c:v>
                </c:pt>
                <c:pt idx="174">
                  <c:v>46.99</c:v>
                </c:pt>
                <c:pt idx="175">
                  <c:v>47.23</c:v>
                </c:pt>
                <c:pt idx="176">
                  <c:v>48.12</c:v>
                </c:pt>
                <c:pt idx="177">
                  <c:v>44.42</c:v>
                </c:pt>
                <c:pt idx="178">
                  <c:v>37.72</c:v>
                </c:pt>
                <c:pt idx="179">
                  <c:v>30.8</c:v>
                </c:pt>
                <c:pt idx="180">
                  <c:v>33.200000000000003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EF-204F-83C7-8C2CDF325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56640"/>
        <c:axId val="161493760"/>
      </c:scatterChart>
      <c:valAx>
        <c:axId val="15185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93760"/>
        <c:crosses val="autoZero"/>
        <c:crossBetween val="midCat"/>
      </c:valAx>
      <c:valAx>
        <c:axId val="16149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Dollars</a:t>
                </a:r>
                <a:r>
                  <a:rPr lang="en-US" baseline="0"/>
                  <a:t> per Barrel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5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'Energy Outlook'!$H$2</c:f>
              <c:strCache>
                <c:ptCount val="1"/>
                <c:pt idx="0">
                  <c:v>Natural Gas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'Energy Outlook'!$G$3:$G$183</c:f>
              <c:numCache>
                <c:formatCode>mmm\-yy</c:formatCode>
                <c:ptCount val="181"/>
                <c:pt idx="0">
                  <c:v>36923</c:v>
                </c:pt>
                <c:pt idx="1">
                  <c:v>36951</c:v>
                </c:pt>
                <c:pt idx="2">
                  <c:v>36982</c:v>
                </c:pt>
                <c:pt idx="3">
                  <c:v>37012</c:v>
                </c:pt>
                <c:pt idx="4">
                  <c:v>37043</c:v>
                </c:pt>
                <c:pt idx="5">
                  <c:v>37073</c:v>
                </c:pt>
                <c:pt idx="6">
                  <c:v>37104</c:v>
                </c:pt>
                <c:pt idx="7">
                  <c:v>37135</c:v>
                </c:pt>
                <c:pt idx="8">
                  <c:v>37165</c:v>
                </c:pt>
                <c:pt idx="9">
                  <c:v>37196</c:v>
                </c:pt>
                <c:pt idx="10">
                  <c:v>37226</c:v>
                </c:pt>
                <c:pt idx="11">
                  <c:v>37257</c:v>
                </c:pt>
                <c:pt idx="12">
                  <c:v>37288</c:v>
                </c:pt>
                <c:pt idx="13">
                  <c:v>37316</c:v>
                </c:pt>
                <c:pt idx="14">
                  <c:v>37347</c:v>
                </c:pt>
                <c:pt idx="15">
                  <c:v>37377</c:v>
                </c:pt>
                <c:pt idx="16">
                  <c:v>37408</c:v>
                </c:pt>
                <c:pt idx="17">
                  <c:v>37438</c:v>
                </c:pt>
                <c:pt idx="18">
                  <c:v>37469</c:v>
                </c:pt>
                <c:pt idx="19">
                  <c:v>37500</c:v>
                </c:pt>
                <c:pt idx="20">
                  <c:v>37530</c:v>
                </c:pt>
                <c:pt idx="21">
                  <c:v>37561</c:v>
                </c:pt>
                <c:pt idx="22">
                  <c:v>37591</c:v>
                </c:pt>
                <c:pt idx="23">
                  <c:v>37622</c:v>
                </c:pt>
                <c:pt idx="24">
                  <c:v>37653</c:v>
                </c:pt>
                <c:pt idx="25">
                  <c:v>37681</c:v>
                </c:pt>
                <c:pt idx="26">
                  <c:v>37712</c:v>
                </c:pt>
                <c:pt idx="27">
                  <c:v>37742</c:v>
                </c:pt>
                <c:pt idx="28">
                  <c:v>37773</c:v>
                </c:pt>
                <c:pt idx="29">
                  <c:v>37803</c:v>
                </c:pt>
                <c:pt idx="30">
                  <c:v>37834</c:v>
                </c:pt>
                <c:pt idx="31">
                  <c:v>37865</c:v>
                </c:pt>
                <c:pt idx="32">
                  <c:v>37895</c:v>
                </c:pt>
                <c:pt idx="33">
                  <c:v>37926</c:v>
                </c:pt>
                <c:pt idx="34">
                  <c:v>37956</c:v>
                </c:pt>
                <c:pt idx="35">
                  <c:v>37987</c:v>
                </c:pt>
                <c:pt idx="36">
                  <c:v>38018</c:v>
                </c:pt>
                <c:pt idx="37">
                  <c:v>38047</c:v>
                </c:pt>
                <c:pt idx="38">
                  <c:v>38078</c:v>
                </c:pt>
                <c:pt idx="39">
                  <c:v>38108</c:v>
                </c:pt>
                <c:pt idx="40">
                  <c:v>38139</c:v>
                </c:pt>
                <c:pt idx="41">
                  <c:v>38169</c:v>
                </c:pt>
                <c:pt idx="42">
                  <c:v>38200</c:v>
                </c:pt>
                <c:pt idx="43">
                  <c:v>38231</c:v>
                </c:pt>
                <c:pt idx="44">
                  <c:v>38261</c:v>
                </c:pt>
                <c:pt idx="45">
                  <c:v>38292</c:v>
                </c:pt>
                <c:pt idx="46">
                  <c:v>38322</c:v>
                </c:pt>
                <c:pt idx="47">
                  <c:v>38353</c:v>
                </c:pt>
                <c:pt idx="48">
                  <c:v>38384</c:v>
                </c:pt>
                <c:pt idx="49">
                  <c:v>38412</c:v>
                </c:pt>
                <c:pt idx="50">
                  <c:v>38443</c:v>
                </c:pt>
                <c:pt idx="51">
                  <c:v>38473</c:v>
                </c:pt>
                <c:pt idx="52">
                  <c:v>38504</c:v>
                </c:pt>
                <c:pt idx="53">
                  <c:v>38534</c:v>
                </c:pt>
                <c:pt idx="54">
                  <c:v>38565</c:v>
                </c:pt>
                <c:pt idx="55">
                  <c:v>38596</c:v>
                </c:pt>
                <c:pt idx="56">
                  <c:v>38626</c:v>
                </c:pt>
                <c:pt idx="57">
                  <c:v>38657</c:v>
                </c:pt>
                <c:pt idx="58">
                  <c:v>38687</c:v>
                </c:pt>
                <c:pt idx="59">
                  <c:v>38718</c:v>
                </c:pt>
                <c:pt idx="60">
                  <c:v>38749</c:v>
                </c:pt>
                <c:pt idx="61">
                  <c:v>38777</c:v>
                </c:pt>
                <c:pt idx="62">
                  <c:v>38808</c:v>
                </c:pt>
                <c:pt idx="63">
                  <c:v>38838</c:v>
                </c:pt>
                <c:pt idx="64">
                  <c:v>38869</c:v>
                </c:pt>
                <c:pt idx="65">
                  <c:v>38899</c:v>
                </c:pt>
                <c:pt idx="66">
                  <c:v>38930</c:v>
                </c:pt>
                <c:pt idx="67">
                  <c:v>38961</c:v>
                </c:pt>
                <c:pt idx="68">
                  <c:v>38991</c:v>
                </c:pt>
                <c:pt idx="69">
                  <c:v>39022</c:v>
                </c:pt>
                <c:pt idx="70">
                  <c:v>39052</c:v>
                </c:pt>
                <c:pt idx="71">
                  <c:v>39083</c:v>
                </c:pt>
                <c:pt idx="72">
                  <c:v>39114</c:v>
                </c:pt>
                <c:pt idx="73">
                  <c:v>39142</c:v>
                </c:pt>
                <c:pt idx="74">
                  <c:v>39173</c:v>
                </c:pt>
                <c:pt idx="75">
                  <c:v>39203</c:v>
                </c:pt>
                <c:pt idx="76">
                  <c:v>39234</c:v>
                </c:pt>
                <c:pt idx="77">
                  <c:v>39264</c:v>
                </c:pt>
                <c:pt idx="78">
                  <c:v>39295</c:v>
                </c:pt>
                <c:pt idx="79">
                  <c:v>39326</c:v>
                </c:pt>
                <c:pt idx="80">
                  <c:v>39356</c:v>
                </c:pt>
                <c:pt idx="81">
                  <c:v>39387</c:v>
                </c:pt>
                <c:pt idx="82">
                  <c:v>39417</c:v>
                </c:pt>
                <c:pt idx="83">
                  <c:v>39448</c:v>
                </c:pt>
                <c:pt idx="84">
                  <c:v>39479</c:v>
                </c:pt>
                <c:pt idx="85">
                  <c:v>39508</c:v>
                </c:pt>
                <c:pt idx="86">
                  <c:v>39539</c:v>
                </c:pt>
                <c:pt idx="87">
                  <c:v>39569</c:v>
                </c:pt>
                <c:pt idx="88">
                  <c:v>39600</c:v>
                </c:pt>
                <c:pt idx="89">
                  <c:v>39630</c:v>
                </c:pt>
                <c:pt idx="90">
                  <c:v>39661</c:v>
                </c:pt>
                <c:pt idx="91">
                  <c:v>39692</c:v>
                </c:pt>
                <c:pt idx="92">
                  <c:v>39722</c:v>
                </c:pt>
                <c:pt idx="93">
                  <c:v>39753</c:v>
                </c:pt>
                <c:pt idx="94">
                  <c:v>39783</c:v>
                </c:pt>
                <c:pt idx="95">
                  <c:v>39814</c:v>
                </c:pt>
                <c:pt idx="96">
                  <c:v>39845</c:v>
                </c:pt>
                <c:pt idx="97">
                  <c:v>39873</c:v>
                </c:pt>
                <c:pt idx="98">
                  <c:v>39904</c:v>
                </c:pt>
                <c:pt idx="99">
                  <c:v>39934</c:v>
                </c:pt>
                <c:pt idx="100">
                  <c:v>39965</c:v>
                </c:pt>
                <c:pt idx="101">
                  <c:v>39995</c:v>
                </c:pt>
                <c:pt idx="102">
                  <c:v>40026</c:v>
                </c:pt>
                <c:pt idx="103">
                  <c:v>40057</c:v>
                </c:pt>
                <c:pt idx="104">
                  <c:v>40087</c:v>
                </c:pt>
                <c:pt idx="105">
                  <c:v>40118</c:v>
                </c:pt>
                <c:pt idx="106">
                  <c:v>40148</c:v>
                </c:pt>
                <c:pt idx="107">
                  <c:v>40179</c:v>
                </c:pt>
                <c:pt idx="108">
                  <c:v>40210</c:v>
                </c:pt>
                <c:pt idx="109">
                  <c:v>40238</c:v>
                </c:pt>
                <c:pt idx="110">
                  <c:v>40269</c:v>
                </c:pt>
                <c:pt idx="111">
                  <c:v>40299</c:v>
                </c:pt>
                <c:pt idx="112">
                  <c:v>40330</c:v>
                </c:pt>
                <c:pt idx="113">
                  <c:v>40360</c:v>
                </c:pt>
                <c:pt idx="114">
                  <c:v>40391</c:v>
                </c:pt>
                <c:pt idx="115">
                  <c:v>40422</c:v>
                </c:pt>
                <c:pt idx="116">
                  <c:v>40452</c:v>
                </c:pt>
                <c:pt idx="117">
                  <c:v>40483</c:v>
                </c:pt>
                <c:pt idx="118">
                  <c:v>40513</c:v>
                </c:pt>
                <c:pt idx="119">
                  <c:v>40544</c:v>
                </c:pt>
                <c:pt idx="120">
                  <c:v>40575</c:v>
                </c:pt>
                <c:pt idx="121">
                  <c:v>40603</c:v>
                </c:pt>
                <c:pt idx="122">
                  <c:v>40634</c:v>
                </c:pt>
                <c:pt idx="123">
                  <c:v>40664</c:v>
                </c:pt>
                <c:pt idx="124">
                  <c:v>40695</c:v>
                </c:pt>
                <c:pt idx="125">
                  <c:v>40725</c:v>
                </c:pt>
                <c:pt idx="126">
                  <c:v>40756</c:v>
                </c:pt>
                <c:pt idx="127">
                  <c:v>40787</c:v>
                </c:pt>
                <c:pt idx="128">
                  <c:v>40817</c:v>
                </c:pt>
                <c:pt idx="129">
                  <c:v>40848</c:v>
                </c:pt>
                <c:pt idx="130">
                  <c:v>40878</c:v>
                </c:pt>
                <c:pt idx="131">
                  <c:v>40909</c:v>
                </c:pt>
                <c:pt idx="132">
                  <c:v>40940</c:v>
                </c:pt>
                <c:pt idx="133">
                  <c:v>40969</c:v>
                </c:pt>
                <c:pt idx="134">
                  <c:v>41000</c:v>
                </c:pt>
                <c:pt idx="135">
                  <c:v>41030</c:v>
                </c:pt>
                <c:pt idx="136">
                  <c:v>41061</c:v>
                </c:pt>
                <c:pt idx="137">
                  <c:v>41091</c:v>
                </c:pt>
                <c:pt idx="138">
                  <c:v>41122</c:v>
                </c:pt>
                <c:pt idx="139">
                  <c:v>41153</c:v>
                </c:pt>
                <c:pt idx="140">
                  <c:v>41183</c:v>
                </c:pt>
                <c:pt idx="141">
                  <c:v>41214</c:v>
                </c:pt>
                <c:pt idx="142">
                  <c:v>41244</c:v>
                </c:pt>
                <c:pt idx="143">
                  <c:v>41275</c:v>
                </c:pt>
                <c:pt idx="144">
                  <c:v>41306</c:v>
                </c:pt>
                <c:pt idx="145">
                  <c:v>41334</c:v>
                </c:pt>
                <c:pt idx="146">
                  <c:v>41365</c:v>
                </c:pt>
                <c:pt idx="147">
                  <c:v>41395</c:v>
                </c:pt>
                <c:pt idx="148">
                  <c:v>41426</c:v>
                </c:pt>
                <c:pt idx="149">
                  <c:v>41456</c:v>
                </c:pt>
                <c:pt idx="150">
                  <c:v>41487</c:v>
                </c:pt>
                <c:pt idx="151">
                  <c:v>41518</c:v>
                </c:pt>
                <c:pt idx="152">
                  <c:v>41548</c:v>
                </c:pt>
                <c:pt idx="153">
                  <c:v>41579</c:v>
                </c:pt>
                <c:pt idx="154">
                  <c:v>41609</c:v>
                </c:pt>
                <c:pt idx="155">
                  <c:v>41640</c:v>
                </c:pt>
                <c:pt idx="156">
                  <c:v>41671</c:v>
                </c:pt>
                <c:pt idx="157">
                  <c:v>41699</c:v>
                </c:pt>
                <c:pt idx="158">
                  <c:v>41730</c:v>
                </c:pt>
                <c:pt idx="159">
                  <c:v>41760</c:v>
                </c:pt>
                <c:pt idx="160">
                  <c:v>41791</c:v>
                </c:pt>
                <c:pt idx="161">
                  <c:v>41821</c:v>
                </c:pt>
                <c:pt idx="162">
                  <c:v>41852</c:v>
                </c:pt>
                <c:pt idx="163">
                  <c:v>41883</c:v>
                </c:pt>
                <c:pt idx="164">
                  <c:v>41913</c:v>
                </c:pt>
                <c:pt idx="165">
                  <c:v>41944</c:v>
                </c:pt>
                <c:pt idx="166">
                  <c:v>41974</c:v>
                </c:pt>
                <c:pt idx="167">
                  <c:v>42005</c:v>
                </c:pt>
                <c:pt idx="168">
                  <c:v>42036</c:v>
                </c:pt>
                <c:pt idx="169">
                  <c:v>42064</c:v>
                </c:pt>
                <c:pt idx="170">
                  <c:v>42095</c:v>
                </c:pt>
                <c:pt idx="171">
                  <c:v>42125</c:v>
                </c:pt>
                <c:pt idx="172">
                  <c:v>42156</c:v>
                </c:pt>
                <c:pt idx="173">
                  <c:v>42186</c:v>
                </c:pt>
                <c:pt idx="174">
                  <c:v>42217</c:v>
                </c:pt>
                <c:pt idx="175">
                  <c:v>42248</c:v>
                </c:pt>
                <c:pt idx="176">
                  <c:v>42278</c:v>
                </c:pt>
                <c:pt idx="177">
                  <c:v>42309</c:v>
                </c:pt>
                <c:pt idx="178">
                  <c:v>42339</c:v>
                </c:pt>
                <c:pt idx="179">
                  <c:v>42370</c:v>
                </c:pt>
                <c:pt idx="180">
                  <c:v>42401</c:v>
                </c:pt>
              </c:numCache>
            </c:numRef>
          </c:xVal>
          <c:yVal>
            <c:numRef>
              <c:f>'Energy Outlook'!$H$3:$H$183</c:f>
              <c:numCache>
                <c:formatCode>_-"$"* #,##0.00_-;\-"$"* #,##0.00_-;_-"$"* "-"??_-;_-@_-</c:formatCode>
                <c:ptCount val="181"/>
                <c:pt idx="0">
                  <c:v>5.55</c:v>
                </c:pt>
                <c:pt idx="1">
                  <c:v>5.18</c:v>
                </c:pt>
                <c:pt idx="2">
                  <c:v>5.18</c:v>
                </c:pt>
                <c:pt idx="3">
                  <c:v>4.2</c:v>
                </c:pt>
                <c:pt idx="4">
                  <c:v>3.73</c:v>
                </c:pt>
                <c:pt idx="5">
                  <c:v>3.11</c:v>
                </c:pt>
                <c:pt idx="6">
                  <c:v>2.95</c:v>
                </c:pt>
                <c:pt idx="7">
                  <c:v>2.19</c:v>
                </c:pt>
                <c:pt idx="8">
                  <c:v>2.4700000000000002</c:v>
                </c:pt>
                <c:pt idx="9">
                  <c:v>2.36</c:v>
                </c:pt>
                <c:pt idx="10">
                  <c:v>2.42</c:v>
                </c:pt>
                <c:pt idx="11">
                  <c:v>2.2599999999999998</c:v>
                </c:pt>
                <c:pt idx="12">
                  <c:v>2.31</c:v>
                </c:pt>
                <c:pt idx="13">
                  <c:v>3.03</c:v>
                </c:pt>
                <c:pt idx="14">
                  <c:v>3.43</c:v>
                </c:pt>
                <c:pt idx="15">
                  <c:v>3.5</c:v>
                </c:pt>
                <c:pt idx="16">
                  <c:v>3.23</c:v>
                </c:pt>
                <c:pt idx="17">
                  <c:v>2.99</c:v>
                </c:pt>
                <c:pt idx="18">
                  <c:v>3.09</c:v>
                </c:pt>
                <c:pt idx="19">
                  <c:v>3.55</c:v>
                </c:pt>
                <c:pt idx="20">
                  <c:v>4.13</c:v>
                </c:pt>
                <c:pt idx="21">
                  <c:v>4.0599999999999996</c:v>
                </c:pt>
                <c:pt idx="22">
                  <c:v>4.75</c:v>
                </c:pt>
                <c:pt idx="23">
                  <c:v>5.45</c:v>
                </c:pt>
                <c:pt idx="24">
                  <c:v>7.7</c:v>
                </c:pt>
                <c:pt idx="25">
                  <c:v>5.94</c:v>
                </c:pt>
                <c:pt idx="26">
                  <c:v>5.28</c:v>
                </c:pt>
                <c:pt idx="27">
                  <c:v>5.81</c:v>
                </c:pt>
                <c:pt idx="28">
                  <c:v>5.85</c:v>
                </c:pt>
                <c:pt idx="29">
                  <c:v>5.03</c:v>
                </c:pt>
                <c:pt idx="30">
                  <c:v>4.99</c:v>
                </c:pt>
                <c:pt idx="31">
                  <c:v>4.62</c:v>
                </c:pt>
                <c:pt idx="32">
                  <c:v>4.63</c:v>
                </c:pt>
                <c:pt idx="33">
                  <c:v>4.49</c:v>
                </c:pt>
                <c:pt idx="34">
                  <c:v>6.14</c:v>
                </c:pt>
                <c:pt idx="35">
                  <c:v>6.15</c:v>
                </c:pt>
                <c:pt idx="36">
                  <c:v>5.38</c:v>
                </c:pt>
                <c:pt idx="37">
                  <c:v>5.4</c:v>
                </c:pt>
                <c:pt idx="38">
                  <c:v>5.72</c:v>
                </c:pt>
                <c:pt idx="39">
                  <c:v>6.34</c:v>
                </c:pt>
                <c:pt idx="40">
                  <c:v>6.27</c:v>
                </c:pt>
                <c:pt idx="41">
                  <c:v>5.93</c:v>
                </c:pt>
                <c:pt idx="42">
                  <c:v>5.41</c:v>
                </c:pt>
                <c:pt idx="43">
                  <c:v>5.17</c:v>
                </c:pt>
                <c:pt idx="44">
                  <c:v>6.38</c:v>
                </c:pt>
                <c:pt idx="45">
                  <c:v>6.19</c:v>
                </c:pt>
                <c:pt idx="46">
                  <c:v>6.58</c:v>
                </c:pt>
                <c:pt idx="47">
                  <c:v>6.15</c:v>
                </c:pt>
                <c:pt idx="48">
                  <c:v>6.14</c:v>
                </c:pt>
                <c:pt idx="49">
                  <c:v>6.65</c:v>
                </c:pt>
                <c:pt idx="50">
                  <c:v>7.18</c:v>
                </c:pt>
                <c:pt idx="51">
                  <c:v>6.47</c:v>
                </c:pt>
                <c:pt idx="52">
                  <c:v>7.18</c:v>
                </c:pt>
                <c:pt idx="53">
                  <c:v>7.65</c:v>
                </c:pt>
                <c:pt idx="54">
                  <c:v>9.52</c:v>
                </c:pt>
                <c:pt idx="55">
                  <c:v>12.42</c:v>
                </c:pt>
                <c:pt idx="56">
                  <c:v>13.63</c:v>
                </c:pt>
                <c:pt idx="57">
                  <c:v>10.3</c:v>
                </c:pt>
                <c:pt idx="58">
                  <c:v>13.05</c:v>
                </c:pt>
                <c:pt idx="59">
                  <c:v>8.69</c:v>
                </c:pt>
                <c:pt idx="60">
                  <c:v>7.53</c:v>
                </c:pt>
                <c:pt idx="61">
                  <c:v>6.88</c:v>
                </c:pt>
                <c:pt idx="62">
                  <c:v>7.17</c:v>
                </c:pt>
                <c:pt idx="63">
                  <c:v>6.25</c:v>
                </c:pt>
                <c:pt idx="64">
                  <c:v>6.2</c:v>
                </c:pt>
                <c:pt idx="65">
                  <c:v>6.17</c:v>
                </c:pt>
                <c:pt idx="66">
                  <c:v>7.13</c:v>
                </c:pt>
                <c:pt idx="67">
                  <c:v>4.9000000000000004</c:v>
                </c:pt>
                <c:pt idx="68">
                  <c:v>5.84</c:v>
                </c:pt>
                <c:pt idx="69">
                  <c:v>7.41</c:v>
                </c:pt>
                <c:pt idx="70">
                  <c:v>6.73</c:v>
                </c:pt>
                <c:pt idx="71">
                  <c:v>6.53</c:v>
                </c:pt>
                <c:pt idx="72">
                  <c:v>8</c:v>
                </c:pt>
                <c:pt idx="73">
                  <c:v>7.11</c:v>
                </c:pt>
                <c:pt idx="74">
                  <c:v>7.6</c:v>
                </c:pt>
                <c:pt idx="75">
                  <c:v>7.64</c:v>
                </c:pt>
                <c:pt idx="76">
                  <c:v>7.35</c:v>
                </c:pt>
                <c:pt idx="77">
                  <c:v>6.22</c:v>
                </c:pt>
                <c:pt idx="78">
                  <c:v>6.22</c:v>
                </c:pt>
                <c:pt idx="79">
                  <c:v>6.07</c:v>
                </c:pt>
                <c:pt idx="80">
                  <c:v>6.74</c:v>
                </c:pt>
                <c:pt idx="81">
                  <c:v>7.11</c:v>
                </c:pt>
                <c:pt idx="82">
                  <c:v>7.13</c:v>
                </c:pt>
                <c:pt idx="83">
                  <c:v>7.98</c:v>
                </c:pt>
                <c:pt idx="84">
                  <c:v>8.5399999999999991</c:v>
                </c:pt>
                <c:pt idx="85">
                  <c:v>9.41</c:v>
                </c:pt>
                <c:pt idx="86">
                  <c:v>10.18</c:v>
                </c:pt>
                <c:pt idx="87">
                  <c:v>11.27</c:v>
                </c:pt>
                <c:pt idx="88">
                  <c:v>12.68</c:v>
                </c:pt>
                <c:pt idx="89">
                  <c:v>11.09</c:v>
                </c:pt>
                <c:pt idx="90">
                  <c:v>8.25</c:v>
                </c:pt>
                <c:pt idx="91">
                  <c:v>7.62</c:v>
                </c:pt>
                <c:pt idx="92">
                  <c:v>6.74</c:v>
                </c:pt>
                <c:pt idx="93">
                  <c:v>6.7</c:v>
                </c:pt>
                <c:pt idx="94">
                  <c:v>5.84</c:v>
                </c:pt>
                <c:pt idx="95">
                  <c:v>5.23</c:v>
                </c:pt>
                <c:pt idx="96">
                  <c:v>4.49</c:v>
                </c:pt>
                <c:pt idx="97">
                  <c:v>3.96</c:v>
                </c:pt>
                <c:pt idx="98">
                  <c:v>3.49</c:v>
                </c:pt>
                <c:pt idx="99">
                  <c:v>3.83</c:v>
                </c:pt>
                <c:pt idx="100">
                  <c:v>3.8</c:v>
                </c:pt>
                <c:pt idx="101">
                  <c:v>3.39</c:v>
                </c:pt>
                <c:pt idx="102">
                  <c:v>3.14</c:v>
                </c:pt>
                <c:pt idx="103">
                  <c:v>2.99</c:v>
                </c:pt>
                <c:pt idx="104">
                  <c:v>4</c:v>
                </c:pt>
                <c:pt idx="105">
                  <c:v>3.68</c:v>
                </c:pt>
                <c:pt idx="106">
                  <c:v>5.35</c:v>
                </c:pt>
                <c:pt idx="107">
                  <c:v>5.84</c:v>
                </c:pt>
                <c:pt idx="108">
                  <c:v>5.32</c:v>
                </c:pt>
                <c:pt idx="109">
                  <c:v>4.29</c:v>
                </c:pt>
                <c:pt idx="110">
                  <c:v>4.04</c:v>
                </c:pt>
                <c:pt idx="111">
                  <c:v>4.1500000000000004</c:v>
                </c:pt>
                <c:pt idx="112">
                  <c:v>4.8</c:v>
                </c:pt>
                <c:pt idx="113">
                  <c:v>4.63</c:v>
                </c:pt>
                <c:pt idx="114">
                  <c:v>4.3099999999999996</c:v>
                </c:pt>
                <c:pt idx="115">
                  <c:v>3.89</c:v>
                </c:pt>
                <c:pt idx="116">
                  <c:v>3.43</c:v>
                </c:pt>
                <c:pt idx="117">
                  <c:v>3.71</c:v>
                </c:pt>
                <c:pt idx="118">
                  <c:v>4.25</c:v>
                </c:pt>
                <c:pt idx="119">
                  <c:v>4.49</c:v>
                </c:pt>
                <c:pt idx="120">
                  <c:v>4.09</c:v>
                </c:pt>
                <c:pt idx="121">
                  <c:v>3.97</c:v>
                </c:pt>
                <c:pt idx="122">
                  <c:v>4.24</c:v>
                </c:pt>
                <c:pt idx="123">
                  <c:v>4.3099999999999996</c:v>
                </c:pt>
                <c:pt idx="124">
                  <c:v>4.54</c:v>
                </c:pt>
                <c:pt idx="125">
                  <c:v>4.42</c:v>
                </c:pt>
                <c:pt idx="126">
                  <c:v>4.05</c:v>
                </c:pt>
                <c:pt idx="127">
                  <c:v>3.89</c:v>
                </c:pt>
                <c:pt idx="128">
                  <c:v>3.56</c:v>
                </c:pt>
                <c:pt idx="129">
                  <c:v>3.26</c:v>
                </c:pt>
                <c:pt idx="130">
                  <c:v>3.16</c:v>
                </c:pt>
                <c:pt idx="131">
                  <c:v>2.67</c:v>
                </c:pt>
                <c:pt idx="132">
                  <c:v>2.5299999999999998</c:v>
                </c:pt>
                <c:pt idx="133">
                  <c:v>2.16</c:v>
                </c:pt>
                <c:pt idx="134">
                  <c:v>1.95</c:v>
                </c:pt>
                <c:pt idx="135">
                  <c:v>2.4300000000000002</c:v>
                </c:pt>
                <c:pt idx="136">
                  <c:v>2.4500000000000002</c:v>
                </c:pt>
                <c:pt idx="137">
                  <c:v>2.96</c:v>
                </c:pt>
                <c:pt idx="138">
                  <c:v>2.84</c:v>
                </c:pt>
                <c:pt idx="139">
                  <c:v>2.85</c:v>
                </c:pt>
                <c:pt idx="140">
                  <c:v>3.32</c:v>
                </c:pt>
                <c:pt idx="141">
                  <c:v>3.54</c:v>
                </c:pt>
                <c:pt idx="142">
                  <c:v>3.34</c:v>
                </c:pt>
                <c:pt idx="143">
                  <c:v>3.33</c:v>
                </c:pt>
                <c:pt idx="144">
                  <c:v>3.33</c:v>
                </c:pt>
                <c:pt idx="145">
                  <c:v>3.8</c:v>
                </c:pt>
                <c:pt idx="146">
                  <c:v>4.17</c:v>
                </c:pt>
                <c:pt idx="147">
                  <c:v>4.04</c:v>
                </c:pt>
                <c:pt idx="148">
                  <c:v>3.83</c:v>
                </c:pt>
                <c:pt idx="149">
                  <c:v>3.62</c:v>
                </c:pt>
                <c:pt idx="150">
                  <c:v>3.43</c:v>
                </c:pt>
                <c:pt idx="151">
                  <c:v>3.62</c:v>
                </c:pt>
                <c:pt idx="152">
                  <c:v>3.67</c:v>
                </c:pt>
                <c:pt idx="153">
                  <c:v>3.62</c:v>
                </c:pt>
                <c:pt idx="154">
                  <c:v>4.24</c:v>
                </c:pt>
                <c:pt idx="155">
                  <c:v>4.7</c:v>
                </c:pt>
                <c:pt idx="156">
                  <c:v>5.98</c:v>
                </c:pt>
                <c:pt idx="157">
                  <c:v>4.88</c:v>
                </c:pt>
                <c:pt idx="158">
                  <c:v>4.63</c:v>
                </c:pt>
                <c:pt idx="159">
                  <c:v>4.5599999999999996</c:v>
                </c:pt>
                <c:pt idx="160">
                  <c:v>4.57</c:v>
                </c:pt>
                <c:pt idx="161">
                  <c:v>4.01</c:v>
                </c:pt>
                <c:pt idx="162">
                  <c:v>3.89</c:v>
                </c:pt>
                <c:pt idx="163">
                  <c:v>3.92</c:v>
                </c:pt>
                <c:pt idx="164">
                  <c:v>3.77</c:v>
                </c:pt>
                <c:pt idx="165">
                  <c:v>4.0999999999999996</c:v>
                </c:pt>
                <c:pt idx="166">
                  <c:v>3.43</c:v>
                </c:pt>
                <c:pt idx="167">
                  <c:v>2.97</c:v>
                </c:pt>
                <c:pt idx="168">
                  <c:v>2.85</c:v>
                </c:pt>
                <c:pt idx="169">
                  <c:v>2.8</c:v>
                </c:pt>
                <c:pt idx="170">
                  <c:v>2.58</c:v>
                </c:pt>
                <c:pt idx="171">
                  <c:v>2.84</c:v>
                </c:pt>
                <c:pt idx="172">
                  <c:v>2.77</c:v>
                </c:pt>
                <c:pt idx="173">
                  <c:v>2.83</c:v>
                </c:pt>
                <c:pt idx="174">
                  <c:v>2.76</c:v>
                </c:pt>
                <c:pt idx="175">
                  <c:v>2.65</c:v>
                </c:pt>
                <c:pt idx="176">
                  <c:v>2.3199999999999998</c:v>
                </c:pt>
                <c:pt idx="177">
                  <c:v>2.08</c:v>
                </c:pt>
                <c:pt idx="178">
                  <c:v>1.92</c:v>
                </c:pt>
                <c:pt idx="179">
                  <c:v>2.27</c:v>
                </c:pt>
                <c:pt idx="180">
                  <c:v>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EF-BD49-A313-E3CF49503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21216"/>
        <c:axId val="70935296"/>
      </c:scatterChart>
      <c:valAx>
        <c:axId val="7092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5296"/>
        <c:crosses val="autoZero"/>
        <c:crossBetween val="midCat"/>
      </c:valAx>
      <c:valAx>
        <c:axId val="7093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 Dollars Per Million</a:t>
                </a:r>
                <a:r>
                  <a:rPr lang="en-US" baseline="0"/>
                  <a:t> Metric British Thermal Unit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2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'Capex Reduction'!$B$2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'Capex Reduction'!$A$3:$A$14</c:f>
              <c:strCach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2016**</c:v>
                </c:pt>
                <c:pt idx="11">
                  <c:v>2017**</c:v>
                </c:pt>
              </c:strCache>
            </c:strRef>
          </c:cat>
          <c:val>
            <c:numRef>
              <c:f>'Capex Reduction'!$B$3:$B$14</c:f>
              <c:numCache>
                <c:formatCode>_-"$"* #,##0_-;\-"$"* #,##0_-;_-"$"* "-"??_-;_-@_-</c:formatCode>
                <c:ptCount val="12"/>
                <c:pt idx="0">
                  <c:v>29881000</c:v>
                </c:pt>
                <c:pt idx="1">
                  <c:v>11791000</c:v>
                </c:pt>
                <c:pt idx="2">
                  <c:v>19099000</c:v>
                </c:pt>
                <c:pt idx="3">
                  <c:v>10861000</c:v>
                </c:pt>
                <c:pt idx="4">
                  <c:v>9761000</c:v>
                </c:pt>
                <c:pt idx="5">
                  <c:v>13266000</c:v>
                </c:pt>
                <c:pt idx="6">
                  <c:v>14172000</c:v>
                </c:pt>
                <c:pt idx="7">
                  <c:v>15537000</c:v>
                </c:pt>
                <c:pt idx="8">
                  <c:v>17085000</c:v>
                </c:pt>
                <c:pt idx="9">
                  <c:v>10050000</c:v>
                </c:pt>
                <c:pt idx="10">
                  <c:v>6400000</c:v>
                </c:pt>
                <c:pt idx="11">
                  <c:v>5500000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D-8741-A8A7-9CBF00944E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70956928"/>
        <c:axId val="70958464"/>
      </c:barChart>
      <c:catAx>
        <c:axId val="7095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58464"/>
        <c:crosses val="autoZero"/>
        <c:auto val="1"/>
        <c:lblAlgn val="ctr"/>
        <c:lblOffset val="100"/>
        <c:noMultiLvlLbl val="0"/>
      </c:catAx>
      <c:valAx>
        <c:axId val="70958464"/>
        <c:scaling>
          <c:orientation val="minMax"/>
        </c:scaling>
        <c:delete val="1"/>
        <c:axPos val="l"/>
        <c:numFmt formatCode="_-&quot;$&quot;* #,##0_-;\-&quot;$&quot;* #,##0_-;_-&quot;$&quot;* &quot;-&quot;??_-;_-@_-" sourceLinked="1"/>
        <c:majorTickMark val="none"/>
        <c:minorTickMark val="none"/>
        <c:tickLblPos val="none"/>
        <c:crossAx val="7095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228600</xdr:colOff>
      <xdr:row>1</xdr:row>
      <xdr:rowOff>127000</xdr:rowOff>
    </xdr:from>
    <xdr:ext cx="1887583" cy="4318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53200" y="381000"/>
          <a:ext cx="1887583" cy="431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7</xdr:row>
      <xdr:rowOff>19050</xdr:rowOff>
    </xdr:from>
    <xdr:to>
      <xdr:col>15</xdr:col>
      <xdr:colOff>0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15</xdr:row>
      <xdr:rowOff>127000</xdr:rowOff>
    </xdr:from>
    <xdr:to>
      <xdr:col>16</xdr:col>
      <xdr:colOff>520700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</xdr:row>
      <xdr:rowOff>6350</xdr:rowOff>
    </xdr:from>
    <xdr:to>
      <xdr:col>18</xdr:col>
      <xdr:colOff>266700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24</xdr:row>
      <xdr:rowOff>184150</xdr:rowOff>
    </xdr:from>
    <xdr:to>
      <xdr:col>18</xdr:col>
      <xdr:colOff>304800</xdr:colOff>
      <xdr:row>43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806450</xdr:colOff>
      <xdr:row>45</xdr:row>
      <xdr:rowOff>6350</xdr:rowOff>
    </xdr:from>
    <xdr:to>
      <xdr:col>18</xdr:col>
      <xdr:colOff>203200</xdr:colOff>
      <xdr:row>65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0</xdr:row>
      <xdr:rowOff>133350</xdr:rowOff>
    </xdr:from>
    <xdr:to>
      <xdr:col>12</xdr:col>
      <xdr:colOff>381000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5"/>
  <dimension ref="A1:AR457"/>
  <sheetViews>
    <sheetView tabSelected="1" workbookViewId="0">
      <selection activeCell="C12" sqref="C12"/>
    </sheetView>
  </sheetViews>
  <sheetFormatPr baseColWidth="10" defaultColWidth="11" defaultRowHeight="16"/>
  <cols>
    <col min="1" max="1" width="20.33203125" bestFit="1" customWidth="1"/>
    <col min="5" max="5" width="18" bestFit="1" customWidth="1"/>
    <col min="6" max="7" width="10.83203125" style="136"/>
    <col min="8" max="8" width="7.5" style="136" customWidth="1"/>
    <col min="9" max="9" width="9.83203125" style="136" customWidth="1"/>
    <col min="10" max="11" width="10.83203125" style="136"/>
    <col min="12" max="12" width="12.33203125" style="136" bestFit="1" customWidth="1"/>
    <col min="13" max="43" width="10.83203125" style="136"/>
  </cols>
  <sheetData>
    <row r="1" spans="1:14" ht="20">
      <c r="A1" s="153" t="s">
        <v>125</v>
      </c>
      <c r="B1" s="154"/>
      <c r="C1" s="155"/>
      <c r="D1" s="472" t="s">
        <v>126</v>
      </c>
      <c r="E1" s="473"/>
      <c r="F1" s="143"/>
      <c r="G1" s="143"/>
      <c r="H1" s="144"/>
    </row>
    <row r="2" spans="1:14" ht="20">
      <c r="A2" s="156" t="s">
        <v>130</v>
      </c>
      <c r="B2" s="157"/>
      <c r="C2" s="158"/>
      <c r="D2" s="478" t="s">
        <v>131</v>
      </c>
      <c r="E2" s="479"/>
      <c r="F2" s="145"/>
      <c r="G2" s="146"/>
      <c r="H2" s="147"/>
      <c r="I2" s="142"/>
      <c r="J2" s="141"/>
      <c r="K2" s="138"/>
      <c r="L2" s="138"/>
      <c r="M2" s="138"/>
      <c r="N2" s="139"/>
    </row>
    <row r="3" spans="1:14" ht="20">
      <c r="A3" s="474" t="s">
        <v>127</v>
      </c>
      <c r="B3" s="475"/>
      <c r="C3" s="475"/>
      <c r="D3" s="476">
        <v>2015</v>
      </c>
      <c r="E3" s="477"/>
      <c r="F3" s="145"/>
      <c r="G3" s="146"/>
      <c r="H3" s="147"/>
      <c r="I3" s="142"/>
      <c r="J3" s="141"/>
    </row>
    <row r="4" spans="1:14" ht="20">
      <c r="A4" s="474" t="s">
        <v>128</v>
      </c>
      <c r="B4" s="475"/>
      <c r="C4" s="475"/>
      <c r="D4" s="476">
        <v>2006</v>
      </c>
      <c r="E4" s="477"/>
      <c r="F4" s="145"/>
      <c r="G4" s="146"/>
      <c r="H4" s="147"/>
      <c r="I4" s="142"/>
      <c r="J4" s="141"/>
    </row>
    <row r="5" spans="1:14" ht="21" thickBot="1">
      <c r="A5" s="159" t="s">
        <v>129</v>
      </c>
      <c r="B5" s="160"/>
      <c r="C5" s="161"/>
      <c r="D5" s="476" t="s">
        <v>215</v>
      </c>
      <c r="E5" s="477"/>
      <c r="F5" s="145"/>
      <c r="G5" s="138"/>
      <c r="H5" s="139"/>
      <c r="I5" s="141"/>
      <c r="J5" s="141"/>
    </row>
    <row r="6" spans="1:14">
      <c r="A6" s="148"/>
      <c r="B6" s="145"/>
      <c r="C6" s="145"/>
      <c r="D6" s="145"/>
      <c r="E6" s="145"/>
      <c r="F6" s="145"/>
      <c r="G6" s="145"/>
      <c r="H6" s="149"/>
    </row>
    <row r="7" spans="1:14" ht="17" thickBot="1">
      <c r="A7" s="150"/>
      <c r="B7" s="151"/>
      <c r="C7" s="151"/>
      <c r="D7" s="151"/>
      <c r="E7" s="151"/>
      <c r="F7" s="151"/>
      <c r="G7" s="151"/>
      <c r="H7" s="152"/>
    </row>
    <row r="8" spans="1:14" ht="17" thickBot="1">
      <c r="A8" s="480" t="s">
        <v>210</v>
      </c>
      <c r="B8" s="481"/>
      <c r="C8" s="481"/>
      <c r="D8" s="482"/>
      <c r="E8" s="480" t="s">
        <v>211</v>
      </c>
      <c r="F8" s="481"/>
      <c r="G8" s="481"/>
      <c r="H8" s="482"/>
    </row>
    <row r="9" spans="1:14" ht="17" thickBot="1">
      <c r="A9" s="118"/>
      <c r="B9" s="483" t="str">
        <f>IF(C12&gt;C13*1.1,"BUY",IF(C12&lt;C13/1.1,"SELL","HOLD"))</f>
        <v>HOLD</v>
      </c>
      <c r="C9" s="484"/>
      <c r="D9" s="119"/>
      <c r="E9" s="118"/>
      <c r="F9" s="485">
        <v>42426</v>
      </c>
      <c r="G9" s="486"/>
      <c r="H9" s="119"/>
    </row>
    <row r="10" spans="1:14">
      <c r="A10" s="467"/>
      <c r="B10" s="468"/>
      <c r="C10" s="468"/>
      <c r="D10" s="468"/>
      <c r="E10" s="468"/>
      <c r="F10" s="468"/>
      <c r="G10" s="468"/>
      <c r="H10" s="469"/>
    </row>
    <row r="11" spans="1:14">
      <c r="A11" s="148"/>
      <c r="B11" s="471" t="s">
        <v>424</v>
      </c>
      <c r="C11" s="471"/>
      <c r="D11" s="145"/>
      <c r="E11" s="138"/>
      <c r="F11" s="138"/>
      <c r="G11" s="138"/>
      <c r="H11" s="139"/>
    </row>
    <row r="12" spans="1:14">
      <c r="A12" s="148"/>
      <c r="B12" s="140" t="s">
        <v>425</v>
      </c>
      <c r="C12" s="120">
        <f>'Proforma &amp; Valuation'!B134</f>
        <v>32.167182533924304</v>
      </c>
      <c r="D12" s="145"/>
      <c r="E12" s="138"/>
      <c r="F12" s="138"/>
      <c r="G12" s="138"/>
      <c r="H12" s="139"/>
    </row>
    <row r="13" spans="1:14">
      <c r="A13" s="137"/>
      <c r="B13" s="140" t="s">
        <v>426</v>
      </c>
      <c r="C13" s="470">
        <v>34.119999999999997</v>
      </c>
      <c r="D13" s="138"/>
      <c r="E13" s="138"/>
      <c r="F13" s="138"/>
      <c r="G13" s="138"/>
      <c r="H13" s="139"/>
    </row>
    <row r="14" spans="1:14">
      <c r="A14" s="137"/>
      <c r="B14" s="145"/>
      <c r="C14" s="145"/>
      <c r="D14" s="138"/>
      <c r="E14" s="138"/>
      <c r="F14" s="138"/>
      <c r="G14" s="138"/>
      <c r="H14" s="139"/>
      <c r="J14" s="145"/>
    </row>
    <row r="15" spans="1:14">
      <c r="A15" s="137"/>
      <c r="B15" s="145"/>
      <c r="C15" s="145"/>
      <c r="D15" s="138"/>
      <c r="E15" s="138"/>
      <c r="F15" s="138"/>
      <c r="G15" s="138"/>
      <c r="H15" s="139"/>
      <c r="J15" s="145"/>
    </row>
    <row r="16" spans="1:14">
      <c r="A16" s="137"/>
      <c r="B16" s="145"/>
      <c r="C16" s="145"/>
      <c r="D16" s="138"/>
      <c r="E16" s="138"/>
      <c r="F16" s="138"/>
      <c r="G16" s="138"/>
      <c r="H16" s="139"/>
      <c r="J16" s="145"/>
      <c r="K16" s="200"/>
    </row>
    <row r="17" spans="1:44">
      <c r="A17" s="137"/>
      <c r="B17" s="138"/>
      <c r="C17" s="138"/>
      <c r="D17" s="138"/>
      <c r="E17" s="138"/>
      <c r="F17" s="138"/>
      <c r="G17" s="138"/>
      <c r="H17" s="139"/>
      <c r="I17" s="138"/>
      <c r="J17" s="145"/>
      <c r="AR17" s="136"/>
    </row>
    <row r="18" spans="1:44">
      <c r="A18" s="137"/>
      <c r="B18" s="138"/>
      <c r="C18" s="138"/>
      <c r="D18" s="138"/>
      <c r="E18" s="138"/>
      <c r="F18" s="138"/>
      <c r="G18" s="138"/>
      <c r="H18" s="139"/>
      <c r="J18" s="145"/>
    </row>
    <row r="19" spans="1:44">
      <c r="A19" s="137"/>
      <c r="B19" s="138"/>
      <c r="C19" s="138"/>
      <c r="D19" s="138"/>
      <c r="E19" s="138"/>
      <c r="F19" s="138"/>
      <c r="G19" s="138"/>
      <c r="H19" s="139"/>
    </row>
    <row r="20" spans="1:44">
      <c r="A20" s="137"/>
      <c r="B20" s="138"/>
      <c r="C20" s="138"/>
      <c r="D20" s="138"/>
      <c r="E20" s="138"/>
      <c r="F20" s="138"/>
      <c r="G20" s="138"/>
      <c r="H20" s="139"/>
    </row>
    <row r="21" spans="1:44">
      <c r="A21" s="137"/>
      <c r="B21" s="138"/>
      <c r="C21" s="138"/>
      <c r="D21" s="138"/>
      <c r="E21" s="138"/>
      <c r="F21" s="138"/>
      <c r="G21" s="138"/>
      <c r="H21" s="139"/>
    </row>
    <row r="22" spans="1:44">
      <c r="A22" s="137"/>
      <c r="B22" s="138"/>
      <c r="C22" s="138"/>
      <c r="D22" s="138"/>
      <c r="E22" s="138"/>
      <c r="F22" s="138"/>
      <c r="G22" s="138"/>
      <c r="H22" s="139"/>
    </row>
    <row r="23" spans="1:44">
      <c r="A23" s="137"/>
      <c r="B23" s="138"/>
      <c r="C23" s="138"/>
      <c r="D23" s="138"/>
      <c r="E23" s="138"/>
      <c r="F23" s="138"/>
      <c r="G23" s="138"/>
      <c r="H23" s="139"/>
    </row>
    <row r="24" spans="1:44">
      <c r="A24" s="137"/>
      <c r="B24" s="138"/>
      <c r="C24" s="138"/>
      <c r="D24" s="138"/>
      <c r="E24" s="138"/>
      <c r="F24" s="138"/>
      <c r="G24" s="138"/>
      <c r="H24" s="139"/>
    </row>
    <row r="25" spans="1:44">
      <c r="A25" s="137"/>
      <c r="B25" s="138"/>
      <c r="C25" s="138"/>
      <c r="D25" s="138"/>
      <c r="E25" s="138"/>
      <c r="F25" s="138"/>
      <c r="G25" s="138"/>
      <c r="H25" s="139"/>
    </row>
    <row r="26" spans="1:44">
      <c r="A26" s="137"/>
      <c r="B26" s="138"/>
      <c r="C26" s="138"/>
      <c r="D26" s="138"/>
      <c r="E26" s="138"/>
      <c r="F26" s="138"/>
      <c r="G26" s="138"/>
      <c r="H26" s="139"/>
    </row>
    <row r="27" spans="1:44">
      <c r="A27" s="137"/>
      <c r="B27" s="138"/>
      <c r="C27" s="138"/>
      <c r="D27" s="138"/>
      <c r="E27" s="138"/>
      <c r="F27" s="138"/>
      <c r="G27" s="138"/>
      <c r="H27" s="139"/>
    </row>
    <row r="28" spans="1:44">
      <c r="A28" s="137"/>
      <c r="B28" s="138"/>
      <c r="C28" s="138"/>
      <c r="D28" s="138"/>
      <c r="E28" s="138"/>
      <c r="F28" s="138"/>
      <c r="G28" s="138"/>
      <c r="H28" s="139"/>
    </row>
    <row r="29" spans="1:44">
      <c r="A29" s="137"/>
      <c r="B29" s="138"/>
      <c r="C29" s="138"/>
      <c r="D29" s="138"/>
      <c r="E29" s="138"/>
      <c r="F29" s="138"/>
      <c r="G29" s="138"/>
      <c r="H29" s="139"/>
    </row>
    <row r="30" spans="1:44">
      <c r="A30" s="137"/>
      <c r="B30" s="138"/>
      <c r="C30" s="138"/>
      <c r="D30" s="138"/>
      <c r="E30" s="138"/>
      <c r="F30" s="138"/>
      <c r="G30" s="138"/>
      <c r="H30" s="139"/>
    </row>
    <row r="31" spans="1:44" ht="17" thickBot="1">
      <c r="A31" s="183"/>
      <c r="B31" s="184"/>
      <c r="C31" s="184"/>
      <c r="D31" s="184"/>
      <c r="E31" s="184"/>
      <c r="F31" s="184"/>
      <c r="G31" s="184"/>
      <c r="H31" s="185"/>
    </row>
    <row r="32" spans="1:44">
      <c r="A32" s="136"/>
      <c r="B32" s="136"/>
      <c r="C32" s="136"/>
      <c r="D32" s="136"/>
      <c r="E32" s="136"/>
    </row>
    <row r="33" spans="1:5">
      <c r="A33" s="136"/>
      <c r="B33" s="136"/>
      <c r="C33" s="136"/>
      <c r="D33" s="136"/>
      <c r="E33" s="136"/>
    </row>
    <row r="34" spans="1:5">
      <c r="A34" s="136"/>
      <c r="B34" s="136"/>
      <c r="C34" s="136"/>
      <c r="D34" s="136"/>
      <c r="E34" s="136"/>
    </row>
    <row r="35" spans="1:5">
      <c r="A35" s="136"/>
      <c r="B35" s="136"/>
      <c r="C35" s="136"/>
      <c r="D35" s="136"/>
      <c r="E35" s="136"/>
    </row>
    <row r="36" spans="1:5">
      <c r="A36" s="136"/>
      <c r="B36" s="136"/>
      <c r="C36" s="136"/>
      <c r="D36" s="136"/>
      <c r="E36" s="136"/>
    </row>
    <row r="37" spans="1:5">
      <c r="A37" s="136"/>
      <c r="B37" s="136"/>
      <c r="C37" s="136"/>
      <c r="D37" s="136"/>
      <c r="E37" s="136"/>
    </row>
    <row r="38" spans="1:5">
      <c r="A38" s="136"/>
      <c r="B38" s="136"/>
      <c r="C38" s="136"/>
      <c r="D38" s="136"/>
      <c r="E38" s="136"/>
    </row>
    <row r="39" spans="1:5">
      <c r="A39" s="136"/>
      <c r="B39" s="136"/>
      <c r="C39" s="136"/>
      <c r="D39" s="136"/>
      <c r="E39" s="136"/>
    </row>
    <row r="40" spans="1:5">
      <c r="A40" s="136"/>
      <c r="B40" s="136"/>
      <c r="C40" s="136"/>
      <c r="D40" s="136"/>
      <c r="E40" s="136"/>
    </row>
    <row r="41" spans="1:5">
      <c r="A41" s="136"/>
      <c r="B41" s="136"/>
      <c r="C41" s="136"/>
      <c r="D41" s="136"/>
      <c r="E41" s="136"/>
    </row>
    <row r="42" spans="1:5">
      <c r="A42" s="136"/>
      <c r="B42" s="136"/>
      <c r="C42" s="136"/>
      <c r="D42" s="136"/>
      <c r="E42" s="136"/>
    </row>
    <row r="43" spans="1:5">
      <c r="A43" s="136"/>
      <c r="B43" s="136"/>
      <c r="C43" s="136"/>
      <c r="D43" s="136"/>
      <c r="E43" s="136"/>
    </row>
    <row r="44" spans="1:5">
      <c r="A44" s="136"/>
      <c r="B44" s="136"/>
      <c r="C44" s="136"/>
      <c r="D44" s="136"/>
      <c r="E44" s="136"/>
    </row>
    <row r="45" spans="1:5" s="136" customFormat="1"/>
    <row r="46" spans="1:5" s="136" customFormat="1"/>
    <row r="47" spans="1:5" s="136" customFormat="1"/>
    <row r="48" spans="1:5" s="136" customFormat="1"/>
    <row r="49" s="136" customFormat="1"/>
    <row r="50" s="136" customFormat="1"/>
    <row r="51" s="136" customFormat="1"/>
    <row r="52" s="136" customFormat="1"/>
    <row r="53" s="136" customFormat="1"/>
    <row r="54" s="136" customFormat="1"/>
    <row r="55" s="136" customFormat="1"/>
    <row r="56" s="136" customFormat="1"/>
    <row r="57" s="136" customFormat="1"/>
    <row r="58" s="136" customFormat="1"/>
    <row r="59" s="136" customFormat="1"/>
    <row r="60" s="136" customFormat="1"/>
    <row r="61" s="136" customFormat="1"/>
    <row r="62" s="136" customFormat="1"/>
    <row r="63" s="136" customFormat="1"/>
    <row r="64" s="136" customFormat="1"/>
    <row r="65" s="136" customFormat="1"/>
    <row r="66" s="136" customFormat="1"/>
    <row r="67" s="136" customFormat="1"/>
    <row r="68" s="136" customFormat="1"/>
    <row r="69" s="136" customFormat="1"/>
    <row r="70" s="136" customFormat="1"/>
    <row r="71" s="136" customFormat="1"/>
    <row r="72" s="136" customFormat="1"/>
    <row r="73" s="136" customFormat="1"/>
    <row r="74" s="136" customFormat="1"/>
    <row r="75" s="136" customFormat="1"/>
    <row r="76" s="136" customFormat="1"/>
    <row r="77" s="136" customFormat="1"/>
    <row r="78" s="136" customFormat="1"/>
    <row r="79" s="136" customFormat="1"/>
    <row r="80" s="136" customFormat="1"/>
    <row r="81" s="136" customFormat="1"/>
    <row r="82" s="136" customFormat="1"/>
    <row r="83" s="136" customFormat="1"/>
    <row r="84" s="136" customFormat="1"/>
    <row r="85" s="136" customFormat="1"/>
    <row r="86" s="136" customFormat="1"/>
    <row r="87" s="136" customFormat="1"/>
    <row r="88" s="136" customFormat="1"/>
    <row r="89" s="136" customFormat="1"/>
    <row r="90" s="136" customFormat="1"/>
    <row r="91" s="136" customFormat="1"/>
    <row r="92" s="136" customFormat="1"/>
    <row r="93" s="136" customFormat="1"/>
    <row r="94" s="136" customFormat="1"/>
    <row r="95" s="136" customFormat="1"/>
    <row r="96" s="136" customFormat="1"/>
    <row r="97" s="136" customFormat="1"/>
    <row r="98" s="136" customFormat="1"/>
    <row r="99" s="136" customFormat="1"/>
    <row r="100" s="136" customFormat="1"/>
    <row r="101" s="136" customFormat="1"/>
    <row r="102" s="136" customFormat="1"/>
    <row r="103" s="136" customFormat="1"/>
    <row r="104" s="136" customFormat="1"/>
    <row r="105" s="136" customFormat="1"/>
    <row r="106" s="136" customFormat="1"/>
    <row r="107" s="136" customFormat="1"/>
    <row r="108" s="136" customFormat="1"/>
    <row r="109" s="136" customFormat="1"/>
    <row r="110" s="136" customFormat="1"/>
    <row r="111" s="136" customFormat="1"/>
    <row r="112" s="136" customFormat="1"/>
    <row r="113" s="136" customFormat="1"/>
    <row r="114" s="136" customFormat="1"/>
    <row r="115" s="136" customFormat="1"/>
    <row r="116" s="136" customFormat="1"/>
    <row r="117" s="136" customFormat="1"/>
    <row r="118" s="136" customFormat="1"/>
    <row r="119" s="136" customFormat="1"/>
    <row r="120" s="136" customFormat="1"/>
    <row r="121" s="136" customFormat="1"/>
    <row r="122" s="136" customFormat="1"/>
    <row r="123" s="136" customFormat="1"/>
    <row r="124" s="136" customFormat="1"/>
    <row r="125" s="136" customFormat="1"/>
    <row r="126" s="136" customFormat="1"/>
    <row r="127" s="136" customFormat="1"/>
    <row r="128" s="136" customFormat="1"/>
    <row r="129" s="136" customFormat="1"/>
    <row r="130" s="136" customFormat="1"/>
    <row r="131" s="136" customFormat="1"/>
    <row r="132" s="136" customFormat="1"/>
    <row r="133" s="136" customFormat="1"/>
    <row r="134" s="136" customFormat="1"/>
    <row r="135" s="136" customFormat="1"/>
    <row r="136" s="136" customFormat="1"/>
    <row r="137" s="136" customFormat="1"/>
    <row r="138" s="136" customFormat="1"/>
    <row r="139" s="136" customFormat="1"/>
    <row r="140" s="136" customFormat="1"/>
    <row r="141" s="136" customFormat="1"/>
    <row r="142" s="136" customFormat="1"/>
    <row r="143" s="136" customFormat="1"/>
    <row r="144" s="136" customFormat="1"/>
    <row r="145" s="136" customFormat="1"/>
    <row r="146" s="136" customFormat="1"/>
    <row r="147" s="136" customFormat="1"/>
    <row r="148" s="136" customFormat="1"/>
    <row r="149" s="136" customFormat="1"/>
    <row r="150" s="136" customFormat="1"/>
    <row r="151" s="136" customFormat="1"/>
    <row r="152" s="136" customFormat="1"/>
    <row r="153" s="136" customFormat="1"/>
    <row r="154" s="136" customFormat="1"/>
    <row r="155" s="136" customFormat="1"/>
    <row r="156" s="136" customFormat="1"/>
    <row r="157" s="136" customFormat="1"/>
    <row r="158" s="136" customFormat="1"/>
    <row r="159" s="136" customFormat="1"/>
    <row r="160" s="136" customFormat="1"/>
    <row r="161" s="136" customFormat="1"/>
    <row r="162" s="136" customFormat="1"/>
    <row r="163" s="136" customFormat="1"/>
    <row r="164" s="136" customFormat="1"/>
    <row r="165" s="136" customFormat="1"/>
    <row r="166" s="136" customFormat="1"/>
    <row r="167" s="136" customFormat="1"/>
    <row r="168" s="136" customFormat="1"/>
    <row r="169" s="136" customFormat="1"/>
    <row r="170" s="136" customFormat="1"/>
    <row r="171" s="136" customFormat="1"/>
    <row r="172" s="136" customFormat="1"/>
    <row r="173" s="136" customFormat="1"/>
    <row r="174" s="136" customFormat="1"/>
    <row r="175" s="136" customFormat="1"/>
    <row r="176" s="136" customFormat="1"/>
    <row r="177" s="136" customFormat="1"/>
    <row r="178" s="136" customFormat="1"/>
    <row r="179" s="136" customFormat="1"/>
    <row r="180" s="136" customFormat="1"/>
    <row r="181" s="136" customFormat="1"/>
    <row r="182" s="136" customFormat="1"/>
    <row r="183" s="136" customFormat="1"/>
    <row r="184" s="136" customFormat="1"/>
    <row r="185" s="136" customFormat="1"/>
    <row r="186" s="136" customFormat="1"/>
    <row r="187" s="136" customFormat="1"/>
    <row r="188" s="136" customFormat="1"/>
    <row r="189" s="136" customFormat="1"/>
    <row r="190" s="136" customFormat="1"/>
    <row r="191" s="136" customFormat="1"/>
    <row r="192" s="136" customFormat="1"/>
    <row r="193" s="136" customFormat="1"/>
    <row r="194" s="136" customFormat="1"/>
    <row r="195" s="136" customFormat="1"/>
    <row r="196" s="136" customFormat="1"/>
    <row r="197" s="136" customFormat="1"/>
    <row r="198" s="136" customFormat="1"/>
    <row r="199" s="136" customFormat="1"/>
    <row r="200" s="136" customFormat="1"/>
    <row r="201" s="136" customFormat="1"/>
    <row r="202" s="136" customFormat="1"/>
    <row r="203" s="136" customFormat="1"/>
    <row r="204" s="136" customFormat="1"/>
    <row r="205" s="136" customFormat="1"/>
    <row r="206" s="136" customFormat="1"/>
    <row r="207" s="136" customFormat="1"/>
    <row r="208" s="136" customFormat="1"/>
    <row r="209" s="136" customFormat="1"/>
    <row r="210" s="136" customFormat="1"/>
    <row r="211" s="136" customFormat="1"/>
    <row r="212" s="136" customFormat="1"/>
    <row r="213" s="136" customFormat="1"/>
    <row r="214" s="136" customFormat="1"/>
    <row r="215" s="136" customFormat="1"/>
    <row r="216" s="136" customFormat="1"/>
    <row r="217" s="136" customFormat="1"/>
    <row r="218" s="136" customFormat="1"/>
    <row r="219" s="136" customFormat="1"/>
    <row r="220" s="136" customFormat="1"/>
    <row r="221" s="136" customFormat="1"/>
    <row r="222" s="136" customFormat="1"/>
    <row r="223" s="136" customFormat="1"/>
    <row r="224" s="136" customFormat="1"/>
    <row r="225" s="136" customFormat="1"/>
    <row r="226" s="136" customFormat="1"/>
    <row r="227" s="136" customFormat="1"/>
    <row r="228" s="136" customFormat="1"/>
    <row r="229" s="136" customFormat="1"/>
    <row r="230" s="136" customFormat="1"/>
    <row r="231" s="136" customFormat="1"/>
    <row r="232" s="136" customFormat="1"/>
    <row r="233" s="136" customFormat="1"/>
    <row r="234" s="136" customFormat="1"/>
    <row r="235" s="136" customFormat="1"/>
    <row r="236" s="136" customFormat="1"/>
    <row r="237" s="136" customFormat="1"/>
    <row r="238" s="136" customFormat="1"/>
    <row r="239" s="136" customFormat="1"/>
    <row r="240" s="136" customFormat="1"/>
    <row r="241" s="136" customFormat="1"/>
    <row r="242" s="136" customFormat="1"/>
    <row r="243" s="136" customFormat="1"/>
    <row r="244" s="136" customFormat="1"/>
    <row r="245" s="136" customFormat="1"/>
    <row r="246" s="136" customFormat="1"/>
    <row r="247" s="136" customFormat="1"/>
    <row r="248" s="136" customFormat="1"/>
    <row r="249" s="136" customFormat="1"/>
    <row r="250" s="136" customFormat="1"/>
    <row r="251" s="136" customFormat="1"/>
    <row r="252" s="136" customFormat="1"/>
    <row r="253" s="136" customFormat="1"/>
    <row r="254" s="136" customFormat="1"/>
    <row r="255" s="136" customFormat="1"/>
    <row r="256" s="136" customFormat="1"/>
    <row r="257" s="136" customFormat="1"/>
    <row r="258" s="136" customFormat="1"/>
    <row r="259" s="136" customFormat="1"/>
    <row r="260" s="136" customFormat="1"/>
    <row r="261" s="136" customFormat="1"/>
    <row r="262" s="136" customFormat="1"/>
    <row r="263" s="136" customFormat="1"/>
    <row r="264" s="136" customFormat="1"/>
    <row r="265" s="136" customFormat="1"/>
    <row r="266" s="136" customFormat="1"/>
    <row r="267" s="136" customFormat="1"/>
    <row r="268" s="136" customFormat="1"/>
    <row r="269" s="136" customFormat="1"/>
    <row r="270" s="136" customFormat="1"/>
    <row r="271" s="136" customFormat="1"/>
    <row r="272" s="136" customFormat="1"/>
    <row r="273" s="136" customFormat="1"/>
    <row r="274" s="136" customFormat="1"/>
    <row r="275" s="136" customFormat="1"/>
    <row r="276" s="136" customFormat="1"/>
    <row r="277" s="136" customFormat="1"/>
    <row r="278" s="136" customFormat="1"/>
    <row r="279" s="136" customFormat="1"/>
    <row r="280" s="136" customFormat="1"/>
    <row r="281" s="136" customFormat="1"/>
    <row r="282" s="136" customFormat="1"/>
    <row r="283" s="136" customFormat="1"/>
    <row r="284" s="136" customFormat="1"/>
    <row r="285" s="136" customFormat="1"/>
    <row r="286" s="136" customFormat="1"/>
    <row r="287" s="136" customFormat="1"/>
    <row r="288" s="136" customFormat="1"/>
    <row r="289" s="136" customFormat="1"/>
    <row r="290" s="136" customFormat="1"/>
    <row r="291" s="136" customFormat="1"/>
    <row r="292" s="136" customFormat="1"/>
    <row r="293" s="136" customFormat="1"/>
    <row r="294" s="136" customFormat="1"/>
    <row r="295" s="136" customFormat="1"/>
    <row r="296" s="136" customFormat="1"/>
    <row r="297" s="136" customFormat="1"/>
    <row r="298" s="136" customFormat="1"/>
    <row r="299" s="136" customFormat="1"/>
    <row r="300" s="136" customFormat="1"/>
    <row r="301" s="136" customFormat="1"/>
    <row r="302" s="136" customFormat="1"/>
    <row r="303" s="136" customFormat="1"/>
    <row r="304" s="136" customFormat="1"/>
    <row r="305" s="136" customFormat="1"/>
    <row r="306" s="136" customFormat="1"/>
    <row r="307" s="136" customFormat="1"/>
    <row r="308" s="136" customFormat="1"/>
    <row r="309" s="136" customFormat="1"/>
    <row r="310" s="136" customFormat="1"/>
    <row r="311" s="136" customFormat="1"/>
    <row r="312" s="136" customFormat="1"/>
    <row r="313" s="136" customFormat="1"/>
    <row r="314" s="136" customFormat="1"/>
    <row r="315" s="136" customFormat="1"/>
    <row r="316" s="136" customFormat="1"/>
    <row r="317" s="136" customFormat="1"/>
    <row r="318" s="136" customFormat="1"/>
    <row r="319" s="136" customFormat="1"/>
    <row r="320" s="136" customFormat="1"/>
    <row r="321" s="136" customFormat="1"/>
    <row r="322" s="136" customFormat="1"/>
    <row r="323" s="136" customFormat="1"/>
    <row r="324" s="136" customFormat="1"/>
    <row r="325" s="136" customFormat="1"/>
    <row r="326" s="136" customFormat="1"/>
    <row r="327" s="136" customFormat="1"/>
    <row r="328" s="136" customFormat="1"/>
    <row r="329" s="136" customFormat="1"/>
    <row r="330" s="136" customFormat="1"/>
    <row r="331" s="136" customFormat="1"/>
    <row r="332" s="136" customFormat="1"/>
    <row r="333" s="136" customFormat="1"/>
    <row r="334" s="136" customFormat="1"/>
    <row r="335" s="136" customFormat="1"/>
    <row r="336" s="136" customFormat="1"/>
    <row r="337" s="136" customFormat="1"/>
    <row r="338" s="136" customFormat="1"/>
    <row r="339" s="136" customFormat="1"/>
    <row r="340" s="136" customFormat="1"/>
    <row r="341" s="136" customFormat="1"/>
    <row r="342" s="136" customFormat="1"/>
    <row r="343" s="136" customFormat="1"/>
    <row r="344" s="136" customFormat="1"/>
    <row r="345" s="136" customFormat="1"/>
    <row r="346" s="136" customFormat="1"/>
    <row r="347" s="136" customFormat="1"/>
    <row r="348" s="136" customFormat="1"/>
    <row r="349" s="136" customFormat="1"/>
    <row r="350" s="136" customFormat="1"/>
    <row r="351" s="136" customFormat="1"/>
    <row r="352" s="136" customFormat="1"/>
    <row r="353" s="136" customFormat="1"/>
    <row r="354" s="136" customFormat="1"/>
    <row r="355" s="136" customFormat="1"/>
    <row r="356" s="136" customFormat="1"/>
    <row r="357" s="136" customFormat="1"/>
    <row r="358" s="136" customFormat="1"/>
    <row r="359" s="136" customFormat="1"/>
    <row r="360" s="136" customFormat="1"/>
    <row r="361" s="136" customFormat="1"/>
    <row r="362" s="136" customFormat="1"/>
    <row r="363" s="136" customFormat="1"/>
    <row r="364" s="136" customFormat="1"/>
    <row r="365" s="136" customFormat="1"/>
    <row r="366" s="136" customFormat="1"/>
    <row r="367" s="136" customFormat="1"/>
    <row r="368" s="136" customFormat="1"/>
    <row r="369" s="136" customFormat="1"/>
    <row r="370" s="136" customFormat="1"/>
    <row r="371" s="136" customFormat="1"/>
    <row r="372" s="136" customFormat="1"/>
    <row r="373" s="136" customFormat="1"/>
    <row r="374" s="136" customFormat="1"/>
    <row r="375" s="136" customFormat="1"/>
    <row r="376" s="136" customFormat="1"/>
    <row r="377" s="136" customFormat="1"/>
    <row r="378" s="136" customFormat="1"/>
    <row r="379" s="136" customFormat="1"/>
    <row r="380" s="136" customFormat="1"/>
    <row r="381" s="136" customFormat="1"/>
    <row r="382" s="136" customFormat="1"/>
    <row r="383" s="136" customFormat="1"/>
    <row r="384" s="136" customFormat="1"/>
    <row r="385" s="136" customFormat="1"/>
    <row r="386" s="136" customFormat="1"/>
    <row r="387" s="136" customFormat="1"/>
    <row r="388" s="136" customFormat="1"/>
    <row r="389" s="136" customFormat="1"/>
    <row r="390" s="136" customFormat="1"/>
    <row r="391" s="136" customFormat="1"/>
    <row r="392" s="136" customFormat="1"/>
    <row r="393" s="136" customFormat="1"/>
    <row r="394" s="136" customFormat="1"/>
    <row r="395" s="136" customFormat="1"/>
    <row r="396" s="136" customFormat="1"/>
    <row r="397" s="136" customFormat="1"/>
    <row r="398" s="136" customFormat="1"/>
    <row r="399" s="136" customFormat="1"/>
    <row r="400" s="136" customFormat="1"/>
    <row r="401" s="136" customFormat="1"/>
    <row r="402" s="136" customFormat="1"/>
    <row r="403" s="136" customFormat="1"/>
    <row r="404" s="136" customFormat="1"/>
    <row r="405" s="136" customFormat="1"/>
    <row r="406" s="136" customFormat="1"/>
    <row r="407" s="136" customFormat="1"/>
    <row r="408" s="136" customFormat="1"/>
    <row r="409" s="136" customFormat="1"/>
    <row r="410" s="136" customFormat="1"/>
    <row r="411" s="136" customFormat="1"/>
    <row r="412" s="136" customFormat="1"/>
    <row r="413" s="136" customFormat="1"/>
    <row r="414" s="136" customFormat="1"/>
    <row r="415" s="136" customFormat="1"/>
    <row r="416" s="136" customFormat="1"/>
    <row r="417" s="136" customFormat="1"/>
    <row r="418" s="136" customFormat="1"/>
    <row r="419" s="136" customFormat="1"/>
    <row r="420" s="136" customFormat="1"/>
    <row r="421" s="136" customFormat="1"/>
    <row r="422" s="136" customFormat="1"/>
    <row r="423" s="136" customFormat="1"/>
    <row r="424" s="136" customFormat="1"/>
    <row r="425" s="136" customFormat="1"/>
    <row r="426" s="136" customFormat="1"/>
    <row r="427" s="136" customFormat="1"/>
    <row r="428" s="136" customFormat="1"/>
    <row r="429" s="136" customFormat="1"/>
    <row r="430" s="136" customFormat="1"/>
    <row r="431" s="136" customFormat="1"/>
    <row r="432" s="136" customFormat="1"/>
    <row r="433" s="136" customFormat="1"/>
    <row r="434" s="136" customFormat="1"/>
    <row r="435" s="136" customFormat="1"/>
    <row r="436" s="136" customFormat="1"/>
    <row r="437" s="136" customFormat="1"/>
    <row r="438" s="136" customFormat="1"/>
    <row r="439" s="136" customFormat="1"/>
    <row r="440" s="136" customFormat="1"/>
    <row r="441" s="136" customFormat="1"/>
    <row r="442" s="136" customFormat="1"/>
    <row r="443" s="136" customFormat="1"/>
    <row r="444" s="136" customFormat="1"/>
    <row r="445" s="136" customFormat="1"/>
    <row r="446" s="136" customFormat="1"/>
    <row r="447" s="136" customFormat="1"/>
    <row r="448" s="136" customFormat="1"/>
    <row r="449" spans="1:5" s="136" customFormat="1"/>
    <row r="450" spans="1:5" s="136" customFormat="1"/>
    <row r="451" spans="1:5" s="136" customFormat="1"/>
    <row r="452" spans="1:5" s="136" customFormat="1"/>
    <row r="453" spans="1:5" s="136" customFormat="1"/>
    <row r="454" spans="1:5" s="136" customFormat="1"/>
    <row r="455" spans="1:5" s="136" customFormat="1"/>
    <row r="456" spans="1:5" s="136" customFormat="1"/>
    <row r="457" spans="1:5" s="136" customFormat="1">
      <c r="A457"/>
      <c r="B457"/>
      <c r="C457"/>
      <c r="D457"/>
      <c r="E457"/>
    </row>
  </sheetData>
  <mergeCells count="12">
    <mergeCell ref="B11:C11"/>
    <mergeCell ref="D1:E1"/>
    <mergeCell ref="A3:C3"/>
    <mergeCell ref="D3:E3"/>
    <mergeCell ref="A4:C4"/>
    <mergeCell ref="D4:E4"/>
    <mergeCell ref="D2:E2"/>
    <mergeCell ref="A8:D8"/>
    <mergeCell ref="B9:C9"/>
    <mergeCell ref="E8:H8"/>
    <mergeCell ref="F9:G9"/>
    <mergeCell ref="D5:E5"/>
  </mergeCells>
  <conditionalFormatting sqref="B9:C9">
    <cfRule type="containsText" dxfId="11" priority="1" operator="containsText" text="HOLD">
      <formula>NOT(ISERROR(SEARCH("HOLD",B9)))</formula>
    </cfRule>
    <cfRule type="containsText" dxfId="10" priority="2" operator="containsText" text="BUY">
      <formula>NOT(ISERROR(SEARCH("BUY",B9)))</formula>
    </cfRule>
    <cfRule type="containsText" dxfId="9" priority="3" operator="containsText" text="SELL">
      <formula>NOT(ISERROR(SEARCH("SELL",B9)))</formula>
    </cfRule>
  </conditionalFormatting>
  <dataValidations count="3">
    <dataValidation type="list" showInputMessage="1" showErrorMessage="1" sqref="D5" xr:uid="{00000000-0002-0000-0100-000000000000}">
      <formula1>"000's,Million"</formula1>
    </dataValidation>
    <dataValidation type="custom" allowBlank="1" showInputMessage="1" showErrorMessage="1" errorTitle="Invalid Date Range" error="Please note that this worksheet can accomodate up to ten-years worth of historical data. Please adjust earliest and latest statement years accordingly." promptTitle="Date Range" prompt="This worksheet can accomodate up to ten-years worth of annual data." sqref="D4" xr:uid="{00000000-0002-0000-0100-000001000000}">
      <formula1>Latest-Earliest&lt;10</formula1>
    </dataValidation>
    <dataValidation type="custom" allowBlank="1" showInputMessage="1" showErrorMessage="1" errorTitle="Invalid Date Range" error="Please note that this worksheet can accomodate up to ten-years worth of historical data.  Please adjust the earliest and latest statement dates accordingly." promptTitle="Date Range" prompt="This worksheet can accomodate up to ten-years of historical data." sqref="D3" xr:uid="{00000000-0002-0000-0100-000002000000}">
      <formula1>Latest-Earliest&lt;10</formula1>
    </dataValidation>
  </dataValidations>
  <pageMargins left="0.7" right="0.7" top="0.75" bottom="0.75" header="0.3" footer="0.3"/>
  <pageSetup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C12"/>
  <sheetViews>
    <sheetView workbookViewId="0">
      <selection activeCell="C27" sqref="C27"/>
    </sheetView>
  </sheetViews>
  <sheetFormatPr baseColWidth="10" defaultColWidth="11" defaultRowHeight="16"/>
  <cols>
    <col min="1" max="1" width="28" bestFit="1" customWidth="1"/>
    <col min="3" max="3" width="32" bestFit="1" customWidth="1"/>
  </cols>
  <sheetData>
    <row r="1" spans="1:3">
      <c r="A1" s="244" t="s">
        <v>389</v>
      </c>
      <c r="B1" s="244" t="s">
        <v>183</v>
      </c>
      <c r="C1" s="244" t="s">
        <v>388</v>
      </c>
    </row>
    <row r="2" spans="1:3">
      <c r="A2" s="462" t="s">
        <v>184</v>
      </c>
      <c r="B2" s="416">
        <f>AVERAGE('Ratio Analysis'!H54:L54)</f>
        <v>0.43856386242841899</v>
      </c>
      <c r="C2" s="461" t="s">
        <v>313</v>
      </c>
    </row>
    <row r="3" spans="1:3" ht="68">
      <c r="A3" s="462" t="s">
        <v>185</v>
      </c>
      <c r="B3" s="416">
        <f>'Sales Growth - I'!G6</f>
        <v>8.0274130015890871E-2</v>
      </c>
      <c r="C3" s="463" t="s">
        <v>402</v>
      </c>
    </row>
    <row r="4" spans="1:3">
      <c r="A4" s="462" t="s">
        <v>301</v>
      </c>
      <c r="B4" s="416">
        <f>B5/(1-B2)</f>
        <v>4.2321559472903392E-2</v>
      </c>
      <c r="C4" s="487" t="s">
        <v>390</v>
      </c>
    </row>
    <row r="5" spans="1:3" ht="32" customHeight="1">
      <c r="A5" s="462" t="s">
        <v>421</v>
      </c>
      <c r="B5" s="416">
        <f>'Cost of Debt Rd'!B22</f>
        <v>2.3760852886472839E-2</v>
      </c>
      <c r="C5" s="488"/>
    </row>
    <row r="6" spans="1:3">
      <c r="A6" s="462" t="s">
        <v>79</v>
      </c>
      <c r="B6" s="416">
        <f>WACC!B28</f>
        <v>7.8926736406229714E-2</v>
      </c>
      <c r="C6" s="461" t="s">
        <v>418</v>
      </c>
    </row>
    <row r="7" spans="1:3">
      <c r="A7" s="462" t="s">
        <v>300</v>
      </c>
      <c r="B7" s="437">
        <v>0.06</v>
      </c>
      <c r="C7" s="461" t="s">
        <v>417</v>
      </c>
    </row>
    <row r="8" spans="1:3">
      <c r="A8" s="462" t="s">
        <v>422</v>
      </c>
      <c r="B8" s="416">
        <f>'CAPM Re'!K5</f>
        <v>2.3089999999999999E-2</v>
      </c>
      <c r="C8" s="464" t="s">
        <v>423</v>
      </c>
    </row>
    <row r="9" spans="1:3">
      <c r="A9" s="462" t="s">
        <v>213</v>
      </c>
      <c r="B9" s="165">
        <f>'Beta Estimation - II'!N12</f>
        <v>1.1317437491647382</v>
      </c>
      <c r="C9" s="461" t="s">
        <v>392</v>
      </c>
    </row>
    <row r="10" spans="1:3">
      <c r="A10" s="462" t="s">
        <v>212</v>
      </c>
      <c r="B10" s="256">
        <f>'CAPM Re'!K10</f>
        <v>0.1749814480787924</v>
      </c>
      <c r="C10" s="461" t="s">
        <v>391</v>
      </c>
    </row>
    <row r="11" spans="1:3">
      <c r="A11" s="462" t="s">
        <v>420</v>
      </c>
      <c r="B11" s="256">
        <f>'Cost of Equity'!B13</f>
        <v>0.12616647127784292</v>
      </c>
      <c r="C11" s="461" t="s">
        <v>419</v>
      </c>
    </row>
    <row r="12" spans="1:3">
      <c r="A12" s="462" t="s">
        <v>214</v>
      </c>
      <c r="B12" s="164">
        <f>'Proforma &amp; Valuation'!B134</f>
        <v>32.167182533924304</v>
      </c>
      <c r="C12" s="461"/>
    </row>
  </sheetData>
  <mergeCells count="1">
    <mergeCell ref="C4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O45"/>
  <sheetViews>
    <sheetView workbookViewId="0">
      <selection activeCell="I49" sqref="I49"/>
    </sheetView>
  </sheetViews>
  <sheetFormatPr baseColWidth="10" defaultColWidth="10.83203125" defaultRowHeight="16"/>
  <cols>
    <col min="1" max="1" width="63.1640625" style="19" bestFit="1" customWidth="1"/>
    <col min="2" max="6" width="13.5" style="19" bestFit="1" customWidth="1"/>
    <col min="7" max="7" width="16" style="19" bestFit="1" customWidth="1"/>
    <col min="8" max="10" width="15" style="19" bestFit="1" customWidth="1"/>
    <col min="11" max="11" width="17" style="19" bestFit="1" customWidth="1"/>
    <col min="12" max="13" width="10.83203125" style="19"/>
    <col min="14" max="14" width="14.83203125" style="19" bestFit="1" customWidth="1"/>
    <col min="15" max="16384" width="10.83203125" style="19"/>
  </cols>
  <sheetData>
    <row r="1" spans="1:15" s="20" customFormat="1">
      <c r="A1" s="239" t="str">
        <f>IF(Units="Million","USD in Million except per share data","USD in Thousand except per share data")</f>
        <v>USD in Thousand except per share data</v>
      </c>
      <c r="B1" s="236">
        <f>IF(EarliestYear&lt;&gt;"",EarliestYear,"")</f>
        <v>2006</v>
      </c>
      <c r="C1" s="236">
        <f t="shared" ref="C1:K1" si="0">IF(LatestYear&gt;B1,B1+1,"")</f>
        <v>2007</v>
      </c>
      <c r="D1" s="236">
        <f t="shared" si="0"/>
        <v>2008</v>
      </c>
      <c r="E1" s="236">
        <f t="shared" si="0"/>
        <v>2009</v>
      </c>
      <c r="F1" s="236">
        <f t="shared" si="0"/>
        <v>2010</v>
      </c>
      <c r="G1" s="236">
        <f t="shared" si="0"/>
        <v>2011</v>
      </c>
      <c r="H1" s="236">
        <f t="shared" si="0"/>
        <v>2012</v>
      </c>
      <c r="I1" s="236">
        <f t="shared" si="0"/>
        <v>2013</v>
      </c>
      <c r="J1" s="236">
        <f t="shared" si="0"/>
        <v>2014</v>
      </c>
      <c r="K1" s="236">
        <f t="shared" si="0"/>
        <v>2015</v>
      </c>
      <c r="L1" s="236" t="s">
        <v>192</v>
      </c>
    </row>
    <row r="2" spans="1:15" s="20" customFormat="1">
      <c r="A2" s="94" t="s">
        <v>205</v>
      </c>
      <c r="B2" s="95">
        <f>SUM(B3:B6)</f>
        <v>188523000</v>
      </c>
      <c r="C2" s="96">
        <f t="shared" ref="C2" si="1">SUM(C3:C6)</f>
        <v>194495000</v>
      </c>
      <c r="D2" s="96">
        <f t="shared" ref="D2" si="2">SUM(D3:D6)</f>
        <v>246182000</v>
      </c>
      <c r="E2" s="96">
        <f t="shared" ref="E2" si="3">SUM(E3:E6)</f>
        <v>152390000</v>
      </c>
      <c r="F2" s="96">
        <f t="shared" ref="F2" si="4">SUM(F3:F6)</f>
        <v>198655000</v>
      </c>
      <c r="G2" s="96">
        <f>SUM(G3:G6)</f>
        <v>251226000</v>
      </c>
      <c r="H2" s="95">
        <f>SUM(H3:H6)</f>
        <v>62004000</v>
      </c>
      <c r="I2" s="95">
        <f>SUM(I3:I6)</f>
        <v>58248000</v>
      </c>
      <c r="J2" s="95">
        <f t="shared" ref="J2" si="5">SUM(J3:J6)</f>
        <v>55517000</v>
      </c>
      <c r="K2" s="95">
        <f>SUM(K3:K6)</f>
        <v>30935000</v>
      </c>
      <c r="L2" s="39" t="s">
        <v>385</v>
      </c>
    </row>
    <row r="3" spans="1:15" s="100" customFormat="1">
      <c r="A3" s="97" t="s">
        <v>66</v>
      </c>
      <c r="B3" s="201">
        <v>183650000</v>
      </c>
      <c r="C3" s="202">
        <v>187437000</v>
      </c>
      <c r="D3" s="202">
        <v>240842000</v>
      </c>
      <c r="E3" s="202">
        <v>149341000</v>
      </c>
      <c r="F3" s="202">
        <v>189441000</v>
      </c>
      <c r="G3" s="202">
        <v>244813000</v>
      </c>
      <c r="H3" s="201">
        <v>57967000</v>
      </c>
      <c r="I3" s="201">
        <v>54413000</v>
      </c>
      <c r="J3" s="201">
        <v>52524000</v>
      </c>
      <c r="K3" s="201">
        <v>29564000</v>
      </c>
      <c r="L3" s="99"/>
    </row>
    <row r="4" spans="1:15">
      <c r="A4" s="97" t="s">
        <v>50</v>
      </c>
      <c r="B4" s="201">
        <v>4188000</v>
      </c>
      <c r="C4" s="202">
        <v>5087000</v>
      </c>
      <c r="D4" s="202">
        <v>4250000</v>
      </c>
      <c r="E4" s="202">
        <v>2531000</v>
      </c>
      <c r="F4" s="202">
        <v>3133000</v>
      </c>
      <c r="G4" s="202">
        <v>4077000</v>
      </c>
      <c r="H4" s="201">
        <v>1911000</v>
      </c>
      <c r="I4" s="201">
        <v>2219000</v>
      </c>
      <c r="J4" s="201">
        <v>2529000</v>
      </c>
      <c r="K4" s="201">
        <v>655000</v>
      </c>
      <c r="L4" s="28"/>
    </row>
    <row r="5" spans="1:15">
      <c r="A5" s="97" t="s">
        <v>51</v>
      </c>
      <c r="B5" s="201">
        <v>0</v>
      </c>
      <c r="C5" s="202">
        <v>0</v>
      </c>
      <c r="D5" s="202">
        <v>0</v>
      </c>
      <c r="E5" s="202">
        <v>160000</v>
      </c>
      <c r="F5" s="202">
        <v>5803000</v>
      </c>
      <c r="G5" s="202">
        <v>2007000</v>
      </c>
      <c r="H5" s="201">
        <v>1657000</v>
      </c>
      <c r="I5" s="201">
        <v>1242000</v>
      </c>
      <c r="J5" s="201">
        <v>98000</v>
      </c>
      <c r="K5" s="201">
        <v>591000</v>
      </c>
      <c r="L5" s="28"/>
    </row>
    <row r="6" spans="1:15">
      <c r="A6" s="97" t="s">
        <v>52</v>
      </c>
      <c r="B6" s="201">
        <v>685000</v>
      </c>
      <c r="C6" s="202">
        <v>1971000</v>
      </c>
      <c r="D6" s="202">
        <v>1090000</v>
      </c>
      <c r="E6" s="202">
        <v>358000</v>
      </c>
      <c r="F6" s="202">
        <v>278000</v>
      </c>
      <c r="G6" s="202">
        <v>329000</v>
      </c>
      <c r="H6" s="201">
        <v>469000</v>
      </c>
      <c r="I6" s="201">
        <v>374000</v>
      </c>
      <c r="J6" s="201">
        <v>366000</v>
      </c>
      <c r="K6" s="201">
        <v>125000</v>
      </c>
      <c r="L6" s="28"/>
    </row>
    <row r="7" spans="1:15">
      <c r="A7" s="94" t="s">
        <v>67</v>
      </c>
      <c r="B7" s="63">
        <f t="shared" ref="B7" si="6">SUM(B8:B10)</f>
        <v>130146000</v>
      </c>
      <c r="C7" s="101">
        <f t="shared" ref="C7" si="7">SUM(C8:C10)</f>
        <v>135119000</v>
      </c>
      <c r="D7" s="101">
        <f t="shared" ref="D7" si="8">SUM(D8:D10)</f>
        <v>181818000</v>
      </c>
      <c r="E7" s="101">
        <f t="shared" ref="E7" si="9">SUM(E8:E10)</f>
        <v>113954000</v>
      </c>
      <c r="F7" s="101">
        <f t="shared" ref="F7" si="10">SUM(F8:F10)</f>
        <v>147541000</v>
      </c>
      <c r="G7" s="101">
        <f>SUM(G8:G10)</f>
        <v>197703000</v>
      </c>
      <c r="H7" s="63">
        <f>SUM(H8:H10)</f>
        <v>33525000</v>
      </c>
      <c r="I7" s="63">
        <f>SUM(I8:I10)</f>
        <v>31113000</v>
      </c>
      <c r="J7" s="63">
        <f t="shared" ref="J7" si="11">SUM(J8:J10)</f>
        <v>33053000</v>
      </c>
      <c r="K7" s="63">
        <f>SUM(K8:K10)</f>
        <v>23634000</v>
      </c>
      <c r="L7" s="28" t="s">
        <v>385</v>
      </c>
    </row>
    <row r="8" spans="1:15">
      <c r="A8" s="97" t="s">
        <v>244</v>
      </c>
      <c r="B8" s="201">
        <v>118899000</v>
      </c>
      <c r="C8" s="202">
        <v>123429000</v>
      </c>
      <c r="D8" s="202">
        <v>168663000</v>
      </c>
      <c r="E8" s="202">
        <v>102433000</v>
      </c>
      <c r="F8" s="202">
        <v>135751000</v>
      </c>
      <c r="G8" s="202">
        <v>185867000</v>
      </c>
      <c r="H8" s="201">
        <v>25232000</v>
      </c>
      <c r="I8" s="201">
        <v>22643000</v>
      </c>
      <c r="J8" s="201">
        <v>22099000</v>
      </c>
      <c r="K8" s="201">
        <v>12426000</v>
      </c>
      <c r="L8" s="28"/>
      <c r="N8" s="439"/>
    </row>
    <row r="9" spans="1:15">
      <c r="A9" s="97" t="s">
        <v>245</v>
      </c>
      <c r="B9" s="201">
        <v>10413000</v>
      </c>
      <c r="C9" s="202">
        <v>10683000</v>
      </c>
      <c r="D9" s="202">
        <v>11818000</v>
      </c>
      <c r="E9" s="202">
        <v>10339000</v>
      </c>
      <c r="F9" s="202">
        <v>10635000</v>
      </c>
      <c r="G9" s="202">
        <v>10770000</v>
      </c>
      <c r="H9" s="201">
        <v>6793000</v>
      </c>
      <c r="I9" s="201">
        <v>7238000</v>
      </c>
      <c r="J9" s="201">
        <f>8909000</f>
        <v>8909000</v>
      </c>
      <c r="K9" s="201">
        <v>7016000</v>
      </c>
      <c r="L9" s="28"/>
      <c r="N9" s="439"/>
      <c r="O9" s="167"/>
    </row>
    <row r="10" spans="1:15">
      <c r="A10" s="97" t="s">
        <v>69</v>
      </c>
      <c r="B10" s="201">
        <v>834000</v>
      </c>
      <c r="C10" s="202">
        <v>1007000</v>
      </c>
      <c r="D10" s="202">
        <v>1337000</v>
      </c>
      <c r="E10" s="202">
        <v>1182000</v>
      </c>
      <c r="F10" s="202">
        <v>1155000</v>
      </c>
      <c r="G10" s="202">
        <v>1066000</v>
      </c>
      <c r="H10" s="201">
        <v>1500000</v>
      </c>
      <c r="I10" s="201">
        <v>1232000</v>
      </c>
      <c r="J10" s="201">
        <v>2045000</v>
      </c>
      <c r="K10" s="201">
        <v>4192000</v>
      </c>
      <c r="L10" s="28"/>
      <c r="N10" s="439"/>
    </row>
    <row r="11" spans="1:15">
      <c r="A11" s="94" t="s">
        <v>65</v>
      </c>
      <c r="B11" s="63">
        <f t="shared" ref="B11:I11" si="12">B2-B7</f>
        <v>58377000</v>
      </c>
      <c r="C11" s="101">
        <f t="shared" si="12"/>
        <v>59376000</v>
      </c>
      <c r="D11" s="101">
        <f t="shared" si="12"/>
        <v>64364000</v>
      </c>
      <c r="E11" s="101">
        <f t="shared" si="12"/>
        <v>38436000</v>
      </c>
      <c r="F11" s="101">
        <f t="shared" si="12"/>
        <v>51114000</v>
      </c>
      <c r="G11" s="101">
        <f t="shared" si="12"/>
        <v>53523000</v>
      </c>
      <c r="H11" s="63">
        <f t="shared" si="12"/>
        <v>28479000</v>
      </c>
      <c r="I11" s="63">
        <f t="shared" si="12"/>
        <v>27135000</v>
      </c>
      <c r="J11" s="63">
        <f t="shared" ref="J11" si="13">J2-J7</f>
        <v>22464000</v>
      </c>
      <c r="K11" s="63">
        <f>K2-K7</f>
        <v>7301000</v>
      </c>
      <c r="L11" s="28" t="s">
        <v>385</v>
      </c>
    </row>
    <row r="12" spans="1:15">
      <c r="A12" s="102" t="s">
        <v>68</v>
      </c>
      <c r="B12" s="58"/>
      <c r="C12" s="98"/>
      <c r="D12" s="98"/>
      <c r="E12" s="98"/>
      <c r="F12" s="98"/>
      <c r="G12" s="98"/>
      <c r="H12" s="58"/>
      <c r="I12" s="58"/>
      <c r="J12" s="58"/>
      <c r="K12" s="58"/>
      <c r="L12" s="28"/>
      <c r="N12" s="180"/>
    </row>
    <row r="13" spans="1:15">
      <c r="A13" s="103" t="s">
        <v>164</v>
      </c>
      <c r="B13" s="201">
        <v>2476000</v>
      </c>
      <c r="C13" s="202">
        <v>2306000</v>
      </c>
      <c r="D13" s="202">
        <v>2229000</v>
      </c>
      <c r="E13" s="202">
        <v>1830000</v>
      </c>
      <c r="F13" s="202">
        <v>2005000</v>
      </c>
      <c r="G13" s="202">
        <v>2078000</v>
      </c>
      <c r="H13" s="201">
        <v>1106000</v>
      </c>
      <c r="I13" s="201">
        <v>854000</v>
      </c>
      <c r="J13" s="201">
        <v>735000</v>
      </c>
      <c r="K13" s="201">
        <v>953000</v>
      </c>
      <c r="L13" s="28"/>
      <c r="N13" s="167"/>
    </row>
    <row r="14" spans="1:15">
      <c r="A14" s="103" t="s">
        <v>165</v>
      </c>
      <c r="B14" s="201">
        <v>7284000</v>
      </c>
      <c r="C14" s="202">
        <v>8298000</v>
      </c>
      <c r="D14" s="202">
        <v>9012000</v>
      </c>
      <c r="E14" s="202">
        <v>9295000</v>
      </c>
      <c r="F14" s="202">
        <v>9060000</v>
      </c>
      <c r="G14" s="202">
        <v>7934000</v>
      </c>
      <c r="H14" s="201">
        <v>6580000</v>
      </c>
      <c r="I14" s="201">
        <v>7434000</v>
      </c>
      <c r="J14" s="201">
        <v>8329000</v>
      </c>
      <c r="K14" s="201">
        <v>9113000</v>
      </c>
      <c r="L14" s="28"/>
    </row>
    <row r="15" spans="1:15">
      <c r="A15" s="103" t="s">
        <v>166</v>
      </c>
      <c r="B15" s="58">
        <f t="shared" ref="B15" si="14">SUM(B16:B19)</f>
        <v>19121000</v>
      </c>
      <c r="C15" s="98">
        <f t="shared" ref="C15" si="15">SUM(C16:C19)</f>
        <v>24160000</v>
      </c>
      <c r="D15" s="98">
        <f>SUM(D16:D19)+25443000+7410000</f>
        <v>55711000</v>
      </c>
      <c r="E15" s="98">
        <f t="shared" ref="E15" si="16">SUM(E16:E19)</f>
        <v>16440000</v>
      </c>
      <c r="F15" s="98">
        <f t="shared" ref="F15" si="17">SUM(F16:F19)</f>
        <v>19112000</v>
      </c>
      <c r="G15" s="98">
        <f>SUM(G16:G19)</f>
        <v>19538000</v>
      </c>
      <c r="H15" s="58">
        <f>SUM(H16:H19)</f>
        <v>4661000</v>
      </c>
      <c r="I15" s="58">
        <f>SUM(I16:I19)</f>
        <v>3789000</v>
      </c>
      <c r="J15" s="58">
        <f t="shared" ref="J15" si="18">SUM(J16:J19)</f>
        <v>3362000</v>
      </c>
      <c r="K15" s="58">
        <f>SUM(K16:K19)</f>
        <v>3554000</v>
      </c>
      <c r="L15" s="28"/>
    </row>
    <row r="16" spans="1:15">
      <c r="A16" s="104" t="s">
        <v>54</v>
      </c>
      <c r="B16" s="201">
        <v>683000</v>
      </c>
      <c r="C16" s="202">
        <f>4588000+442000</f>
        <v>5030000</v>
      </c>
      <c r="D16" s="202">
        <f>1686000</f>
        <v>1686000</v>
      </c>
      <c r="E16" s="202">
        <v>535000</v>
      </c>
      <c r="F16" s="202">
        <v>1780000</v>
      </c>
      <c r="G16" s="202">
        <v>792000</v>
      </c>
      <c r="H16" s="201">
        <v>680000</v>
      </c>
      <c r="I16" s="201">
        <v>529000</v>
      </c>
      <c r="J16" s="201">
        <v>856000</v>
      </c>
      <c r="K16" s="201">
        <v>2245000</v>
      </c>
      <c r="L16" s="28"/>
    </row>
    <row r="17" spans="1:12">
      <c r="A17" s="104" t="s">
        <v>55</v>
      </c>
      <c r="B17" s="201">
        <v>18187000</v>
      </c>
      <c r="C17" s="202">
        <v>18990000</v>
      </c>
      <c r="D17" s="202">
        <v>20637000</v>
      </c>
      <c r="E17" s="202">
        <v>15529000</v>
      </c>
      <c r="F17" s="202">
        <v>16793000</v>
      </c>
      <c r="G17" s="202">
        <v>18307000</v>
      </c>
      <c r="H17" s="201">
        <v>3546000</v>
      </c>
      <c r="I17" s="201">
        <v>2884000</v>
      </c>
      <c r="J17" s="201">
        <v>2088000</v>
      </c>
      <c r="K17" s="201">
        <v>901000</v>
      </c>
      <c r="L17" s="28"/>
    </row>
    <row r="18" spans="1:12">
      <c r="A18" s="104" t="s">
        <v>56</v>
      </c>
      <c r="B18" s="201">
        <v>281000</v>
      </c>
      <c r="C18" s="202">
        <v>341000</v>
      </c>
      <c r="D18" s="202">
        <v>418000</v>
      </c>
      <c r="E18" s="202">
        <v>422000</v>
      </c>
      <c r="F18" s="202">
        <v>447000</v>
      </c>
      <c r="G18" s="202">
        <v>455000</v>
      </c>
      <c r="H18" s="201">
        <v>394000</v>
      </c>
      <c r="I18" s="201">
        <v>434000</v>
      </c>
      <c r="J18" s="201">
        <v>484000</v>
      </c>
      <c r="K18" s="201">
        <v>483000</v>
      </c>
      <c r="L18" s="28"/>
    </row>
    <row r="19" spans="1:12">
      <c r="A19" s="104" t="s">
        <v>246</v>
      </c>
      <c r="B19" s="201">
        <v>-30000</v>
      </c>
      <c r="C19" s="202">
        <v>-201000</v>
      </c>
      <c r="D19" s="202">
        <v>117000</v>
      </c>
      <c r="E19" s="202">
        <v>-46000</v>
      </c>
      <c r="F19" s="202">
        <v>92000</v>
      </c>
      <c r="G19" s="202">
        <v>-16000</v>
      </c>
      <c r="H19" s="201">
        <v>41000</v>
      </c>
      <c r="I19" s="201">
        <v>-58000</v>
      </c>
      <c r="J19" s="201">
        <v>-66000</v>
      </c>
      <c r="K19" s="201">
        <v>-75000</v>
      </c>
      <c r="L19" s="28"/>
    </row>
    <row r="20" spans="1:12">
      <c r="A20" s="94" t="s">
        <v>167</v>
      </c>
      <c r="B20" s="63">
        <f t="shared" ref="B20:I20" si="19">B11-B13-B14-B15</f>
        <v>29496000</v>
      </c>
      <c r="C20" s="101">
        <f t="shared" si="19"/>
        <v>24612000</v>
      </c>
      <c r="D20" s="101">
        <f t="shared" si="19"/>
        <v>-2588000</v>
      </c>
      <c r="E20" s="101">
        <f t="shared" si="19"/>
        <v>10871000</v>
      </c>
      <c r="F20" s="101">
        <f t="shared" si="19"/>
        <v>20937000</v>
      </c>
      <c r="G20" s="101">
        <f t="shared" si="19"/>
        <v>23973000</v>
      </c>
      <c r="H20" s="63">
        <f t="shared" si="19"/>
        <v>16132000</v>
      </c>
      <c r="I20" s="63">
        <f t="shared" si="19"/>
        <v>15058000</v>
      </c>
      <c r="J20" s="63">
        <f t="shared" ref="J20" si="20">J11-J13-J14-J15</f>
        <v>10038000</v>
      </c>
      <c r="K20" s="63">
        <f>K11-K13-K14-K15</f>
        <v>-6319000</v>
      </c>
      <c r="L20" s="28" t="s">
        <v>385</v>
      </c>
    </row>
    <row r="21" spans="1:12">
      <c r="A21" s="94" t="s">
        <v>70</v>
      </c>
      <c r="B21" s="58"/>
      <c r="C21" s="98"/>
      <c r="D21" s="98"/>
      <c r="E21" s="98"/>
      <c r="F21" s="98"/>
      <c r="G21" s="98"/>
      <c r="H21" s="58"/>
      <c r="I21" s="58"/>
      <c r="J21" s="58"/>
      <c r="K21" s="58"/>
      <c r="L21" s="28"/>
    </row>
    <row r="22" spans="1:12">
      <c r="A22" s="105" t="s">
        <v>73</v>
      </c>
      <c r="B22" s="63">
        <f t="shared" ref="B22:I22" si="21">B20</f>
        <v>29496000</v>
      </c>
      <c r="C22" s="101">
        <f t="shared" si="21"/>
        <v>24612000</v>
      </c>
      <c r="D22" s="101">
        <f t="shared" si="21"/>
        <v>-2588000</v>
      </c>
      <c r="E22" s="101">
        <f t="shared" si="21"/>
        <v>10871000</v>
      </c>
      <c r="F22" s="101">
        <f t="shared" si="21"/>
        <v>20937000</v>
      </c>
      <c r="G22" s="101">
        <f t="shared" si="21"/>
        <v>23973000</v>
      </c>
      <c r="H22" s="63">
        <f t="shared" si="21"/>
        <v>16132000</v>
      </c>
      <c r="I22" s="63">
        <f t="shared" si="21"/>
        <v>15058000</v>
      </c>
      <c r="J22" s="63">
        <f t="shared" ref="J22" si="22">J20</f>
        <v>10038000</v>
      </c>
      <c r="K22" s="63">
        <f>K20</f>
        <v>-6319000</v>
      </c>
      <c r="L22" s="28" t="s">
        <v>385</v>
      </c>
    </row>
    <row r="23" spans="1:12">
      <c r="A23" s="103" t="s">
        <v>57</v>
      </c>
      <c r="B23" s="201">
        <v>1087000</v>
      </c>
      <c r="C23" s="202">
        <v>1253000</v>
      </c>
      <c r="D23" s="202">
        <v>935000</v>
      </c>
      <c r="E23" s="202">
        <v>1289000</v>
      </c>
      <c r="F23" s="202">
        <v>1187000</v>
      </c>
      <c r="G23" s="202">
        <v>972000</v>
      </c>
      <c r="H23" s="201">
        <v>709000</v>
      </c>
      <c r="I23" s="201">
        <v>612000</v>
      </c>
      <c r="J23" s="201">
        <v>648000</v>
      </c>
      <c r="K23" s="201">
        <v>920000</v>
      </c>
      <c r="L23" s="28"/>
    </row>
    <row r="24" spans="1:12">
      <c r="A24" s="105" t="s">
        <v>72</v>
      </c>
      <c r="B24" s="63">
        <f>B22-B23</f>
        <v>28409000</v>
      </c>
      <c r="C24" s="101">
        <f>C22-C23</f>
        <v>23359000</v>
      </c>
      <c r="D24" s="101">
        <f>D22-D23</f>
        <v>-3523000</v>
      </c>
      <c r="E24" s="101">
        <f>E22-E23</f>
        <v>9582000</v>
      </c>
      <c r="F24" s="101">
        <f t="shared" ref="F24" si="23">F22-F23</f>
        <v>19750000</v>
      </c>
      <c r="G24" s="101">
        <f>G22-G23</f>
        <v>23001000</v>
      </c>
      <c r="H24" s="63">
        <f>H22-H23</f>
        <v>15423000</v>
      </c>
      <c r="I24" s="63">
        <f>I22-I23</f>
        <v>14446000</v>
      </c>
      <c r="J24" s="63">
        <f>J22-J23</f>
        <v>9390000</v>
      </c>
      <c r="K24" s="63">
        <f>K22-K23</f>
        <v>-7239000</v>
      </c>
      <c r="L24" s="28" t="s">
        <v>385</v>
      </c>
    </row>
    <row r="25" spans="1:12">
      <c r="A25" s="103" t="s">
        <v>58</v>
      </c>
      <c r="B25" s="201">
        <v>12783000</v>
      </c>
      <c r="C25" s="202">
        <v>11381000</v>
      </c>
      <c r="D25" s="202">
        <v>13405000</v>
      </c>
      <c r="E25" s="202">
        <v>5090000</v>
      </c>
      <c r="F25" s="202">
        <v>8333000</v>
      </c>
      <c r="G25" s="202">
        <v>10499000</v>
      </c>
      <c r="H25" s="201">
        <v>7942000</v>
      </c>
      <c r="I25" s="201">
        <v>6409000</v>
      </c>
      <c r="J25" s="201">
        <v>3583000</v>
      </c>
      <c r="K25" s="201">
        <v>-2868000</v>
      </c>
      <c r="L25" s="28"/>
    </row>
    <row r="26" spans="1:12">
      <c r="A26" s="94" t="s">
        <v>71</v>
      </c>
      <c r="B26" s="63">
        <f>B24-B25</f>
        <v>15626000</v>
      </c>
      <c r="C26" s="101">
        <f>C24-C25</f>
        <v>11978000</v>
      </c>
      <c r="D26" s="101">
        <f>D24-D25</f>
        <v>-16928000</v>
      </c>
      <c r="E26" s="101">
        <f>E24-E25</f>
        <v>4492000</v>
      </c>
      <c r="F26" s="101">
        <f t="shared" ref="F26" si="24">F24-F25</f>
        <v>11417000</v>
      </c>
      <c r="G26" s="101">
        <f>G24-G25</f>
        <v>12502000</v>
      </c>
      <c r="H26" s="63">
        <f>H24-H25</f>
        <v>7481000</v>
      </c>
      <c r="I26" s="63">
        <f>I24-I25</f>
        <v>8037000</v>
      </c>
      <c r="J26" s="63">
        <f>J24-J25</f>
        <v>5807000</v>
      </c>
      <c r="K26" s="63">
        <f>K24-K25</f>
        <v>-4371000</v>
      </c>
      <c r="L26" s="28" t="s">
        <v>385</v>
      </c>
    </row>
    <row r="27" spans="1:12">
      <c r="A27" s="102" t="s">
        <v>163</v>
      </c>
      <c r="B27" s="201">
        <v>-76000</v>
      </c>
      <c r="C27" s="202">
        <v>-87000</v>
      </c>
      <c r="D27" s="202">
        <v>-70000</v>
      </c>
      <c r="E27" s="202">
        <v>-78000</v>
      </c>
      <c r="F27" s="202">
        <v>-59000</v>
      </c>
      <c r="G27" s="202">
        <v>-66000</v>
      </c>
      <c r="H27" s="201">
        <v>-70000</v>
      </c>
      <c r="I27" s="201">
        <v>-59000</v>
      </c>
      <c r="J27" s="201">
        <v>-69000</v>
      </c>
      <c r="K27" s="201">
        <v>-57000</v>
      </c>
      <c r="L27" s="28"/>
    </row>
    <row r="28" spans="1:12">
      <c r="A28" s="102" t="s">
        <v>59</v>
      </c>
      <c r="B28" s="201">
        <v>0</v>
      </c>
      <c r="C28" s="202">
        <v>0</v>
      </c>
      <c r="D28" s="202">
        <v>0</v>
      </c>
      <c r="E28" s="202">
        <v>0</v>
      </c>
      <c r="F28" s="202">
        <v>0</v>
      </c>
      <c r="G28" s="202">
        <v>0</v>
      </c>
      <c r="H28" s="201">
        <v>1017000</v>
      </c>
      <c r="I28" s="201">
        <v>1178000</v>
      </c>
      <c r="J28" s="201">
        <v>1131000</v>
      </c>
      <c r="K28" s="201">
        <v>0</v>
      </c>
      <c r="L28" s="28"/>
    </row>
    <row r="29" spans="1:12">
      <c r="A29" s="106" t="s">
        <v>60</v>
      </c>
      <c r="B29" s="107">
        <f>B26+B27+B28</f>
        <v>15550000</v>
      </c>
      <c r="C29" s="108">
        <f>C26+C27+C28</f>
        <v>11891000</v>
      </c>
      <c r="D29" s="108">
        <f>D26+D27+D28</f>
        <v>-16998000</v>
      </c>
      <c r="E29" s="108">
        <f>E26+E27+E28</f>
        <v>4414000</v>
      </c>
      <c r="F29" s="108">
        <f t="shared" ref="F29" si="25">F26+F27+F28</f>
        <v>11358000</v>
      </c>
      <c r="G29" s="108">
        <f>G26+G27+G28</f>
        <v>12436000</v>
      </c>
      <c r="H29" s="107">
        <f>H26+H27+H28</f>
        <v>8428000</v>
      </c>
      <c r="I29" s="107">
        <f>I26+I27+I28</f>
        <v>9156000</v>
      </c>
      <c r="J29" s="107">
        <f>J26+J27+J28</f>
        <v>6869000</v>
      </c>
      <c r="K29" s="107">
        <f>K26+K27+K28</f>
        <v>-4428000</v>
      </c>
      <c r="L29" s="47" t="s">
        <v>385</v>
      </c>
    </row>
    <row r="30" spans="1:12">
      <c r="A30" s="109"/>
      <c r="E30" s="110"/>
      <c r="G30" s="111"/>
      <c r="H30" s="111"/>
      <c r="I30" s="111"/>
      <c r="J30" s="111"/>
      <c r="K30" s="111"/>
    </row>
    <row r="31" spans="1:12">
      <c r="A31" s="112" t="s">
        <v>74</v>
      </c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4"/>
    </row>
    <row r="32" spans="1:12">
      <c r="A32" s="62" t="s">
        <v>75</v>
      </c>
      <c r="B32" s="203">
        <f>B29/B35</f>
        <v>9.8046509985611436</v>
      </c>
      <c r="C32" s="203">
        <f>C29/C35</f>
        <v>7.3220713869632528</v>
      </c>
      <c r="D32" s="203">
        <f>D29/D35</f>
        <v>-11.157701820626061</v>
      </c>
      <c r="E32" s="203">
        <f>E29/E35</f>
        <v>2.9670957550499111</v>
      </c>
      <c r="F32" s="203">
        <f t="shared" ref="F32" si="26">F29/F35</f>
        <v>7.6778000851736934</v>
      </c>
      <c r="G32" s="203">
        <f>G29/G35</f>
        <v>9.0441334220583478</v>
      </c>
      <c r="H32" s="203">
        <f>H29/H35</f>
        <v>6.776014452495942</v>
      </c>
      <c r="I32" s="203">
        <f>I29/I35</f>
        <v>7.4380789674425634</v>
      </c>
      <c r="J32" s="203">
        <f>J29/J35</f>
        <v>5.5514921302002307</v>
      </c>
      <c r="K32" s="203">
        <f>K29/K35</f>
        <v>-3.5654499206469987</v>
      </c>
      <c r="L32" s="28"/>
    </row>
    <row r="33" spans="1:12">
      <c r="A33" s="62" t="s">
        <v>76</v>
      </c>
      <c r="B33" s="203">
        <f>B29/B36</f>
        <v>9.6612054450678144</v>
      </c>
      <c r="C33" s="203">
        <f>C29/C36</f>
        <v>7.2245353507675647</v>
      </c>
      <c r="D33" s="203">
        <f>D29/D36</f>
        <v>-11.157701820626061</v>
      </c>
      <c r="E33" s="203">
        <f>E29/E36</f>
        <v>2.9473667341520611</v>
      </c>
      <c r="F33" s="203">
        <f t="shared" ref="F33" si="27">F29/F36</f>
        <v>7.6173639413923047</v>
      </c>
      <c r="G33" s="203">
        <f>G29/G36</f>
        <v>8.9654675221685523</v>
      </c>
      <c r="H33" s="203">
        <f>H29/H36</f>
        <v>6.7257577849369516</v>
      </c>
      <c r="I33" s="203">
        <f>I29/I36</f>
        <v>7.3850442368666638</v>
      </c>
      <c r="J33" s="203">
        <f>J29/J36</f>
        <v>5.5134473052012938</v>
      </c>
      <c r="K33" s="203">
        <f>K29/K36</f>
        <v>-3.5654499206469987</v>
      </c>
      <c r="L33" s="28"/>
    </row>
    <row r="34" spans="1:12">
      <c r="A34" s="65" t="s">
        <v>77</v>
      </c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8"/>
    </row>
    <row r="35" spans="1:12">
      <c r="A35" s="62" t="s">
        <v>75</v>
      </c>
      <c r="B35" s="205">
        <v>1585982</v>
      </c>
      <c r="C35" s="205">
        <v>1623994</v>
      </c>
      <c r="D35" s="205">
        <v>1523432</v>
      </c>
      <c r="E35" s="205">
        <v>1487650</v>
      </c>
      <c r="F35" s="205">
        <v>1479330</v>
      </c>
      <c r="G35" s="205">
        <v>1375035</v>
      </c>
      <c r="H35" s="205">
        <v>1243799</v>
      </c>
      <c r="I35" s="205">
        <v>1230963</v>
      </c>
      <c r="J35" s="205">
        <v>1237325</v>
      </c>
      <c r="K35" s="205">
        <v>1241919</v>
      </c>
      <c r="L35" s="28"/>
    </row>
    <row r="36" spans="1:12">
      <c r="A36" s="62" t="s">
        <v>76</v>
      </c>
      <c r="B36" s="205">
        <v>1609530</v>
      </c>
      <c r="C36" s="205">
        <v>1645919</v>
      </c>
      <c r="D36" s="205">
        <v>1523432</v>
      </c>
      <c r="E36" s="205">
        <v>1497608</v>
      </c>
      <c r="F36" s="205">
        <v>1491067</v>
      </c>
      <c r="G36" s="205">
        <v>1387100</v>
      </c>
      <c r="H36" s="205">
        <v>1253093</v>
      </c>
      <c r="I36" s="205">
        <v>1239803</v>
      </c>
      <c r="J36" s="205">
        <v>1245863</v>
      </c>
      <c r="K36" s="205">
        <v>1241919</v>
      </c>
      <c r="L36" s="28"/>
    </row>
    <row r="37" spans="1:12">
      <c r="A37" s="65" t="s">
        <v>78</v>
      </c>
      <c r="B37" s="63">
        <f>B22+B14</f>
        <v>36780000</v>
      </c>
      <c r="C37" s="63">
        <f>C22+C14</f>
        <v>32910000</v>
      </c>
      <c r="D37" s="63">
        <f>D22+D14</f>
        <v>6424000</v>
      </c>
      <c r="E37" s="63">
        <f>E22+E14</f>
        <v>20166000</v>
      </c>
      <c r="F37" s="63">
        <f t="shared" ref="F37" si="28">F22+F14</f>
        <v>29997000</v>
      </c>
      <c r="G37" s="63">
        <f>G22+G14</f>
        <v>31907000</v>
      </c>
      <c r="H37" s="63">
        <f>H22+H14</f>
        <v>22712000</v>
      </c>
      <c r="I37" s="63">
        <f>I22+I14</f>
        <v>22492000</v>
      </c>
      <c r="J37" s="63">
        <f>J22+J14</f>
        <v>18367000</v>
      </c>
      <c r="K37" s="63">
        <f>K22+K14</f>
        <v>2794000</v>
      </c>
      <c r="L37" s="28" t="s">
        <v>385</v>
      </c>
    </row>
    <row r="38" spans="1:12">
      <c r="A38" s="65" t="s">
        <v>248</v>
      </c>
      <c r="B38" s="63">
        <f>B22-B25</f>
        <v>16713000</v>
      </c>
      <c r="C38" s="63">
        <f t="shared" ref="C38:K38" si="29">C22-C25</f>
        <v>13231000</v>
      </c>
      <c r="D38" s="63">
        <f t="shared" si="29"/>
        <v>-15993000</v>
      </c>
      <c r="E38" s="63">
        <f t="shared" si="29"/>
        <v>5781000</v>
      </c>
      <c r="F38" s="63">
        <f t="shared" si="29"/>
        <v>12604000</v>
      </c>
      <c r="G38" s="63">
        <f t="shared" si="29"/>
        <v>13474000</v>
      </c>
      <c r="H38" s="63">
        <f t="shared" si="29"/>
        <v>8190000</v>
      </c>
      <c r="I38" s="63">
        <f t="shared" si="29"/>
        <v>8649000</v>
      </c>
      <c r="J38" s="63">
        <f t="shared" si="29"/>
        <v>6455000</v>
      </c>
      <c r="K38" s="63">
        <f t="shared" si="29"/>
        <v>-3451000</v>
      </c>
      <c r="L38" s="28" t="s">
        <v>385</v>
      </c>
    </row>
    <row r="39" spans="1:12">
      <c r="A39" s="66" t="s">
        <v>61</v>
      </c>
      <c r="B39" s="203">
        <v>1.44</v>
      </c>
      <c r="C39" s="203">
        <v>0</v>
      </c>
      <c r="D39" s="203">
        <v>1.88</v>
      </c>
      <c r="E39" s="203">
        <v>1.91</v>
      </c>
      <c r="F39" s="203">
        <v>2.15</v>
      </c>
      <c r="G39" s="203">
        <v>2.64</v>
      </c>
      <c r="H39" s="203">
        <v>2.64</v>
      </c>
      <c r="I39" s="203">
        <v>2.7</v>
      </c>
      <c r="J39" s="203">
        <v>2.84</v>
      </c>
      <c r="K39" s="203">
        <v>2.94</v>
      </c>
      <c r="L39" s="28"/>
    </row>
    <row r="40" spans="1:12">
      <c r="A40" s="66" t="s">
        <v>62</v>
      </c>
      <c r="B40" s="205">
        <v>38400</v>
      </c>
      <c r="C40" s="205">
        <v>32600</v>
      </c>
      <c r="D40" s="205">
        <v>33800</v>
      </c>
      <c r="E40" s="205">
        <v>30000</v>
      </c>
      <c r="F40" s="205">
        <v>29700</v>
      </c>
      <c r="G40" s="205">
        <v>29800</v>
      </c>
      <c r="H40" s="205">
        <v>16900</v>
      </c>
      <c r="I40" s="205">
        <v>18400</v>
      </c>
      <c r="J40" s="205">
        <v>19100</v>
      </c>
      <c r="K40" s="205">
        <v>15900</v>
      </c>
      <c r="L40" s="28"/>
    </row>
    <row r="41" spans="1:12">
      <c r="A41" s="66" t="s">
        <v>63</v>
      </c>
      <c r="B41" s="205">
        <v>66202</v>
      </c>
      <c r="C41" s="205">
        <v>64486</v>
      </c>
      <c r="D41" s="205">
        <v>62887</v>
      </c>
      <c r="E41" s="205">
        <v>61039</v>
      </c>
      <c r="F41" s="205">
        <v>58644</v>
      </c>
      <c r="G41" s="205">
        <v>57800</v>
      </c>
      <c r="H41" s="205">
        <v>56511</v>
      </c>
      <c r="I41" s="205">
        <v>54896</v>
      </c>
      <c r="J41" s="205">
        <v>53653</v>
      </c>
      <c r="K41" s="205">
        <v>52394</v>
      </c>
      <c r="L41" s="28"/>
    </row>
    <row r="42" spans="1:12">
      <c r="A42" s="67" t="s">
        <v>64</v>
      </c>
      <c r="B42" s="206" t="s">
        <v>2</v>
      </c>
      <c r="C42" s="206" t="s">
        <v>2</v>
      </c>
      <c r="D42" s="206" t="s">
        <v>2</v>
      </c>
      <c r="E42" s="206" t="s">
        <v>2</v>
      </c>
      <c r="F42" s="206" t="s">
        <v>2</v>
      </c>
      <c r="G42" s="206" t="s">
        <v>2</v>
      </c>
      <c r="H42" s="206" t="s">
        <v>2</v>
      </c>
      <c r="I42" s="206" t="s">
        <v>2</v>
      </c>
      <c r="J42" s="206" t="s">
        <v>2</v>
      </c>
      <c r="K42" s="206">
        <v>5163000</v>
      </c>
      <c r="L42" s="47"/>
    </row>
    <row r="43" spans="1:12">
      <c r="A43" s="115"/>
      <c r="E43" s="110"/>
      <c r="G43" s="116"/>
      <c r="H43" s="116"/>
      <c r="I43" s="116"/>
      <c r="J43" s="116"/>
      <c r="K43" s="116"/>
    </row>
    <row r="45" spans="1:12">
      <c r="A45" s="19" t="s">
        <v>326</v>
      </c>
    </row>
  </sheetData>
  <conditionalFormatting sqref="L1:L50">
    <cfRule type="beginsWith" dxfId="8" priority="2" operator="beginsWith" text="Valid">
      <formula>LEFT(L1,LEN("Valid"))="Valid"</formula>
    </cfRule>
  </conditionalFormatting>
  <conditionalFormatting sqref="L1:L1048576">
    <cfRule type="beginsWith" dxfId="7" priority="1" operator="beginsWith" text="Invalid">
      <formula>LEFT(L1,LEN("Invalid"))="Invalid"</formula>
    </cfRule>
  </conditionalFormatting>
  <dataValidations count="1">
    <dataValidation type="list" allowBlank="1" showInputMessage="1" showErrorMessage="1" sqref="L2:L42" xr:uid="{00000000-0002-0000-0300-000000000000}">
      <formula1>"Valid,Invalid"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Q55"/>
  <sheetViews>
    <sheetView workbookViewId="0">
      <selection activeCell="M19" sqref="M19"/>
    </sheetView>
  </sheetViews>
  <sheetFormatPr baseColWidth="10" defaultColWidth="8.83203125" defaultRowHeight="16"/>
  <cols>
    <col min="1" max="1" width="61.33203125" style="20" bestFit="1" customWidth="1"/>
    <col min="2" max="6" width="13.5" style="20" bestFit="1" customWidth="1"/>
    <col min="7" max="11" width="14" style="20" customWidth="1"/>
    <col min="12" max="12" width="10.1640625" style="20" bestFit="1" customWidth="1"/>
    <col min="13" max="13" width="15.33203125" style="20" bestFit="1" customWidth="1"/>
    <col min="14" max="14" width="12" style="20" bestFit="1" customWidth="1"/>
    <col min="15" max="15" width="8.83203125" style="20"/>
    <col min="16" max="16" width="11.33203125" style="20" bestFit="1" customWidth="1"/>
    <col min="17" max="17" width="12" style="20" bestFit="1" customWidth="1"/>
    <col min="18" max="16384" width="8.83203125" style="20"/>
  </cols>
  <sheetData>
    <row r="1" spans="1:17">
      <c r="A1" s="238" t="str">
        <f>IF(Units="Million","USD in Million except per share data","USD in Thousand except per share data")</f>
        <v>USD in Thousand except per share data</v>
      </c>
      <c r="B1" s="237">
        <f>IF(EarliestYear&lt;&gt;"",EarliestYear,"")</f>
        <v>2006</v>
      </c>
      <c r="C1" s="237">
        <f t="shared" ref="C1:K1" si="0">IF(LatestYear&gt;B1,B1+1,"")</f>
        <v>2007</v>
      </c>
      <c r="D1" s="237">
        <f t="shared" si="0"/>
        <v>2008</v>
      </c>
      <c r="E1" s="237">
        <f t="shared" si="0"/>
        <v>2009</v>
      </c>
      <c r="F1" s="237">
        <f t="shared" si="0"/>
        <v>2010</v>
      </c>
      <c r="G1" s="237">
        <f t="shared" si="0"/>
        <v>2011</v>
      </c>
      <c r="H1" s="237">
        <f t="shared" si="0"/>
        <v>2012</v>
      </c>
      <c r="I1" s="237">
        <f t="shared" si="0"/>
        <v>2013</v>
      </c>
      <c r="J1" s="237">
        <f t="shared" si="0"/>
        <v>2014</v>
      </c>
      <c r="K1" s="237">
        <f t="shared" si="0"/>
        <v>2015</v>
      </c>
      <c r="L1" s="48" t="s">
        <v>192</v>
      </c>
    </row>
    <row r="2" spans="1:17">
      <c r="A2" s="90" t="s">
        <v>21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</row>
    <row r="3" spans="1:17">
      <c r="A3" s="92" t="s">
        <v>22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</row>
    <row r="4" spans="1:17">
      <c r="A4" s="93" t="s">
        <v>23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7">
      <c r="A5" s="72" t="s">
        <v>0</v>
      </c>
      <c r="B5" s="201">
        <v>817000</v>
      </c>
      <c r="C5" s="201">
        <v>1456000</v>
      </c>
      <c r="D5" s="201">
        <v>755000</v>
      </c>
      <c r="E5" s="201">
        <v>542000</v>
      </c>
      <c r="F5" s="201">
        <v>9454000</v>
      </c>
      <c r="G5" s="201">
        <v>5780000</v>
      </c>
      <c r="H5" s="201">
        <v>3618000</v>
      </c>
      <c r="I5" s="201">
        <v>6246000</v>
      </c>
      <c r="J5" s="201">
        <v>5062000</v>
      </c>
      <c r="K5" s="201">
        <v>2368000</v>
      </c>
      <c r="L5" s="58"/>
    </row>
    <row r="6" spans="1:17">
      <c r="A6" s="72" t="s">
        <v>1</v>
      </c>
      <c r="B6" s="201">
        <v>0</v>
      </c>
      <c r="C6" s="201">
        <v>0</v>
      </c>
      <c r="D6" s="201">
        <v>0</v>
      </c>
      <c r="E6" s="201">
        <v>0</v>
      </c>
      <c r="F6" s="201">
        <f>973000+1083000</f>
        <v>2056000</v>
      </c>
      <c r="G6" s="201">
        <v>581000</v>
      </c>
      <c r="H6" s="207">
        <v>0</v>
      </c>
      <c r="I6" s="201">
        <v>272000</v>
      </c>
      <c r="J6" s="201">
        <v>0</v>
      </c>
      <c r="K6" s="201">
        <v>0</v>
      </c>
      <c r="L6" s="73"/>
    </row>
    <row r="7" spans="1:17">
      <c r="A7" s="74" t="s">
        <v>25</v>
      </c>
      <c r="B7" s="63">
        <f>SUM(B5:B6)</f>
        <v>817000</v>
      </c>
      <c r="C7" s="63">
        <f>SUM(C5:C6)</f>
        <v>1456000</v>
      </c>
      <c r="D7" s="63">
        <f>SUM(D5:D6)</f>
        <v>755000</v>
      </c>
      <c r="E7" s="63">
        <f>SUM(E5:E6)</f>
        <v>542000</v>
      </c>
      <c r="F7" s="63">
        <f t="shared" ref="F7" si="1">SUM(F5:F6)</f>
        <v>11510000</v>
      </c>
      <c r="G7" s="63">
        <f>SUM(G5:G6)</f>
        <v>6361000</v>
      </c>
      <c r="H7" s="63">
        <f>SUM(H5:H6)</f>
        <v>3618000</v>
      </c>
      <c r="I7" s="63">
        <f>SUM(I5:I6)</f>
        <v>6518000</v>
      </c>
      <c r="J7" s="63">
        <f>SUM(J5:J6)</f>
        <v>5062000</v>
      </c>
      <c r="K7" s="63">
        <f>SUM(K5:K6)</f>
        <v>2368000</v>
      </c>
      <c r="L7" s="63" t="s">
        <v>385</v>
      </c>
      <c r="M7" s="61"/>
    </row>
    <row r="8" spans="1:17">
      <c r="A8" s="75" t="s">
        <v>26</v>
      </c>
      <c r="B8" s="58">
        <f>B9+B10</f>
        <v>14106000</v>
      </c>
      <c r="C8" s="58">
        <f>C9+C10</f>
        <v>16354000</v>
      </c>
      <c r="D8" s="58">
        <f>D9+D10</f>
        <v>11995000</v>
      </c>
      <c r="E8" s="58">
        <f>E9+E10</f>
        <v>13215000</v>
      </c>
      <c r="F8" s="58">
        <f t="shared" ref="F8" si="2">F9+F10</f>
        <v>15812000</v>
      </c>
      <c r="G8" s="58">
        <f>G9+G10</f>
        <v>16526000</v>
      </c>
      <c r="H8" s="58">
        <f>H9+H10</f>
        <v>9182000</v>
      </c>
      <c r="I8" s="58">
        <f>I9+I10</f>
        <v>8487000</v>
      </c>
      <c r="J8" s="58">
        <f>J9+J10</f>
        <v>6807000</v>
      </c>
      <c r="K8" s="58">
        <f>K9+K10</f>
        <v>4514000</v>
      </c>
      <c r="L8" s="58"/>
      <c r="M8" s="61"/>
    </row>
    <row r="9" spans="1:17">
      <c r="A9" s="76" t="s">
        <v>3</v>
      </c>
      <c r="B9" s="201">
        <v>13456000</v>
      </c>
      <c r="C9" s="201">
        <v>14687000</v>
      </c>
      <c r="D9" s="201">
        <v>10892000</v>
      </c>
      <c r="E9" s="201">
        <v>11861000</v>
      </c>
      <c r="F9" s="201">
        <v>13787000</v>
      </c>
      <c r="G9" s="201">
        <v>14648000</v>
      </c>
      <c r="H9" s="201">
        <v>8929000</v>
      </c>
      <c r="I9" s="201">
        <v>8273000</v>
      </c>
      <c r="J9" s="201">
        <v>6675000</v>
      </c>
      <c r="K9" s="201">
        <v>4314000</v>
      </c>
      <c r="L9" s="58"/>
      <c r="M9" s="61"/>
    </row>
    <row r="10" spans="1:17">
      <c r="A10" s="76" t="s">
        <v>4</v>
      </c>
      <c r="B10" s="201">
        <v>650000</v>
      </c>
      <c r="C10" s="201">
        <v>1667000</v>
      </c>
      <c r="D10" s="201">
        <v>1103000</v>
      </c>
      <c r="E10" s="201">
        <v>1354000</v>
      </c>
      <c r="F10" s="201">
        <v>2025000</v>
      </c>
      <c r="G10" s="201">
        <v>1878000</v>
      </c>
      <c r="H10" s="201">
        <v>253000</v>
      </c>
      <c r="I10" s="201">
        <v>214000</v>
      </c>
      <c r="J10" s="201">
        <v>132000</v>
      </c>
      <c r="K10" s="201">
        <v>200000</v>
      </c>
      <c r="L10" s="58"/>
      <c r="M10" s="61"/>
      <c r="N10" s="61"/>
      <c r="P10" s="61"/>
      <c r="Q10" s="61"/>
    </row>
    <row r="11" spans="1:17">
      <c r="A11" s="75" t="s">
        <v>5</v>
      </c>
      <c r="B11" s="201">
        <v>5153000</v>
      </c>
      <c r="C11" s="201">
        <v>4223000</v>
      </c>
      <c r="D11" s="201">
        <v>5095000</v>
      </c>
      <c r="E11" s="201">
        <v>4940000</v>
      </c>
      <c r="F11" s="201">
        <v>5197000</v>
      </c>
      <c r="G11" s="201">
        <v>4631000</v>
      </c>
      <c r="H11" s="201">
        <v>965000</v>
      </c>
      <c r="I11" s="201">
        <v>1194000</v>
      </c>
      <c r="J11" s="201">
        <v>1331000</v>
      </c>
      <c r="K11" s="201">
        <v>1124000</v>
      </c>
      <c r="L11" s="58"/>
      <c r="M11" s="61"/>
      <c r="N11" s="61"/>
      <c r="Q11" s="61"/>
    </row>
    <row r="12" spans="1:17">
      <c r="A12" s="75" t="s">
        <v>27</v>
      </c>
      <c r="B12" s="201">
        <v>4990000</v>
      </c>
      <c r="C12" s="201">
        <v>2702000</v>
      </c>
      <c r="D12" s="201">
        <v>2998000</v>
      </c>
      <c r="E12" s="201">
        <v>2470000</v>
      </c>
      <c r="F12" s="201">
        <v>2141000</v>
      </c>
      <c r="G12" s="201">
        <v>2700000</v>
      </c>
      <c r="H12" s="201">
        <v>9476000</v>
      </c>
      <c r="I12" s="201">
        <v>2824000</v>
      </c>
      <c r="J12" s="201">
        <v>1868000</v>
      </c>
      <c r="K12" s="201">
        <v>783000</v>
      </c>
      <c r="L12" s="58"/>
      <c r="M12" s="61"/>
      <c r="N12" s="61"/>
      <c r="Q12" s="61"/>
    </row>
    <row r="13" spans="1:17">
      <c r="A13" s="75" t="s">
        <v>24</v>
      </c>
      <c r="B13" s="201">
        <v>1118000</v>
      </c>
      <c r="C13" s="201">
        <v>1871000</v>
      </c>
      <c r="D13" s="201">
        <v>1973000</v>
      </c>
      <c r="E13" s="201">
        <v>2352000</v>
      </c>
      <c r="F13" s="201">
        <v>2180000</v>
      </c>
      <c r="G13" s="201">
        <v>0</v>
      </c>
      <c r="H13" s="201">
        <v>748000</v>
      </c>
      <c r="I13" s="201">
        <v>0</v>
      </c>
      <c r="J13" s="201">
        <v>0</v>
      </c>
      <c r="K13" s="201">
        <v>0</v>
      </c>
      <c r="L13" s="58"/>
      <c r="M13" s="61"/>
      <c r="N13" s="61"/>
      <c r="Q13" s="61"/>
    </row>
    <row r="14" spans="1:17">
      <c r="A14" s="77" t="s">
        <v>7</v>
      </c>
      <c r="B14" s="63">
        <f>SUM(B7,B8,B11,B12,B13)</f>
        <v>26184000</v>
      </c>
      <c r="C14" s="63">
        <f>SUM(C7,C8,C11,C12,C13)</f>
        <v>26606000</v>
      </c>
      <c r="D14" s="63">
        <f>SUM(D7,D8,D11,D12,D13)</f>
        <v>22816000</v>
      </c>
      <c r="E14" s="63">
        <f>SUM(E7,E8,E11,E12,E13)</f>
        <v>23519000</v>
      </c>
      <c r="F14" s="63">
        <f t="shared" ref="F14" si="3">SUM(F7,F8,F11,F12,F13)</f>
        <v>36840000</v>
      </c>
      <c r="G14" s="63">
        <f>SUM(G7,G8,G11,G12,G13)</f>
        <v>30218000</v>
      </c>
      <c r="H14" s="63">
        <f>SUM(H7,H8,H11,H12,H13)</f>
        <v>23989000</v>
      </c>
      <c r="I14" s="63">
        <f>SUM(I7,I8,I11,I12,I13)</f>
        <v>19023000</v>
      </c>
      <c r="J14" s="63">
        <f>SUM(J7,J8,J11,J12,J13)</f>
        <v>15068000</v>
      </c>
      <c r="K14" s="63">
        <f>SUM(K7,K8,K11,K12,K13)</f>
        <v>8789000</v>
      </c>
      <c r="L14" s="63" t="s">
        <v>385</v>
      </c>
      <c r="M14" s="61"/>
      <c r="N14" s="61"/>
    </row>
    <row r="15" spans="1:17">
      <c r="A15" s="77" t="s">
        <v>28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61"/>
      <c r="N15" s="61"/>
    </row>
    <row r="16" spans="1:17">
      <c r="A16" s="79" t="s">
        <v>29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</row>
    <row r="17" spans="1:17">
      <c r="A17" s="76" t="s">
        <v>30</v>
      </c>
      <c r="B17" s="201">
        <v>113272000</v>
      </c>
      <c r="C17" s="201">
        <v>125361000</v>
      </c>
      <c r="D17" s="201">
        <v>126444000</v>
      </c>
      <c r="E17" s="201">
        <v>141242000</v>
      </c>
      <c r="F17" s="201">
        <v>143225000</v>
      </c>
      <c r="G17" s="201">
        <v>149209000</v>
      </c>
      <c r="H17" s="201">
        <v>126179000</v>
      </c>
      <c r="I17" s="201">
        <v>138148000</v>
      </c>
      <c r="J17" s="201">
        <v>146230000</v>
      </c>
      <c r="K17" s="201">
        <v>136859000</v>
      </c>
      <c r="L17" s="58"/>
      <c r="M17" s="61"/>
      <c r="N17" s="61"/>
      <c r="Q17" s="61"/>
    </row>
    <row r="18" spans="1:17">
      <c r="A18" s="76" t="s">
        <v>31</v>
      </c>
      <c r="B18" s="201">
        <v>27071000</v>
      </c>
      <c r="C18" s="201">
        <v>36358000</v>
      </c>
      <c r="D18" s="201">
        <v>42497000</v>
      </c>
      <c r="E18" s="201">
        <v>53534000</v>
      </c>
      <c r="F18" s="201">
        <v>60671000</v>
      </c>
      <c r="G18" s="201">
        <v>65029000</v>
      </c>
      <c r="H18" s="201">
        <v>58916000</v>
      </c>
      <c r="I18" s="201">
        <v>65321000</v>
      </c>
      <c r="J18" s="201">
        <v>70786000</v>
      </c>
      <c r="K18" s="201">
        <v>70413000</v>
      </c>
      <c r="L18" s="58"/>
      <c r="M18" s="61"/>
      <c r="N18" s="61"/>
      <c r="Q18" s="61"/>
    </row>
    <row r="19" spans="1:17">
      <c r="A19" s="80" t="s">
        <v>32</v>
      </c>
      <c r="B19" s="58">
        <f>B17-B18</f>
        <v>86201000</v>
      </c>
      <c r="C19" s="58">
        <f>C17-C18</f>
        <v>89003000</v>
      </c>
      <c r="D19" s="58">
        <f>D17-D18</f>
        <v>83947000</v>
      </c>
      <c r="E19" s="58">
        <f>E17-E18</f>
        <v>87708000</v>
      </c>
      <c r="F19" s="58">
        <f t="shared" ref="F19" si="4">F17-F18</f>
        <v>82554000</v>
      </c>
      <c r="G19" s="58">
        <f>G17-G18</f>
        <v>84180000</v>
      </c>
      <c r="H19" s="58">
        <f>H17-H18</f>
        <v>67263000</v>
      </c>
      <c r="I19" s="58">
        <f>I17-I18</f>
        <v>72827000</v>
      </c>
      <c r="J19" s="58">
        <f>J17-J18</f>
        <v>75444000</v>
      </c>
      <c r="K19" s="58">
        <f>K17-K18</f>
        <v>66446000</v>
      </c>
      <c r="L19" s="58" t="s">
        <v>385</v>
      </c>
      <c r="M19" s="61"/>
      <c r="N19" s="61"/>
      <c r="Q19" s="61"/>
    </row>
    <row r="20" spans="1:17">
      <c r="A20" s="75" t="s">
        <v>33</v>
      </c>
      <c r="B20" s="201">
        <v>19595000</v>
      </c>
      <c r="C20" s="201">
        <v>31457000</v>
      </c>
      <c r="D20" s="201">
        <v>30926000</v>
      </c>
      <c r="E20" s="201">
        <v>36192000</v>
      </c>
      <c r="F20" s="201">
        <v>31581000</v>
      </c>
      <c r="G20" s="201">
        <v>32108000</v>
      </c>
      <c r="H20" s="201">
        <v>23489000</v>
      </c>
      <c r="I20" s="201">
        <v>23907000</v>
      </c>
      <c r="J20" s="201">
        <v>23891000</v>
      </c>
      <c r="K20" s="201">
        <v>20490000</v>
      </c>
      <c r="L20" s="58"/>
    </row>
    <row r="21" spans="1:17">
      <c r="A21" s="79" t="s">
        <v>8</v>
      </c>
      <c r="B21" s="201">
        <v>31488000</v>
      </c>
      <c r="C21" s="201">
        <v>29336000</v>
      </c>
      <c r="D21" s="201">
        <v>3778000</v>
      </c>
      <c r="E21" s="201">
        <v>3638000</v>
      </c>
      <c r="F21" s="201">
        <v>3633000</v>
      </c>
      <c r="G21" s="201">
        <v>3332000</v>
      </c>
      <c r="H21" s="201">
        <v>0</v>
      </c>
      <c r="I21" s="201">
        <v>0</v>
      </c>
      <c r="J21" s="201">
        <v>0</v>
      </c>
      <c r="K21" s="201">
        <v>0</v>
      </c>
      <c r="L21" s="58"/>
    </row>
    <row r="22" spans="1:17">
      <c r="A22" s="79" t="s">
        <v>9</v>
      </c>
      <c r="B22" s="201">
        <v>951000</v>
      </c>
      <c r="C22" s="201">
        <v>896000</v>
      </c>
      <c r="D22" s="201">
        <v>846000</v>
      </c>
      <c r="E22" s="201">
        <v>823000</v>
      </c>
      <c r="F22" s="201">
        <v>801000</v>
      </c>
      <c r="G22" s="201">
        <v>745000</v>
      </c>
      <c r="H22" s="201">
        <v>4000</v>
      </c>
      <c r="I22" s="201">
        <v>0</v>
      </c>
      <c r="J22" s="201">
        <v>0</v>
      </c>
      <c r="K22" s="201">
        <v>0</v>
      </c>
      <c r="L22" s="58"/>
      <c r="Q22" s="61"/>
    </row>
    <row r="23" spans="1:17">
      <c r="A23" s="79" t="s">
        <v>10</v>
      </c>
      <c r="B23" s="201">
        <v>362000</v>
      </c>
      <c r="C23" s="201">
        <v>459000</v>
      </c>
      <c r="D23" s="201">
        <v>552000</v>
      </c>
      <c r="E23" s="201">
        <v>708000</v>
      </c>
      <c r="F23" s="201">
        <v>905000</v>
      </c>
      <c r="G23" s="201">
        <v>2647000</v>
      </c>
      <c r="H23" s="201">
        <v>2399000</v>
      </c>
      <c r="I23" s="201">
        <v>2300000</v>
      </c>
      <c r="J23" s="201">
        <v>2136000</v>
      </c>
      <c r="K23" s="201">
        <v>1759000</v>
      </c>
      <c r="L23" s="58"/>
    </row>
    <row r="24" spans="1:17">
      <c r="A24" s="77" t="s">
        <v>34</v>
      </c>
      <c r="B24" s="63">
        <f>SUM(B19,B20,B21,B22,B23)</f>
        <v>138597000</v>
      </c>
      <c r="C24" s="63">
        <f>SUM(C19,C20,C21,C22,C23)</f>
        <v>151151000</v>
      </c>
      <c r="D24" s="63">
        <f>SUM(D19,D20,D21,D22,D23)</f>
        <v>120049000</v>
      </c>
      <c r="E24" s="63">
        <f>SUM(E19,E20,E21,E22,E23)</f>
        <v>129069000</v>
      </c>
      <c r="F24" s="63">
        <f t="shared" ref="F24" si="5">SUM(F19,F20,F21,F22,F23)</f>
        <v>119474000</v>
      </c>
      <c r="G24" s="63">
        <f>SUM(G19,G20,G21,G22,G23)</f>
        <v>123012000</v>
      </c>
      <c r="H24" s="63">
        <f>SUM(H19,H20,H21,H22,H23)</f>
        <v>93155000</v>
      </c>
      <c r="I24" s="63">
        <f>SUM(I19,I20,I21,I22,I23)</f>
        <v>99034000</v>
      </c>
      <c r="J24" s="63">
        <f>SUM(J19,J20,J21,J22,J23)</f>
        <v>101471000</v>
      </c>
      <c r="K24" s="63">
        <f>SUM(K19,K20,K21,K22,K23)</f>
        <v>88695000</v>
      </c>
      <c r="L24" s="63" t="s">
        <v>385</v>
      </c>
    </row>
    <row r="25" spans="1:17">
      <c r="A25" s="81" t="s">
        <v>11</v>
      </c>
      <c r="B25" s="63">
        <f>B24+B14</f>
        <v>164781000</v>
      </c>
      <c r="C25" s="63">
        <f>C24+C14</f>
        <v>177757000</v>
      </c>
      <c r="D25" s="63">
        <f>D24+D14</f>
        <v>142865000</v>
      </c>
      <c r="E25" s="63">
        <f>E24+E14</f>
        <v>152588000</v>
      </c>
      <c r="F25" s="63">
        <f t="shared" ref="F25" si="6">F24+F14</f>
        <v>156314000</v>
      </c>
      <c r="G25" s="63">
        <f>G24+G14</f>
        <v>153230000</v>
      </c>
      <c r="H25" s="63">
        <f>H24+H14</f>
        <v>117144000</v>
      </c>
      <c r="I25" s="63">
        <f>I24+I14</f>
        <v>118057000</v>
      </c>
      <c r="J25" s="63">
        <f>J24+J14</f>
        <v>116539000</v>
      </c>
      <c r="K25" s="63">
        <f>K24+K14</f>
        <v>97484000</v>
      </c>
      <c r="L25" s="63" t="s">
        <v>385</v>
      </c>
      <c r="M25" s="61"/>
    </row>
    <row r="26" spans="1:17">
      <c r="A26" s="82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61"/>
    </row>
    <row r="27" spans="1:17">
      <c r="A27" s="81" t="s">
        <v>35</v>
      </c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</row>
    <row r="28" spans="1:17">
      <c r="A28" s="77" t="s">
        <v>36</v>
      </c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</row>
    <row r="29" spans="1:17">
      <c r="A29" s="75" t="s">
        <v>38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</row>
    <row r="30" spans="1:17" s="85" customFormat="1">
      <c r="A30" s="83" t="s">
        <v>12</v>
      </c>
      <c r="B30" s="201">
        <f>14163000+471000</f>
        <v>14634000</v>
      </c>
      <c r="C30" s="201">
        <f>16591000+1270000</f>
        <v>17861000</v>
      </c>
      <c r="D30" s="201">
        <f>12852000+1138000</f>
        <v>13990000</v>
      </c>
      <c r="E30" s="201">
        <f>14168000+1317000</f>
        <v>15485000</v>
      </c>
      <c r="F30" s="201">
        <f>16613000+1786000</f>
        <v>18399000</v>
      </c>
      <c r="G30" s="201">
        <f>17973000+1680000</f>
        <v>19653000</v>
      </c>
      <c r="H30" s="201">
        <f>9154000+859000</f>
        <v>10013000</v>
      </c>
      <c r="I30" s="201">
        <f>9250000+64000</f>
        <v>9314000</v>
      </c>
      <c r="J30" s="201">
        <f>7982000+44000</f>
        <v>8026000</v>
      </c>
      <c r="K30" s="201">
        <f>4895000+38000</f>
        <v>4933000</v>
      </c>
      <c r="L30" s="58"/>
      <c r="M30" s="84"/>
    </row>
    <row r="31" spans="1:17">
      <c r="A31" s="83" t="s">
        <v>13</v>
      </c>
      <c r="B31" s="201">
        <v>4043000</v>
      </c>
      <c r="C31" s="201">
        <v>1398000</v>
      </c>
      <c r="D31" s="201">
        <v>370000</v>
      </c>
      <c r="E31" s="201">
        <v>1728000</v>
      </c>
      <c r="F31" s="201">
        <v>936000</v>
      </c>
      <c r="G31" s="201">
        <v>1013000</v>
      </c>
      <c r="H31" s="201">
        <v>955000</v>
      </c>
      <c r="I31" s="201">
        <v>589000</v>
      </c>
      <c r="J31" s="201">
        <v>182000</v>
      </c>
      <c r="K31" s="201">
        <v>1427000</v>
      </c>
      <c r="L31" s="58"/>
      <c r="M31" s="84"/>
    </row>
    <row r="32" spans="1:17">
      <c r="A32" s="83" t="s">
        <v>40</v>
      </c>
      <c r="B32" s="201">
        <v>895000</v>
      </c>
      <c r="C32" s="201">
        <v>920000</v>
      </c>
      <c r="D32" s="201">
        <v>939000</v>
      </c>
      <c r="E32" s="201">
        <v>846000</v>
      </c>
      <c r="F32" s="201">
        <v>1081000</v>
      </c>
      <c r="G32" s="201">
        <v>1111000</v>
      </c>
      <c r="H32" s="201">
        <v>2367000</v>
      </c>
      <c r="I32" s="201">
        <v>1671000</v>
      </c>
      <c r="J32" s="201">
        <v>1400000</v>
      </c>
      <c r="K32" s="201">
        <v>1510000</v>
      </c>
      <c r="L32" s="58"/>
      <c r="M32" s="84"/>
    </row>
    <row r="33" spans="1:13">
      <c r="A33" s="83" t="s">
        <v>41</v>
      </c>
      <c r="B33" s="201">
        <f>4407000+2452000</f>
        <v>6859000</v>
      </c>
      <c r="C33" s="201">
        <f>4814000+1889000</f>
        <v>6703000</v>
      </c>
      <c r="D33" s="201">
        <f>4273000+2208000</f>
        <v>6481000</v>
      </c>
      <c r="E33" s="201">
        <f>3402000+2234000</f>
        <v>5636000</v>
      </c>
      <c r="F33" s="201">
        <f>4874000+2129000</f>
        <v>7003000</v>
      </c>
      <c r="G33" s="201">
        <f>4220000+2071000</f>
        <v>6291000</v>
      </c>
      <c r="H33" s="201">
        <f>3366000+742000</f>
        <v>4108000</v>
      </c>
      <c r="I33" s="201">
        <f>2713000+842000</f>
        <v>3555000</v>
      </c>
      <c r="J33" s="201">
        <f>1051000+878000</f>
        <v>1929000</v>
      </c>
      <c r="K33" s="201">
        <f>499000+887000</f>
        <v>1386000</v>
      </c>
      <c r="L33" s="58"/>
      <c r="M33" s="84"/>
    </row>
    <row r="34" spans="1:13">
      <c r="A34" s="77" t="s">
        <v>14</v>
      </c>
      <c r="B34" s="63">
        <f>B30+B31+B32+B33</f>
        <v>26431000</v>
      </c>
      <c r="C34" s="63">
        <f>C30+C31+C32+C33</f>
        <v>26882000</v>
      </c>
      <c r="D34" s="63">
        <f>D30+D31+D32+D33</f>
        <v>21780000</v>
      </c>
      <c r="E34" s="63">
        <f>E30+E31+E32+E33</f>
        <v>23695000</v>
      </c>
      <c r="F34" s="63">
        <f t="shared" ref="F34" si="7">F30+F31+F32+F33</f>
        <v>27419000</v>
      </c>
      <c r="G34" s="63">
        <f>G30+G31+G32+G33</f>
        <v>28068000</v>
      </c>
      <c r="H34" s="63">
        <f>H30+H31+H32+H33</f>
        <v>17443000</v>
      </c>
      <c r="I34" s="63">
        <f>I30+I31+I32+I33</f>
        <v>15129000</v>
      </c>
      <c r="J34" s="63">
        <f>J30+J31+J32+J33</f>
        <v>11537000</v>
      </c>
      <c r="K34" s="63">
        <f>K30+K31+K32+K33</f>
        <v>9256000</v>
      </c>
      <c r="L34" s="58" t="s">
        <v>385</v>
      </c>
      <c r="M34" s="84"/>
    </row>
    <row r="35" spans="1:13">
      <c r="A35" s="75" t="s">
        <v>39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84"/>
    </row>
    <row r="36" spans="1:13" ht="15" customHeight="1">
      <c r="A36" s="83" t="s">
        <v>15</v>
      </c>
      <c r="B36" s="201">
        <v>23091000</v>
      </c>
      <c r="C36" s="201">
        <v>20289000</v>
      </c>
      <c r="D36" s="201">
        <v>27085000</v>
      </c>
      <c r="E36" s="201">
        <v>26925000</v>
      </c>
      <c r="F36" s="201">
        <v>22656000</v>
      </c>
      <c r="G36" s="201">
        <v>21610000</v>
      </c>
      <c r="H36" s="201">
        <v>20770000</v>
      </c>
      <c r="I36" s="201">
        <v>21073000</v>
      </c>
      <c r="J36" s="201">
        <v>22383000</v>
      </c>
      <c r="K36" s="201">
        <v>23453000</v>
      </c>
      <c r="L36" s="58"/>
      <c r="M36" s="84"/>
    </row>
    <row r="37" spans="1:13" ht="15" customHeight="1">
      <c r="A37" s="83" t="s">
        <v>42</v>
      </c>
      <c r="B37" s="201">
        <v>20074000</v>
      </c>
      <c r="C37" s="201">
        <v>21018000</v>
      </c>
      <c r="D37" s="201">
        <v>18167000</v>
      </c>
      <c r="E37" s="201">
        <v>17962000</v>
      </c>
      <c r="F37" s="201">
        <v>17335000</v>
      </c>
      <c r="G37" s="201">
        <v>18055000</v>
      </c>
      <c r="H37" s="201">
        <v>13185000</v>
      </c>
      <c r="I37" s="201">
        <v>15220000</v>
      </c>
      <c r="J37" s="201">
        <v>15070000</v>
      </c>
      <c r="K37" s="201">
        <v>10999000</v>
      </c>
      <c r="L37" s="58"/>
      <c r="M37" s="84"/>
    </row>
    <row r="38" spans="1:13" ht="15" customHeight="1">
      <c r="A38" s="83" t="s">
        <v>43</v>
      </c>
      <c r="B38" s="201">
        <v>3667000</v>
      </c>
      <c r="C38" s="201">
        <v>3191000</v>
      </c>
      <c r="D38" s="201">
        <v>4127000</v>
      </c>
      <c r="E38" s="201">
        <v>4130000</v>
      </c>
      <c r="F38" s="201">
        <v>3683000</v>
      </c>
      <c r="G38" s="201">
        <v>4068000</v>
      </c>
      <c r="H38" s="201">
        <v>3346000</v>
      </c>
      <c r="I38" s="201">
        <v>2459000</v>
      </c>
      <c r="J38" s="201">
        <v>2964000</v>
      </c>
      <c r="K38" s="201">
        <v>2286000</v>
      </c>
      <c r="L38" s="58"/>
      <c r="M38" s="84"/>
    </row>
    <row r="39" spans="1:13" ht="15" customHeight="1">
      <c r="A39" s="83" t="s">
        <v>44</v>
      </c>
      <c r="B39" s="201">
        <f>2051000+5619000</f>
        <v>7670000</v>
      </c>
      <c r="C39" s="201">
        <f>2666000+7261000+6294000</f>
        <v>16221000</v>
      </c>
      <c r="D39" s="201">
        <f>2609000+7163000+5669000</f>
        <v>15441000</v>
      </c>
      <c r="E39" s="201">
        <f>3097000+8713000+5009000</f>
        <v>16819000</v>
      </c>
      <c r="F39" s="201">
        <f>2599000+9199000+4314000</f>
        <v>16112000</v>
      </c>
      <c r="G39" s="201">
        <f>2784000+9329000+3582000</f>
        <v>15695000</v>
      </c>
      <c r="H39" s="201">
        <f>2216000+8947000+2810000</f>
        <v>13973000</v>
      </c>
      <c r="I39" s="201">
        <f>1801000+9883000</f>
        <v>11684000</v>
      </c>
      <c r="J39" s="201">
        <f>1665000+10647000</f>
        <v>12312000</v>
      </c>
      <c r="K39" s="201">
        <f>1828000+9580000</f>
        <v>11408000</v>
      </c>
      <c r="L39" s="58"/>
      <c r="M39" s="84"/>
    </row>
    <row r="40" spans="1:13" ht="15" customHeight="1">
      <c r="A40" s="75" t="s">
        <v>45</v>
      </c>
      <c r="B40" s="58">
        <f>SUM(B36:B39)</f>
        <v>54502000</v>
      </c>
      <c r="C40" s="58">
        <f>SUM(C36:C39)</f>
        <v>60719000</v>
      </c>
      <c r="D40" s="58">
        <f>SUM(D36:D39)</f>
        <v>64820000</v>
      </c>
      <c r="E40" s="58">
        <f>SUM(E36:E39)</f>
        <v>65836000</v>
      </c>
      <c r="F40" s="58">
        <f t="shared" ref="F40" si="8">SUM(F36:F39)</f>
        <v>59786000</v>
      </c>
      <c r="G40" s="58">
        <f>SUM(G36:G39)</f>
        <v>59428000</v>
      </c>
      <c r="H40" s="58">
        <f>SUM(H36:H39)</f>
        <v>51274000</v>
      </c>
      <c r="I40" s="58">
        <f>SUM(I36:I39)</f>
        <v>50436000</v>
      </c>
      <c r="J40" s="58">
        <f>SUM(J36:J39)</f>
        <v>52729000</v>
      </c>
      <c r="K40" s="58">
        <f>SUM(K36:K39)</f>
        <v>48146000</v>
      </c>
      <c r="L40" s="58" t="s">
        <v>385</v>
      </c>
    </row>
    <row r="41" spans="1:13" ht="15" customHeight="1">
      <c r="A41" s="77" t="s">
        <v>161</v>
      </c>
      <c r="B41" s="63">
        <f>B40+B34</f>
        <v>80933000</v>
      </c>
      <c r="C41" s="63">
        <f>C40+C34</f>
        <v>87601000</v>
      </c>
      <c r="D41" s="63">
        <f>D40+D34</f>
        <v>86600000</v>
      </c>
      <c r="E41" s="63">
        <f>E40+E34</f>
        <v>89531000</v>
      </c>
      <c r="F41" s="63">
        <f t="shared" ref="F41" si="9">F40+F34</f>
        <v>87205000</v>
      </c>
      <c r="G41" s="63">
        <f>G40+G34</f>
        <v>87496000</v>
      </c>
      <c r="H41" s="63">
        <f>H40+H34</f>
        <v>68717000</v>
      </c>
      <c r="I41" s="63">
        <f>I40+I34</f>
        <v>65565000</v>
      </c>
      <c r="J41" s="63">
        <f>J40+J34</f>
        <v>64266000</v>
      </c>
      <c r="K41" s="63">
        <f>K40+K34</f>
        <v>57402000</v>
      </c>
      <c r="L41" s="58" t="s">
        <v>385</v>
      </c>
    </row>
    <row r="42" spans="1:13">
      <c r="A42" s="77" t="s">
        <v>37</v>
      </c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</row>
    <row r="43" spans="1:13">
      <c r="A43" s="79" t="s">
        <v>16</v>
      </c>
      <c r="B43" s="201">
        <v>17000</v>
      </c>
      <c r="C43" s="201">
        <v>17000</v>
      </c>
      <c r="D43" s="201">
        <v>17000</v>
      </c>
      <c r="E43" s="201">
        <v>17000</v>
      </c>
      <c r="F43" s="201">
        <v>17000</v>
      </c>
      <c r="G43" s="201">
        <v>17000</v>
      </c>
      <c r="H43" s="201">
        <v>18000</v>
      </c>
      <c r="I43" s="201">
        <v>18000</v>
      </c>
      <c r="J43" s="201">
        <v>18000</v>
      </c>
      <c r="K43" s="201">
        <v>18000</v>
      </c>
      <c r="L43" s="58"/>
    </row>
    <row r="44" spans="1:13">
      <c r="A44" s="79" t="s">
        <v>47</v>
      </c>
      <c r="B44" s="201">
        <v>41926000</v>
      </c>
      <c r="C44" s="201">
        <v>42724000</v>
      </c>
      <c r="D44" s="201">
        <v>43396000</v>
      </c>
      <c r="E44" s="201">
        <v>43681000</v>
      </c>
      <c r="F44" s="201">
        <v>44132000</v>
      </c>
      <c r="G44" s="201">
        <v>44725000</v>
      </c>
      <c r="H44" s="201">
        <v>45324000</v>
      </c>
      <c r="I44" s="201">
        <v>45690000</v>
      </c>
      <c r="J44" s="201">
        <v>46071000</v>
      </c>
      <c r="K44" s="201">
        <v>46357000</v>
      </c>
      <c r="L44" s="58"/>
      <c r="M44" s="61"/>
    </row>
    <row r="45" spans="1:13">
      <c r="A45" s="79" t="s">
        <v>19</v>
      </c>
      <c r="B45" s="201">
        <v>41292000</v>
      </c>
      <c r="C45" s="201">
        <v>50510000</v>
      </c>
      <c r="D45" s="201">
        <v>30642000</v>
      </c>
      <c r="E45" s="201">
        <v>32658000</v>
      </c>
      <c r="F45" s="201">
        <v>40397000</v>
      </c>
      <c r="G45" s="201">
        <v>49194000</v>
      </c>
      <c r="H45" s="201">
        <v>35338000</v>
      </c>
      <c r="I45" s="201">
        <v>41160000</v>
      </c>
      <c r="J45" s="201">
        <v>44504000</v>
      </c>
      <c r="K45" s="201">
        <v>36414000</v>
      </c>
      <c r="L45" s="58"/>
      <c r="M45" s="61"/>
    </row>
    <row r="46" spans="1:13">
      <c r="A46" s="79" t="s">
        <v>17</v>
      </c>
      <c r="B46" s="201">
        <v>-964000</v>
      </c>
      <c r="C46" s="201">
        <v>-7969000</v>
      </c>
      <c r="D46" s="201">
        <v>-16211000</v>
      </c>
      <c r="E46" s="201">
        <v>-16211000</v>
      </c>
      <c r="F46" s="201">
        <v>-20077000</v>
      </c>
      <c r="G46" s="201">
        <v>-31787000</v>
      </c>
      <c r="H46" s="201">
        <v>-36780000</v>
      </c>
      <c r="I46" s="201">
        <v>-36780000</v>
      </c>
      <c r="J46" s="201">
        <v>-36780000</v>
      </c>
      <c r="K46" s="201">
        <v>-36780000</v>
      </c>
      <c r="L46" s="58"/>
    </row>
    <row r="47" spans="1:13">
      <c r="A47" s="79" t="s">
        <v>18</v>
      </c>
      <c r="B47" s="201">
        <f>1958000-665000-4000-148000-766000</f>
        <v>375000</v>
      </c>
      <c r="C47" s="201">
        <f>5033000-465000-8000-128000-731000</f>
        <v>3701000</v>
      </c>
      <c r="D47" s="201">
        <f>-431000-1434000-10000-102000-702000</f>
        <v>-2679000</v>
      </c>
      <c r="E47" s="201">
        <f>4576000-1504000-7000-76000-667000</f>
        <v>2322000</v>
      </c>
      <c r="F47" s="201">
        <f>5980000-1358000-7000-47000-633000+158000</f>
        <v>4093000</v>
      </c>
      <c r="G47" s="201">
        <f>5063000-1971000-6000-11000</f>
        <v>3075000</v>
      </c>
      <c r="H47" s="201">
        <f>5512000-1425000</f>
        <v>4087000</v>
      </c>
      <c r="I47" s="201">
        <f>2826000-824000</f>
        <v>2002000</v>
      </c>
      <c r="J47" s="201">
        <f>-641000-1261000</f>
        <v>-1902000</v>
      </c>
      <c r="K47" s="201">
        <f>-5804000-443000</f>
        <v>-6247000</v>
      </c>
      <c r="L47" s="58"/>
    </row>
    <row r="48" spans="1:13">
      <c r="A48" s="75" t="s">
        <v>20</v>
      </c>
      <c r="B48" s="63">
        <f>SUM(B43:B47)</f>
        <v>82646000</v>
      </c>
      <c r="C48" s="63">
        <f>SUM(C43:C47)</f>
        <v>88983000</v>
      </c>
      <c r="D48" s="63">
        <f>SUM(D43:D47)</f>
        <v>55165000</v>
      </c>
      <c r="E48" s="63">
        <f>SUM(E43:E47)</f>
        <v>62467000</v>
      </c>
      <c r="F48" s="63">
        <f t="shared" ref="F48" si="10">SUM(F43:F47)</f>
        <v>68562000</v>
      </c>
      <c r="G48" s="63">
        <f>SUM(G43:G47)</f>
        <v>65224000</v>
      </c>
      <c r="H48" s="63">
        <f>SUM(H43:H47)</f>
        <v>47987000</v>
      </c>
      <c r="I48" s="63">
        <f>SUM(I43:I47)</f>
        <v>52090000</v>
      </c>
      <c r="J48" s="63">
        <f>SUM(J43:J47)</f>
        <v>51911000</v>
      </c>
      <c r="K48" s="63">
        <f>SUM(K43:K47)</f>
        <v>39762000</v>
      </c>
      <c r="L48" s="63" t="s">
        <v>385</v>
      </c>
    </row>
    <row r="49" spans="1:13">
      <c r="A49" s="86" t="s">
        <v>48</v>
      </c>
      <c r="B49" s="201">
        <v>1202000</v>
      </c>
      <c r="C49" s="201">
        <v>1173000</v>
      </c>
      <c r="D49" s="201">
        <v>1100000</v>
      </c>
      <c r="E49" s="201">
        <v>590000</v>
      </c>
      <c r="F49" s="201">
        <v>547000</v>
      </c>
      <c r="G49" s="201">
        <v>510000</v>
      </c>
      <c r="H49" s="201">
        <v>440000</v>
      </c>
      <c r="I49" s="201">
        <v>402000</v>
      </c>
      <c r="J49" s="201">
        <v>362000</v>
      </c>
      <c r="K49" s="201">
        <v>320000</v>
      </c>
      <c r="L49" s="58"/>
      <c r="M49" s="61"/>
    </row>
    <row r="50" spans="1:13">
      <c r="A50" s="77" t="s">
        <v>46</v>
      </c>
      <c r="B50" s="63">
        <f>B48+B49</f>
        <v>83848000</v>
      </c>
      <c r="C50" s="63">
        <f>C48+C49</f>
        <v>90156000</v>
      </c>
      <c r="D50" s="63">
        <f>D48+D49</f>
        <v>56265000</v>
      </c>
      <c r="E50" s="63">
        <f>E48+E49</f>
        <v>63057000</v>
      </c>
      <c r="F50" s="63">
        <f t="shared" ref="F50" si="11">F48+F49</f>
        <v>69109000</v>
      </c>
      <c r="G50" s="63">
        <f>G48+G49</f>
        <v>65734000</v>
      </c>
      <c r="H50" s="63">
        <f>H48+H49</f>
        <v>48427000</v>
      </c>
      <c r="I50" s="63">
        <f>I48+I49</f>
        <v>52492000</v>
      </c>
      <c r="J50" s="63">
        <f>J48+J49</f>
        <v>52273000</v>
      </c>
      <c r="K50" s="63">
        <f>K48+K49</f>
        <v>40082000</v>
      </c>
      <c r="L50" s="63" t="s">
        <v>385</v>
      </c>
    </row>
    <row r="51" spans="1:13" ht="17" thickBot="1">
      <c r="A51" s="87" t="s">
        <v>49</v>
      </c>
      <c r="B51" s="88">
        <f>B50+B41</f>
        <v>164781000</v>
      </c>
      <c r="C51" s="88">
        <f>C50+C41</f>
        <v>177757000</v>
      </c>
      <c r="D51" s="88">
        <f>D50+D41</f>
        <v>142865000</v>
      </c>
      <c r="E51" s="88">
        <f>E50+E41</f>
        <v>152588000</v>
      </c>
      <c r="F51" s="88">
        <f t="shared" ref="F51" si="12">F50+F41</f>
        <v>156314000</v>
      </c>
      <c r="G51" s="88">
        <f>G50+G41</f>
        <v>153230000</v>
      </c>
      <c r="H51" s="88">
        <f>H50+H41</f>
        <v>117144000</v>
      </c>
      <c r="I51" s="88">
        <f>I50+I41</f>
        <v>118057000</v>
      </c>
      <c r="J51" s="88">
        <f>J50+J41</f>
        <v>116539000</v>
      </c>
      <c r="K51" s="88">
        <f>K50+K41</f>
        <v>97484000</v>
      </c>
      <c r="L51" s="88" t="s">
        <v>385</v>
      </c>
    </row>
    <row r="52" spans="1:13">
      <c r="G52" s="89"/>
      <c r="H52" s="89"/>
      <c r="I52" s="89"/>
      <c r="J52" s="89"/>
      <c r="K52" s="89"/>
    </row>
    <row r="53" spans="1:13">
      <c r="A53" s="20" t="s">
        <v>323</v>
      </c>
    </row>
    <row r="54" spans="1:13">
      <c r="A54" s="20" t="s">
        <v>324</v>
      </c>
    </row>
    <row r="55" spans="1:13">
      <c r="A55" s="20" t="s">
        <v>325</v>
      </c>
    </row>
  </sheetData>
  <conditionalFormatting sqref="L1:L51">
    <cfRule type="containsText" dxfId="6" priority="3" operator="containsText" text="Valid">
      <formula>NOT(ISERROR(SEARCH("Valid",L1)))</formula>
    </cfRule>
  </conditionalFormatting>
  <conditionalFormatting sqref="L1:L59">
    <cfRule type="beginsWith" dxfId="5" priority="1" operator="beginsWith" text="Invalid">
      <formula>LEFT(L1,LEN("Invalid"))="Invalid"</formula>
    </cfRule>
    <cfRule type="beginsWith" dxfId="4" priority="2" operator="beginsWith" text="Valid">
      <formula>LEFT(L1,LEN("Valid"))="Valid"</formula>
    </cfRule>
  </conditionalFormatting>
  <dataValidations count="1">
    <dataValidation type="list" allowBlank="1" showInputMessage="1" showErrorMessage="1" sqref="L2:L51" xr:uid="{00000000-0002-0000-0400-000000000000}">
      <formula1>"Valid,Invalid"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8"/>
  <sheetViews>
    <sheetView workbookViewId="0">
      <selection activeCell="N13" sqref="N13"/>
    </sheetView>
  </sheetViews>
  <sheetFormatPr baseColWidth="10" defaultColWidth="8.83203125" defaultRowHeight="16"/>
  <cols>
    <col min="1" max="1" width="51.33203125" style="20" bestFit="1" customWidth="1"/>
    <col min="2" max="2" width="13.1640625" style="20" bestFit="1" customWidth="1"/>
    <col min="3" max="3" width="13" style="20" bestFit="1" customWidth="1"/>
    <col min="4" max="4" width="13.1640625" style="20" bestFit="1" customWidth="1"/>
    <col min="5" max="5" width="12.6640625" style="20" customWidth="1"/>
    <col min="6" max="8" width="13.1640625" style="20" bestFit="1" customWidth="1"/>
    <col min="9" max="9" width="12.6640625" style="20" customWidth="1"/>
    <col min="10" max="10" width="13.1640625" style="20" bestFit="1" customWidth="1"/>
    <col min="11" max="197" width="12.6640625" style="20" customWidth="1"/>
    <col min="198" max="16384" width="8.83203125" style="20"/>
  </cols>
  <sheetData>
    <row r="1" spans="1:13" ht="17" thickBot="1">
      <c r="A1" s="240" t="str">
        <f>IF(Units="Million","USD in Million except per share data","USD in Thousand except per share data")</f>
        <v>USD in Thousand except per share data</v>
      </c>
      <c r="B1" s="237">
        <f>IF(EarliestYear&lt;&gt;"",EarliestYear,"")</f>
        <v>2006</v>
      </c>
      <c r="C1" s="237">
        <f t="shared" ref="C1:K1" si="0">IF(LatestYear&gt;B1,B1+1,"")</f>
        <v>2007</v>
      </c>
      <c r="D1" s="237">
        <f t="shared" si="0"/>
        <v>2008</v>
      </c>
      <c r="E1" s="237">
        <f t="shared" si="0"/>
        <v>2009</v>
      </c>
      <c r="F1" s="237">
        <f t="shared" si="0"/>
        <v>2010</v>
      </c>
      <c r="G1" s="237">
        <f t="shared" si="0"/>
        <v>2011</v>
      </c>
      <c r="H1" s="237">
        <f t="shared" si="0"/>
        <v>2012</v>
      </c>
      <c r="I1" s="237">
        <f t="shared" si="0"/>
        <v>2013</v>
      </c>
      <c r="J1" s="237">
        <f t="shared" si="0"/>
        <v>2014</v>
      </c>
      <c r="K1" s="237">
        <f t="shared" si="0"/>
        <v>2015</v>
      </c>
      <c r="L1" s="48" t="s">
        <v>192</v>
      </c>
    </row>
    <row r="2" spans="1:13">
      <c r="A2" s="56" t="s">
        <v>113</v>
      </c>
      <c r="B2" s="70"/>
      <c r="C2" s="70"/>
      <c r="D2" s="70"/>
      <c r="E2" s="70"/>
      <c r="F2" s="70"/>
      <c r="G2" s="70"/>
      <c r="H2" s="70"/>
      <c r="I2" s="70"/>
      <c r="J2" s="70"/>
      <c r="K2" s="71"/>
      <c r="L2" s="39"/>
    </row>
    <row r="3" spans="1:13">
      <c r="A3" s="57" t="s">
        <v>60</v>
      </c>
      <c r="B3" s="201">
        <v>15550000</v>
      </c>
      <c r="C3" s="201">
        <v>11891000</v>
      </c>
      <c r="D3" s="201">
        <v>-16998000</v>
      </c>
      <c r="E3" s="201">
        <v>4936000</v>
      </c>
      <c r="F3" s="201">
        <v>11417000</v>
      </c>
      <c r="G3" s="201">
        <v>12502000</v>
      </c>
      <c r="H3" s="201">
        <v>8498000</v>
      </c>
      <c r="I3" s="201">
        <v>9215000</v>
      </c>
      <c r="J3" s="201">
        <v>6938000</v>
      </c>
      <c r="K3" s="208">
        <v>-4371000</v>
      </c>
      <c r="L3" s="39"/>
    </row>
    <row r="4" spans="1:13">
      <c r="A4" s="57" t="s">
        <v>53</v>
      </c>
      <c r="B4" s="201">
        <v>7284000</v>
      </c>
      <c r="C4" s="201">
        <v>8298000</v>
      </c>
      <c r="D4" s="201">
        <v>9012000</v>
      </c>
      <c r="E4" s="201">
        <v>9295000</v>
      </c>
      <c r="F4" s="201">
        <v>9060000</v>
      </c>
      <c r="G4" s="201">
        <v>7934000</v>
      </c>
      <c r="H4" s="201">
        <v>6580000</v>
      </c>
      <c r="I4" s="201">
        <v>7434000</v>
      </c>
      <c r="J4" s="201">
        <v>8329000</v>
      </c>
      <c r="K4" s="208">
        <v>9113000</v>
      </c>
      <c r="L4" s="39"/>
    </row>
    <row r="5" spans="1:13">
      <c r="A5" s="57" t="s">
        <v>54</v>
      </c>
      <c r="B5" s="201">
        <v>683000</v>
      </c>
      <c r="C5" s="201">
        <f>442000+4588000</f>
        <v>5030000</v>
      </c>
      <c r="D5" s="201">
        <v>34539000</v>
      </c>
      <c r="E5" s="201">
        <v>535000</v>
      </c>
      <c r="F5" s="201">
        <v>1780000</v>
      </c>
      <c r="G5" s="201">
        <v>792000</v>
      </c>
      <c r="H5" s="201">
        <v>680000</v>
      </c>
      <c r="I5" s="201">
        <v>529000</v>
      </c>
      <c r="J5" s="201">
        <v>856000</v>
      </c>
      <c r="K5" s="208">
        <v>2245000</v>
      </c>
      <c r="L5" s="39"/>
    </row>
    <row r="6" spans="1:13">
      <c r="A6" s="57" t="s">
        <v>80</v>
      </c>
      <c r="B6" s="201">
        <v>351000</v>
      </c>
      <c r="C6" s="201">
        <v>463000</v>
      </c>
      <c r="D6" s="201">
        <v>698000</v>
      </c>
      <c r="E6" s="201">
        <v>606000</v>
      </c>
      <c r="F6" s="201">
        <v>477000</v>
      </c>
      <c r="G6" s="201">
        <v>470000</v>
      </c>
      <c r="H6" s="201">
        <v>874000</v>
      </c>
      <c r="I6" s="201">
        <v>443000</v>
      </c>
      <c r="J6" s="201">
        <v>1166000</v>
      </c>
      <c r="K6" s="208">
        <v>3065000</v>
      </c>
      <c r="L6" s="39"/>
    </row>
    <row r="7" spans="1:13">
      <c r="A7" s="57" t="s">
        <v>56</v>
      </c>
      <c r="B7" s="201">
        <v>281000</v>
      </c>
      <c r="C7" s="201">
        <v>341000</v>
      </c>
      <c r="D7" s="201">
        <v>418000</v>
      </c>
      <c r="E7" s="201">
        <v>422000</v>
      </c>
      <c r="F7" s="201">
        <v>447000</v>
      </c>
      <c r="G7" s="201">
        <v>455000</v>
      </c>
      <c r="H7" s="201">
        <v>394000</v>
      </c>
      <c r="I7" s="201">
        <v>434000</v>
      </c>
      <c r="J7" s="201">
        <v>484000</v>
      </c>
      <c r="K7" s="208">
        <v>483000</v>
      </c>
      <c r="L7" s="39"/>
    </row>
    <row r="8" spans="1:13">
      <c r="A8" s="57" t="s">
        <v>81</v>
      </c>
      <c r="B8" s="201">
        <v>263000</v>
      </c>
      <c r="C8" s="201">
        <v>-157000</v>
      </c>
      <c r="D8" s="201">
        <v>-428000</v>
      </c>
      <c r="E8" s="201">
        <v>-1109000</v>
      </c>
      <c r="F8" s="201">
        <v>-878000</v>
      </c>
      <c r="G8" s="201">
        <v>1287000</v>
      </c>
      <c r="H8" s="201">
        <v>1397000</v>
      </c>
      <c r="I8" s="201">
        <v>1311000</v>
      </c>
      <c r="J8" s="201">
        <v>709000</v>
      </c>
      <c r="K8" s="208">
        <v>-2772000</v>
      </c>
      <c r="L8" s="39"/>
    </row>
    <row r="9" spans="1:13">
      <c r="A9" s="57" t="s">
        <v>111</v>
      </c>
      <c r="B9" s="58"/>
      <c r="C9" s="58"/>
      <c r="D9" s="58"/>
      <c r="E9" s="58"/>
      <c r="F9" s="58"/>
      <c r="G9" s="58"/>
      <c r="H9" s="58"/>
      <c r="I9" s="58"/>
      <c r="J9" s="58"/>
      <c r="K9" s="59"/>
      <c r="L9" s="39"/>
    </row>
    <row r="10" spans="1:13">
      <c r="A10" s="60" t="s">
        <v>82</v>
      </c>
      <c r="B10" s="201">
        <v>-945000</v>
      </c>
      <c r="C10" s="201">
        <v>-1823000</v>
      </c>
      <c r="D10" s="201">
        <v>-1609000</v>
      </c>
      <c r="E10" s="201">
        <v>-1704000</v>
      </c>
      <c r="F10" s="201">
        <v>-1073000</v>
      </c>
      <c r="G10" s="201">
        <v>-1077000</v>
      </c>
      <c r="H10" s="201">
        <v>-596000</v>
      </c>
      <c r="I10" s="201">
        <v>-822000</v>
      </c>
      <c r="J10" s="201">
        <v>77000</v>
      </c>
      <c r="K10" s="208">
        <v>101000</v>
      </c>
      <c r="L10" s="39"/>
    </row>
    <row r="11" spans="1:13">
      <c r="A11" s="60" t="s">
        <v>83</v>
      </c>
      <c r="B11" s="201">
        <v>-116000</v>
      </c>
      <c r="C11" s="201">
        <v>-1348000</v>
      </c>
      <c r="D11" s="201">
        <v>-891000</v>
      </c>
      <c r="E11" s="201">
        <v>-160000</v>
      </c>
      <c r="F11" s="201">
        <v>-5803000</v>
      </c>
      <c r="G11" s="201">
        <v>-2007000</v>
      </c>
      <c r="H11" s="201">
        <v>-1657000</v>
      </c>
      <c r="I11" s="201">
        <v>-1242000</v>
      </c>
      <c r="J11" s="201">
        <v>-98000</v>
      </c>
      <c r="K11" s="208">
        <v>-591000</v>
      </c>
      <c r="L11" s="39"/>
      <c r="M11" s="61"/>
    </row>
    <row r="12" spans="1:13">
      <c r="A12" s="60" t="s">
        <v>85</v>
      </c>
      <c r="B12" s="201">
        <v>-201000</v>
      </c>
      <c r="C12" s="201">
        <v>105000</v>
      </c>
      <c r="D12" s="201">
        <v>-1064000</v>
      </c>
      <c r="E12" s="201">
        <v>196000</v>
      </c>
      <c r="F12" s="201">
        <v>-249000</v>
      </c>
      <c r="G12" s="201">
        <v>-359000</v>
      </c>
      <c r="H12" s="201">
        <v>-456000</v>
      </c>
      <c r="I12" s="201">
        <v>-371000</v>
      </c>
      <c r="J12" s="201">
        <v>-233000</v>
      </c>
      <c r="K12" s="208">
        <v>321000</v>
      </c>
      <c r="L12" s="39"/>
      <c r="M12" s="61"/>
    </row>
    <row r="13" spans="1:13">
      <c r="A13" s="57" t="s">
        <v>112</v>
      </c>
      <c r="B13" s="58">
        <f>SUM(B10:B12)</f>
        <v>-1262000</v>
      </c>
      <c r="C13" s="58">
        <f>SUM(C10:C12)</f>
        <v>-3066000</v>
      </c>
      <c r="D13" s="58">
        <f>SUM(D10:D12)</f>
        <v>-3564000</v>
      </c>
      <c r="E13" s="58">
        <f>SUM(E10:E12)</f>
        <v>-1668000</v>
      </c>
      <c r="F13" s="58">
        <f t="shared" ref="F13" si="1">SUM(F10:F12)</f>
        <v>-7125000</v>
      </c>
      <c r="G13" s="58">
        <f>SUM(G10:G12)</f>
        <v>-3443000</v>
      </c>
      <c r="H13" s="58">
        <f>SUM(H10:H12)</f>
        <v>-2709000</v>
      </c>
      <c r="I13" s="58">
        <f>SUM(I10:I12)</f>
        <v>-2435000</v>
      </c>
      <c r="J13" s="58">
        <f>SUM(J10:J12)</f>
        <v>-254000</v>
      </c>
      <c r="K13" s="59">
        <f>SUM(K10:K12)</f>
        <v>-169000</v>
      </c>
      <c r="L13" s="39" t="s">
        <v>385</v>
      </c>
    </row>
    <row r="14" spans="1:13">
      <c r="A14" s="57" t="s">
        <v>84</v>
      </c>
      <c r="B14" s="201">
        <v>0</v>
      </c>
      <c r="C14" s="201">
        <v>0</v>
      </c>
      <c r="D14" s="201">
        <v>0</v>
      </c>
      <c r="E14" s="201">
        <v>0</v>
      </c>
      <c r="F14" s="201">
        <v>0</v>
      </c>
      <c r="G14" s="201">
        <v>0</v>
      </c>
      <c r="H14" s="201">
        <v>-1017000</v>
      </c>
      <c r="I14" s="201">
        <v>-1178000</v>
      </c>
      <c r="J14" s="201">
        <v>-1131000</v>
      </c>
      <c r="K14" s="208">
        <v>0</v>
      </c>
      <c r="L14" s="39"/>
    </row>
    <row r="15" spans="1:13">
      <c r="A15" s="57" t="s">
        <v>86</v>
      </c>
      <c r="B15" s="201">
        <v>-906000</v>
      </c>
      <c r="C15" s="201">
        <v>-2492000</v>
      </c>
      <c r="D15" s="201">
        <v>4225000</v>
      </c>
      <c r="E15" s="201">
        <v>-1106000</v>
      </c>
      <c r="F15" s="201">
        <v>-2427000</v>
      </c>
      <c r="G15" s="201">
        <v>-1169000</v>
      </c>
      <c r="H15" s="201">
        <v>-1866000</v>
      </c>
      <c r="I15" s="201">
        <v>744000</v>
      </c>
      <c r="J15" s="201">
        <v>1227000</v>
      </c>
      <c r="K15" s="208">
        <v>1810000</v>
      </c>
      <c r="L15" s="39"/>
      <c r="M15" s="61"/>
    </row>
    <row r="16" spans="1:13">
      <c r="A16" s="57" t="s">
        <v>5</v>
      </c>
      <c r="B16" s="201">
        <v>-829000</v>
      </c>
      <c r="C16" s="201">
        <v>767000</v>
      </c>
      <c r="D16" s="201">
        <v>-1321000</v>
      </c>
      <c r="E16" s="201">
        <v>320000</v>
      </c>
      <c r="F16" s="201">
        <v>-363000</v>
      </c>
      <c r="G16" s="201">
        <v>556000</v>
      </c>
      <c r="H16" s="201">
        <v>210000</v>
      </c>
      <c r="I16" s="201">
        <v>-278000</v>
      </c>
      <c r="J16" s="201">
        <v>-193000</v>
      </c>
      <c r="K16" s="208">
        <v>166000</v>
      </c>
      <c r="L16" s="39"/>
    </row>
    <row r="17" spans="1:12">
      <c r="A17" s="57" t="s">
        <v>6</v>
      </c>
      <c r="B17" s="201">
        <v>-372000</v>
      </c>
      <c r="C17" s="201">
        <v>487000</v>
      </c>
      <c r="D17" s="201">
        <v>-724000</v>
      </c>
      <c r="E17" s="201">
        <v>282000</v>
      </c>
      <c r="F17" s="201">
        <v>43000</v>
      </c>
      <c r="G17" s="201">
        <v>-306000</v>
      </c>
      <c r="H17" s="201">
        <v>513000</v>
      </c>
      <c r="I17" s="201">
        <v>-83000</v>
      </c>
      <c r="J17" s="201">
        <v>-190000</v>
      </c>
      <c r="K17" s="208">
        <v>239000</v>
      </c>
      <c r="L17" s="39"/>
    </row>
    <row r="18" spans="1:12">
      <c r="A18" s="57" t="s">
        <v>12</v>
      </c>
      <c r="B18" s="201">
        <v>657000</v>
      </c>
      <c r="C18" s="201">
        <v>2772000</v>
      </c>
      <c r="D18" s="201">
        <v>-3874000</v>
      </c>
      <c r="E18" s="201">
        <v>1612000</v>
      </c>
      <c r="F18" s="201">
        <v>2887000</v>
      </c>
      <c r="G18" s="201">
        <v>1290000</v>
      </c>
      <c r="H18" s="201">
        <v>1103000</v>
      </c>
      <c r="I18" s="201">
        <v>183000</v>
      </c>
      <c r="J18" s="201">
        <v>-783000</v>
      </c>
      <c r="K18" s="208">
        <v>-1647000</v>
      </c>
      <c r="L18" s="39"/>
    </row>
    <row r="19" spans="1:12">
      <c r="A19" s="57" t="s">
        <v>87</v>
      </c>
      <c r="B19" s="201">
        <v>-184000</v>
      </c>
      <c r="C19" s="201">
        <v>216000</v>
      </c>
      <c r="D19" s="201">
        <v>675000</v>
      </c>
      <c r="E19" s="201">
        <v>-1646000</v>
      </c>
      <c r="F19" s="201">
        <v>1727000</v>
      </c>
      <c r="G19" s="201">
        <v>-722000</v>
      </c>
      <c r="H19" s="201">
        <v>-1199000</v>
      </c>
      <c r="I19" s="201">
        <v>-518000</v>
      </c>
      <c r="J19" s="201">
        <v>-566000</v>
      </c>
      <c r="K19" s="208">
        <v>-590000</v>
      </c>
      <c r="L19" s="39"/>
    </row>
    <row r="20" spans="1:12">
      <c r="A20" s="62" t="s">
        <v>88</v>
      </c>
      <c r="B20" s="63">
        <f>SUM(B3:B8,B13,B14:B19)</f>
        <v>21516000</v>
      </c>
      <c r="C20" s="63">
        <f>SUM(C3:C8,C13,C14:C19)</f>
        <v>24550000</v>
      </c>
      <c r="D20" s="63">
        <f>SUM(D3:D8,D13,D14:D19)</f>
        <v>22658000</v>
      </c>
      <c r="E20" s="63">
        <f>SUM(E3:E8,E13,E14:E19)</f>
        <v>12479000</v>
      </c>
      <c r="F20" s="63">
        <f t="shared" ref="F20" si="2">SUM(F3:F8,F13,F14:F19)</f>
        <v>17045000</v>
      </c>
      <c r="G20" s="63">
        <f>SUM(G3:G8,G13,G14:G19)</f>
        <v>19646000</v>
      </c>
      <c r="H20" s="63">
        <f>SUM(H3:H8,H13,H14:H19)</f>
        <v>13458000</v>
      </c>
      <c r="I20" s="63">
        <f>SUM(I3:I8,I13,I14:I19)</f>
        <v>15801000</v>
      </c>
      <c r="J20" s="63">
        <f>SUM(J3:J8,J13,J14:J19)</f>
        <v>16592000</v>
      </c>
      <c r="K20" s="64">
        <f>SUM(K3:K8,K13,K14:K19)</f>
        <v>7572000</v>
      </c>
      <c r="L20" s="39" t="s">
        <v>385</v>
      </c>
    </row>
    <row r="21" spans="1:12">
      <c r="A21" s="62" t="s">
        <v>89</v>
      </c>
      <c r="B21" s="201">
        <v>0</v>
      </c>
      <c r="C21" s="201">
        <v>0</v>
      </c>
      <c r="D21" s="201">
        <v>0</v>
      </c>
      <c r="E21" s="201">
        <v>0</v>
      </c>
      <c r="F21" s="201">
        <v>0</v>
      </c>
      <c r="G21" s="201">
        <v>0</v>
      </c>
      <c r="H21" s="201">
        <v>464000</v>
      </c>
      <c r="I21" s="201">
        <v>286000</v>
      </c>
      <c r="J21" s="201">
        <v>143000</v>
      </c>
      <c r="K21" s="208">
        <v>0</v>
      </c>
      <c r="L21" s="39"/>
    </row>
    <row r="22" spans="1:12">
      <c r="A22" s="65" t="s">
        <v>115</v>
      </c>
      <c r="B22" s="63">
        <f>SUM(B20:B21)</f>
        <v>21516000</v>
      </c>
      <c r="C22" s="63">
        <f>SUM(C20:C21)</f>
        <v>24550000</v>
      </c>
      <c r="D22" s="63">
        <f>SUM(D20:D21)</f>
        <v>22658000</v>
      </c>
      <c r="E22" s="63">
        <f>SUM(E20:E21)</f>
        <v>12479000</v>
      </c>
      <c r="F22" s="63">
        <f t="shared" ref="F22" si="3">SUM(F20:F21)</f>
        <v>17045000</v>
      </c>
      <c r="G22" s="63">
        <f>SUM(G20:G21)</f>
        <v>19646000</v>
      </c>
      <c r="H22" s="63">
        <f>SUM(H20:H21)</f>
        <v>13922000</v>
      </c>
      <c r="I22" s="63">
        <f>SUM(I20:I21)</f>
        <v>16087000</v>
      </c>
      <c r="J22" s="63">
        <f>SUM(J20:J21)</f>
        <v>16735000</v>
      </c>
      <c r="K22" s="64">
        <f>SUM(K20:K21)</f>
        <v>7572000</v>
      </c>
      <c r="L22" s="39" t="s">
        <v>385</v>
      </c>
    </row>
    <row r="23" spans="1:12">
      <c r="A23" s="65" t="s">
        <v>114</v>
      </c>
      <c r="B23" s="63"/>
      <c r="C23" s="63"/>
      <c r="D23" s="63"/>
      <c r="E23" s="63"/>
      <c r="F23" s="63"/>
      <c r="G23" s="63"/>
      <c r="H23" s="63"/>
      <c r="I23" s="63"/>
      <c r="J23" s="63"/>
      <c r="K23" s="64"/>
      <c r="L23" s="39"/>
    </row>
    <row r="24" spans="1:12">
      <c r="A24" s="57" t="s">
        <v>90</v>
      </c>
      <c r="B24" s="201">
        <f>-15596000-14285000</f>
        <v>-29881000</v>
      </c>
      <c r="C24" s="201">
        <v>-11791000</v>
      </c>
      <c r="D24" s="201">
        <v>-19099000</v>
      </c>
      <c r="E24" s="201">
        <v>-10861000</v>
      </c>
      <c r="F24" s="201">
        <v>-9761000</v>
      </c>
      <c r="G24" s="201">
        <v>-13266000</v>
      </c>
      <c r="H24" s="201">
        <v>-14172000</v>
      </c>
      <c r="I24" s="201">
        <v>-15537000</v>
      </c>
      <c r="J24" s="201">
        <v>-17085000</v>
      </c>
      <c r="K24" s="208">
        <v>-10050000</v>
      </c>
      <c r="L24" s="39"/>
    </row>
    <row r="25" spans="1:12">
      <c r="A25" s="57" t="s">
        <v>91</v>
      </c>
      <c r="B25" s="201">
        <v>0</v>
      </c>
      <c r="C25" s="201">
        <v>0</v>
      </c>
      <c r="D25" s="201">
        <v>0</v>
      </c>
      <c r="E25" s="201">
        <v>0</v>
      </c>
      <c r="F25" s="201">
        <v>0</v>
      </c>
      <c r="G25" s="201">
        <v>0</v>
      </c>
      <c r="H25" s="201">
        <v>0</v>
      </c>
      <c r="I25" s="201">
        <v>0</v>
      </c>
      <c r="J25" s="201">
        <v>0</v>
      </c>
      <c r="K25" s="208">
        <v>-968000</v>
      </c>
      <c r="L25" s="39"/>
    </row>
    <row r="26" spans="1:12">
      <c r="A26" s="57" t="s">
        <v>92</v>
      </c>
      <c r="B26" s="201">
        <v>545000</v>
      </c>
      <c r="C26" s="201">
        <v>3572000</v>
      </c>
      <c r="D26" s="201">
        <v>1640000</v>
      </c>
      <c r="E26" s="201">
        <v>1270000</v>
      </c>
      <c r="F26" s="201">
        <v>15372000</v>
      </c>
      <c r="G26" s="201">
        <v>4820000</v>
      </c>
      <c r="H26" s="201">
        <v>2132000</v>
      </c>
      <c r="I26" s="201">
        <v>10220000</v>
      </c>
      <c r="J26" s="201">
        <v>1603000</v>
      </c>
      <c r="K26" s="208">
        <v>1952000</v>
      </c>
      <c r="L26" s="39"/>
    </row>
    <row r="27" spans="1:12">
      <c r="A27" s="57" t="s">
        <v>93</v>
      </c>
      <c r="B27" s="201">
        <v>0</v>
      </c>
      <c r="C27" s="201">
        <v>0</v>
      </c>
      <c r="D27" s="201">
        <v>0</v>
      </c>
      <c r="E27" s="201">
        <v>0</v>
      </c>
      <c r="F27" s="201">
        <v>-982000</v>
      </c>
      <c r="G27" s="201">
        <v>400000</v>
      </c>
      <c r="H27" s="201">
        <v>597000</v>
      </c>
      <c r="I27" s="201">
        <v>-263000</v>
      </c>
      <c r="J27" s="201">
        <v>253000</v>
      </c>
      <c r="K27" s="208">
        <v>0</v>
      </c>
      <c r="L27" s="39"/>
    </row>
    <row r="28" spans="1:12">
      <c r="A28" s="57" t="s">
        <v>94</v>
      </c>
      <c r="B28" s="201">
        <v>-780000</v>
      </c>
      <c r="C28" s="201">
        <v>-682000</v>
      </c>
      <c r="D28" s="201">
        <v>-163000</v>
      </c>
      <c r="E28" s="201">
        <v>-525000</v>
      </c>
      <c r="F28" s="201">
        <v>-313000</v>
      </c>
      <c r="G28" s="201">
        <v>-9000</v>
      </c>
      <c r="H28" s="201">
        <v>0</v>
      </c>
      <c r="I28" s="201">
        <v>0</v>
      </c>
      <c r="J28" s="201">
        <v>0</v>
      </c>
      <c r="K28" s="208">
        <v>0</v>
      </c>
      <c r="L28" s="39"/>
    </row>
    <row r="29" spans="1:12">
      <c r="A29" s="57" t="s">
        <v>95</v>
      </c>
      <c r="B29" s="201">
        <v>123000</v>
      </c>
      <c r="C29" s="201">
        <v>89000</v>
      </c>
      <c r="D29" s="201">
        <v>34000</v>
      </c>
      <c r="E29" s="201">
        <v>93000</v>
      </c>
      <c r="F29" s="201">
        <v>115000</v>
      </c>
      <c r="G29" s="201">
        <v>648000</v>
      </c>
      <c r="H29" s="201">
        <v>114000</v>
      </c>
      <c r="I29" s="201">
        <v>145000</v>
      </c>
      <c r="J29" s="201">
        <v>603000</v>
      </c>
      <c r="K29" s="208">
        <v>105000</v>
      </c>
      <c r="L29" s="39"/>
    </row>
    <row r="30" spans="1:12">
      <c r="A30" s="57" t="s">
        <v>96</v>
      </c>
      <c r="B30" s="201">
        <v>0</v>
      </c>
      <c r="C30" s="201">
        <v>250000</v>
      </c>
      <c r="D30" s="201">
        <v>-28000</v>
      </c>
      <c r="E30" s="201">
        <v>88000</v>
      </c>
      <c r="F30" s="201">
        <v>234000</v>
      </c>
      <c r="G30" s="201">
        <v>392000</v>
      </c>
      <c r="H30" s="201">
        <v>821000</v>
      </c>
      <c r="I30" s="201">
        <v>-212000</v>
      </c>
      <c r="J30" s="201">
        <v>-446000</v>
      </c>
      <c r="K30" s="208">
        <v>306000</v>
      </c>
      <c r="L30" s="39"/>
    </row>
    <row r="31" spans="1:12">
      <c r="A31" s="62" t="s">
        <v>97</v>
      </c>
      <c r="B31" s="201">
        <f>SUM(B24:B30)</f>
        <v>-29993000</v>
      </c>
      <c r="C31" s="201">
        <f>SUM(C24:C30)</f>
        <v>-8562000</v>
      </c>
      <c r="D31" s="201">
        <f>SUM(D24:D30)</f>
        <v>-17616000</v>
      </c>
      <c r="E31" s="201">
        <f>SUM(E24:E30)</f>
        <v>-9935000</v>
      </c>
      <c r="F31" s="201">
        <f t="shared" ref="F31" si="4">SUM(F24:F30)</f>
        <v>4665000</v>
      </c>
      <c r="G31" s="201">
        <f>SUM(G24:G30)</f>
        <v>-7015000</v>
      </c>
      <c r="H31" s="201">
        <f>SUM(H24:H30)</f>
        <v>-10508000</v>
      </c>
      <c r="I31" s="201">
        <f>SUM(I24:I30)</f>
        <v>-5647000</v>
      </c>
      <c r="J31" s="201">
        <f>SUM(J24:J30)</f>
        <v>-15072000</v>
      </c>
      <c r="K31" s="208">
        <f>SUM(K24:K30)</f>
        <v>-8655000</v>
      </c>
      <c r="L31" s="39"/>
    </row>
    <row r="32" spans="1:12">
      <c r="A32" s="62" t="s">
        <v>89</v>
      </c>
      <c r="B32" s="201">
        <v>0</v>
      </c>
      <c r="C32" s="201">
        <v>0</v>
      </c>
      <c r="D32" s="201">
        <v>0</v>
      </c>
      <c r="E32" s="201">
        <v>0</v>
      </c>
      <c r="F32" s="201">
        <v>0</v>
      </c>
      <c r="G32" s="201">
        <v>0</v>
      </c>
      <c r="H32" s="201">
        <v>-1119000</v>
      </c>
      <c r="I32" s="201">
        <v>-604000</v>
      </c>
      <c r="J32" s="201">
        <v>-59000</v>
      </c>
      <c r="K32" s="208">
        <v>0</v>
      </c>
      <c r="L32" s="39"/>
    </row>
    <row r="33" spans="1:12">
      <c r="A33" s="65" t="s">
        <v>116</v>
      </c>
      <c r="B33" s="64">
        <f t="shared" ref="B33:I33" si="5">SUM(B31:B32)</f>
        <v>-29993000</v>
      </c>
      <c r="C33" s="64">
        <f t="shared" si="5"/>
        <v>-8562000</v>
      </c>
      <c r="D33" s="64">
        <f t="shared" si="5"/>
        <v>-17616000</v>
      </c>
      <c r="E33" s="64">
        <f t="shared" si="5"/>
        <v>-9935000</v>
      </c>
      <c r="F33" s="64">
        <f t="shared" si="5"/>
        <v>4665000</v>
      </c>
      <c r="G33" s="64">
        <f t="shared" si="5"/>
        <v>-7015000</v>
      </c>
      <c r="H33" s="64">
        <f t="shared" si="5"/>
        <v>-11627000</v>
      </c>
      <c r="I33" s="64">
        <f t="shared" si="5"/>
        <v>-6251000</v>
      </c>
      <c r="J33" s="64">
        <f t="shared" ref="J33" si="6">SUM(J31:J32)</f>
        <v>-15131000</v>
      </c>
      <c r="K33" s="64">
        <f>SUM(K31:K32)</f>
        <v>-8655000</v>
      </c>
      <c r="L33" s="39" t="s">
        <v>385</v>
      </c>
    </row>
    <row r="34" spans="1:12">
      <c r="A34" s="65" t="s">
        <v>117</v>
      </c>
      <c r="B34" s="58"/>
      <c r="C34" s="58"/>
      <c r="D34" s="58"/>
      <c r="E34" s="58"/>
      <c r="F34" s="58"/>
      <c r="G34" s="58"/>
      <c r="H34" s="58"/>
      <c r="I34" s="58"/>
      <c r="J34" s="58"/>
      <c r="K34" s="59"/>
      <c r="L34" s="39"/>
    </row>
    <row r="35" spans="1:12">
      <c r="A35" s="57" t="s">
        <v>98</v>
      </c>
      <c r="B35" s="201">
        <v>17314000</v>
      </c>
      <c r="C35" s="201">
        <v>935000</v>
      </c>
      <c r="D35" s="201">
        <v>7657000</v>
      </c>
      <c r="E35" s="201">
        <v>9087000</v>
      </c>
      <c r="F35" s="201">
        <v>118000</v>
      </c>
      <c r="G35" s="201">
        <v>0</v>
      </c>
      <c r="H35" s="201">
        <v>1996000</v>
      </c>
      <c r="I35" s="201">
        <v>0</v>
      </c>
      <c r="J35" s="201">
        <v>2994000</v>
      </c>
      <c r="K35" s="208">
        <v>2498000</v>
      </c>
      <c r="L35" s="39"/>
    </row>
    <row r="36" spans="1:12">
      <c r="A36" s="57" t="s">
        <v>99</v>
      </c>
      <c r="B36" s="201">
        <v>-7082000</v>
      </c>
      <c r="C36" s="201">
        <v>-6454000</v>
      </c>
      <c r="D36" s="201">
        <v>-1897000</v>
      </c>
      <c r="E36" s="201">
        <v>-7858000</v>
      </c>
      <c r="F36" s="201">
        <v>-5320000</v>
      </c>
      <c r="G36" s="201">
        <v>-961000</v>
      </c>
      <c r="H36" s="201">
        <v>-2565000</v>
      </c>
      <c r="I36" s="201">
        <v>-946000</v>
      </c>
      <c r="J36" s="201">
        <v>-2014000</v>
      </c>
      <c r="K36" s="208">
        <v>-103000</v>
      </c>
      <c r="L36" s="39"/>
    </row>
    <row r="37" spans="1:12">
      <c r="A37" s="57" t="s">
        <v>100</v>
      </c>
      <c r="B37" s="201">
        <v>0</v>
      </c>
      <c r="C37" s="201">
        <v>0</v>
      </c>
      <c r="D37" s="201">
        <v>0</v>
      </c>
      <c r="E37" s="201">
        <v>0</v>
      </c>
      <c r="F37" s="201">
        <v>0</v>
      </c>
      <c r="G37" s="201">
        <v>0</v>
      </c>
      <c r="H37" s="201">
        <v>7818000</v>
      </c>
      <c r="I37" s="201">
        <v>0</v>
      </c>
      <c r="J37" s="201">
        <v>0</v>
      </c>
      <c r="K37" s="208">
        <v>0</v>
      </c>
      <c r="L37" s="39"/>
    </row>
    <row r="38" spans="1:12">
      <c r="A38" s="57" t="s">
        <v>101</v>
      </c>
      <c r="B38" s="201">
        <v>0</v>
      </c>
      <c r="C38" s="201">
        <v>0</v>
      </c>
      <c r="D38" s="201">
        <v>0</v>
      </c>
      <c r="E38" s="201">
        <v>0</v>
      </c>
      <c r="F38" s="201">
        <v>0</v>
      </c>
      <c r="G38" s="201">
        <v>0</v>
      </c>
      <c r="H38" s="201">
        <v>-748000</v>
      </c>
      <c r="I38" s="201">
        <v>748000</v>
      </c>
      <c r="J38" s="201">
        <v>0</v>
      </c>
      <c r="K38" s="208">
        <v>0</v>
      </c>
      <c r="L38" s="39"/>
    </row>
    <row r="39" spans="1:12">
      <c r="A39" s="57" t="s">
        <v>102</v>
      </c>
      <c r="B39" s="201">
        <v>220000</v>
      </c>
      <c r="C39" s="201">
        <v>285000</v>
      </c>
      <c r="D39" s="201">
        <v>198000</v>
      </c>
      <c r="E39" s="201">
        <v>13000</v>
      </c>
      <c r="F39" s="201">
        <v>133000</v>
      </c>
      <c r="G39" s="201">
        <v>96000</v>
      </c>
      <c r="H39" s="201">
        <v>138000</v>
      </c>
      <c r="I39" s="201">
        <v>20000</v>
      </c>
      <c r="J39" s="201">
        <v>35000</v>
      </c>
      <c r="K39" s="208">
        <v>-82000</v>
      </c>
      <c r="L39" s="39"/>
    </row>
    <row r="40" spans="1:12">
      <c r="A40" s="57" t="s">
        <v>103</v>
      </c>
      <c r="B40" s="201">
        <v>-925000</v>
      </c>
      <c r="C40" s="201">
        <v>-7001000</v>
      </c>
      <c r="D40" s="201">
        <v>-8249000</v>
      </c>
      <c r="E40" s="201">
        <v>0</v>
      </c>
      <c r="F40" s="201">
        <v>-3866000</v>
      </c>
      <c r="G40" s="201">
        <v>-11123000</v>
      </c>
      <c r="H40" s="201">
        <v>-5098000</v>
      </c>
      <c r="I40" s="201">
        <v>0</v>
      </c>
      <c r="J40" s="201">
        <v>0</v>
      </c>
      <c r="K40" s="208">
        <v>0</v>
      </c>
      <c r="L40" s="39"/>
    </row>
    <row r="41" spans="1:12">
      <c r="A41" s="57" t="s">
        <v>104</v>
      </c>
      <c r="B41" s="201">
        <v>-2277000</v>
      </c>
      <c r="C41" s="201">
        <v>-2661000</v>
      </c>
      <c r="D41" s="201">
        <v>-2854000</v>
      </c>
      <c r="E41" s="201">
        <v>-2832000</v>
      </c>
      <c r="F41" s="201">
        <v>-3175000</v>
      </c>
      <c r="G41" s="201">
        <v>-3632000</v>
      </c>
      <c r="H41" s="201">
        <v>-3278000</v>
      </c>
      <c r="I41" s="201">
        <v>-3334000</v>
      </c>
      <c r="J41" s="201">
        <v>-3525000</v>
      </c>
      <c r="K41" s="208">
        <v>-3664000</v>
      </c>
      <c r="L41" s="39"/>
    </row>
    <row r="42" spans="1:12">
      <c r="A42" s="57" t="s">
        <v>105</v>
      </c>
      <c r="B42" s="201">
        <v>-185000</v>
      </c>
      <c r="C42" s="201">
        <v>-444000</v>
      </c>
      <c r="D42" s="201">
        <v>-619000</v>
      </c>
      <c r="E42" s="201">
        <v>-1265000</v>
      </c>
      <c r="F42" s="201">
        <v>-709000</v>
      </c>
      <c r="G42" s="201">
        <v>-685000</v>
      </c>
      <c r="H42" s="201">
        <v>-725000</v>
      </c>
      <c r="I42" s="201">
        <v>-3621000</v>
      </c>
      <c r="J42" s="201">
        <v>-64000</v>
      </c>
      <c r="K42" s="208">
        <v>-78000</v>
      </c>
      <c r="L42" s="39"/>
    </row>
    <row r="43" spans="1:12">
      <c r="A43" s="62" t="s">
        <v>106</v>
      </c>
      <c r="B43" s="64">
        <f t="shared" ref="B43:I43" si="7">SUM(B35:B42)</f>
        <v>7065000</v>
      </c>
      <c r="C43" s="64">
        <f t="shared" si="7"/>
        <v>-15340000</v>
      </c>
      <c r="D43" s="64">
        <f t="shared" si="7"/>
        <v>-5764000</v>
      </c>
      <c r="E43" s="64">
        <f t="shared" si="7"/>
        <v>-2855000</v>
      </c>
      <c r="F43" s="64">
        <f t="shared" si="7"/>
        <v>-12819000</v>
      </c>
      <c r="G43" s="64">
        <f t="shared" si="7"/>
        <v>-16305000</v>
      </c>
      <c r="H43" s="64">
        <f t="shared" si="7"/>
        <v>-2462000</v>
      </c>
      <c r="I43" s="64">
        <f t="shared" si="7"/>
        <v>-7133000</v>
      </c>
      <c r="J43" s="64">
        <f t="shared" ref="J43" si="8">SUM(J35:J42)</f>
        <v>-2574000</v>
      </c>
      <c r="K43" s="64">
        <f>SUM(K35:K42)</f>
        <v>-1429000</v>
      </c>
      <c r="L43" s="39" t="s">
        <v>385</v>
      </c>
    </row>
    <row r="44" spans="1:12">
      <c r="A44" s="62" t="s">
        <v>89</v>
      </c>
      <c r="B44" s="201">
        <v>0</v>
      </c>
      <c r="C44" s="201">
        <v>0</v>
      </c>
      <c r="D44" s="201">
        <v>0</v>
      </c>
      <c r="E44" s="201">
        <v>0</v>
      </c>
      <c r="F44" s="201">
        <v>0</v>
      </c>
      <c r="G44" s="201">
        <v>0</v>
      </c>
      <c r="H44" s="201">
        <v>-2019000</v>
      </c>
      <c r="I44" s="201">
        <v>0</v>
      </c>
      <c r="J44" s="201">
        <v>0</v>
      </c>
      <c r="K44" s="208">
        <v>0</v>
      </c>
      <c r="L44" s="39"/>
    </row>
    <row r="45" spans="1:12">
      <c r="A45" s="65" t="s">
        <v>118</v>
      </c>
      <c r="B45" s="64">
        <f t="shared" ref="B45:I45" si="9">SUM(B43:B44)</f>
        <v>7065000</v>
      </c>
      <c r="C45" s="64">
        <f t="shared" si="9"/>
        <v>-15340000</v>
      </c>
      <c r="D45" s="64">
        <f t="shared" si="9"/>
        <v>-5764000</v>
      </c>
      <c r="E45" s="64">
        <f t="shared" si="9"/>
        <v>-2855000</v>
      </c>
      <c r="F45" s="64">
        <f t="shared" si="9"/>
        <v>-12819000</v>
      </c>
      <c r="G45" s="64">
        <f t="shared" si="9"/>
        <v>-16305000</v>
      </c>
      <c r="H45" s="64">
        <f t="shared" si="9"/>
        <v>-4481000</v>
      </c>
      <c r="I45" s="64">
        <f t="shared" si="9"/>
        <v>-7133000</v>
      </c>
      <c r="J45" s="64">
        <f t="shared" ref="J45" si="10">SUM(J43:J44)</f>
        <v>-2574000</v>
      </c>
      <c r="K45" s="64">
        <f>SUM(K43:K44)</f>
        <v>-1429000</v>
      </c>
      <c r="L45" s="39" t="s">
        <v>385</v>
      </c>
    </row>
    <row r="46" spans="1:12">
      <c r="A46" s="66" t="s">
        <v>119</v>
      </c>
      <c r="B46" s="201">
        <v>15000</v>
      </c>
      <c r="C46" s="201">
        <v>-9000</v>
      </c>
      <c r="D46" s="201">
        <v>21000</v>
      </c>
      <c r="E46" s="201">
        <v>98000</v>
      </c>
      <c r="F46" s="201">
        <v>21000</v>
      </c>
      <c r="G46" s="201">
        <v>0</v>
      </c>
      <c r="H46" s="201">
        <v>24000</v>
      </c>
      <c r="I46" s="201">
        <v>-75000</v>
      </c>
      <c r="J46" s="201">
        <v>-214000</v>
      </c>
      <c r="K46" s="208">
        <v>-182000</v>
      </c>
      <c r="L46" s="39"/>
    </row>
    <row r="47" spans="1:12">
      <c r="A47" s="66" t="s">
        <v>122</v>
      </c>
      <c r="B47" s="209"/>
      <c r="C47" s="210"/>
      <c r="D47" s="210"/>
      <c r="E47" s="210"/>
      <c r="F47" s="210"/>
      <c r="G47" s="210"/>
      <c r="H47" s="210"/>
      <c r="I47" s="210"/>
      <c r="J47" s="210"/>
      <c r="K47" s="208"/>
      <c r="L47" s="39"/>
    </row>
    <row r="48" spans="1:12">
      <c r="A48" s="62" t="s">
        <v>107</v>
      </c>
      <c r="B48" s="201">
        <v>2214000</v>
      </c>
      <c r="C48" s="201">
        <v>817000</v>
      </c>
      <c r="D48" s="201">
        <v>1456000</v>
      </c>
      <c r="E48" s="201">
        <v>755000</v>
      </c>
      <c r="F48" s="201">
        <v>542000</v>
      </c>
      <c r="G48" s="201">
        <v>9454000</v>
      </c>
      <c r="H48" s="201">
        <v>5780000</v>
      </c>
      <c r="I48" s="201">
        <v>3618000</v>
      </c>
      <c r="J48" s="201">
        <v>6246000</v>
      </c>
      <c r="K48" s="208">
        <v>5062000</v>
      </c>
      <c r="L48" s="39"/>
    </row>
    <row r="49" spans="1:12">
      <c r="A49" s="62" t="s">
        <v>108</v>
      </c>
      <c r="B49" s="201">
        <v>817000</v>
      </c>
      <c r="C49" s="201">
        <v>1456000</v>
      </c>
      <c r="D49" s="201">
        <v>755000</v>
      </c>
      <c r="E49" s="201">
        <v>542000</v>
      </c>
      <c r="F49" s="201">
        <v>9454000</v>
      </c>
      <c r="G49" s="201">
        <v>5780000</v>
      </c>
      <c r="H49" s="201">
        <v>3618000</v>
      </c>
      <c r="I49" s="201">
        <v>6246000</v>
      </c>
      <c r="J49" s="201">
        <v>5062000</v>
      </c>
      <c r="K49" s="208">
        <v>2368000</v>
      </c>
      <c r="L49" s="39"/>
    </row>
    <row r="50" spans="1:12">
      <c r="A50" s="66" t="s">
        <v>120</v>
      </c>
      <c r="B50" s="59">
        <f t="shared" ref="B50:I50" si="11">B49-B48</f>
        <v>-1397000</v>
      </c>
      <c r="C50" s="59">
        <f t="shared" si="11"/>
        <v>639000</v>
      </c>
      <c r="D50" s="59">
        <f t="shared" si="11"/>
        <v>-701000</v>
      </c>
      <c r="E50" s="59">
        <f t="shared" si="11"/>
        <v>-213000</v>
      </c>
      <c r="F50" s="59">
        <f t="shared" si="11"/>
        <v>8912000</v>
      </c>
      <c r="G50" s="59">
        <f t="shared" si="11"/>
        <v>-3674000</v>
      </c>
      <c r="H50" s="59">
        <f t="shared" si="11"/>
        <v>-2162000</v>
      </c>
      <c r="I50" s="59">
        <f t="shared" si="11"/>
        <v>2628000</v>
      </c>
      <c r="J50" s="59">
        <f t="shared" ref="J50" si="12">J49-J48</f>
        <v>-1184000</v>
      </c>
      <c r="K50" s="59">
        <f>K49-K48</f>
        <v>-2694000</v>
      </c>
      <c r="L50" s="39" t="s">
        <v>385</v>
      </c>
    </row>
    <row r="51" spans="1:12">
      <c r="A51" s="65" t="s">
        <v>121</v>
      </c>
      <c r="B51" s="58"/>
      <c r="C51" s="58"/>
      <c r="D51" s="58"/>
      <c r="E51" s="58"/>
      <c r="F51" s="58"/>
      <c r="G51" s="58"/>
      <c r="H51" s="58"/>
      <c r="I51" s="58"/>
      <c r="J51" s="58"/>
      <c r="K51" s="59"/>
      <c r="L51" s="39"/>
    </row>
    <row r="52" spans="1:12">
      <c r="A52" s="57" t="s">
        <v>123</v>
      </c>
      <c r="B52" s="59">
        <f>B22</f>
        <v>21516000</v>
      </c>
      <c r="C52" s="59">
        <f>C22</f>
        <v>24550000</v>
      </c>
      <c r="D52" s="59">
        <f>D22</f>
        <v>22658000</v>
      </c>
      <c r="E52" s="59">
        <f>E22</f>
        <v>12479000</v>
      </c>
      <c r="F52" s="59">
        <f t="shared" ref="F52" si="13">F22</f>
        <v>17045000</v>
      </c>
      <c r="G52" s="59">
        <f>G22</f>
        <v>19646000</v>
      </c>
      <c r="H52" s="59">
        <f>H22</f>
        <v>13922000</v>
      </c>
      <c r="I52" s="59">
        <f>I22</f>
        <v>16087000</v>
      </c>
      <c r="J52" s="59">
        <f>J22</f>
        <v>16735000</v>
      </c>
      <c r="K52" s="59">
        <f>K22</f>
        <v>7572000</v>
      </c>
      <c r="L52" s="39" t="s">
        <v>385</v>
      </c>
    </row>
    <row r="53" spans="1:12">
      <c r="A53" s="57" t="s">
        <v>90</v>
      </c>
      <c r="B53" s="59">
        <f>B24</f>
        <v>-29881000</v>
      </c>
      <c r="C53" s="59">
        <f>C24</f>
        <v>-11791000</v>
      </c>
      <c r="D53" s="59">
        <f>D24</f>
        <v>-19099000</v>
      </c>
      <c r="E53" s="59">
        <f>E24</f>
        <v>-10861000</v>
      </c>
      <c r="F53" s="59">
        <f t="shared" ref="F53" si="14">F24</f>
        <v>-9761000</v>
      </c>
      <c r="G53" s="59">
        <f>G24</f>
        <v>-13266000</v>
      </c>
      <c r="H53" s="59">
        <f>H24</f>
        <v>-14172000</v>
      </c>
      <c r="I53" s="59">
        <f>I24</f>
        <v>-15537000</v>
      </c>
      <c r="J53" s="59">
        <f>J24</f>
        <v>-17085000</v>
      </c>
      <c r="K53" s="59">
        <f>K24</f>
        <v>-10050000</v>
      </c>
      <c r="L53" s="39" t="s">
        <v>385</v>
      </c>
    </row>
    <row r="54" spans="1:12">
      <c r="A54" s="65" t="s">
        <v>121</v>
      </c>
      <c r="B54" s="64">
        <f>SUM(B52:B53)</f>
        <v>-8365000</v>
      </c>
      <c r="C54" s="64">
        <f>SUM(C52:C53)</f>
        <v>12759000</v>
      </c>
      <c r="D54" s="64">
        <f>SUM(D52:D53)</f>
        <v>3559000</v>
      </c>
      <c r="E54" s="64">
        <f>SUM(E52:E53)</f>
        <v>1618000</v>
      </c>
      <c r="F54" s="64">
        <f t="shared" ref="F54" si="15">SUM(F52:F53)</f>
        <v>7284000</v>
      </c>
      <c r="G54" s="64">
        <f>SUM(G52:G53)</f>
        <v>6380000</v>
      </c>
      <c r="H54" s="64">
        <f>SUM(H52:H53)</f>
        <v>-250000</v>
      </c>
      <c r="I54" s="64">
        <f>SUM(I52:I53)</f>
        <v>550000</v>
      </c>
      <c r="J54" s="64">
        <f>SUM(J52:J53)</f>
        <v>-350000</v>
      </c>
      <c r="K54" s="64">
        <f>SUM(K52:K53)</f>
        <v>-2478000</v>
      </c>
      <c r="L54" s="39" t="s">
        <v>385</v>
      </c>
    </row>
    <row r="55" spans="1:12">
      <c r="A55" s="66" t="s">
        <v>109</v>
      </c>
      <c r="B55" s="201">
        <v>958000</v>
      </c>
      <c r="C55" s="201">
        <v>104000</v>
      </c>
      <c r="D55" s="201">
        <v>858000</v>
      </c>
      <c r="E55" s="201">
        <v>0</v>
      </c>
      <c r="F55" s="201">
        <v>1210000</v>
      </c>
      <c r="G55" s="201">
        <v>932000</v>
      </c>
      <c r="H55" s="201">
        <v>724000</v>
      </c>
      <c r="I55" s="201">
        <v>566000</v>
      </c>
      <c r="J55" s="201">
        <v>669000</v>
      </c>
      <c r="K55" s="208">
        <v>920000</v>
      </c>
      <c r="L55" s="39"/>
    </row>
    <row r="56" spans="1:12">
      <c r="A56" s="67" t="s">
        <v>110</v>
      </c>
      <c r="B56" s="211">
        <v>13050000</v>
      </c>
      <c r="C56" s="211">
        <v>11330000</v>
      </c>
      <c r="D56" s="211">
        <v>13122000</v>
      </c>
      <c r="E56" s="211">
        <v>0</v>
      </c>
      <c r="F56" s="211">
        <v>8474000</v>
      </c>
      <c r="G56" s="211">
        <v>10561000</v>
      </c>
      <c r="H56" s="211">
        <v>8100000</v>
      </c>
      <c r="I56" s="211">
        <v>4910000</v>
      </c>
      <c r="J56" s="211">
        <v>4203000</v>
      </c>
      <c r="K56" s="212">
        <v>523000</v>
      </c>
      <c r="L56" s="226"/>
    </row>
    <row r="57" spans="1:12">
      <c r="C57" s="68"/>
      <c r="D57" s="68"/>
      <c r="E57" s="68"/>
      <c r="F57" s="68"/>
      <c r="G57" s="68"/>
      <c r="H57" s="68"/>
      <c r="I57" s="68"/>
      <c r="J57" s="68"/>
      <c r="K57" s="68"/>
    </row>
    <row r="58" spans="1:12">
      <c r="B58" s="69"/>
      <c r="C58" s="69"/>
      <c r="D58" s="69"/>
      <c r="E58" s="69"/>
      <c r="F58" s="69"/>
      <c r="G58" s="69"/>
      <c r="H58" s="69"/>
      <c r="I58" s="69"/>
      <c r="J58" s="69"/>
      <c r="K58" s="69"/>
    </row>
  </sheetData>
  <conditionalFormatting sqref="L1:L56">
    <cfRule type="beginsWith" dxfId="3" priority="1" operator="beginsWith" text="Invalid">
      <formula>LEFT(L1,LEN("Invalid"))="Invalid"</formula>
    </cfRule>
    <cfRule type="beginsWith" dxfId="2" priority="2" operator="beginsWith" text="Valid">
      <formula>LEFT(L1,LEN("Valid"))="Valid"</formula>
    </cfRule>
  </conditionalFormatting>
  <dataValidations count="1">
    <dataValidation type="list" allowBlank="1" showInputMessage="1" showErrorMessage="1" sqref="L2:L56" xr:uid="{00000000-0002-0000-0500-000000000000}">
      <formula1>"Valid,Invalid"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O102"/>
  <sheetViews>
    <sheetView workbookViewId="0">
      <selection activeCell="M21" sqref="M21"/>
    </sheetView>
  </sheetViews>
  <sheetFormatPr baseColWidth="10" defaultColWidth="11" defaultRowHeight="16"/>
  <cols>
    <col min="1" max="1" width="18.33203125" style="19" bestFit="1" customWidth="1"/>
    <col min="2" max="2" width="53.33203125" style="19" customWidth="1"/>
    <col min="3" max="7" width="13.83203125" style="19" customWidth="1"/>
    <col min="8" max="11" width="13.83203125" style="19" bestFit="1" customWidth="1"/>
    <col min="12" max="12" width="11.1640625" style="19" bestFit="1" customWidth="1"/>
    <col min="13" max="13" width="10.83203125" style="198"/>
  </cols>
  <sheetData>
    <row r="1" spans="1:15">
      <c r="A1" s="491" t="s">
        <v>132</v>
      </c>
      <c r="B1" s="492"/>
      <c r="C1" s="237">
        <f>IF(EarliestYear&lt;&gt;"",EarliestYear,"")</f>
        <v>2006</v>
      </c>
      <c r="D1" s="237">
        <f t="shared" ref="D1:L1" si="0">IF(LatestYear&gt;C1,C1+1,"")</f>
        <v>2007</v>
      </c>
      <c r="E1" s="237">
        <f t="shared" si="0"/>
        <v>2008</v>
      </c>
      <c r="F1" s="237">
        <f t="shared" si="0"/>
        <v>2009</v>
      </c>
      <c r="G1" s="237">
        <f t="shared" si="0"/>
        <v>2010</v>
      </c>
      <c r="H1" s="237">
        <f t="shared" si="0"/>
        <v>2011</v>
      </c>
      <c r="I1" s="237">
        <f t="shared" si="0"/>
        <v>2012</v>
      </c>
      <c r="J1" s="237">
        <f t="shared" si="0"/>
        <v>2013</v>
      </c>
      <c r="K1" s="237">
        <f t="shared" si="0"/>
        <v>2014</v>
      </c>
      <c r="L1" s="237">
        <f t="shared" si="0"/>
        <v>2015</v>
      </c>
      <c r="M1" s="241" t="s">
        <v>192</v>
      </c>
      <c r="N1" s="2"/>
      <c r="O1" s="2"/>
    </row>
    <row r="2" spans="1:15">
      <c r="A2" s="21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186"/>
    </row>
    <row r="3" spans="1:15">
      <c r="A3" s="21"/>
      <c r="B3" s="49" t="s">
        <v>133</v>
      </c>
      <c r="C3" s="23">
        <f>'Historic Income Statement'!B38/'Historic Income Statement'!B2</f>
        <v>8.8652312980379053E-2</v>
      </c>
      <c r="D3" s="23">
        <f>'Historic Income Statement'!C38/'Historic Income Statement'!C2</f>
        <v>6.802745571865601E-2</v>
      </c>
      <c r="E3" s="23">
        <f>'Historic Income Statement'!D38/'Historic Income Statement'!D2</f>
        <v>-6.49641322273765E-2</v>
      </c>
      <c r="F3" s="23">
        <f>'Historic Income Statement'!E38/'Historic Income Statement'!E2</f>
        <v>3.7935560076120478E-2</v>
      </c>
      <c r="G3" s="23">
        <f>'Historic Income Statement'!F38/'Historic Income Statement'!F2</f>
        <v>6.3446678915708141E-2</v>
      </c>
      <c r="H3" s="23">
        <f>'Historic Income Statement'!G38/'Historic Income Statement'!G2</f>
        <v>5.3632983847213267E-2</v>
      </c>
      <c r="I3" s="23">
        <f>'Historic Income Statement'!H38/'Historic Income Statement'!H2</f>
        <v>0.13208825237081478</v>
      </c>
      <c r="J3" s="23">
        <f>'Historic Income Statement'!I38/'Historic Income Statement'!I2</f>
        <v>0.14848578491965389</v>
      </c>
      <c r="K3" s="23">
        <f>'Historic Income Statement'!J38/'Historic Income Statement'!J2</f>
        <v>0.11627069186015095</v>
      </c>
      <c r="L3" s="23">
        <f>'Historic Income Statement'!K38/'Historic Income Statement'!K2</f>
        <v>-0.11155648941328593</v>
      </c>
      <c r="M3" s="186" t="s">
        <v>385</v>
      </c>
    </row>
    <row r="4" spans="1:15">
      <c r="A4" s="50" t="s">
        <v>134</v>
      </c>
      <c r="B4" s="49" t="s">
        <v>135</v>
      </c>
      <c r="C4" s="23">
        <f>'Historic Income Statement'!B2/'Historic Balance Sheet'!B25</f>
        <v>1.1440821453929761</v>
      </c>
      <c r="D4" s="23">
        <f>'Historic Income Statement'!C2/'Historic Balance Sheet'!C25</f>
        <v>1.0941622552135781</v>
      </c>
      <c r="E4" s="23">
        <f>'Historic Income Statement'!D2/'Historic Balance Sheet'!D25</f>
        <v>1.7231792251426172</v>
      </c>
      <c r="F4" s="23">
        <f>'Historic Income Statement'!E2/'Historic Balance Sheet'!E25</f>
        <v>0.99870238813012824</v>
      </c>
      <c r="G4" s="23">
        <f>'Historic Income Statement'!F2/'Historic Balance Sheet'!F25</f>
        <v>1.2708714510536485</v>
      </c>
      <c r="H4" s="23">
        <f>'Historic Income Statement'!G2/'Historic Balance Sheet'!G25</f>
        <v>1.6395353390328264</v>
      </c>
      <c r="I4" s="23">
        <f>'Historic Income Statement'!H2/'Historic Balance Sheet'!H25</f>
        <v>0.52929727514853508</v>
      </c>
      <c r="J4" s="23">
        <f>'Historic Income Statement'!I2/'Historic Balance Sheet'!I25</f>
        <v>0.49338878677249126</v>
      </c>
      <c r="K4" s="23">
        <f>'Historic Income Statement'!J2/'Historic Balance Sheet'!J25</f>
        <v>0.47638129724813155</v>
      </c>
      <c r="L4" s="23">
        <f>'Historic Income Statement'!K2/'Historic Balance Sheet'!K25</f>
        <v>0.31733412662590782</v>
      </c>
      <c r="M4" s="186" t="s">
        <v>385</v>
      </c>
    </row>
    <row r="5" spans="1:15">
      <c r="A5" s="50" t="s">
        <v>136</v>
      </c>
      <c r="B5" s="51" t="s">
        <v>137</v>
      </c>
      <c r="C5" s="23">
        <f>C3*C4</f>
        <v>0.10142552842864165</v>
      </c>
      <c r="D5" s="23">
        <f t="shared" ref="D5:K5" si="1">D3*D4</f>
        <v>7.4433074365566482E-2</v>
      </c>
      <c r="E5" s="23">
        <f t="shared" si="1"/>
        <v>-0.11194484303363317</v>
      </c>
      <c r="F5" s="23">
        <f t="shared" si="1"/>
        <v>3.7886334443075473E-2</v>
      </c>
      <c r="G5" s="23">
        <f t="shared" si="1"/>
        <v>8.0632572898140936E-2</v>
      </c>
      <c r="H5" s="23">
        <f t="shared" si="1"/>
        <v>8.7933172355282904E-2</v>
      </c>
      <c r="I5" s="23">
        <f t="shared" si="1"/>
        <v>6.9913952059004289E-2</v>
      </c>
      <c r="J5" s="23">
        <f t="shared" si="1"/>
        <v>7.3261221274469115E-2</v>
      </c>
      <c r="K5" s="23">
        <f t="shared" si="1"/>
        <v>5.5389183020276476E-2</v>
      </c>
      <c r="L5" s="23">
        <f>L3*L4</f>
        <v>-3.5400681137417421E-2</v>
      </c>
      <c r="M5" s="186" t="s">
        <v>385</v>
      </c>
    </row>
    <row r="6" spans="1:15">
      <c r="A6" s="50" t="s">
        <v>134</v>
      </c>
      <c r="B6" s="49" t="s">
        <v>138</v>
      </c>
      <c r="C6" s="24">
        <f>'Historic Balance Sheet'!B25/'Historic Balance Sheet'!B50</f>
        <v>1.9652347104283943</v>
      </c>
      <c r="D6" s="24">
        <f>'Historic Balance Sheet'!C25/'Historic Balance Sheet'!C50</f>
        <v>1.971660233373264</v>
      </c>
      <c r="E6" s="24">
        <f>'Historic Balance Sheet'!D25/'Historic Balance Sheet'!D50</f>
        <v>2.539145116857727</v>
      </c>
      <c r="F6" s="24">
        <f>'Historic Balance Sheet'!E25/'Historic Balance Sheet'!E50</f>
        <v>2.4198423648445058</v>
      </c>
      <c r="G6" s="24">
        <f>'Historic Balance Sheet'!F25/'Historic Balance Sheet'!F50</f>
        <v>2.2618472268445498</v>
      </c>
      <c r="H6" s="24">
        <f>'Historic Balance Sheet'!G25/'Historic Balance Sheet'!G50</f>
        <v>2.3310615510998876</v>
      </c>
      <c r="I6" s="24">
        <f>'Historic Balance Sheet'!H25/'Historic Balance Sheet'!H50</f>
        <v>2.4189811468808724</v>
      </c>
      <c r="J6" s="24">
        <f>'Historic Balance Sheet'!I25/'Historic Balance Sheet'!I50</f>
        <v>2.2490474739007849</v>
      </c>
      <c r="K6" s="24">
        <f>'Historic Balance Sheet'!J25/'Historic Balance Sheet'!J50</f>
        <v>2.2294301073211793</v>
      </c>
      <c r="L6" s="24">
        <f>'Historic Balance Sheet'!K25/'Historic Balance Sheet'!K50</f>
        <v>2.4321141659597822</v>
      </c>
      <c r="M6" s="186" t="s">
        <v>385</v>
      </c>
    </row>
    <row r="7" spans="1:15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186"/>
    </row>
    <row r="8" spans="1:15">
      <c r="A8" s="25"/>
      <c r="B8" s="52" t="s">
        <v>182</v>
      </c>
      <c r="C8" s="26">
        <f>C5*C6</f>
        <v>0.19932496899150845</v>
      </c>
      <c r="D8" s="26">
        <f t="shared" ref="D8:L8" si="2">D5*D6</f>
        <v>0.14675673277430232</v>
      </c>
      <c r="E8" s="26">
        <f t="shared" si="2"/>
        <v>-0.2842442015462544</v>
      </c>
      <c r="F8" s="26">
        <f t="shared" si="2"/>
        <v>9.1678957134021605E-2</v>
      </c>
      <c r="G8" s="26">
        <f t="shared" si="2"/>
        <v>0.18237856140300107</v>
      </c>
      <c r="H8" s="26">
        <f t="shared" si="2"/>
        <v>0.20497763714363951</v>
      </c>
      <c r="I8" s="26">
        <f t="shared" si="2"/>
        <v>0.16912053193466453</v>
      </c>
      <c r="J8" s="26">
        <f t="shared" si="2"/>
        <v>0.1647679646422312</v>
      </c>
      <c r="K8" s="26">
        <f t="shared" si="2"/>
        <v>0.12348631224532743</v>
      </c>
      <c r="L8" s="26">
        <f t="shared" si="2"/>
        <v>-8.6098498078938171E-2</v>
      </c>
      <c r="M8" s="187" t="s">
        <v>385</v>
      </c>
    </row>
    <row r="9" spans="1:15">
      <c r="C9" s="27"/>
      <c r="D9" s="27"/>
      <c r="E9" s="27"/>
      <c r="F9" s="27"/>
      <c r="G9" s="27"/>
      <c r="H9" s="27"/>
      <c r="I9" s="27"/>
      <c r="J9" s="27"/>
      <c r="K9" s="27"/>
      <c r="L9" s="27"/>
      <c r="M9" s="188"/>
    </row>
    <row r="10" spans="1:15"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189"/>
    </row>
    <row r="11" spans="1:15">
      <c r="A11" s="491" t="s">
        <v>139</v>
      </c>
      <c r="B11" s="492"/>
      <c r="C11" s="237">
        <f>IF(EarliestYear&lt;&gt;"",EarliestYear,"")</f>
        <v>2006</v>
      </c>
      <c r="D11" s="237">
        <f t="shared" ref="D11" si="3">IF(LatestYear&gt;C11,C11+1,"")</f>
        <v>2007</v>
      </c>
      <c r="E11" s="237">
        <f t="shared" ref="E11" si="4">IF(LatestYear&gt;D11,D11+1,"")</f>
        <v>2008</v>
      </c>
      <c r="F11" s="237">
        <f t="shared" ref="F11" si="5">IF(LatestYear&gt;E11,E11+1,"")</f>
        <v>2009</v>
      </c>
      <c r="G11" s="237">
        <f t="shared" ref="G11" si="6">IF(LatestYear&gt;F11,F11+1,"")</f>
        <v>2010</v>
      </c>
      <c r="H11" s="237">
        <f t="shared" ref="H11" si="7">IF(LatestYear&gt;G11,G11+1,"")</f>
        <v>2011</v>
      </c>
      <c r="I11" s="237">
        <f t="shared" ref="I11" si="8">IF(LatestYear&gt;H11,H11+1,"")</f>
        <v>2012</v>
      </c>
      <c r="J11" s="237">
        <f t="shared" ref="J11" si="9">IF(LatestYear&gt;I11,I11+1,"")</f>
        <v>2013</v>
      </c>
      <c r="K11" s="237">
        <f t="shared" ref="K11" si="10">IF(LatestYear&gt;J11,J11+1,"")</f>
        <v>2014</v>
      </c>
      <c r="L11" s="237">
        <f t="shared" ref="L11" si="11">IF(LatestYear&gt;K11,K11+1,"")</f>
        <v>2015</v>
      </c>
      <c r="M11" s="241"/>
      <c r="N11" s="2"/>
    </row>
    <row r="12" spans="1:15">
      <c r="A12" s="29"/>
      <c r="B12" s="30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89"/>
    </row>
    <row r="13" spans="1:15">
      <c r="A13" s="490" t="s">
        <v>140</v>
      </c>
      <c r="B13" s="490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189"/>
    </row>
    <row r="14" spans="1:15">
      <c r="A14" s="29"/>
      <c r="B14" s="30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89"/>
    </row>
    <row r="15" spans="1:15">
      <c r="A15" s="29"/>
      <c r="B15" s="31" t="s">
        <v>141</v>
      </c>
      <c r="C15" s="32" t="s">
        <v>197</v>
      </c>
      <c r="D15" s="32">
        <f>'Historic Income Statement'!C2/'Historic Income Statement'!B2-1</f>
        <v>3.1677832413021134E-2</v>
      </c>
      <c r="E15" s="32">
        <f>'Historic Income Statement'!D2/'Historic Income Statement'!C2-1</f>
        <v>0.26574976220468383</v>
      </c>
      <c r="F15" s="32">
        <f>'Historic Income Statement'!E2/'Historic Income Statement'!D2-1</f>
        <v>-0.38098642467767752</v>
      </c>
      <c r="G15" s="32">
        <f>'Historic Income Statement'!F2/'Historic Income Statement'!E2-1</f>
        <v>0.30359603648533362</v>
      </c>
      <c r="H15" s="32">
        <f>'Historic Income Statement'!G2/'Historic Income Statement'!F2-1</f>
        <v>0.26463466814326342</v>
      </c>
      <c r="I15" s="32">
        <f>'Historic Income Statement'!H2/'Historic Income Statement'!G2-1</f>
        <v>-0.75319433498125199</v>
      </c>
      <c r="J15" s="32">
        <f>'Historic Income Statement'!I2/'Historic Income Statement'!H2-1</f>
        <v>-6.0576736984710666E-2</v>
      </c>
      <c r="K15" s="32">
        <f>'Historic Income Statement'!J2/'Historic Income Statement'!I2-1</f>
        <v>-4.6885729982145352E-2</v>
      </c>
      <c r="L15" s="32">
        <f>'Historic Income Statement'!K2/'Historic Income Statement'!J2-1</f>
        <v>-0.44278329160437346</v>
      </c>
      <c r="M15" s="186" t="s">
        <v>385</v>
      </c>
    </row>
    <row r="16" spans="1:15">
      <c r="A16" s="33"/>
      <c r="B16" s="34" t="s">
        <v>142</v>
      </c>
      <c r="C16" s="35" t="s">
        <v>197</v>
      </c>
      <c r="D16" s="35">
        <f>'Historic Income Statement'!C29/'Historic Income Statement'!B29-1</f>
        <v>-0.23530546623794213</v>
      </c>
      <c r="E16" s="35">
        <f>'Historic Income Statement'!D29/'Historic Income Statement'!C29-1</f>
        <v>-2.4294844840635772</v>
      </c>
      <c r="F16" s="35">
        <f>'Historic Income Statement'!E29/'Historic Income Statement'!D29-1</f>
        <v>-1.259677609130486</v>
      </c>
      <c r="G16" s="35">
        <f>'Historic Income Statement'!F29/'Historic Income Statement'!E29-1</f>
        <v>1.573176257362936</v>
      </c>
      <c r="H16" s="35">
        <f>'Historic Income Statement'!G29/'Historic Income Statement'!F29-1</f>
        <v>9.4911075893643337E-2</v>
      </c>
      <c r="I16" s="35">
        <f>'Historic Income Statement'!H29/'Historic Income Statement'!G29-1</f>
        <v>-0.32229012544226443</v>
      </c>
      <c r="J16" s="35">
        <f>'Historic Income Statement'!I29/'Historic Income Statement'!H29-1</f>
        <v>8.6378737541528139E-2</v>
      </c>
      <c r="K16" s="35">
        <f>'Historic Income Statement'!J29/'Historic Income Statement'!I29-1</f>
        <v>-0.24978156400174745</v>
      </c>
      <c r="L16" s="35">
        <f>'Historic Income Statement'!K29/'Historic Income Statement'!J29-1</f>
        <v>-1.6446353180957927</v>
      </c>
      <c r="M16" s="190" t="s">
        <v>385</v>
      </c>
    </row>
    <row r="17" spans="1:14">
      <c r="A17" s="36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191"/>
    </row>
    <row r="18" spans="1:14">
      <c r="A18" s="490" t="s">
        <v>143</v>
      </c>
      <c r="B18" s="490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192"/>
    </row>
    <row r="19" spans="1:14">
      <c r="A19" s="22" t="s">
        <v>181</v>
      </c>
      <c r="B19" s="22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192"/>
    </row>
    <row r="20" spans="1:14">
      <c r="A20" s="21"/>
      <c r="B20" s="22" t="s">
        <v>176</v>
      </c>
      <c r="C20" s="23">
        <f>IF(C1&lt;&gt;"",100%,"")</f>
        <v>1</v>
      </c>
      <c r="D20" s="23">
        <f t="shared" ref="D20:L20" si="12">IF(D1&lt;&gt;"",100%,"")</f>
        <v>1</v>
      </c>
      <c r="E20" s="23">
        <f t="shared" si="12"/>
        <v>1</v>
      </c>
      <c r="F20" s="23">
        <f t="shared" si="12"/>
        <v>1</v>
      </c>
      <c r="G20" s="23">
        <f t="shared" si="12"/>
        <v>1</v>
      </c>
      <c r="H20" s="23">
        <f t="shared" si="12"/>
        <v>1</v>
      </c>
      <c r="I20" s="23">
        <f t="shared" si="12"/>
        <v>1</v>
      </c>
      <c r="J20" s="23">
        <f t="shared" si="12"/>
        <v>1</v>
      </c>
      <c r="K20" s="23">
        <f t="shared" si="12"/>
        <v>1</v>
      </c>
      <c r="L20" s="23">
        <f t="shared" si="12"/>
        <v>1</v>
      </c>
      <c r="M20" s="186" t="s">
        <v>385</v>
      </c>
      <c r="N20" s="4" t="str">
        <f t="shared" ref="N20" si="13">IF(N11&lt;&gt;"",100%," ")</f>
        <v xml:space="preserve"> </v>
      </c>
    </row>
    <row r="21" spans="1:14">
      <c r="A21" s="21"/>
      <c r="B21" s="22" t="s">
        <v>177</v>
      </c>
      <c r="C21" s="23">
        <f>'Historic Income Statement'!B7/'Historic Income Statement'!B2</f>
        <v>0.69034547508792032</v>
      </c>
      <c r="D21" s="23">
        <f>'Historic Income Statement'!C7/'Historic Income Statement'!C2</f>
        <v>0.69471708784287511</v>
      </c>
      <c r="E21" s="23">
        <f>'Historic Income Statement'!D7/'Historic Income Statement'!D2</f>
        <v>0.73855115321185139</v>
      </c>
      <c r="F21" s="23">
        <f>'Historic Income Statement'!E7/'Historic Income Statement'!E2</f>
        <v>0.74777872563816528</v>
      </c>
      <c r="G21" s="23">
        <f>'Historic Income Statement'!F7/'Historic Income Statement'!F2</f>
        <v>0.74269965518109282</v>
      </c>
      <c r="H21" s="23">
        <f>'Historic Income Statement'!G7/'Historic Income Statement'!G2</f>
        <v>0.7869527835494734</v>
      </c>
      <c r="I21" s="23">
        <f>'Historic Income Statement'!H7/'Historic Income Statement'!H2</f>
        <v>0.54069092316624734</v>
      </c>
      <c r="J21" s="23">
        <f>'Historic Income Statement'!I7/'Historic Income Statement'!I2</f>
        <v>0.53414709517923364</v>
      </c>
      <c r="K21" s="23">
        <f>'Historic Income Statement'!J7/'Historic Income Statement'!J2</f>
        <v>0.59536718482626938</v>
      </c>
      <c r="L21" s="23">
        <f>'Historic Income Statement'!K7/'Historic Income Statement'!K2</f>
        <v>0.76398900921286572</v>
      </c>
      <c r="M21" s="186" t="s">
        <v>385</v>
      </c>
    </row>
    <row r="22" spans="1:14">
      <c r="A22" s="21"/>
      <c r="B22" s="40" t="s">
        <v>172</v>
      </c>
      <c r="C22" s="41">
        <f>'Historic Income Statement'!B11/'Historic Income Statement'!B2</f>
        <v>0.30965452491207968</v>
      </c>
      <c r="D22" s="41">
        <f>'Historic Income Statement'!C11/'Historic Income Statement'!C2</f>
        <v>0.30528291215712489</v>
      </c>
      <c r="E22" s="41">
        <f>'Historic Income Statement'!D11/'Historic Income Statement'!D2</f>
        <v>0.26144884678814861</v>
      </c>
      <c r="F22" s="41">
        <f>'Historic Income Statement'!E11/'Historic Income Statement'!E2</f>
        <v>0.25222127436183478</v>
      </c>
      <c r="G22" s="41">
        <f>'Historic Income Statement'!F11/'Historic Income Statement'!F2</f>
        <v>0.25730034481890712</v>
      </c>
      <c r="H22" s="41">
        <f>'Historic Income Statement'!G11/'Historic Income Statement'!G2</f>
        <v>0.21304721645052663</v>
      </c>
      <c r="I22" s="41">
        <f>'Historic Income Statement'!H11/'Historic Income Statement'!H2</f>
        <v>0.45930907683375266</v>
      </c>
      <c r="J22" s="41">
        <f>'Historic Income Statement'!I11/'Historic Income Statement'!I2</f>
        <v>0.46585290482076636</v>
      </c>
      <c r="K22" s="41">
        <f>'Historic Income Statement'!J11/'Historic Income Statement'!J2</f>
        <v>0.40463281517373056</v>
      </c>
      <c r="L22" s="41">
        <f>'Historic Income Statement'!K11/'Historic Income Statement'!K2</f>
        <v>0.23601099078713431</v>
      </c>
      <c r="M22" s="186" t="s">
        <v>385</v>
      </c>
    </row>
    <row r="23" spans="1:14">
      <c r="A23" s="21"/>
      <c r="B23" s="22" t="s">
        <v>162</v>
      </c>
      <c r="C23" s="23">
        <f>'Historic Income Statement'!B13/'Historic Income Statement'!B2</f>
        <v>1.3133675997093194E-2</v>
      </c>
      <c r="D23" s="23">
        <f>'Historic Income Statement'!C13/'Historic Income Statement'!C2</f>
        <v>1.1856345921488985E-2</v>
      </c>
      <c r="E23" s="23">
        <f>'Historic Income Statement'!D13/'Historic Income Statement'!D2</f>
        <v>9.05427691707761E-3</v>
      </c>
      <c r="F23" s="23">
        <f>'Historic Income Statement'!E13/'Historic Income Statement'!E2</f>
        <v>1.2008661985694599E-2</v>
      </c>
      <c r="G23" s="23">
        <f>'Historic Income Statement'!F13/'Historic Income Statement'!F2</f>
        <v>1.0092874581560997E-2</v>
      </c>
      <c r="H23" s="23">
        <f>'Historic Income Statement'!G13/'Historic Income Statement'!G2</f>
        <v>8.271436873572003E-3</v>
      </c>
      <c r="I23" s="23">
        <f>'Historic Income Statement'!H13/'Historic Income Statement'!H2</f>
        <v>1.783755886716986E-2</v>
      </c>
      <c r="J23" s="23">
        <f>'Historic Income Statement'!I13/'Historic Income Statement'!I2</f>
        <v>1.4661447603351188E-2</v>
      </c>
      <c r="K23" s="23">
        <f>'Historic Income Statement'!J13/'Historic Income Statement'!J2</f>
        <v>1.323918799646955E-2</v>
      </c>
      <c r="L23" s="23">
        <f>'Historic Income Statement'!K13/'Historic Income Statement'!K2</f>
        <v>3.0806529820591563E-2</v>
      </c>
      <c r="M23" s="186" t="s">
        <v>385</v>
      </c>
    </row>
    <row r="24" spans="1:14">
      <c r="A24" s="21"/>
      <c r="B24" s="22" t="s">
        <v>249</v>
      </c>
      <c r="C24" s="23">
        <f>'Historic Income Statement'!B15/'Historic Income Statement'!B2</f>
        <v>0.10142529028288326</v>
      </c>
      <c r="D24" s="23">
        <f>'Historic Income Statement'!C15/'Historic Income Statement'!C2</f>
        <v>0.12421913159721329</v>
      </c>
      <c r="E24" s="23">
        <f>'Historic Income Statement'!D15/'Historic Income Statement'!D2</f>
        <v>0.22630005443127443</v>
      </c>
      <c r="F24" s="23">
        <f>'Historic Income Statement'!E15/'Historic Income Statement'!E2</f>
        <v>0.10788109456001049</v>
      </c>
      <c r="G24" s="23">
        <f>'Historic Income Statement'!F15/'Historic Income Statement'!F2</f>
        <v>9.6206992021343529E-2</v>
      </c>
      <c r="H24" s="23">
        <f>'Historic Income Statement'!G15/'Historic Income Statement'!G2</f>
        <v>7.7770612914268428E-2</v>
      </c>
      <c r="I24" s="23">
        <f>'Historic Income Statement'!H15/'Historic Income Statement'!H2</f>
        <v>7.5172569511644416E-2</v>
      </c>
      <c r="J24" s="23">
        <f>'Historic Income Statement'!I15/'Historic Income Statement'!I2</f>
        <v>6.5049443757725589E-2</v>
      </c>
      <c r="K24" s="23">
        <f>'Historic Income Statement'!J15/'Historic Income Statement'!J2</f>
        <v>6.0558027270926025E-2</v>
      </c>
      <c r="L24" s="23">
        <f>'Historic Income Statement'!K15/'Historic Income Statement'!K2</f>
        <v>0.11488605139809277</v>
      </c>
      <c r="M24" s="186" t="s">
        <v>385</v>
      </c>
    </row>
    <row r="25" spans="1:14">
      <c r="A25" s="21"/>
      <c r="B25" s="40" t="s">
        <v>173</v>
      </c>
      <c r="C25" s="41">
        <f>'Historic Income Statement'!B20/'Historic Income Statement'!B2</f>
        <v>0.15645836317054151</v>
      </c>
      <c r="D25" s="41">
        <f>'Historic Income Statement'!C20/'Historic Income Statement'!C2</f>
        <v>0.12654309879431347</v>
      </c>
      <c r="E25" s="41">
        <f>'Historic Income Statement'!D20/'Historic Income Statement'!D2</f>
        <v>-1.051254762736512E-2</v>
      </c>
      <c r="F25" s="41">
        <f>'Historic Income Statement'!E20/'Historic Income Statement'!E2</f>
        <v>7.1336701883325679E-2</v>
      </c>
      <c r="G25" s="41">
        <f>'Historic Income Statement'!F20/'Historic Income Statement'!F2</f>
        <v>0.10539377312426065</v>
      </c>
      <c r="H25" s="41">
        <f>'Historic Income Statement'!G20/'Historic Income Statement'!G2</f>
        <v>9.5424040505361712E-2</v>
      </c>
      <c r="I25" s="41">
        <f>'Historic Income Statement'!H20/'Historic Income Statement'!H2</f>
        <v>0.26017676278949747</v>
      </c>
      <c r="J25" s="41">
        <f>'Historic Income Statement'!I20/'Historic Income Statement'!I2</f>
        <v>0.25851531383051779</v>
      </c>
      <c r="K25" s="41">
        <f>'Historic Income Statement'!J20/'Historic Income Statement'!J2</f>
        <v>0.18080948178035558</v>
      </c>
      <c r="L25" s="41">
        <f>'Historic Income Statement'!K20/'Historic Income Statement'!K2</f>
        <v>-0.2042670114756748</v>
      </c>
      <c r="M25" s="186" t="s">
        <v>385</v>
      </c>
    </row>
    <row r="26" spans="1:14">
      <c r="A26" s="21"/>
      <c r="B26" s="22" t="s">
        <v>178</v>
      </c>
      <c r="C26" s="23">
        <f>'Historic Income Statement'!B23/'Historic Income Statement'!B2</f>
        <v>5.7658747208563415E-3</v>
      </c>
      <c r="D26" s="23">
        <f>'Historic Income Statement'!C23/'Historic Income Statement'!C2</f>
        <v>6.4423249955011695E-3</v>
      </c>
      <c r="E26" s="23">
        <f>'Historic Income Statement'!D23/'Historic Income Statement'!D2</f>
        <v>3.7980031033950493E-3</v>
      </c>
      <c r="F26" s="23">
        <f>'Historic Income Statement'!E23/'Historic Income Statement'!E2</f>
        <v>8.4585602729837922E-3</v>
      </c>
      <c r="G26" s="23">
        <f>'Historic Income Statement'!F23/'Historic Income Statement'!F2</f>
        <v>5.9751831063904757E-3</v>
      </c>
      <c r="H26" s="23">
        <f>'Historic Income Statement'!G23/'Historic Income Statement'!G2</f>
        <v>3.8690262950490792E-3</v>
      </c>
      <c r="I26" s="23">
        <f>'Historic Income Statement'!H23/'Historic Income Statement'!H2</f>
        <v>1.1434746145409973E-2</v>
      </c>
      <c r="J26" s="23">
        <f>'Historic Income Statement'!I23/'Historic Income Statement'!I2</f>
        <v>1.0506798516687269E-2</v>
      </c>
      <c r="K26" s="23">
        <f>'Historic Income Statement'!J23/'Historic Income Statement'!J2</f>
        <v>1.1672100437703767E-2</v>
      </c>
      <c r="L26" s="23">
        <f>'Historic Income Statement'!K23/'Historic Income Statement'!K2</f>
        <v>2.9739776951672861E-2</v>
      </c>
      <c r="M26" s="186" t="s">
        <v>385</v>
      </c>
    </row>
    <row r="27" spans="1:14">
      <c r="A27" s="21"/>
      <c r="B27" s="40" t="s">
        <v>174</v>
      </c>
      <c r="C27" s="41">
        <f>'Historic Income Statement'!B29/'Historic Income Statement'!B2</f>
        <v>8.2483304424393847E-2</v>
      </c>
      <c r="D27" s="41">
        <f>'Historic Income Statement'!C29/'Historic Income Statement'!C2</f>
        <v>6.1137818452916527E-2</v>
      </c>
      <c r="E27" s="41">
        <f>'Historic Income Statement'!D29/'Historic Income Statement'!D2</f>
        <v>-6.9046477809100587E-2</v>
      </c>
      <c r="F27" s="41">
        <f>'Historic Income Statement'!E29/'Historic Income Statement'!E2</f>
        <v>2.8965155193910363E-2</v>
      </c>
      <c r="G27" s="41">
        <f>'Historic Income Statement'!F29/'Historic Income Statement'!F2</f>
        <v>5.7174498502428832E-2</v>
      </c>
      <c r="H27" s="41">
        <f>'Historic Income Statement'!G29/'Historic Income Statement'!G2</f>
        <v>4.9501245890154678E-2</v>
      </c>
      <c r="I27" s="41">
        <f>'Historic Income Statement'!H29/'Historic Income Statement'!H2</f>
        <v>0.13592671440552223</v>
      </c>
      <c r="J27" s="41">
        <f>'Historic Income Statement'!I29/'Historic Income Statement'!I2</f>
        <v>0.15718994643592912</v>
      </c>
      <c r="K27" s="41">
        <f>'Historic Income Statement'!J29/'Historic Income Statement'!J2</f>
        <v>0.12372786713979501</v>
      </c>
      <c r="L27" s="41">
        <f>'Historic Income Statement'!K29/'Historic Income Statement'!K2</f>
        <v>-0.14313883950218201</v>
      </c>
      <c r="M27" s="186" t="s">
        <v>385</v>
      </c>
    </row>
    <row r="28" spans="1:14">
      <c r="A28" s="21"/>
      <c r="B28" s="22" t="s">
        <v>250</v>
      </c>
      <c r="C28" s="23">
        <f>'Historic Income Statement'!B24/'Historic Income Statement'!B2</f>
        <v>0.15069248844968519</v>
      </c>
      <c r="D28" s="23">
        <f>'Historic Income Statement'!C24/'Historic Income Statement'!C2</f>
        <v>0.1201007737988123</v>
      </c>
      <c r="E28" s="23">
        <f>'Historic Income Statement'!D24/'Historic Income Statement'!D2</f>
        <v>-1.4310550730760169E-2</v>
      </c>
      <c r="F28" s="23">
        <f>'Historic Income Statement'!E24/'Historic Income Statement'!E2</f>
        <v>6.2878141610341887E-2</v>
      </c>
      <c r="G28" s="23">
        <f>'Historic Income Statement'!F24/'Historic Income Statement'!F2</f>
        <v>9.9418590017870179E-2</v>
      </c>
      <c r="H28" s="23">
        <f>'Historic Income Statement'!G24/'Historic Income Statement'!G2</f>
        <v>9.1555014210312632E-2</v>
      </c>
      <c r="I28" s="23">
        <f>'Historic Income Statement'!H24/'Historic Income Statement'!H2</f>
        <v>0.24874201664408749</v>
      </c>
      <c r="J28" s="23">
        <f>'Historic Income Statement'!I24/'Historic Income Statement'!I2</f>
        <v>0.24800851531383053</v>
      </c>
      <c r="K28" s="23">
        <f>'Historic Income Statement'!J24/'Historic Income Statement'!J2</f>
        <v>0.1691373813426518</v>
      </c>
      <c r="L28" s="23">
        <f>'Historic Income Statement'!K24/'Historic Income Statement'!K2</f>
        <v>-0.23400678842734765</v>
      </c>
      <c r="M28" s="186" t="s">
        <v>385</v>
      </c>
    </row>
    <row r="29" spans="1:14">
      <c r="A29" s="21"/>
      <c r="B29" s="22" t="s">
        <v>144</v>
      </c>
      <c r="C29" s="23">
        <f>'Historic Income Statement'!B37/'Historic Income Statement'!B2</f>
        <v>0.19509555863210323</v>
      </c>
      <c r="D29" s="23">
        <f>'Historic Income Statement'!C37/'Historic Income Statement'!C2</f>
        <v>0.16920743463842258</v>
      </c>
      <c r="E29" s="23">
        <f>'Historic Income Statement'!D37/'Historic Income Statement'!D2</f>
        <v>2.6094515439796573E-2</v>
      </c>
      <c r="F29" s="23">
        <f>'Historic Income Statement'!E37/'Historic Income Statement'!E2</f>
        <v>0.13233151781612967</v>
      </c>
      <c r="G29" s="23">
        <f>'Historic Income Statement'!F37/'Historic Income Statement'!F2</f>
        <v>0.15100047821600263</v>
      </c>
      <c r="H29" s="23">
        <f>'Historic Income Statement'!G37/'Historic Income Statement'!G2</f>
        <v>0.12700516666268619</v>
      </c>
      <c r="I29" s="23">
        <f>'Historic Income Statement'!H37/'Historic Income Statement'!H2</f>
        <v>0.36629894845493838</v>
      </c>
      <c r="J29" s="23">
        <f>'Historic Income Statement'!I37/'Historic Income Statement'!I2</f>
        <v>0.38614201345968963</v>
      </c>
      <c r="K29" s="23">
        <f>'Historic Income Statement'!J37/'Historic Income Statement'!J2</f>
        <v>0.33083559990633499</v>
      </c>
      <c r="L29" s="23">
        <f>'Historic Income Statement'!K37/'Historic Income Statement'!K2</f>
        <v>9.031840956844997E-2</v>
      </c>
      <c r="M29" s="186" t="s">
        <v>385</v>
      </c>
    </row>
    <row r="30" spans="1:14">
      <c r="A30" s="21"/>
      <c r="B30" s="22" t="s">
        <v>145</v>
      </c>
      <c r="C30" s="23">
        <f>'Historic Income Statement'!B38/'Historic Income Statement'!B2</f>
        <v>8.8652312980379053E-2</v>
      </c>
      <c r="D30" s="23">
        <f>'Historic Income Statement'!C38/'Historic Income Statement'!C2</f>
        <v>6.802745571865601E-2</v>
      </c>
      <c r="E30" s="23">
        <f>'Historic Income Statement'!D38/'Historic Income Statement'!D2</f>
        <v>-6.49641322273765E-2</v>
      </c>
      <c r="F30" s="23">
        <f>'Historic Income Statement'!E38/'Historic Income Statement'!E2</f>
        <v>3.7935560076120478E-2</v>
      </c>
      <c r="G30" s="23">
        <f>'Historic Income Statement'!F38/'Historic Income Statement'!F2</f>
        <v>6.3446678915708141E-2</v>
      </c>
      <c r="H30" s="23">
        <f>'Historic Income Statement'!G38/'Historic Income Statement'!G2</f>
        <v>5.3632983847213267E-2</v>
      </c>
      <c r="I30" s="23">
        <f>'Historic Income Statement'!H38/'Historic Income Statement'!H2</f>
        <v>0.13208825237081478</v>
      </c>
      <c r="J30" s="23">
        <f>'Historic Income Statement'!I38/'Historic Income Statement'!I2</f>
        <v>0.14848578491965389</v>
      </c>
      <c r="K30" s="23">
        <f>'Historic Income Statement'!J38/'Historic Income Statement'!J2</f>
        <v>0.11627069186015095</v>
      </c>
      <c r="L30" s="23">
        <f>'Historic Income Statement'!K38/'Historic Income Statement'!K2</f>
        <v>-0.11155648941328593</v>
      </c>
      <c r="M30" s="186" t="s">
        <v>385</v>
      </c>
    </row>
    <row r="31" spans="1:14">
      <c r="A31" s="21"/>
      <c r="B31" s="22" t="s">
        <v>265</v>
      </c>
      <c r="C31" s="23">
        <f>'Historic Income Statement'!B27/'Historic Income Statement'!B2</f>
        <v>-4.0313383512887021E-4</v>
      </c>
      <c r="D31" s="23">
        <f>'Historic Income Statement'!C27/'Historic Income Statement'!C2</f>
        <v>-4.4731227023830949E-4</v>
      </c>
      <c r="E31" s="23">
        <f>'Historic Income Statement'!D27/'Historic Income Statement'!D2</f>
        <v>-2.8434247832904113E-4</v>
      </c>
      <c r="F31" s="23">
        <f>'Historic Income Statement'!E27/'Historic Income Statement'!E2</f>
        <v>-5.1184460922632717E-4</v>
      </c>
      <c r="G31" s="23">
        <f>'Historic Income Statement'!F27/'Historic Income Statement'!F2</f>
        <v>-2.9699730688882736E-4</v>
      </c>
      <c r="H31" s="23">
        <f>'Historic Income Statement'!G27/'Historic Income Statement'!G2</f>
        <v>-2.6271166200950537E-4</v>
      </c>
      <c r="I31" s="23">
        <f>'Historic Income Statement'!H27/'Historic Income Statement'!H2</f>
        <v>-1.1289594219727759E-3</v>
      </c>
      <c r="J31" s="23">
        <f>'Historic Income Statement'!I27/'Historic Income Statement'!I2</f>
        <v>-1.0129103145172366E-3</v>
      </c>
      <c r="K31" s="23">
        <f>'Historic Income Statement'!J27/'Historic Income Statement'!J2</f>
        <v>-1.2428625466073455E-3</v>
      </c>
      <c r="L31" s="23">
        <f>'Historic Income Statement'!K27/'Historic Income Statement'!K2</f>
        <v>-1.8425731372232099E-3</v>
      </c>
      <c r="M31" s="186" t="s">
        <v>385</v>
      </c>
    </row>
    <row r="32" spans="1:14">
      <c r="A32" s="21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186"/>
    </row>
    <row r="33" spans="1:13">
      <c r="A33" s="21"/>
      <c r="B33" s="22" t="s">
        <v>23</v>
      </c>
      <c r="C33" s="23">
        <f>'Historic Balance Sheet'!B5/'Historic Income Statement'!B2</f>
        <v>4.3336887276353552E-3</v>
      </c>
      <c r="D33" s="23">
        <f>'Historic Balance Sheet'!C5/'Historic Income Statement'!C2</f>
        <v>7.4860536260572255E-3</v>
      </c>
      <c r="E33" s="23">
        <f>'Historic Balance Sheet'!D5/'Historic Income Statement'!D2</f>
        <v>3.0668367305489433E-3</v>
      </c>
      <c r="F33" s="23">
        <f>'Historic Balance Sheet'!E5/'Historic Income Statement'!E2</f>
        <v>3.5566638230855041E-3</v>
      </c>
      <c r="G33" s="23">
        <f>'Historic Balance Sheet'!F5/'Historic Income Statement'!F2</f>
        <v>4.7590043039440234E-2</v>
      </c>
      <c r="H33" s="23">
        <f>'Historic Balance Sheet'!G5/'Historic Income Statement'!G2</f>
        <v>2.3007172824468805E-2</v>
      </c>
      <c r="I33" s="23">
        <f>'Historic Balance Sheet'!H5/'Historic Income Statement'!H2</f>
        <v>5.8351074124250051E-2</v>
      </c>
      <c r="J33" s="23">
        <f>'Historic Balance Sheet'!I5/'Historic Income Statement'!I2</f>
        <v>0.10723114956736712</v>
      </c>
      <c r="K33" s="23">
        <f>'Historic Balance Sheet'!J5/'Historic Income Statement'!J2</f>
        <v>9.1179278419222937E-2</v>
      </c>
      <c r="L33" s="23">
        <f>'Historic Balance Sheet'!K5/'Historic Income Statement'!K2</f>
        <v>7.6547599806044933E-2</v>
      </c>
      <c r="M33" s="186" t="s">
        <v>385</v>
      </c>
    </row>
    <row r="34" spans="1:13">
      <c r="A34" s="21"/>
      <c r="B34" s="22" t="s">
        <v>269</v>
      </c>
      <c r="C34" s="23">
        <f>'Historic Balance Sheet'!B6/'Historic Income Statement'!B2</f>
        <v>0</v>
      </c>
      <c r="D34" s="23">
        <f>'Historic Balance Sheet'!C6/'Historic Income Statement'!C2</f>
        <v>0</v>
      </c>
      <c r="E34" s="23">
        <f>'Historic Balance Sheet'!D6/'Historic Income Statement'!D2</f>
        <v>0</v>
      </c>
      <c r="F34" s="23">
        <f>'Historic Balance Sheet'!E6/'Historic Income Statement'!E2</f>
        <v>0</v>
      </c>
      <c r="G34" s="23">
        <f>'Historic Balance Sheet'!F6/'Historic Income Statement'!F2</f>
        <v>1.0349601067176764E-2</v>
      </c>
      <c r="H34" s="23">
        <f>'Historic Balance Sheet'!G6/'Historic Income Statement'!G2</f>
        <v>2.3126587216291306E-3</v>
      </c>
      <c r="I34" s="23">
        <f>'Historic Balance Sheet'!H6/'Historic Income Statement'!H2</f>
        <v>0</v>
      </c>
      <c r="J34" s="23">
        <f>'Historic Balance Sheet'!I6/'Historic Income Statement'!I2</f>
        <v>4.6696882296387862E-3</v>
      </c>
      <c r="K34" s="23">
        <f>'Historic Balance Sheet'!J6/'Historic Income Statement'!J2</f>
        <v>0</v>
      </c>
      <c r="L34" s="23">
        <f>'Historic Balance Sheet'!K6/'Historic Income Statement'!K2</f>
        <v>0</v>
      </c>
      <c r="M34" s="186" t="s">
        <v>385</v>
      </c>
    </row>
    <row r="35" spans="1:13">
      <c r="A35" s="21"/>
      <c r="B35" s="22" t="s">
        <v>26</v>
      </c>
      <c r="C35" s="23">
        <f>'Historic Balance Sheet'!B8/'Historic Income Statement'!B2</f>
        <v>7.4823761556945312E-2</v>
      </c>
      <c r="D35" s="23">
        <f>'Historic Balance Sheet'!C8/'Historic Income Statement'!C2</f>
        <v>8.4084423764107047E-2</v>
      </c>
      <c r="E35" s="23">
        <f>'Historic Balance Sheet'!D8/'Historic Income Statement'!D2</f>
        <v>4.8724114679383548E-2</v>
      </c>
      <c r="F35" s="23">
        <f>'Historic Balance Sheet'!E8/'Historic Income Statement'!E2</f>
        <v>8.6718288601614277E-2</v>
      </c>
      <c r="G35" s="23">
        <f>'Historic Balance Sheet'!F8/'Historic Income Statement'!F2</f>
        <v>7.9595278246205728E-2</v>
      </c>
      <c r="H35" s="23">
        <f>'Historic Balance Sheet'!G8/'Historic Income Statement'!G2</f>
        <v>6.5781407975289183E-2</v>
      </c>
      <c r="I35" s="23">
        <f>'Historic Balance Sheet'!H8/'Historic Income Statement'!H2</f>
        <v>0.14808722017934328</v>
      </c>
      <c r="J35" s="23">
        <f>'Historic Balance Sheet'!I8/'Historic Income Statement'!I2</f>
        <v>0.14570457354758962</v>
      </c>
      <c r="K35" s="23">
        <f>'Historic Balance Sheet'!J8/'Historic Income Statement'!J2</f>
        <v>0.12261109209791596</v>
      </c>
      <c r="L35" s="23">
        <f>'Historic Balance Sheet'!K8/'Historic Income Statement'!K2</f>
        <v>0.14591886213027316</v>
      </c>
      <c r="M35" s="186" t="s">
        <v>385</v>
      </c>
    </row>
    <row r="36" spans="1:13">
      <c r="A36" s="21"/>
      <c r="B36" s="22" t="s">
        <v>5</v>
      </c>
      <c r="C36" s="23">
        <f>'Historic Balance Sheet'!B11/'Historic Income Statement'!B2</f>
        <v>2.7333534900250898E-2</v>
      </c>
      <c r="D36" s="23">
        <f>'Historic Balance Sheet'!C11/'Historic Income Statement'!C2</f>
        <v>2.1712640427774491E-2</v>
      </c>
      <c r="E36" s="23">
        <f>'Historic Balance Sheet'!D11/'Historic Income Statement'!D2</f>
        <v>2.0696070386949494E-2</v>
      </c>
      <c r="F36" s="23">
        <f>'Historic Balance Sheet'!E11/'Historic Income Statement'!E2</f>
        <v>3.2416825251000723E-2</v>
      </c>
      <c r="G36" s="23">
        <f>'Historic Balance Sheet'!F11/'Historic Income Statement'!F2</f>
        <v>2.6160932269512473E-2</v>
      </c>
      <c r="H36" s="23">
        <f>'Historic Balance Sheet'!G11/'Historic Income Statement'!G2</f>
        <v>1.843360161766696E-2</v>
      </c>
      <c r="I36" s="23">
        <f>'Historic Balance Sheet'!H11/'Historic Income Statement'!H2</f>
        <v>1.556351203148184E-2</v>
      </c>
      <c r="J36" s="23">
        <f>'Historic Balance Sheet'!I11/'Historic Income Statement'!I2</f>
        <v>2.0498557890399671E-2</v>
      </c>
      <c r="K36" s="23">
        <f>'Historic Balance Sheet'!J11/'Historic Income Statement'!J2</f>
        <v>2.3974638399048939E-2</v>
      </c>
      <c r="L36" s="23">
        <f>'Historic Balance Sheet'!K11/'Historic Income Statement'!K2</f>
        <v>3.6334249232261195E-2</v>
      </c>
      <c r="M36" s="186" t="s">
        <v>385</v>
      </c>
    </row>
    <row r="37" spans="1:13">
      <c r="A37" s="21"/>
      <c r="B37" s="22" t="s">
        <v>27</v>
      </c>
      <c r="C37" s="23">
        <f>'Historic Balance Sheet'!B12/'Historic Income Statement'!B2</f>
        <v>2.6468918911750822E-2</v>
      </c>
      <c r="D37" s="23">
        <f>'Historic Balance Sheet'!C12/'Historic Income Statement'!C2</f>
        <v>1.3892387979125427E-2</v>
      </c>
      <c r="E37" s="23">
        <f>'Historic Balance Sheet'!D12/'Historic Income Statement'!D2</f>
        <v>1.2177982143292361E-2</v>
      </c>
      <c r="F37" s="23">
        <f>'Historic Balance Sheet'!E12/'Historic Income Statement'!E2</f>
        <v>1.6208412625500362E-2</v>
      </c>
      <c r="G37" s="23">
        <f>'Historic Balance Sheet'!F12/'Historic Income Statement'!F2</f>
        <v>1.077747854320304E-2</v>
      </c>
      <c r="H37" s="23">
        <f>'Historic Balance Sheet'!G12/'Historic Income Statement'!G2</f>
        <v>1.0747295264025221E-2</v>
      </c>
      <c r="I37" s="23">
        <f>'Historic Balance Sheet'!H12/'Historic Income Statement'!H2</f>
        <v>0.15282884975162891</v>
      </c>
      <c r="J37" s="23">
        <f>'Historic Balance Sheet'!I12/'Historic Income Statement'!I2</f>
        <v>4.8482351325367393E-2</v>
      </c>
      <c r="K37" s="23">
        <f>'Historic Balance Sheet'!J12/'Historic Income Statement'!J2</f>
        <v>3.364735126177567E-2</v>
      </c>
      <c r="L37" s="23">
        <f>'Historic Balance Sheet'!K12/'Historic Income Statement'!K2</f>
        <v>2.5311136253434622E-2</v>
      </c>
      <c r="M37" s="186" t="s">
        <v>385</v>
      </c>
    </row>
    <row r="38" spans="1:13">
      <c r="A38" s="21"/>
      <c r="B38" s="22" t="s">
        <v>24</v>
      </c>
      <c r="C38" s="23">
        <f>'Historic Balance Sheet'!B13/'Historic Income Statement'!B2</f>
        <v>5.9303108904483802E-3</v>
      </c>
      <c r="D38" s="23">
        <f>'Historic Balance Sheet'!C13/'Historic Income Statement'!C2</f>
        <v>9.619784570297437E-3</v>
      </c>
      <c r="E38" s="23">
        <f>'Historic Balance Sheet'!D13/'Historic Income Statement'!D2</f>
        <v>8.0143958534742588E-3</v>
      </c>
      <c r="F38" s="23">
        <f>'Historic Balance Sheet'!E13/'Historic Income Statement'!E2</f>
        <v>1.5434083601286173E-2</v>
      </c>
      <c r="G38" s="23">
        <f>'Historic Balance Sheet'!F13/'Historic Income Statement'!F2</f>
        <v>1.0973798796909214E-2</v>
      </c>
      <c r="H38" s="23">
        <f>'Historic Balance Sheet'!G13/'Historic Income Statement'!G2</f>
        <v>0</v>
      </c>
      <c r="I38" s="23">
        <f>'Historic Balance Sheet'!H13/'Historic Income Statement'!H2</f>
        <v>1.2063737823366234E-2</v>
      </c>
      <c r="J38" s="23">
        <f>'Historic Balance Sheet'!I13/'Historic Income Statement'!I2</f>
        <v>0</v>
      </c>
      <c r="K38" s="23">
        <f>'Historic Balance Sheet'!J13/'Historic Income Statement'!J2</f>
        <v>0</v>
      </c>
      <c r="L38" s="23">
        <f>'Historic Balance Sheet'!K13/'Historic Income Statement'!K2</f>
        <v>0</v>
      </c>
      <c r="M38" s="186" t="s">
        <v>385</v>
      </c>
    </row>
    <row r="39" spans="1:13">
      <c r="A39" s="21"/>
      <c r="B39" s="22" t="s">
        <v>30</v>
      </c>
      <c r="C39" s="23">
        <f>'Historic Balance Sheet'!B17/'Historic Income Statement'!B2</f>
        <v>0.60083915490417616</v>
      </c>
      <c r="D39" s="23">
        <f>'Historic Balance Sheet'!C17/'Historic Income Statement'!C2</f>
        <v>0.64454613229131852</v>
      </c>
      <c r="E39" s="23">
        <f>'Historic Balance Sheet'!D17/'Historic Income Statement'!D2</f>
        <v>0.51362000471196112</v>
      </c>
      <c r="F39" s="23">
        <f>'Historic Balance Sheet'!E17/'Historic Income Statement'!E2</f>
        <v>0.92684559354288343</v>
      </c>
      <c r="G39" s="23">
        <f>'Historic Balance Sheet'!F17/'Historic Income Statement'!F2</f>
        <v>0.7209735471042763</v>
      </c>
      <c r="H39" s="23">
        <f>'Historic Balance Sheet'!G17/'Historic Income Statement'!G2</f>
        <v>0.59392339964812557</v>
      </c>
      <c r="I39" s="23">
        <f>'Historic Balance Sheet'!H17/'Historic Income Statement'!H2</f>
        <v>2.0350138700728984</v>
      </c>
      <c r="J39" s="23">
        <f>'Historic Balance Sheet'!I17/'Historic Income Statement'!I2</f>
        <v>2.3717209174563934</v>
      </c>
      <c r="K39" s="23">
        <f>'Historic Balance Sheet'!J17/'Historic Income Statement'!J2</f>
        <v>2.6339679737737991</v>
      </c>
      <c r="L39" s="23">
        <f>'Historic Balance Sheet'!K17/'Historic Income Statement'!K2</f>
        <v>4.4240827541619527</v>
      </c>
      <c r="M39" s="186" t="s">
        <v>385</v>
      </c>
    </row>
    <row r="40" spans="1:13">
      <c r="A40" s="21"/>
      <c r="B40" s="22" t="s">
        <v>31</v>
      </c>
      <c r="C40" s="23">
        <f>'Historic Balance Sheet'!B18/'Historic Balance Sheet'!B17</f>
        <v>0.23899110106645949</v>
      </c>
      <c r="D40" s="23">
        <f>'Historic Balance Sheet'!C18/'Historic Balance Sheet'!C17</f>
        <v>0.2900264037459816</v>
      </c>
      <c r="E40" s="23">
        <f>'Historic Balance Sheet'!D18/'Historic Balance Sheet'!D17</f>
        <v>0.33609344848312295</v>
      </c>
      <c r="F40" s="23">
        <f>'Historic Balance Sheet'!E18/'Historic Balance Sheet'!E17</f>
        <v>0.37902323671429178</v>
      </c>
      <c r="G40" s="23">
        <f>'Historic Balance Sheet'!F18/'Historic Balance Sheet'!F17</f>
        <v>0.42360621399895271</v>
      </c>
      <c r="H40" s="23">
        <f>'Historic Balance Sheet'!G18/'Historic Balance Sheet'!G17</f>
        <v>0.43582491672754325</v>
      </c>
      <c r="I40" s="23">
        <f>'Historic Balance Sheet'!H18/'Historic Balance Sheet'!H17</f>
        <v>0.4669239730858542</v>
      </c>
      <c r="J40" s="23">
        <f>'Historic Balance Sheet'!I18/'Historic Balance Sheet'!I17</f>
        <v>0.47283348293134897</v>
      </c>
      <c r="K40" s="23">
        <f>'Historic Balance Sheet'!J18/'Historic Balance Sheet'!J17</f>
        <v>0.48407303562880394</v>
      </c>
      <c r="L40" s="23">
        <f>'Historic Balance Sheet'!K18/'Historic Balance Sheet'!K17</f>
        <v>0.51449301836196382</v>
      </c>
      <c r="M40" s="186" t="s">
        <v>385</v>
      </c>
    </row>
    <row r="41" spans="1:13">
      <c r="A41" s="21"/>
      <c r="B41" s="22" t="s">
        <v>33</v>
      </c>
      <c r="C41" s="23">
        <f>'Historic Balance Sheet'!B20/'Historic Income Statement'!B2</f>
        <v>0.10393957235987121</v>
      </c>
      <c r="D41" s="23">
        <f>'Historic Balance Sheet'!C20/'Historic Income Statement'!C2</f>
        <v>0.16173680557340805</v>
      </c>
      <c r="E41" s="23">
        <f>'Historic Balance Sheet'!D20/'Historic Income Statement'!D2</f>
        <v>0.12562250692577037</v>
      </c>
      <c r="F41" s="23">
        <f>'Historic Balance Sheet'!E20/'Historic Income Statement'!E2</f>
        <v>0.23749589868101581</v>
      </c>
      <c r="G41" s="23">
        <f>'Historic Balance Sheet'!F20/'Historic Income Statement'!F2</f>
        <v>0.15897410082806876</v>
      </c>
      <c r="H41" s="23">
        <f>'Historic Balance Sheet'!G20/'Historic Income Statement'!G2</f>
        <v>0.12780524308789695</v>
      </c>
      <c r="I41" s="23">
        <f>'Historic Balance Sheet'!H20/'Historic Income Statement'!H2</f>
        <v>0.37883039803883622</v>
      </c>
      <c r="J41" s="23">
        <f>'Historic Balance Sheet'!I20/'Historic Income Statement'!I2</f>
        <v>0.41043469303667079</v>
      </c>
      <c r="K41" s="23">
        <f>'Historic Balance Sheet'!J20/'Historic Income Statement'!J2</f>
        <v>0.43033665363762452</v>
      </c>
      <c r="L41" s="23">
        <f>'Historic Balance Sheet'!K20/'Historic Income Statement'!K2</f>
        <v>0.66235655406497496</v>
      </c>
      <c r="M41" s="186" t="s">
        <v>385</v>
      </c>
    </row>
    <row r="42" spans="1:13">
      <c r="A42" s="21"/>
      <c r="B42" s="22" t="s">
        <v>8</v>
      </c>
      <c r="C42" s="23">
        <f>'Historic Balance Sheet'!B21/'Historic Income Statement'!B2</f>
        <v>0.16702471316497192</v>
      </c>
      <c r="D42" s="23">
        <f>'Historic Balance Sheet'!C21/'Historic Income Statement'!C2</f>
        <v>0.15083164091621892</v>
      </c>
      <c r="E42" s="23">
        <f>'Historic Balance Sheet'!D21/'Historic Income Statement'!D2</f>
        <v>1.534636975895882E-2</v>
      </c>
      <c r="F42" s="23">
        <f>'Historic Balance Sheet'!E21/'Historic Income Statement'!E2</f>
        <v>2.3872957543145876E-2</v>
      </c>
      <c r="G42" s="23">
        <f>'Historic Balance Sheet'!F21/'Historic Income Statement'!F2</f>
        <v>1.8287986710628978E-2</v>
      </c>
      <c r="H42" s="23">
        <f>'Historic Balance Sheet'!G21/'Historic Income Statement'!G2</f>
        <v>1.3262958451752606E-2</v>
      </c>
      <c r="I42" s="23">
        <f>'Historic Balance Sheet'!H21/'Historic Income Statement'!H2</f>
        <v>0</v>
      </c>
      <c r="J42" s="23">
        <f>'Historic Balance Sheet'!I21/'Historic Income Statement'!I2</f>
        <v>0</v>
      </c>
      <c r="K42" s="23">
        <f>'Historic Balance Sheet'!J21/'Historic Income Statement'!J2</f>
        <v>0</v>
      </c>
      <c r="L42" s="23">
        <f>'Historic Balance Sheet'!K21/'Historic Income Statement'!K2</f>
        <v>0</v>
      </c>
      <c r="M42" s="186" t="s">
        <v>385</v>
      </c>
    </row>
    <row r="43" spans="1:13">
      <c r="A43" s="21"/>
      <c r="B43" s="22" t="s">
        <v>9</v>
      </c>
      <c r="C43" s="23">
        <f>'Historic Balance Sheet'!B22/'Historic Income Statement'!B2</f>
        <v>5.0444773316783631E-3</v>
      </c>
      <c r="D43" s="23">
        <f>'Historic Balance Sheet'!C22/'Historic Income Statement'!C2</f>
        <v>4.6068022314198305E-3</v>
      </c>
      <c r="E43" s="23">
        <f>'Historic Balance Sheet'!D22/'Historic Income Statement'!D2</f>
        <v>3.4364819523766969E-3</v>
      </c>
      <c r="F43" s="23">
        <f>'Historic Balance Sheet'!E22/'Historic Income Statement'!E2</f>
        <v>5.4006168383752213E-3</v>
      </c>
      <c r="G43" s="23">
        <f>'Historic Balance Sheet'!F22/'Historic Income Statement'!F2</f>
        <v>4.0321159799652662E-3</v>
      </c>
      <c r="H43" s="23">
        <f>'Historic Balance Sheet'!G22/'Historic Income Statement'!G2</f>
        <v>2.9654573969254776E-3</v>
      </c>
      <c r="I43" s="23">
        <f>'Historic Balance Sheet'!H22/'Historic Income Statement'!H2</f>
        <v>6.4511966969872913E-5</v>
      </c>
      <c r="J43" s="23">
        <f>'Historic Balance Sheet'!I22/'Historic Income Statement'!I2</f>
        <v>0</v>
      </c>
      <c r="K43" s="23">
        <f>'Historic Balance Sheet'!J22/'Historic Income Statement'!J2</f>
        <v>0</v>
      </c>
      <c r="L43" s="23">
        <f>'Historic Balance Sheet'!K22/'Historic Income Statement'!K2</f>
        <v>0</v>
      </c>
      <c r="M43" s="186" t="s">
        <v>385</v>
      </c>
    </row>
    <row r="44" spans="1:13">
      <c r="A44" s="21"/>
      <c r="B44" s="22" t="s">
        <v>10</v>
      </c>
      <c r="C44" s="23">
        <f>'Historic Balance Sheet'!B23/'Historic Income Statement'!B2</f>
        <v>1.9201901094296186E-3</v>
      </c>
      <c r="D44" s="23">
        <f>'Historic Balance Sheet'!C23/'Historic Income Statement'!C2</f>
        <v>2.3599578395331498E-3</v>
      </c>
      <c r="E44" s="23">
        <f>'Historic Balance Sheet'!D23/'Historic Income Statement'!D2</f>
        <v>2.2422435433947243E-3</v>
      </c>
      <c r="F44" s="23">
        <f>'Historic Balance Sheet'!E23/'Historic Income Statement'!E2</f>
        <v>4.645974145285124E-3</v>
      </c>
      <c r="G44" s="23">
        <f>'Historic Balance Sheet'!F23/'Historic Income Statement'!F2</f>
        <v>4.5556366565150637E-3</v>
      </c>
      <c r="H44" s="23">
        <f>'Historic Balance Sheet'!G23/'Historic Income Statement'!G2</f>
        <v>1.0536329838472133E-2</v>
      </c>
      <c r="I44" s="23">
        <f>'Historic Balance Sheet'!H23/'Historic Income Statement'!H2</f>
        <v>3.8691052190181277E-2</v>
      </c>
      <c r="J44" s="23">
        <f>'Historic Balance Sheet'!I23/'Historic Income Statement'!I2</f>
        <v>3.9486334294739731E-2</v>
      </c>
      <c r="K44" s="23">
        <f>'Historic Balance Sheet'!J23/'Historic Income Statement'!J2</f>
        <v>3.8474701442801303E-2</v>
      </c>
      <c r="L44" s="23">
        <f>'Historic Balance Sheet'!K23/'Historic Income Statement'!K2</f>
        <v>5.6861160497818003E-2</v>
      </c>
      <c r="M44" s="186" t="s">
        <v>385</v>
      </c>
    </row>
    <row r="45" spans="1:13">
      <c r="A45" s="21"/>
      <c r="B45" s="22" t="s">
        <v>12</v>
      </c>
      <c r="C45" s="23">
        <f>'Historic Balance Sheet'!B30/'Historic Income Statement'!B2</f>
        <v>7.7624480832577461E-2</v>
      </c>
      <c r="D45" s="23">
        <f>'Historic Balance Sheet'!C30/'Historic Income Statement'!C2</f>
        <v>9.1832694927890174E-2</v>
      </c>
      <c r="E45" s="23">
        <f>'Historic Balance Sheet'!D30/'Historic Income Statement'!D2</f>
        <v>5.6827875311761214E-2</v>
      </c>
      <c r="F45" s="23">
        <f>'Historic Balance Sheet'!E30/'Historic Income Statement'!E2</f>
        <v>0.10161427915217534</v>
      </c>
      <c r="G45" s="23">
        <f>'Historic Balance Sheet'!F30/'Historic Income Statement'!F2</f>
        <v>9.261785507538195E-2</v>
      </c>
      <c r="H45" s="23">
        <f>'Historic Balance Sheet'!G30/'Historic Income Statement'!G2</f>
        <v>7.8228368082921357E-2</v>
      </c>
      <c r="I45" s="23">
        <f>'Historic Balance Sheet'!H30/'Historic Income Statement'!H2</f>
        <v>0.16148958131733437</v>
      </c>
      <c r="J45" s="23">
        <f>'Historic Balance Sheet'!I30/'Historic Income Statement'!I2</f>
        <v>0.15990248592226342</v>
      </c>
      <c r="K45" s="23">
        <f>'Historic Balance Sheet'!J30/'Historic Income Statement'!J2</f>
        <v>0.1445683304213124</v>
      </c>
      <c r="L45" s="23">
        <f>'Historic Balance Sheet'!K30/'Historic Income Statement'!K2</f>
        <v>0.15946339098108939</v>
      </c>
      <c r="M45" s="186" t="s">
        <v>385</v>
      </c>
    </row>
    <row r="46" spans="1:13">
      <c r="A46" s="21"/>
      <c r="B46" s="22" t="s">
        <v>13</v>
      </c>
      <c r="C46" s="23">
        <f>'Historic Balance Sheet'!B31/'Historic Income Statement'!B2</f>
        <v>2.1445659150342397E-2</v>
      </c>
      <c r="D46" s="23">
        <f>'Historic Balance Sheet'!C31/'Historic Income Statement'!C2</f>
        <v>7.1878454458983521E-3</v>
      </c>
      <c r="E46" s="23">
        <f>'Historic Balance Sheet'!D31/'Historic Income Statement'!D2</f>
        <v>1.5029530997392173E-3</v>
      </c>
      <c r="F46" s="23">
        <f>'Historic Balance Sheet'!E31/'Historic Income Statement'!E2</f>
        <v>1.1339326727475556E-2</v>
      </c>
      <c r="G46" s="23">
        <f>'Historic Balance Sheet'!F31/'Historic Income Statement'!F2</f>
        <v>4.7116860889481766E-3</v>
      </c>
      <c r="H46" s="23">
        <f>'Historic Balance Sheet'!G31/'Historic Income Statement'!G2</f>
        <v>4.0322259638731657E-3</v>
      </c>
      <c r="I46" s="23">
        <f>'Historic Balance Sheet'!H31/'Historic Income Statement'!H2</f>
        <v>1.5402232114057158E-2</v>
      </c>
      <c r="J46" s="23">
        <f>'Historic Balance Sheet'!I31/'Historic Income Statement'!I2</f>
        <v>1.011193517373987E-2</v>
      </c>
      <c r="K46" s="23">
        <f>'Historic Balance Sheet'!J31/'Historic Income Statement'!J2</f>
        <v>3.2782751229353171E-3</v>
      </c>
      <c r="L46" s="23">
        <f>'Historic Balance Sheet'!K31/'Historic Income Statement'!K2</f>
        <v>4.6128980119605624E-2</v>
      </c>
      <c r="M46" s="186" t="s">
        <v>385</v>
      </c>
    </row>
    <row r="47" spans="1:13">
      <c r="A47" s="21"/>
      <c r="B47" s="22" t="s">
        <v>40</v>
      </c>
      <c r="C47" s="23">
        <f>'Historic Balance Sheet'!B32/'Historic Income Statement'!B2</f>
        <v>4.7474313478991954E-3</v>
      </c>
      <c r="D47" s="23">
        <f>'Historic Balance Sheet'!C32/'Historic Income Statement'!C2</f>
        <v>4.7301987197614333E-3</v>
      </c>
      <c r="E47" s="23">
        <f>'Historic Balance Sheet'!D32/'Historic Income Statement'!D2</f>
        <v>3.8142512450138515E-3</v>
      </c>
      <c r="F47" s="23">
        <f>'Historic Balance Sheet'!E32/'Historic Income Statement'!E2</f>
        <v>5.5515453769932411E-3</v>
      </c>
      <c r="G47" s="23">
        <f>'Historic Balance Sheet'!F32/'Historic Income Statement'!F2</f>
        <v>5.4415947245224135E-3</v>
      </c>
      <c r="H47" s="23">
        <f>'Historic Balance Sheet'!G32/'Historic Income Statement'!G2</f>
        <v>4.4223129771600077E-3</v>
      </c>
      <c r="I47" s="23">
        <f>'Historic Balance Sheet'!H32/'Historic Income Statement'!H2</f>
        <v>3.8174956454422294E-2</v>
      </c>
      <c r="J47" s="23">
        <f>'Historic Balance Sheet'!I32/'Historic Income Statement'!I2</f>
        <v>2.8687680263700041E-2</v>
      </c>
      <c r="K47" s="23">
        <f>'Historic Balance Sheet'!J32/'Historic Income Statement'!J2</f>
        <v>2.5217500945656286E-2</v>
      </c>
      <c r="L47" s="23">
        <f>'Historic Balance Sheet'!K32/'Historic Income Statement'!K2</f>
        <v>4.881202521415872E-2</v>
      </c>
      <c r="M47" s="186" t="s">
        <v>385</v>
      </c>
    </row>
    <row r="48" spans="1:13">
      <c r="A48" s="21"/>
      <c r="B48" s="22" t="s">
        <v>41</v>
      </c>
      <c r="C48" s="23">
        <f>'Historic Balance Sheet'!B33/'Historic Income Statement'!B2</f>
        <v>3.6382828620380538E-2</v>
      </c>
      <c r="D48" s="23">
        <f>'Historic Balance Sheet'!C33/'Historic Income Statement'!C2</f>
        <v>3.4463610889740093E-2</v>
      </c>
      <c r="E48" s="23">
        <f>'Historic Balance Sheet'!D33/'Historic Income Statement'!D2</f>
        <v>2.6326051457864506E-2</v>
      </c>
      <c r="F48" s="23">
        <f>'Historic Balance Sheet'!E33/'Historic Income Statement'!E2</f>
        <v>3.6984054071789486E-2</v>
      </c>
      <c r="G48" s="23">
        <f>'Historic Balance Sheet'!F33/'Historic Income Statement'!F2</f>
        <v>3.5252070171906069E-2</v>
      </c>
      <c r="H48" s="23">
        <f>'Historic Balance Sheet'!G33/'Historic Income Statement'!G2</f>
        <v>2.5041197965178764E-2</v>
      </c>
      <c r="I48" s="23">
        <f>'Historic Balance Sheet'!H33/'Historic Income Statement'!H2</f>
        <v>6.6253790078059482E-2</v>
      </c>
      <c r="J48" s="23">
        <f>'Historic Balance Sheet'!I33/'Historic Income Statement'!I2</f>
        <v>6.103213844252163E-2</v>
      </c>
      <c r="K48" s="23">
        <f>'Historic Balance Sheet'!J33/'Historic Income Statement'!J2</f>
        <v>3.4746113802979268E-2</v>
      </c>
      <c r="L48" s="23">
        <f>'Historic Balance Sheet'!K33/'Historic Income Statement'!K2</f>
        <v>4.4803620494585424E-2</v>
      </c>
      <c r="M48" s="186" t="s">
        <v>385</v>
      </c>
    </row>
    <row r="49" spans="1:15">
      <c r="A49" s="21"/>
      <c r="B49" s="22" t="s">
        <v>15</v>
      </c>
      <c r="C49" s="23">
        <f>'Historic Balance Sheet'!B36/'Historic Income Statement'!B2</f>
        <v>0.12248372877579924</v>
      </c>
      <c r="D49" s="23">
        <f>'Historic Balance Sheet'!C36/'Historic Income Statement'!C2</f>
        <v>0.10431630633178231</v>
      </c>
      <c r="E49" s="23">
        <f>'Historic Balance Sheet'!D36/'Historic Income Statement'!D2</f>
        <v>0.11002022893631541</v>
      </c>
      <c r="F49" s="23">
        <f>'Historic Balance Sheet'!E36/'Historic Income Statement'!E2</f>
        <v>0.17668482183870332</v>
      </c>
      <c r="G49" s="23">
        <f>'Historic Balance Sheet'!F36/'Historic Income Statement'!F2</f>
        <v>0.11404696584530971</v>
      </c>
      <c r="H49" s="23">
        <f>'Historic Balance Sheet'!G36/'Historic Income Statement'!G2</f>
        <v>8.6018166909475932E-2</v>
      </c>
      <c r="I49" s="23">
        <f>'Historic Balance Sheet'!H36/'Historic Income Statement'!H2</f>
        <v>0.33497838849106509</v>
      </c>
      <c r="J49" s="23">
        <f>'Historic Balance Sheet'!I36/'Historic Income Statement'!I2</f>
        <v>0.36178066199697845</v>
      </c>
      <c r="K49" s="23">
        <f>'Historic Balance Sheet'!J36/'Historic Income Statement'!J2</f>
        <v>0.40317380261901758</v>
      </c>
      <c r="L49" s="23">
        <f>'Historic Balance Sheet'!K36/'Historic Income Statement'!K2</f>
        <v>0.75813803135606916</v>
      </c>
      <c r="M49" s="186" t="s">
        <v>385</v>
      </c>
    </row>
    <row r="50" spans="1:15">
      <c r="A50" s="21"/>
      <c r="B50" s="22" t="s">
        <v>42</v>
      </c>
      <c r="C50" s="23">
        <f>'Historic Balance Sheet'!B37/'Historic Income Statement'!B2</f>
        <v>0.10648037639969658</v>
      </c>
      <c r="D50" s="23">
        <f>'Historic Balance Sheet'!C37/'Historic Income Statement'!C2</f>
        <v>0.10806447466515849</v>
      </c>
      <c r="E50" s="23">
        <f>'Historic Balance Sheet'!D37/'Historic Income Statement'!D2</f>
        <v>7.3794997197195566E-2</v>
      </c>
      <c r="F50" s="23">
        <f>'Historic Balance Sheet'!E37/'Historic Income Statement'!E2</f>
        <v>0.11786862655029857</v>
      </c>
      <c r="G50" s="23">
        <f>'Historic Balance Sheet'!F37/'Historic Income Statement'!F2</f>
        <v>8.7261835846064784E-2</v>
      </c>
      <c r="H50" s="23">
        <f>'Historic Balance Sheet'!G37/'Historic Income Statement'!G2</f>
        <v>7.1867561478509395E-2</v>
      </c>
      <c r="I50" s="23">
        <f>'Historic Balance Sheet'!H37/'Historic Income Statement'!H2</f>
        <v>0.21264757112444357</v>
      </c>
      <c r="J50" s="23">
        <f>'Historic Balance Sheet'!I37/'Historic Income Statement'!I2</f>
        <v>0.26129652520258206</v>
      </c>
      <c r="K50" s="23">
        <f>'Historic Balance Sheet'!J37/'Historic Income Statement'!J2</f>
        <v>0.27144838517931447</v>
      </c>
      <c r="L50" s="23">
        <f>'Historic Balance Sheet'!K37/'Historic Income Statement'!K2</f>
        <v>0.35555196379505416</v>
      </c>
      <c r="M50" s="186" t="s">
        <v>385</v>
      </c>
    </row>
    <row r="51" spans="1:15">
      <c r="A51" s="21"/>
      <c r="B51" s="22" t="s">
        <v>43</v>
      </c>
      <c r="C51" s="23">
        <f>'Historic Balance Sheet'!B38/'Historic Income Statement'!B2</f>
        <v>1.9451207544967989E-2</v>
      </c>
      <c r="D51" s="23">
        <f>'Historic Balance Sheet'!C38/'Historic Income Statement'!C2</f>
        <v>1.6406591429085581E-2</v>
      </c>
      <c r="E51" s="23">
        <f>'Historic Balance Sheet'!D38/'Historic Income Statement'!D2</f>
        <v>1.6764020115199323E-2</v>
      </c>
      <c r="F51" s="23">
        <f>'Historic Balance Sheet'!E38/'Historic Income Statement'!E2</f>
        <v>2.7101515847496555E-2</v>
      </c>
      <c r="G51" s="23">
        <f>'Historic Balance Sheet'!F38/'Historic Income Statement'!F2</f>
        <v>1.8539679343585615E-2</v>
      </c>
      <c r="H51" s="23">
        <f>'Historic Balance Sheet'!G38/'Historic Income Statement'!G2</f>
        <v>1.6192591531131333E-2</v>
      </c>
      <c r="I51" s="23">
        <f>'Historic Balance Sheet'!H38/'Historic Income Statement'!H2</f>
        <v>5.3964260370298688E-2</v>
      </c>
      <c r="J51" s="23">
        <f>'Historic Balance Sheet'!I38/'Historic Income Statement'!I2</f>
        <v>4.2216041752506525E-2</v>
      </c>
      <c r="K51" s="23">
        <f>'Historic Balance Sheet'!J38/'Historic Income Statement'!J2</f>
        <v>5.3389052002089453E-2</v>
      </c>
      <c r="L51" s="23">
        <f>'Historic Balance Sheet'!K38/'Historic Income Statement'!K2</f>
        <v>7.3896880556004532E-2</v>
      </c>
      <c r="M51" s="186" t="s">
        <v>385</v>
      </c>
    </row>
    <row r="52" spans="1:15">
      <c r="A52" s="21"/>
      <c r="B52" s="22" t="s">
        <v>44</v>
      </c>
      <c r="C52" s="23">
        <f>'Historic Balance Sheet'!B39/'Historic Income Statement'!B2</f>
        <v>4.0684690992610982E-2</v>
      </c>
      <c r="D52" s="23">
        <f>'Historic Balance Sheet'!C39/'Historic Income Statement'!C2</f>
        <v>8.3400601557880663E-2</v>
      </c>
      <c r="E52" s="23">
        <f>'Historic Balance Sheet'!D39/'Historic Income Statement'!D2</f>
        <v>6.2721888683981764E-2</v>
      </c>
      <c r="F52" s="23">
        <f>'Historic Balance Sheet'!E39/'Historic Income Statement'!E2</f>
        <v>0.11036813439202048</v>
      </c>
      <c r="G52" s="23">
        <f>'Historic Balance Sheet'!F39/'Historic Income Statement'!F2</f>
        <v>8.1105434043945532E-2</v>
      </c>
      <c r="H52" s="23">
        <f>'Historic Balance Sheet'!G39/'Historic Income Statement'!G2</f>
        <v>6.2473629321805862E-2</v>
      </c>
      <c r="I52" s="23">
        <f>'Historic Balance Sheet'!H39/'Historic Income Statement'!H2</f>
        <v>0.22535642861750854</v>
      </c>
      <c r="J52" s="23">
        <f>'Historic Balance Sheet'!I39/'Historic Income Statement'!I2</f>
        <v>0.20059057821727785</v>
      </c>
      <c r="K52" s="23">
        <f>'Historic Balance Sheet'!J39/'Historic Income Statement'!J2</f>
        <v>0.22176990831637156</v>
      </c>
      <c r="L52" s="23">
        <f>'Historic Balance Sheet'!K39/'Historic Income Statement'!K2</f>
        <v>0.36877323420074348</v>
      </c>
      <c r="M52" s="186" t="s">
        <v>385</v>
      </c>
    </row>
    <row r="53" spans="1:15">
      <c r="A53" s="21"/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186"/>
    </row>
    <row r="54" spans="1:15">
      <c r="A54" s="21"/>
      <c r="B54" s="22" t="s">
        <v>184</v>
      </c>
      <c r="C54" s="23">
        <f>'Historic Income Statement'!B25/'Historic Income Statement'!B24</f>
        <v>0.44996303988172764</v>
      </c>
      <c r="D54" s="23">
        <f>'Historic Income Statement'!C25/'Historic Income Statement'!C24</f>
        <v>0.48722119953765142</v>
      </c>
      <c r="E54" s="23">
        <f>'Historic Income Statement'!D25/'Historic Income Statement'!D24</f>
        <v>-3.8049957422651151</v>
      </c>
      <c r="F54" s="23">
        <f>'Historic Income Statement'!E25/'Historic Income Statement'!E24</f>
        <v>0.5312043414735963</v>
      </c>
      <c r="G54" s="23">
        <f>'Historic Income Statement'!F25/'Historic Income Statement'!F24</f>
        <v>0.42192405063291138</v>
      </c>
      <c r="H54" s="23">
        <f>'Historic Income Statement'!G25/'Historic Income Statement'!G24</f>
        <v>0.45645841485152822</v>
      </c>
      <c r="I54" s="23">
        <f>'Historic Income Statement'!H25/'Historic Income Statement'!H24</f>
        <v>0.5149452116968164</v>
      </c>
      <c r="J54" s="23">
        <f>'Historic Income Statement'!I25/'Historic Income Statement'!I24</f>
        <v>0.44365222206839261</v>
      </c>
      <c r="K54" s="23">
        <f>'Historic Income Statement'!J25/'Historic Income Statement'!J24</f>
        <v>0.3815761448349308</v>
      </c>
      <c r="L54" s="23">
        <f>'Historic Income Statement'!K25/'Historic Income Statement'!K24</f>
        <v>0.39618731869042684</v>
      </c>
      <c r="M54" s="186" t="s">
        <v>385</v>
      </c>
    </row>
    <row r="55" spans="1:15">
      <c r="A55" s="50"/>
      <c r="B55" s="22" t="s">
        <v>138</v>
      </c>
      <c r="C55" s="42">
        <f>'Historic Balance Sheet'!B25/'Historic Balance Sheet'!B50</f>
        <v>1.9652347104283943</v>
      </c>
      <c r="D55" s="42">
        <f>'Historic Balance Sheet'!C25/'Historic Balance Sheet'!C50</f>
        <v>1.971660233373264</v>
      </c>
      <c r="E55" s="42">
        <f>'Historic Balance Sheet'!D25/'Historic Balance Sheet'!D50</f>
        <v>2.539145116857727</v>
      </c>
      <c r="F55" s="42">
        <f>'Historic Balance Sheet'!E25/'Historic Balance Sheet'!E50</f>
        <v>2.4198423648445058</v>
      </c>
      <c r="G55" s="42">
        <f>'Historic Balance Sheet'!F25/'Historic Balance Sheet'!F50</f>
        <v>2.2618472268445498</v>
      </c>
      <c r="H55" s="42">
        <f>'Historic Balance Sheet'!G25/'Historic Balance Sheet'!G50</f>
        <v>2.3310615510998876</v>
      </c>
      <c r="I55" s="42">
        <f>'Historic Balance Sheet'!H25/'Historic Balance Sheet'!H50</f>
        <v>2.4189811468808724</v>
      </c>
      <c r="J55" s="42">
        <f>'Historic Balance Sheet'!I25/'Historic Balance Sheet'!I50</f>
        <v>2.2490474739007849</v>
      </c>
      <c r="K55" s="42">
        <f>'Historic Balance Sheet'!J25/'Historic Balance Sheet'!J50</f>
        <v>2.2294301073211793</v>
      </c>
      <c r="L55" s="42">
        <f>'Historic Balance Sheet'!K25/'Historic Balance Sheet'!K50</f>
        <v>2.4321141659597822</v>
      </c>
      <c r="M55" s="193" t="s">
        <v>385</v>
      </c>
    </row>
    <row r="56" spans="1:15">
      <c r="A56" s="51"/>
      <c r="B56" s="22" t="s">
        <v>251</v>
      </c>
      <c r="C56" s="23">
        <f>'Historic Income Statement'!B29/'Historic Balance Sheet'!B25</f>
        <v>9.4367675884962463E-2</v>
      </c>
      <c r="D56" s="23">
        <f>'Historic Income Statement'!C29/'Historic Balance Sheet'!C25</f>
        <v>6.6894693317281456E-2</v>
      </c>
      <c r="E56" s="23">
        <f>'Historic Income Statement'!D29/'Historic Balance Sheet'!D25</f>
        <v>-0.11897945612991286</v>
      </c>
      <c r="F56" s="23">
        <f>'Historic Income Statement'!E29/'Historic Balance Sheet'!E25</f>
        <v>2.8927569664718066E-2</v>
      </c>
      <c r="G56" s="23">
        <f>'Historic Income Statement'!F29/'Historic Balance Sheet'!F25</f>
        <v>7.2661437875046378E-2</v>
      </c>
      <c r="H56" s="23">
        <f>'Historic Income Statement'!G29/'Historic Balance Sheet'!G25</f>
        <v>8.1159041963062062E-2</v>
      </c>
      <c r="I56" s="23">
        <f>'Historic Income Statement'!H29/'Historic Balance Sheet'!H25</f>
        <v>7.1945639554736054E-2</v>
      </c>
      <c r="J56" s="23">
        <f>'Historic Income Statement'!I29/'Historic Balance Sheet'!I25</f>
        <v>7.7555756964855962E-2</v>
      </c>
      <c r="K56" s="23">
        <f>'Historic Income Statement'!J29/'Historic Balance Sheet'!J25</f>
        <v>5.8941641853800013E-2</v>
      </c>
      <c r="L56" s="23">
        <f>'Historic Income Statement'!K29/'Historic Balance Sheet'!K25</f>
        <v>-4.5422838619670919E-2</v>
      </c>
      <c r="M56" s="186" t="s">
        <v>385</v>
      </c>
    </row>
    <row r="57" spans="1:15">
      <c r="A57" s="51"/>
      <c r="B57" s="22" t="s">
        <v>196</v>
      </c>
      <c r="C57" s="23">
        <f>'Historic Income Statement'!B29/'Historic Balance Sheet'!B50</f>
        <v>0.18545463219158478</v>
      </c>
      <c r="D57" s="23">
        <f>'Historic Income Statement'!C29/'Historic Balance Sheet'!C50</f>
        <v>0.13189360663738409</v>
      </c>
      <c r="E57" s="23">
        <f>'Historic Income Statement'!D29/'Historic Balance Sheet'!D50</f>
        <v>-0.30210610503865637</v>
      </c>
      <c r="F57" s="23">
        <f>'Historic Income Statement'!E29/'Historic Balance Sheet'!E50</f>
        <v>7.0000158586675548E-2</v>
      </c>
      <c r="G57" s="23">
        <f>'Historic Income Statement'!F29/'Historic Balance Sheet'!F50</f>
        <v>0.16434907175621119</v>
      </c>
      <c r="H57" s="23">
        <f>'Historic Income Statement'!G29/'Historic Balance Sheet'!G50</f>
        <v>0.1891867222441963</v>
      </c>
      <c r="I57" s="23">
        <f>'Historic Income Statement'!H29/'Historic Balance Sheet'!H50</f>
        <v>0.17403514568319325</v>
      </c>
      <c r="J57" s="23">
        <f>'Historic Income Statement'!I29/'Historic Balance Sheet'!I50</f>
        <v>0.17442657928827249</v>
      </c>
      <c r="K57" s="23">
        <f>'Historic Income Statement'!J29/'Historic Balance Sheet'!J50</f>
        <v>0.13140627092380389</v>
      </c>
      <c r="L57" s="23">
        <f>'Historic Income Statement'!K29/'Historic Balance Sheet'!K50</f>
        <v>-0.11047352926500674</v>
      </c>
      <c r="M57" s="186" t="s">
        <v>385</v>
      </c>
    </row>
    <row r="58" spans="1:15"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89"/>
    </row>
    <row r="59" spans="1:15">
      <c r="A59" s="491" t="s">
        <v>146</v>
      </c>
      <c r="B59" s="492"/>
      <c r="C59" s="237">
        <f>IF(EarliestYear&lt;&gt;"",EarliestYear,"")</f>
        <v>2006</v>
      </c>
      <c r="D59" s="237">
        <f t="shared" ref="D59" si="14">IF(LatestYear&gt;C59,C59+1,"")</f>
        <v>2007</v>
      </c>
      <c r="E59" s="237">
        <f t="shared" ref="E59" si="15">IF(LatestYear&gt;D59,D59+1,"")</f>
        <v>2008</v>
      </c>
      <c r="F59" s="237">
        <f t="shared" ref="F59" si="16">IF(LatestYear&gt;E59,E59+1,"")</f>
        <v>2009</v>
      </c>
      <c r="G59" s="237">
        <f t="shared" ref="G59" si="17">IF(LatestYear&gt;F59,F59+1,"")</f>
        <v>2010</v>
      </c>
      <c r="H59" s="237">
        <f t="shared" ref="H59" si="18">IF(LatestYear&gt;G59,G59+1,"")</f>
        <v>2011</v>
      </c>
      <c r="I59" s="237">
        <f t="shared" ref="I59" si="19">IF(LatestYear&gt;H59,H59+1,"")</f>
        <v>2012</v>
      </c>
      <c r="J59" s="237">
        <f t="shared" ref="J59" si="20">IF(LatestYear&gt;I59,I59+1,"")</f>
        <v>2013</v>
      </c>
      <c r="K59" s="237">
        <f t="shared" ref="K59" si="21">IF(LatestYear&gt;J59,J59+1,"")</f>
        <v>2014</v>
      </c>
      <c r="L59" s="237">
        <f t="shared" ref="L59" si="22">IF(LatestYear&gt;K59,K59+1,"")</f>
        <v>2015</v>
      </c>
      <c r="M59" s="241"/>
      <c r="N59" s="2"/>
      <c r="O59">
        <f>LatestYear</f>
        <v>2015</v>
      </c>
    </row>
    <row r="60" spans="1:15">
      <c r="A60" s="29"/>
      <c r="B60" s="30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89"/>
    </row>
    <row r="61" spans="1:15">
      <c r="A61" s="489" t="s">
        <v>147</v>
      </c>
      <c r="B61" s="490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89"/>
    </row>
    <row r="62" spans="1:15">
      <c r="A62" s="29"/>
      <c r="B62" s="30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89"/>
    </row>
    <row r="63" spans="1:15">
      <c r="A63" s="54"/>
      <c r="B63" s="22" t="s">
        <v>175</v>
      </c>
      <c r="C63" s="27">
        <f>('Historic Balance Sheet'!B14-'Historic Balance Sheet'!B34)/'Historic Income Statement'!B2</f>
        <v>-1.3101849641688282E-3</v>
      </c>
      <c r="D63" s="27">
        <f>('Historic Balance Sheet'!C14-'Historic Balance Sheet'!C34)/'Historic Income Statement'!C2</f>
        <v>-1.4190596159284301E-3</v>
      </c>
      <c r="E63" s="27">
        <f>('Historic Balance Sheet'!D14-'Historic Balance Sheet'!D34)/'Historic Income Statement'!D2</f>
        <v>4.2082686792698082E-3</v>
      </c>
      <c r="F63" s="27">
        <f>('Historic Balance Sheet'!E14-'Historic Balance Sheet'!E34)/'Historic Income Statement'!E2</f>
        <v>-1.1549314259465845E-3</v>
      </c>
      <c r="G63" s="27">
        <f>('Historic Balance Sheet'!F14-'Historic Balance Sheet'!F34)/'Historic Income Statement'!F2</f>
        <v>4.7423925901688854E-2</v>
      </c>
      <c r="H63" s="27">
        <f>('Historic Balance Sheet'!G14-'Historic Balance Sheet'!G34)/'Historic Income Statement'!G2</f>
        <v>8.5580314139460083E-3</v>
      </c>
      <c r="I63" s="27">
        <f>('Historic Balance Sheet'!H14-'Historic Balance Sheet'!H34)/'Historic Income Statement'!H2</f>
        <v>0.10557383394619702</v>
      </c>
      <c r="J63" s="27">
        <f>('Historic Balance Sheet'!I14-'Historic Balance Sheet'!I34)/'Historic Income Statement'!I2</f>
        <v>6.6852080758137616E-2</v>
      </c>
      <c r="K63" s="27">
        <f>('Historic Balance Sheet'!J14-'Historic Balance Sheet'!J34)/'Historic Income Statement'!J2</f>
        <v>6.3602139885080247E-2</v>
      </c>
      <c r="L63" s="27">
        <f>('Historic Balance Sheet'!K14-'Historic Balance Sheet'!K34)/'Historic Income Statement'!K2</f>
        <v>-1.5096169387425246E-2</v>
      </c>
      <c r="M63" s="188" t="s">
        <v>385</v>
      </c>
    </row>
    <row r="64" spans="1:15">
      <c r="A64" s="29"/>
      <c r="B64" s="22" t="s">
        <v>148</v>
      </c>
      <c r="C64" s="43">
        <f>'Historic Income Statement'!B2/('Historic Balance Sheet'!B14-'Historic Balance Sheet'!B34)</f>
        <v>-763.25101214574897</v>
      </c>
      <c r="D64" s="43">
        <f>'Historic Income Statement'!C2/('Historic Balance Sheet'!C14-'Historic Balance Sheet'!C34)</f>
        <v>-704.69202898550725</v>
      </c>
      <c r="E64" s="43">
        <f>'Historic Income Statement'!D2/('Historic Balance Sheet'!D14-'Historic Balance Sheet'!D34)</f>
        <v>237.62741312741312</v>
      </c>
      <c r="F64" s="43">
        <f>'Historic Income Statement'!E2/('Historic Balance Sheet'!E14-'Historic Balance Sheet'!E34)</f>
        <v>-865.85227272727275</v>
      </c>
      <c r="G64" s="43">
        <f>'Historic Income Statement'!F2/('Historic Balance Sheet'!F14-'Historic Balance Sheet'!F34)</f>
        <v>21.086402717333616</v>
      </c>
      <c r="H64" s="43">
        <f>'Historic Income Statement'!G2/('Historic Balance Sheet'!G14-'Historic Balance Sheet'!G34)</f>
        <v>116.84930232558139</v>
      </c>
      <c r="I64" s="43">
        <f>'Historic Income Statement'!H2/('Historic Balance Sheet'!H14-'Historic Balance Sheet'!H34)</f>
        <v>9.4720439963336389</v>
      </c>
      <c r="J64" s="43">
        <f>'Historic Income Statement'!I2/('Historic Balance Sheet'!I14-'Historic Balance Sheet'!I34)</f>
        <v>14.958397534668721</v>
      </c>
      <c r="K64" s="43">
        <f>'Historic Income Statement'!J2/('Historic Balance Sheet'!J14-'Historic Balance Sheet'!J34)</f>
        <v>15.722741433021806</v>
      </c>
      <c r="L64" s="43">
        <f>'Historic Income Statement'!K2/('Historic Balance Sheet'!K14-'Historic Balance Sheet'!K34)</f>
        <v>-66.24197002141328</v>
      </c>
      <c r="M64" s="194" t="s">
        <v>385</v>
      </c>
    </row>
    <row r="65" spans="1:14">
      <c r="A65" s="55"/>
      <c r="B65" s="22" t="s">
        <v>321</v>
      </c>
      <c r="C65" s="44">
        <f>'Historic Income Statement'!B2/'Historic Balance Sheet'!B8</f>
        <v>13.364738409187579</v>
      </c>
      <c r="D65" s="44">
        <f>'Historic Income Statement'!C2/'Historic Balance Sheet'!C8</f>
        <v>11.892809098691451</v>
      </c>
      <c r="E65" s="44">
        <f>'Historic Income Statement'!D2/'Historic Balance Sheet'!D8</f>
        <v>20.523718215923303</v>
      </c>
      <c r="F65" s="44">
        <f>'Historic Income Statement'!E2/'Historic Balance Sheet'!E8</f>
        <v>11.53159288687098</v>
      </c>
      <c r="G65" s="44">
        <f>'Historic Income Statement'!F2/'Historic Balance Sheet'!F8</f>
        <v>12.563559322033898</v>
      </c>
      <c r="H65" s="44">
        <f>'Historic Income Statement'!G2/'Historic Balance Sheet'!G8</f>
        <v>15.20186372988019</v>
      </c>
      <c r="I65" s="44">
        <f>'Historic Income Statement'!H2/'Historic Balance Sheet'!H8</f>
        <v>6.7527771727292532</v>
      </c>
      <c r="J65" s="44">
        <f>'Historic Income Statement'!I2/'Historic Balance Sheet'!I8</f>
        <v>6.8632025450689289</v>
      </c>
      <c r="K65" s="44">
        <f>'Historic Income Statement'!J2/'Historic Balance Sheet'!J8</f>
        <v>8.1558689584251507</v>
      </c>
      <c r="L65" s="44">
        <f>'Historic Income Statement'!K2/'Historic Balance Sheet'!K8</f>
        <v>6.8531236154186974</v>
      </c>
      <c r="M65" s="195" t="s">
        <v>385</v>
      </c>
    </row>
    <row r="66" spans="1:14">
      <c r="A66" s="55"/>
      <c r="B66" s="22" t="s">
        <v>195</v>
      </c>
      <c r="C66" s="44">
        <f>'Historic Income Statement'!B7/'Historic Balance Sheet'!B30</f>
        <v>8.8933989339893404</v>
      </c>
      <c r="D66" s="44">
        <f>'Historic Income Statement'!C7/'Historic Balance Sheet'!C30</f>
        <v>7.5650299535300372</v>
      </c>
      <c r="E66" s="44">
        <f>'Historic Income Statement'!D7/'Historic Balance Sheet'!D30</f>
        <v>12.996283059328091</v>
      </c>
      <c r="F66" s="44">
        <f>'Historic Income Statement'!E7/'Historic Balance Sheet'!E30</f>
        <v>7.3589925734581856</v>
      </c>
      <c r="G66" s="44">
        <f>'Historic Income Statement'!F7/'Historic Balance Sheet'!F30</f>
        <v>8.018968422196858</v>
      </c>
      <c r="H66" s="44">
        <f>'Historic Income Statement'!G7/'Historic Balance Sheet'!G30</f>
        <v>10.059685544191726</v>
      </c>
      <c r="I66" s="44">
        <f>'Historic Income Statement'!H7/'Historic Balance Sheet'!H30</f>
        <v>3.3481474083691203</v>
      </c>
      <c r="J66" s="44">
        <f>'Historic Income Statement'!I7/'Historic Balance Sheet'!I30</f>
        <v>3.3404552286879965</v>
      </c>
      <c r="K66" s="44">
        <f>'Historic Income Statement'!J7/'Historic Balance Sheet'!J30</f>
        <v>4.1182407176675806</v>
      </c>
      <c r="L66" s="44">
        <f>'Historic Income Statement'!K7/'Historic Balance Sheet'!K30</f>
        <v>4.7909993918508009</v>
      </c>
      <c r="M66" s="195" t="s">
        <v>385</v>
      </c>
    </row>
    <row r="67" spans="1:14">
      <c r="A67" s="55"/>
      <c r="B67" s="22" t="s">
        <v>322</v>
      </c>
      <c r="C67" s="44">
        <f>'Historic Income Statement'!B7/'Historic Balance Sheet'!B11</f>
        <v>25.256355521055696</v>
      </c>
      <c r="D67" s="44">
        <f>'Historic Income Statement'!C7/'Historic Balance Sheet'!C11</f>
        <v>31.995974425763674</v>
      </c>
      <c r="E67" s="44">
        <f>'Historic Income Statement'!D7/'Historic Balance Sheet'!D11</f>
        <v>35.6855740922473</v>
      </c>
      <c r="F67" s="44">
        <f>'Historic Income Statement'!E7/'Historic Balance Sheet'!E11</f>
        <v>23.067611336032389</v>
      </c>
      <c r="G67" s="44">
        <f>'Historic Income Statement'!F7/'Historic Balance Sheet'!F11</f>
        <v>28.389647873773331</v>
      </c>
      <c r="H67" s="44">
        <f>'Historic Income Statement'!G7/'Historic Balance Sheet'!G11</f>
        <v>42.691211401425178</v>
      </c>
      <c r="I67" s="44">
        <f>'Historic Income Statement'!H7/'Historic Balance Sheet'!H11</f>
        <v>34.740932642487046</v>
      </c>
      <c r="J67" s="44">
        <f>'Historic Income Statement'!I7/'Historic Balance Sheet'!I11</f>
        <v>26.057788944723619</v>
      </c>
      <c r="K67" s="44">
        <f>'Historic Income Statement'!J7/'Historic Balance Sheet'!J11</f>
        <v>24.833208114199849</v>
      </c>
      <c r="L67" s="44">
        <f>'Historic Income Statement'!K7/'Historic Balance Sheet'!K11</f>
        <v>21.026690391459073</v>
      </c>
      <c r="M67" s="195" t="s">
        <v>385</v>
      </c>
    </row>
    <row r="68" spans="1:14">
      <c r="A68" s="29"/>
      <c r="B68" s="22" t="s">
        <v>193</v>
      </c>
      <c r="C68" s="44">
        <f>'Historic Balance Sheet'!B8/('Historic Income Statement'!B2/365)</f>
        <v>27.310672968285036</v>
      </c>
      <c r="D68" s="44">
        <f>'Historic Balance Sheet'!C8/('Historic Income Statement'!C2/365)</f>
        <v>30.690814673899069</v>
      </c>
      <c r="E68" s="44">
        <f>'Historic Balance Sheet'!D8/('Historic Income Statement'!D2/365)</f>
        <v>17.784301857974995</v>
      </c>
      <c r="F68" s="44">
        <f>'Historic Balance Sheet'!E8/('Historic Income Statement'!E2/365)</f>
        <v>31.65217533958921</v>
      </c>
      <c r="G68" s="44">
        <f>'Historic Balance Sheet'!F8/('Historic Income Statement'!F2/365)</f>
        <v>29.052276559865089</v>
      </c>
      <c r="H68" s="44">
        <f>'Historic Balance Sheet'!G8/('Historic Income Statement'!G2/365)</f>
        <v>24.010213910980553</v>
      </c>
      <c r="I68" s="44">
        <f>'Historic Balance Sheet'!H8/('Historic Income Statement'!H2/365)</f>
        <v>54.051835365460292</v>
      </c>
      <c r="J68" s="44">
        <f>'Historic Balance Sheet'!I8/('Historic Income Statement'!I2/365)</f>
        <v>53.182169344870211</v>
      </c>
      <c r="K68" s="44">
        <f>'Historic Balance Sheet'!J8/('Historic Income Statement'!J2/365)</f>
        <v>44.753048615739317</v>
      </c>
      <c r="L68" s="44">
        <f>'Historic Balance Sheet'!K8/('Historic Income Statement'!K2/365)</f>
        <v>53.260384677549702</v>
      </c>
      <c r="M68" s="195" t="s">
        <v>385</v>
      </c>
    </row>
    <row r="69" spans="1:14">
      <c r="A69" s="29"/>
      <c r="B69" s="22" t="s">
        <v>179</v>
      </c>
      <c r="C69" s="44">
        <f>'Historic Balance Sheet'!B11/('Historic Income Statement'!B7/365)</f>
        <v>14.451807969511165</v>
      </c>
      <c r="D69" s="44">
        <f>'Historic Balance Sheet'!C11/('Historic Income Statement'!C7/365)</f>
        <v>11.407685077598266</v>
      </c>
      <c r="E69" s="44">
        <f>'Historic Balance Sheet'!D11/('Historic Income Statement'!D7/365)</f>
        <v>10.228222728222729</v>
      </c>
      <c r="F69" s="44">
        <f>'Historic Balance Sheet'!E11/('Historic Income Statement'!E7/365)</f>
        <v>15.823051406707968</v>
      </c>
      <c r="G69" s="44">
        <f>'Historic Balance Sheet'!F11/('Historic Income Statement'!F7/365)</f>
        <v>12.85679912702232</v>
      </c>
      <c r="H69" s="44">
        <f>'Historic Balance Sheet'!G11/('Historic Income Statement'!G7/365)</f>
        <v>8.5497690980915806</v>
      </c>
      <c r="I69" s="44">
        <f>'Historic Balance Sheet'!H11/('Historic Income Statement'!H7/365)</f>
        <v>10.50633855331842</v>
      </c>
      <c r="J69" s="44">
        <f>'Historic Balance Sheet'!I11/('Historic Income Statement'!I7/365)</f>
        <v>14.007328126506605</v>
      </c>
      <c r="K69" s="44">
        <f>'Historic Balance Sheet'!J11/('Historic Income Statement'!J7/365)</f>
        <v>14.698060690406317</v>
      </c>
      <c r="L69" s="44">
        <f>'Historic Balance Sheet'!K11/('Historic Income Statement'!K7/365)</f>
        <v>17.358889735127359</v>
      </c>
      <c r="M69" s="195" t="s">
        <v>385</v>
      </c>
    </row>
    <row r="70" spans="1:14">
      <c r="A70" s="29"/>
      <c r="B70" s="22" t="s">
        <v>180</v>
      </c>
      <c r="C70" s="44">
        <f>'Historic Balance Sheet'!B30/('Historic Income Statement'!B7/365)</f>
        <v>41.041676271264578</v>
      </c>
      <c r="D70" s="44">
        <f>'Historic Balance Sheet'!C30/('Historic Income Statement'!C7/365)</f>
        <v>48.248321849628844</v>
      </c>
      <c r="E70" s="44">
        <f>'Historic Balance Sheet'!D30/('Historic Income Statement'!D7/365)</f>
        <v>28.084953084953085</v>
      </c>
      <c r="F70" s="44">
        <f>'Historic Balance Sheet'!E30/('Historic Income Statement'!E7/365)</f>
        <v>49.599180371026904</v>
      </c>
      <c r="G70" s="44">
        <f>'Historic Balance Sheet'!F30/('Historic Income Statement'!F7/365)</f>
        <v>45.51707660921371</v>
      </c>
      <c r="H70" s="44">
        <f>'Historic Balance Sheet'!G30/('Historic Income Statement'!G7/365)</f>
        <v>36.283440311983121</v>
      </c>
      <c r="I70" s="44">
        <f>'Historic Balance Sheet'!H30/('Historic Income Statement'!H7/365)</f>
        <v>109.01551081282625</v>
      </c>
      <c r="J70" s="44">
        <f>'Historic Balance Sheet'!I30/('Historic Income Statement'!I7/365)</f>
        <v>109.26654453122489</v>
      </c>
      <c r="K70" s="44">
        <f>'Historic Balance Sheet'!J30/('Historic Income Statement'!J7/365)</f>
        <v>88.630078964087986</v>
      </c>
      <c r="L70" s="44">
        <f>'Historic Balance Sheet'!K30/('Historic Income Statement'!K7/365)</f>
        <v>76.184522298383683</v>
      </c>
      <c r="M70" s="195" t="s">
        <v>385</v>
      </c>
    </row>
    <row r="71" spans="1:14">
      <c r="A71" s="29"/>
      <c r="B71" s="22" t="s">
        <v>194</v>
      </c>
      <c r="C71" s="24">
        <f>C68+C69-C70</f>
        <v>0.72080466653162034</v>
      </c>
      <c r="D71" s="24">
        <f t="shared" ref="D71:L71" si="23">D68+D69-D70</f>
        <v>-6.1498220981315086</v>
      </c>
      <c r="E71" s="24">
        <f t="shared" si="23"/>
        <v>-7.2428498755360948E-2</v>
      </c>
      <c r="F71" s="24">
        <f t="shared" si="23"/>
        <v>-2.1239536247297224</v>
      </c>
      <c r="G71" s="24">
        <f t="shared" si="23"/>
        <v>-3.6080009223263048</v>
      </c>
      <c r="H71" s="24">
        <f t="shared" si="23"/>
        <v>-3.7234573029109868</v>
      </c>
      <c r="I71" s="24">
        <f t="shared" si="23"/>
        <v>-44.457336894047543</v>
      </c>
      <c r="J71" s="24">
        <f t="shared" si="23"/>
        <v>-42.077047059848084</v>
      </c>
      <c r="K71" s="24">
        <f t="shared" si="23"/>
        <v>-29.178969657942353</v>
      </c>
      <c r="L71" s="24">
        <f t="shared" si="23"/>
        <v>-5.5652478857066257</v>
      </c>
      <c r="M71" s="195" t="s">
        <v>385</v>
      </c>
    </row>
    <row r="72" spans="1:14">
      <c r="A72" s="29"/>
      <c r="B72" s="22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195"/>
    </row>
    <row r="73" spans="1:14">
      <c r="A73" s="489" t="s">
        <v>149</v>
      </c>
      <c r="B73" s="490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89"/>
    </row>
    <row r="74" spans="1:14">
      <c r="A74" s="29"/>
      <c r="B74" s="30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89"/>
    </row>
    <row r="75" spans="1:14">
      <c r="A75" s="29"/>
      <c r="B75" s="22" t="s">
        <v>150</v>
      </c>
      <c r="C75" s="44">
        <f>'Historic Income Statement'!B2/'Historic Balance Sheet'!B19</f>
        <v>2.1870163919212073</v>
      </c>
      <c r="D75" s="44">
        <f>'Historic Income Statement'!C2/'Historic Balance Sheet'!C19</f>
        <v>2.1852634180870307</v>
      </c>
      <c r="E75" s="44">
        <f>'Historic Income Statement'!D2/'Historic Balance Sheet'!D19</f>
        <v>2.9325884188833431</v>
      </c>
      <c r="F75" s="44">
        <f>'Historic Income Statement'!E2/'Historic Balance Sheet'!E19</f>
        <v>1.7374697861084507</v>
      </c>
      <c r="G75" s="44">
        <f>'Historic Income Statement'!F2/'Historic Balance Sheet'!F19</f>
        <v>2.4063643191123387</v>
      </c>
      <c r="H75" s="44">
        <f>'Historic Income Statement'!G2/'Historic Balance Sheet'!G19</f>
        <v>2.9843905915894511</v>
      </c>
      <c r="I75" s="44">
        <f>'Historic Income Statement'!H2/'Historic Balance Sheet'!H19</f>
        <v>0.92181437045626868</v>
      </c>
      <c r="J75" s="44">
        <f>'Historic Income Statement'!I2/'Historic Balance Sheet'!I19</f>
        <v>0.79981325607261045</v>
      </c>
      <c r="K75" s="44">
        <f>'Historic Income Statement'!J2/'Historic Balance Sheet'!J19</f>
        <v>0.73587031440538675</v>
      </c>
      <c r="L75" s="44">
        <f>'Historic Income Statement'!K2/'Historic Balance Sheet'!K19</f>
        <v>0.46556602353791049</v>
      </c>
      <c r="M75" s="195" t="s">
        <v>385</v>
      </c>
    </row>
    <row r="76" spans="1:14">
      <c r="A76" s="29"/>
      <c r="B76" s="22" t="s">
        <v>151</v>
      </c>
      <c r="C76" s="27">
        <f>'Historic Income Statement'!B14/'Historic Income Statement'!B2</f>
        <v>3.8637195461561719E-2</v>
      </c>
      <c r="D76" s="27">
        <f>'Historic Income Statement'!C14/'Historic Income Statement'!C2</f>
        <v>4.26643358441091E-2</v>
      </c>
      <c r="E76" s="27">
        <f>'Historic Income Statement'!D14/'Historic Income Statement'!D2</f>
        <v>3.6607063067161695E-2</v>
      </c>
      <c r="F76" s="27">
        <f>'Historic Income Statement'!E14/'Historic Income Statement'!E2</f>
        <v>6.0994815932803988E-2</v>
      </c>
      <c r="G76" s="27">
        <f>'Historic Income Statement'!F14/'Historic Income Statement'!F2</f>
        <v>4.5606705091741966E-2</v>
      </c>
      <c r="H76" s="27">
        <f>'Historic Income Statement'!G14/'Historic Income Statement'!G2</f>
        <v>3.1581126157324481E-2</v>
      </c>
      <c r="I76" s="27">
        <f>'Historic Income Statement'!H14/'Historic Income Statement'!H2</f>
        <v>0.10612218566544095</v>
      </c>
      <c r="J76" s="27">
        <f>'Historic Income Statement'!I14/'Historic Income Statement'!I2</f>
        <v>0.12762669962917181</v>
      </c>
      <c r="K76" s="27">
        <f>'Historic Income Statement'!J14/'Historic Income Statement'!J2</f>
        <v>0.15002611812597944</v>
      </c>
      <c r="L76" s="27">
        <f>'Historic Income Statement'!K14/'Historic Income Statement'!K2</f>
        <v>0.29458542104412477</v>
      </c>
      <c r="M76" s="195" t="s">
        <v>385</v>
      </c>
    </row>
    <row r="77" spans="1:14">
      <c r="A77" s="33"/>
      <c r="B77" s="45" t="s">
        <v>295</v>
      </c>
      <c r="C77" s="46">
        <f>'Historic Balance Sheet'!B36/'Historic Balance Sheet'!B25</f>
        <v>0.14013144719354781</v>
      </c>
      <c r="D77" s="46">
        <f>'Historic Balance Sheet'!C36/'Historic Balance Sheet'!C25</f>
        <v>0.11413896499153338</v>
      </c>
      <c r="E77" s="46">
        <f>'Historic Balance Sheet'!D36/'Historic Balance Sheet'!D25</f>
        <v>0.18958457284849334</v>
      </c>
      <c r="F77" s="46">
        <f>'Historic Balance Sheet'!E36/'Historic Balance Sheet'!E25</f>
        <v>0.17645555351665923</v>
      </c>
      <c r="G77" s="46">
        <f>'Historic Balance Sheet'!F36/'Historic Balance Sheet'!F25</f>
        <v>0.14493903297209462</v>
      </c>
      <c r="H77" s="46">
        <f>'Historic Balance Sheet'!G36/'Historic Balance Sheet'!G25</f>
        <v>0.14102982444690987</v>
      </c>
      <c r="I77" s="46">
        <f>'Historic Balance Sheet'!H36/'Historic Balance Sheet'!H25</f>
        <v>0.17730314826196816</v>
      </c>
      <c r="J77" s="46">
        <f>'Historic Balance Sheet'!I36/'Historic Balance Sheet'!I25</f>
        <v>0.17849852190043791</v>
      </c>
      <c r="K77" s="46">
        <f>'Historic Balance Sheet'!J36/'Historic Balance Sheet'!J25</f>
        <v>0.19206445910810974</v>
      </c>
      <c r="L77" s="46">
        <f>'Historic Balance Sheet'!K36/'Historic Balance Sheet'!K25</f>
        <v>0.24058307004226334</v>
      </c>
      <c r="M77" s="195" t="s">
        <v>385</v>
      </c>
    </row>
    <row r="78" spans="1:14"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89"/>
    </row>
    <row r="79" spans="1:14">
      <c r="A79" s="491" t="s">
        <v>152</v>
      </c>
      <c r="B79" s="492"/>
      <c r="C79" s="237">
        <f>IF(EarliestYear&lt;&gt;"",EarliestYear,"")</f>
        <v>2006</v>
      </c>
      <c r="D79" s="237">
        <f t="shared" ref="D79" si="24">IF(LatestYear&gt;C79,C79+1,"")</f>
        <v>2007</v>
      </c>
      <c r="E79" s="237">
        <f t="shared" ref="E79" si="25">IF(LatestYear&gt;D79,D79+1,"")</f>
        <v>2008</v>
      </c>
      <c r="F79" s="237">
        <f t="shared" ref="F79" si="26">IF(LatestYear&gt;E79,E79+1,"")</f>
        <v>2009</v>
      </c>
      <c r="G79" s="237">
        <f t="shared" ref="G79" si="27">IF(LatestYear&gt;F79,F79+1,"")</f>
        <v>2010</v>
      </c>
      <c r="H79" s="237">
        <f t="shared" ref="H79" si="28">IF(LatestYear&gt;G79,G79+1,"")</f>
        <v>2011</v>
      </c>
      <c r="I79" s="237">
        <f t="shared" ref="I79" si="29">IF(LatestYear&gt;H79,H79+1,"")</f>
        <v>2012</v>
      </c>
      <c r="J79" s="237">
        <f t="shared" ref="J79" si="30">IF(LatestYear&gt;I79,I79+1,"")</f>
        <v>2013</v>
      </c>
      <c r="K79" s="237">
        <f t="shared" ref="K79" si="31">IF(LatestYear&gt;J79,J79+1,"")</f>
        <v>2014</v>
      </c>
      <c r="L79" s="237">
        <f t="shared" ref="L79" si="32">IF(LatestYear&gt;K79,K79+1,"")</f>
        <v>2015</v>
      </c>
      <c r="M79" s="53"/>
      <c r="N79" s="2"/>
    </row>
    <row r="80" spans="1:14">
      <c r="A80" s="29"/>
      <c r="B80" s="30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89"/>
    </row>
    <row r="81" spans="1:13">
      <c r="A81" s="489" t="s">
        <v>153</v>
      </c>
      <c r="B81" s="490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192"/>
    </row>
    <row r="82" spans="1:13">
      <c r="A82" s="29"/>
      <c r="B82" s="30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192"/>
    </row>
    <row r="83" spans="1:13">
      <c r="A83" s="54"/>
      <c r="B83" s="22" t="s">
        <v>188</v>
      </c>
      <c r="C83" s="42">
        <f>'Historic Balance Sheet'!B14/'Historic Balance Sheet'!B34</f>
        <v>0.99065491279179752</v>
      </c>
      <c r="D83" s="42">
        <f>'Historic Balance Sheet'!C14/'Historic Balance Sheet'!C34</f>
        <v>0.98973290677776948</v>
      </c>
      <c r="E83" s="42">
        <f>'Historic Balance Sheet'!D14/'Historic Balance Sheet'!D34</f>
        <v>1.0475665748393022</v>
      </c>
      <c r="F83" s="42">
        <f>'Historic Balance Sheet'!E14/'Historic Balance Sheet'!E34</f>
        <v>0.99257227263135683</v>
      </c>
      <c r="G83" s="42">
        <f>'Historic Balance Sheet'!F14/'Historic Balance Sheet'!F34</f>
        <v>1.3435938582734601</v>
      </c>
      <c r="H83" s="42">
        <f>'Historic Balance Sheet'!G14/'Historic Balance Sheet'!G34</f>
        <v>1.0765996864757019</v>
      </c>
      <c r="I83" s="42">
        <f>'Historic Balance Sheet'!H14/'Historic Balance Sheet'!H34</f>
        <v>1.3752794817405263</v>
      </c>
      <c r="J83" s="42">
        <f>'Historic Balance Sheet'!I14/'Historic Balance Sheet'!I34</f>
        <v>1.2573864763037874</v>
      </c>
      <c r="K83" s="42">
        <f>'Historic Balance Sheet'!J14/'Historic Balance Sheet'!J34</f>
        <v>1.3060587674438762</v>
      </c>
      <c r="L83" s="42">
        <f>'Historic Balance Sheet'!K14/'Historic Balance Sheet'!K34</f>
        <v>0.9495462402765773</v>
      </c>
      <c r="M83" s="193" t="s">
        <v>385</v>
      </c>
    </row>
    <row r="84" spans="1:13">
      <c r="A84" s="54"/>
      <c r="B84" s="22" t="s">
        <v>189</v>
      </c>
      <c r="C84" s="42">
        <f>('Historic Balance Sheet'!B7+'Historic Balance Sheet'!B8)/'Historic Balance Sheet'!B34</f>
        <v>0.56460217169233096</v>
      </c>
      <c r="D84" s="42">
        <f>('Historic Balance Sheet'!C7+'Historic Balance Sheet'!C8)/'Historic Balance Sheet'!C34</f>
        <v>0.6625251097388587</v>
      </c>
      <c r="E84" s="42">
        <f>('Historic Balance Sheet'!D7+'Historic Balance Sheet'!D8)/'Historic Balance Sheet'!D34</f>
        <v>0.58539944903581265</v>
      </c>
      <c r="F84" s="42">
        <f>('Historic Balance Sheet'!E7+'Historic Balance Sheet'!E8)/'Historic Balance Sheet'!E34</f>
        <v>0.58058662165013719</v>
      </c>
      <c r="G84" s="42">
        <f>('Historic Balance Sheet'!F7+'Historic Balance Sheet'!F8)/'Historic Balance Sheet'!F34</f>
        <v>0.99646230715926909</v>
      </c>
      <c r="H84" s="42">
        <f>('Historic Balance Sheet'!G7+'Historic Balance Sheet'!G8)/'Historic Balance Sheet'!G34</f>
        <v>0.81541256947413421</v>
      </c>
      <c r="I84" s="42">
        <f>('Historic Balance Sheet'!H7+'Historic Balance Sheet'!H8)/'Historic Balance Sheet'!H34</f>
        <v>0.73381872384337554</v>
      </c>
      <c r="J84" s="42">
        <f>('Historic Balance Sheet'!I7+'Historic Balance Sheet'!I8)/'Historic Balance Sheet'!I34</f>
        <v>0.99180382047722915</v>
      </c>
      <c r="K84" s="42">
        <f>('Historic Balance Sheet'!J7+'Historic Balance Sheet'!J8)/'Historic Balance Sheet'!J34</f>
        <v>1.0287769784172662</v>
      </c>
      <c r="L84" s="42">
        <f>('Historic Balance Sheet'!K7+'Historic Balance Sheet'!K8)/'Historic Balance Sheet'!K34</f>
        <v>0.74351771823681934</v>
      </c>
      <c r="M84" s="193" t="s">
        <v>385</v>
      </c>
    </row>
    <row r="85" spans="1:13">
      <c r="A85" s="54"/>
      <c r="B85" s="22" t="s">
        <v>190</v>
      </c>
      <c r="C85" s="42">
        <f>'Historic Balance Sheet'!B7/'Historic Balance Sheet'!B34</f>
        <v>3.0910673073285159E-2</v>
      </c>
      <c r="D85" s="42">
        <f>'Historic Balance Sheet'!C7/'Historic Balance Sheet'!C34</f>
        <v>5.4162636708578231E-2</v>
      </c>
      <c r="E85" s="42">
        <f>'Historic Balance Sheet'!D7/'Historic Balance Sheet'!D34</f>
        <v>3.4664830119375573E-2</v>
      </c>
      <c r="F85" s="42">
        <f>'Historic Balance Sheet'!E7/'Historic Balance Sheet'!E34</f>
        <v>2.2874024055707955E-2</v>
      </c>
      <c r="G85" s="42">
        <f>'Historic Balance Sheet'!F7/'Historic Balance Sheet'!F34</f>
        <v>0.41978190305992197</v>
      </c>
      <c r="H85" s="42">
        <f>'Historic Balance Sheet'!G7/'Historic Balance Sheet'!G34</f>
        <v>0.22662818868462306</v>
      </c>
      <c r="I85" s="42">
        <f>'Historic Balance Sheet'!H7/'Historic Balance Sheet'!H34</f>
        <v>0.20741844866135412</v>
      </c>
      <c r="J85" s="42">
        <f>'Historic Balance Sheet'!I7/'Historic Balance Sheet'!I34</f>
        <v>0.43082821072113159</v>
      </c>
      <c r="K85" s="42">
        <f>'Historic Balance Sheet'!J7/'Historic Balance Sheet'!J34</f>
        <v>0.4387622432174742</v>
      </c>
      <c r="L85" s="42">
        <f>'Historic Balance Sheet'!K7/'Historic Balance Sheet'!K34</f>
        <v>0.25583405358686256</v>
      </c>
      <c r="M85" s="193" t="s">
        <v>385</v>
      </c>
    </row>
    <row r="86" spans="1:13">
      <c r="A86" s="29"/>
      <c r="B86" s="22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196"/>
    </row>
    <row r="87" spans="1:13">
      <c r="A87" s="489" t="s">
        <v>154</v>
      </c>
      <c r="B87" s="490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192"/>
    </row>
    <row r="88" spans="1:13">
      <c r="A88" s="29"/>
      <c r="B88" s="22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192"/>
    </row>
    <row r="89" spans="1:13">
      <c r="A89" s="29"/>
      <c r="B89" s="22" t="s">
        <v>155</v>
      </c>
      <c r="C89" s="42">
        <f>'Historic Balance Sheet'!B41/'Historic Balance Sheet'!B50</f>
        <v>0.96523471042839426</v>
      </c>
      <c r="D89" s="42">
        <f>'Historic Balance Sheet'!C41/'Historic Balance Sheet'!C50</f>
        <v>0.97166023337326413</v>
      </c>
      <c r="E89" s="42">
        <f>'Historic Balance Sheet'!D41/'Historic Balance Sheet'!D50</f>
        <v>1.5391451168577268</v>
      </c>
      <c r="F89" s="42">
        <f>'Historic Balance Sheet'!E41/'Historic Balance Sheet'!E50</f>
        <v>1.4198423648445058</v>
      </c>
      <c r="G89" s="42">
        <f>'Historic Balance Sheet'!F41/'Historic Balance Sheet'!F50</f>
        <v>1.26184722684455</v>
      </c>
      <c r="H89" s="42">
        <f>'Historic Balance Sheet'!G41/'Historic Balance Sheet'!G50</f>
        <v>1.3310615510998873</v>
      </c>
      <c r="I89" s="42">
        <f>'Historic Balance Sheet'!H41/'Historic Balance Sheet'!H50</f>
        <v>1.4189811468808722</v>
      </c>
      <c r="J89" s="42">
        <f>'Historic Balance Sheet'!I41/'Historic Balance Sheet'!I50</f>
        <v>1.2490474739007849</v>
      </c>
      <c r="K89" s="42">
        <f>'Historic Balance Sheet'!J41/'Historic Balance Sheet'!J50</f>
        <v>1.2294301073211793</v>
      </c>
      <c r="L89" s="42">
        <f>'Historic Balance Sheet'!K41/'Historic Balance Sheet'!K50</f>
        <v>1.4321141659597825</v>
      </c>
      <c r="M89" s="193" t="s">
        <v>385</v>
      </c>
    </row>
    <row r="90" spans="1:13">
      <c r="A90" s="29"/>
      <c r="B90" s="22" t="s">
        <v>156</v>
      </c>
      <c r="C90" s="42">
        <f>('Historic Balance Sheet'!B36+'Historic Balance Sheet'!B31)/'Historic Balance Sheet'!B50</f>
        <v>0.32360938841713577</v>
      </c>
      <c r="D90" s="42">
        <f>('Historic Balance Sheet'!C36+'Historic Balance Sheet'!C31)/'Historic Balance Sheet'!C50</f>
        <v>0.24054971382936244</v>
      </c>
      <c r="E90" s="42">
        <f>('Historic Balance Sheet'!D36+'Historic Balance Sheet'!D31)/'Historic Balance Sheet'!D50</f>
        <v>0.4879587665511419</v>
      </c>
      <c r="F90" s="42">
        <f>('Historic Balance Sheet'!E36+'Historic Balance Sheet'!E31)/'Historic Balance Sheet'!E50</f>
        <v>0.4543984014463105</v>
      </c>
      <c r="G90" s="42">
        <f>('Historic Balance Sheet'!F36+'Historic Balance Sheet'!F31)/'Historic Balance Sheet'!F50</f>
        <v>0.34137377186762941</v>
      </c>
      <c r="H90" s="42">
        <f>('Historic Balance Sheet'!G36+'Historic Balance Sheet'!G31)/'Historic Balance Sheet'!G50</f>
        <v>0.34415979553959897</v>
      </c>
      <c r="I90" s="42">
        <f>('Historic Balance Sheet'!H36+'Historic Balance Sheet'!H31)/'Historic Balance Sheet'!H50</f>
        <v>0.44861337683523655</v>
      </c>
      <c r="J90" s="42">
        <f>('Historic Balance Sheet'!I36+'Historic Balance Sheet'!I31)/'Historic Balance Sheet'!I50</f>
        <v>0.41267240722395793</v>
      </c>
      <c r="K90" s="42">
        <f>('Historic Balance Sheet'!J36+'Historic Balance Sheet'!J31)/'Historic Balance Sheet'!J50</f>
        <v>0.43167600864691141</v>
      </c>
      <c r="L90" s="42">
        <f>('Historic Balance Sheet'!K36+'Historic Balance Sheet'!K31)/'Historic Balance Sheet'!K50</f>
        <v>0.62072750860735493</v>
      </c>
      <c r="M90" s="193" t="s">
        <v>385</v>
      </c>
    </row>
    <row r="91" spans="1:13">
      <c r="A91" s="29"/>
      <c r="B91" s="22" t="s">
        <v>157</v>
      </c>
      <c r="C91" s="42">
        <f>('Historic Balance Sheet'!B31+'Historic Balance Sheet'!B36)/('Historic Balance Sheet'!B31+'Historic Balance Sheet'!B36+'Historic Balance Sheet'!B50)</f>
        <v>0.24449009749328721</v>
      </c>
      <c r="D91" s="42">
        <f>('Historic Balance Sheet'!C31+'Historic Balance Sheet'!C36)/('Historic Balance Sheet'!C31+'Historic Balance Sheet'!C36+'Historic Balance Sheet'!C50)</f>
        <v>0.19390574287170409</v>
      </c>
      <c r="E91" s="42">
        <f>('Historic Balance Sheet'!D31+'Historic Balance Sheet'!D36)/('Historic Balance Sheet'!D31+'Historic Balance Sheet'!D36+'Historic Balance Sheet'!D50)</f>
        <v>0.32793836598184423</v>
      </c>
      <c r="F91" s="42">
        <f>('Historic Balance Sheet'!E31+'Historic Balance Sheet'!E36)/('Historic Balance Sheet'!E31+'Historic Balance Sheet'!E36+'Historic Balance Sheet'!E50)</f>
        <v>0.31243048740595353</v>
      </c>
      <c r="G91" s="42">
        <f>('Historic Balance Sheet'!F31+'Historic Balance Sheet'!F36)/('Historic Balance Sheet'!F31+'Historic Balance Sheet'!F36+'Historic Balance Sheet'!F50)</f>
        <v>0.25449563650877555</v>
      </c>
      <c r="H91" s="42">
        <f>('Historic Balance Sheet'!G31+'Historic Balance Sheet'!G36)/('Historic Balance Sheet'!G31+'Historic Balance Sheet'!G36+'Historic Balance Sheet'!G50)</f>
        <v>0.25604083434249691</v>
      </c>
      <c r="I91" s="42">
        <f>('Historic Balance Sheet'!H31+'Historic Balance Sheet'!H36)/('Historic Balance Sheet'!H31+'Historic Balance Sheet'!H36+'Historic Balance Sheet'!H50)</f>
        <v>0.30968468468468469</v>
      </c>
      <c r="J91" s="42">
        <f>('Historic Balance Sheet'!I31+'Historic Balance Sheet'!I36)/('Historic Balance Sheet'!I31+'Historic Balance Sheet'!I36+'Historic Balance Sheet'!I50)</f>
        <v>0.29212180057717724</v>
      </c>
      <c r="K91" s="42">
        <f>('Historic Balance Sheet'!J31+'Historic Balance Sheet'!J36)/('Historic Balance Sheet'!J31+'Historic Balance Sheet'!J36+'Historic Balance Sheet'!J50)</f>
        <v>0.30151794542879284</v>
      </c>
      <c r="L91" s="42">
        <f>('Historic Balance Sheet'!K31+'Historic Balance Sheet'!K36)/('Historic Balance Sheet'!K31+'Historic Balance Sheet'!K36+'Historic Balance Sheet'!K50)</f>
        <v>0.38299313444783106</v>
      </c>
      <c r="M91" s="193" t="s">
        <v>385</v>
      </c>
    </row>
    <row r="92" spans="1:13">
      <c r="A92" s="29"/>
      <c r="B92" s="30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192"/>
    </row>
    <row r="93" spans="1:13">
      <c r="A93" s="489" t="s">
        <v>158</v>
      </c>
      <c r="B93" s="490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192"/>
    </row>
    <row r="94" spans="1:13">
      <c r="A94" s="29"/>
      <c r="B94" s="30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192"/>
    </row>
    <row r="95" spans="1:13">
      <c r="A95" s="54"/>
      <c r="B95" s="22" t="s">
        <v>191</v>
      </c>
      <c r="C95" s="42">
        <f>'Historic Income Statement'!B38/'Historic Income Statement'!B23</f>
        <v>15.375344986200552</v>
      </c>
      <c r="D95" s="42">
        <f>'Historic Income Statement'!C38/'Historic Income Statement'!C23</f>
        <v>10.559457302474062</v>
      </c>
      <c r="E95" s="42">
        <f>'Historic Income Statement'!D38/'Historic Income Statement'!D23</f>
        <v>-17.1048128342246</v>
      </c>
      <c r="F95" s="42">
        <f>'Historic Income Statement'!E38/'Historic Income Statement'!E23</f>
        <v>4.4848719937936385</v>
      </c>
      <c r="G95" s="42">
        <f>'Historic Income Statement'!F38/'Historic Income Statement'!F23</f>
        <v>10.618365627632688</v>
      </c>
      <c r="H95" s="42">
        <f>'Historic Income Statement'!G38/'Historic Income Statement'!G23</f>
        <v>13.862139917695472</v>
      </c>
      <c r="I95" s="42">
        <f>'Historic Income Statement'!H38/'Historic Income Statement'!H23</f>
        <v>11.55148095909732</v>
      </c>
      <c r="J95" s="42">
        <f>'Historic Income Statement'!I38/'Historic Income Statement'!I23</f>
        <v>14.132352941176471</v>
      </c>
      <c r="K95" s="42">
        <f>'Historic Income Statement'!J38/'Historic Income Statement'!J23</f>
        <v>9.9614197530864192</v>
      </c>
      <c r="L95" s="42">
        <f>'Historic Income Statement'!K38/'Historic Income Statement'!K23</f>
        <v>-3.7510869565217391</v>
      </c>
      <c r="M95" s="193" t="s">
        <v>385</v>
      </c>
    </row>
    <row r="96" spans="1:13">
      <c r="A96" s="29"/>
      <c r="B96" s="22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192"/>
    </row>
    <row r="97" spans="1:13">
      <c r="A97" s="489" t="s">
        <v>159</v>
      </c>
      <c r="B97" s="490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89"/>
    </row>
    <row r="98" spans="1:13">
      <c r="A98" s="29"/>
      <c r="B98" s="30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89"/>
    </row>
    <row r="99" spans="1:13">
      <c r="B99" s="22" t="s">
        <v>160</v>
      </c>
      <c r="C99" s="44">
        <f>('Historic Income Statement'!B36*'Historic Income Statement'!B39)/'Historic Income Statement'!B29</f>
        <v>0.14904972347266879</v>
      </c>
      <c r="D99" s="44">
        <f>('Historic Income Statement'!C36*'Historic Income Statement'!C39)/'Historic Income Statement'!C29</f>
        <v>0</v>
      </c>
      <c r="E99" s="44">
        <f>('Historic Income Statement'!D36*'Historic Income Statement'!D39)/'Historic Income Statement'!D29</f>
        <v>-0.16849347923285091</v>
      </c>
      <c r="F99" s="44">
        <f>('Historic Income Statement'!E36*'Historic Income Statement'!E39)/'Historic Income Statement'!E29</f>
        <v>0.64803608518350697</v>
      </c>
      <c r="G99" s="44">
        <f>('Historic Income Statement'!F36*'Historic Income Statement'!F39)/'Historic Income Statement'!F29</f>
        <v>0.28224987233667898</v>
      </c>
      <c r="H99" s="44">
        <f>('Historic Income Statement'!G36*'Historic Income Statement'!G39)/'Historic Income Statement'!G29</f>
        <v>0.29446317143776135</v>
      </c>
      <c r="I99" s="44">
        <f>('Historic Income Statement'!H36*'Historic Income Statement'!H39)/'Historic Income Statement'!H29</f>
        <v>0.39252082581869957</v>
      </c>
      <c r="J99" s="44">
        <f>('Historic Income Statement'!I36*'Historic Income Statement'!I39)/'Historic Income Statement'!I29</f>
        <v>0.36560376802096989</v>
      </c>
      <c r="K99" s="44">
        <f>('Historic Income Statement'!J36*'Historic Income Statement'!J39)/'Historic Income Statement'!J29</f>
        <v>0.51510422477798801</v>
      </c>
      <c r="L99" s="44">
        <f>('Historic Income Statement'!K36*'Historic Income Statement'!K39)/'Historic Income Statement'!K29</f>
        <v>-0.82458036585365846</v>
      </c>
      <c r="M99" s="195" t="s">
        <v>385</v>
      </c>
    </row>
    <row r="100" spans="1:13">
      <c r="A100" s="29"/>
      <c r="B100" s="22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89"/>
    </row>
    <row r="101" spans="1:13">
      <c r="A101" s="54" t="s">
        <v>186</v>
      </c>
      <c r="B101" s="30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89"/>
    </row>
    <row r="102" spans="1:13">
      <c r="A102" s="33" t="s">
        <v>187</v>
      </c>
      <c r="B102" s="45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197"/>
    </row>
  </sheetData>
  <mergeCells count="12">
    <mergeCell ref="A1:B1"/>
    <mergeCell ref="A11:B11"/>
    <mergeCell ref="A59:B59"/>
    <mergeCell ref="A79:B79"/>
    <mergeCell ref="A93:B93"/>
    <mergeCell ref="A81:B81"/>
    <mergeCell ref="A13:B13"/>
    <mergeCell ref="A97:B97"/>
    <mergeCell ref="A18:B18"/>
    <mergeCell ref="A61:B61"/>
    <mergeCell ref="A73:B73"/>
    <mergeCell ref="A87:B87"/>
  </mergeCells>
  <conditionalFormatting sqref="M2:M200">
    <cfRule type="beginsWith" dxfId="1" priority="3" operator="beginsWith" text="Invalid">
      <formula>LEFT(M2,LEN("Invalid"))="Invalid"</formula>
    </cfRule>
    <cfRule type="beginsWith" dxfId="0" priority="4" operator="beginsWith" text="Valid">
      <formula>LEFT(M2,LEN("Valid"))="Valid"</formula>
    </cfRule>
  </conditionalFormatting>
  <dataValidations count="1">
    <dataValidation type="list" showInputMessage="1" showErrorMessage="1" sqref="M103:M114 M2:M102" xr:uid="{00000000-0002-0000-0600-000000000000}">
      <formula1>"Valid,Invalid"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I16"/>
  <sheetViews>
    <sheetView workbookViewId="0">
      <selection activeCell="Q23" sqref="Q23"/>
    </sheetView>
  </sheetViews>
  <sheetFormatPr baseColWidth="10" defaultColWidth="8.83203125" defaultRowHeight="16"/>
  <cols>
    <col min="2" max="2" width="16" customWidth="1"/>
    <col min="3" max="3" width="15" bestFit="1" customWidth="1"/>
    <col min="7" max="7" width="8.83203125" style="3"/>
  </cols>
  <sheetData>
    <row r="1" spans="1:9">
      <c r="A1" s="233" t="s">
        <v>198</v>
      </c>
      <c r="B1" s="234" t="s">
        <v>205</v>
      </c>
      <c r="C1" s="235" t="s">
        <v>247</v>
      </c>
    </row>
    <row r="2" spans="1:9">
      <c r="A2" s="227">
        <f>IF(EarliestYear&lt;&gt;"",EarliestYear,"")</f>
        <v>2006</v>
      </c>
      <c r="B2" s="7">
        <f>'Historic Income Statement'!B2</f>
        <v>188523000</v>
      </c>
      <c r="C2" s="228" t="s">
        <v>371</v>
      </c>
    </row>
    <row r="3" spans="1:9">
      <c r="A3" s="227">
        <f t="shared" ref="A3:A11" si="0">IF(LatestYear&gt;A2,A2+1,"")</f>
        <v>2007</v>
      </c>
      <c r="B3" s="7">
        <f>'Historic Income Statement'!C2</f>
        <v>194495000</v>
      </c>
      <c r="C3" s="229">
        <f t="shared" ref="C3:C11" si="1">B3/B2-1</f>
        <v>3.1677832413021134E-2</v>
      </c>
    </row>
    <row r="4" spans="1:9" ht="17" thickBot="1">
      <c r="A4" s="227">
        <f t="shared" si="0"/>
        <v>2008</v>
      </c>
      <c r="B4" s="7">
        <f>'Historic Income Statement'!D2</f>
        <v>246182000</v>
      </c>
      <c r="C4" s="229">
        <f t="shared" si="1"/>
        <v>0.26574976220468383</v>
      </c>
    </row>
    <row r="5" spans="1:9" ht="17" thickBot="1">
      <c r="A5" s="227">
        <f t="shared" si="0"/>
        <v>2009</v>
      </c>
      <c r="B5" s="7">
        <f>'Historic Income Statement'!E2</f>
        <v>152390000</v>
      </c>
      <c r="C5" s="229">
        <f t="shared" si="1"/>
        <v>-0.38098642467767752</v>
      </c>
      <c r="F5" s="493" t="s">
        <v>268</v>
      </c>
      <c r="G5" s="494"/>
      <c r="H5" s="495"/>
      <c r="I5" s="17"/>
    </row>
    <row r="6" spans="1:9" ht="17" thickBot="1">
      <c r="A6" s="227">
        <f t="shared" si="0"/>
        <v>2010</v>
      </c>
      <c r="B6" s="7">
        <f>'Historic Income Statement'!F2</f>
        <v>198655000</v>
      </c>
      <c r="C6" s="229">
        <f t="shared" si="1"/>
        <v>0.30359603648533362</v>
      </c>
      <c r="G6" s="121">
        <f>AVERAGE('Sales Growth - II'!E9:E13)</f>
        <v>8.0274130015890871E-2</v>
      </c>
      <c r="H6" s="17"/>
    </row>
    <row r="7" spans="1:9">
      <c r="A7" s="227">
        <f t="shared" si="0"/>
        <v>2011</v>
      </c>
      <c r="B7" s="7">
        <f>'Historic Income Statement'!G2</f>
        <v>251226000</v>
      </c>
      <c r="C7" s="229">
        <f t="shared" si="1"/>
        <v>0.26463466814326342</v>
      </c>
    </row>
    <row r="8" spans="1:9">
      <c r="A8" s="227">
        <f t="shared" si="0"/>
        <v>2012</v>
      </c>
      <c r="B8" s="7">
        <f>'Historic Income Statement'!H2</f>
        <v>62004000</v>
      </c>
      <c r="C8" s="229">
        <f t="shared" si="1"/>
        <v>-0.75319433498125199</v>
      </c>
    </row>
    <row r="9" spans="1:9">
      <c r="A9" s="227">
        <f t="shared" si="0"/>
        <v>2013</v>
      </c>
      <c r="B9" s="7">
        <f>'Historic Income Statement'!I2</f>
        <v>58248000</v>
      </c>
      <c r="C9" s="229">
        <f t="shared" si="1"/>
        <v>-6.0576736984710666E-2</v>
      </c>
    </row>
    <row r="10" spans="1:9">
      <c r="A10" s="227">
        <f>IF(LatestYear&gt;A9,A9+1,"")</f>
        <v>2014</v>
      </c>
      <c r="B10" s="7">
        <f>'Historic Income Statement'!J2</f>
        <v>55517000</v>
      </c>
      <c r="C10" s="229">
        <f>B10/B9-1</f>
        <v>-4.6885729982145352E-2</v>
      </c>
    </row>
    <row r="11" spans="1:9" ht="17" thickBot="1">
      <c r="A11" s="230">
        <f t="shared" si="0"/>
        <v>2015</v>
      </c>
      <c r="B11" s="231">
        <f>'Historic Income Statement'!K2</f>
        <v>30935000</v>
      </c>
      <c r="C11" s="232">
        <f t="shared" si="1"/>
        <v>-0.44278329160437346</v>
      </c>
    </row>
    <row r="12" spans="1:9">
      <c r="F12" s="3"/>
      <c r="G12"/>
    </row>
    <row r="13" spans="1:9">
      <c r="F13" s="3"/>
      <c r="G13"/>
    </row>
    <row r="14" spans="1:9">
      <c r="F14" s="3"/>
      <c r="G14"/>
    </row>
    <row r="15" spans="1:9">
      <c r="F15" s="3"/>
      <c r="G15"/>
    </row>
    <row r="16" spans="1:9">
      <c r="F16" s="3"/>
      <c r="G16"/>
    </row>
  </sheetData>
  <mergeCells count="1">
    <mergeCell ref="F5:H5"/>
  </mergeCells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6"/>
  <dimension ref="A1:S80"/>
  <sheetViews>
    <sheetView topLeftCell="A4" workbookViewId="0">
      <selection activeCell="B15" sqref="B15"/>
    </sheetView>
  </sheetViews>
  <sheetFormatPr baseColWidth="10" defaultColWidth="10.83203125" defaultRowHeight="16"/>
  <cols>
    <col min="1" max="1" width="17.6640625" style="19" bestFit="1" customWidth="1"/>
    <col min="2" max="2" width="15.83203125" style="19" bestFit="1" customWidth="1"/>
    <col min="3" max="3" width="22.1640625" style="19" bestFit="1" customWidth="1"/>
    <col min="4" max="5" width="14.6640625" style="19" customWidth="1"/>
    <col min="6" max="6" width="14.83203125" style="19" customWidth="1"/>
    <col min="7" max="7" width="16.33203125" style="19" customWidth="1"/>
    <col min="8" max="8" width="10.1640625" style="19" bestFit="1" customWidth="1"/>
    <col min="9" max="9" width="14.5" style="19" bestFit="1" customWidth="1"/>
    <col min="10" max="10" width="14.6640625" style="19" bestFit="1" customWidth="1"/>
    <col min="11" max="11" width="11" style="19" bestFit="1" customWidth="1"/>
    <col min="12" max="12" width="13.33203125" style="19" bestFit="1" customWidth="1"/>
    <col min="13" max="13" width="14.6640625" style="19" bestFit="1" customWidth="1"/>
    <col min="14" max="14" width="11" style="19" bestFit="1" customWidth="1"/>
    <col min="15" max="15" width="14.5" style="19" bestFit="1" customWidth="1"/>
    <col min="16" max="16" width="14.6640625" style="19" bestFit="1" customWidth="1"/>
    <col min="17" max="17" width="11" style="19" bestFit="1" customWidth="1"/>
    <col min="18" max="18" width="14.5" style="19" bestFit="1" customWidth="1"/>
    <col min="19" max="19" width="15.33203125" style="19" bestFit="1" customWidth="1"/>
    <col min="20" max="16384" width="10.83203125" style="19"/>
  </cols>
  <sheetData>
    <row r="1" spans="1:19" s="169" customFormat="1">
      <c r="A1" s="496" t="s">
        <v>198</v>
      </c>
      <c r="B1" s="497" t="s">
        <v>176</v>
      </c>
      <c r="C1" s="497" t="s">
        <v>427</v>
      </c>
      <c r="D1" s="502" t="s">
        <v>185</v>
      </c>
      <c r="E1" s="502" t="s">
        <v>382</v>
      </c>
      <c r="F1" s="502" t="s">
        <v>383</v>
      </c>
      <c r="G1" s="497" t="s">
        <v>276</v>
      </c>
      <c r="H1" s="496" t="s">
        <v>273</v>
      </c>
      <c r="I1" s="496"/>
      <c r="J1" s="496"/>
      <c r="K1" s="496" t="s">
        <v>275</v>
      </c>
      <c r="L1" s="496"/>
      <c r="M1" s="496"/>
      <c r="N1" s="496" t="s">
        <v>277</v>
      </c>
      <c r="O1" s="496"/>
      <c r="P1" s="496"/>
      <c r="Q1" s="496" t="s">
        <v>258</v>
      </c>
      <c r="R1" s="496"/>
      <c r="S1" s="496"/>
    </row>
    <row r="2" spans="1:19" s="169" customFormat="1">
      <c r="A2" s="496"/>
      <c r="B2" s="497"/>
      <c r="C2" s="497"/>
      <c r="D2" s="503"/>
      <c r="E2" s="503"/>
      <c r="F2" s="503"/>
      <c r="G2" s="497"/>
      <c r="H2" s="242" t="s">
        <v>271</v>
      </c>
      <c r="I2" s="242" t="s">
        <v>272</v>
      </c>
      <c r="J2" s="242" t="s">
        <v>274</v>
      </c>
      <c r="K2" s="242" t="s">
        <v>271</v>
      </c>
      <c r="L2" s="242" t="s">
        <v>272</v>
      </c>
      <c r="M2" s="242" t="s">
        <v>274</v>
      </c>
      <c r="N2" s="242" t="s">
        <v>271</v>
      </c>
      <c r="O2" s="242" t="s">
        <v>272</v>
      </c>
      <c r="P2" s="242" t="s">
        <v>274</v>
      </c>
      <c r="Q2" s="242" t="s">
        <v>271</v>
      </c>
      <c r="R2" s="242" t="s">
        <v>272</v>
      </c>
      <c r="S2" s="242" t="s">
        <v>274</v>
      </c>
    </row>
    <row r="3" spans="1:19">
      <c r="A3" s="171">
        <f>IF(EarliestYear&lt;&gt;"",EarliestYear+4,"")</f>
        <v>2010</v>
      </c>
      <c r="B3" s="172">
        <v>198655000</v>
      </c>
      <c r="C3" s="172">
        <f t="shared" ref="C3:C12" si="0">(H3*I3+K3*L3+K71*O3+Q3*R3)</f>
        <v>88969.99</v>
      </c>
      <c r="D3" s="172"/>
      <c r="E3" s="172"/>
      <c r="F3" s="173"/>
      <c r="G3" s="163">
        <f t="shared" ref="G3:G8" si="1">H3+K3+N3+Q3/6</f>
        <v>1739.6666666666665</v>
      </c>
      <c r="H3" s="18">
        <v>763</v>
      </c>
      <c r="I3" s="120">
        <v>77.83</v>
      </c>
      <c r="J3" s="18">
        <v>2673</v>
      </c>
      <c r="K3" s="18">
        <v>150</v>
      </c>
      <c r="L3" s="120">
        <v>45.24</v>
      </c>
      <c r="M3" s="18">
        <v>719</v>
      </c>
      <c r="N3" s="18">
        <v>59</v>
      </c>
      <c r="O3" s="170">
        <v>53.06</v>
      </c>
      <c r="P3" s="18">
        <v>1299</v>
      </c>
      <c r="Q3" s="18">
        <v>4606</v>
      </c>
      <c r="R3" s="170">
        <v>4.95</v>
      </c>
      <c r="S3" s="18">
        <v>21716</v>
      </c>
    </row>
    <row r="4" spans="1:19">
      <c r="A4" s="171">
        <f t="shared" ref="A4:A8" si="2">IF(LatestYear&gt;A3,A3+1,"")</f>
        <v>2011</v>
      </c>
      <c r="B4" s="172">
        <v>251226000</v>
      </c>
      <c r="C4" s="172">
        <f t="shared" si="0"/>
        <v>102573.01</v>
      </c>
      <c r="D4" s="174">
        <f>B4/B3-1</f>
        <v>0.26463466814326342</v>
      </c>
      <c r="E4" s="174">
        <f>C4/C3-1</f>
        <v>0.15289447599128647</v>
      </c>
      <c r="F4" s="174">
        <f>G4/G3-1</f>
        <v>-6.9553554320751054E-2</v>
      </c>
      <c r="G4" s="163">
        <f t="shared" si="1"/>
        <v>1618.6666666666665</v>
      </c>
      <c r="H4" s="18">
        <v>650</v>
      </c>
      <c r="I4" s="120">
        <v>105.87</v>
      </c>
      <c r="J4" s="18">
        <v>2741</v>
      </c>
      <c r="K4" s="18">
        <v>149</v>
      </c>
      <c r="L4" s="120">
        <v>54.71</v>
      </c>
      <c r="M4" s="18">
        <v>721</v>
      </c>
      <c r="N4" s="18">
        <v>67</v>
      </c>
      <c r="O4" s="170">
        <v>62.56</v>
      </c>
      <c r="P4" s="18">
        <v>1439</v>
      </c>
      <c r="Q4" s="18">
        <v>4516</v>
      </c>
      <c r="R4" s="170">
        <v>5.67</v>
      </c>
      <c r="S4" s="18">
        <v>20916</v>
      </c>
    </row>
    <row r="5" spans="1:19">
      <c r="A5" s="171">
        <f t="shared" si="2"/>
        <v>2012</v>
      </c>
      <c r="B5" s="172">
        <v>62004000</v>
      </c>
      <c r="C5" s="172">
        <f t="shared" si="0"/>
        <v>95621.739999999991</v>
      </c>
      <c r="D5" s="174">
        <f t="shared" ref="D5:D13" si="3">B5/B4-1</f>
        <v>-0.75319433498125199</v>
      </c>
      <c r="E5" s="174">
        <f t="shared" ref="E5:E13" si="4">C5/C4-1</f>
        <v>-6.7768996932038972E-2</v>
      </c>
      <c r="F5" s="174">
        <f t="shared" ref="F5:F13" si="5">G5/G4-1</f>
        <v>-2.4814662273476062E-2</v>
      </c>
      <c r="G5" s="163">
        <f t="shared" si="1"/>
        <v>1578.5</v>
      </c>
      <c r="H5" s="18">
        <v>618</v>
      </c>
      <c r="I5" s="120">
        <v>105.98</v>
      </c>
      <c r="J5" s="18">
        <v>2779</v>
      </c>
      <c r="K5" s="18">
        <v>160</v>
      </c>
      <c r="L5" s="120">
        <v>45.55</v>
      </c>
      <c r="M5" s="18">
        <v>694</v>
      </c>
      <c r="N5" s="18">
        <v>93</v>
      </c>
      <c r="O5" s="170">
        <v>53.91</v>
      </c>
      <c r="P5" s="18">
        <v>1900</v>
      </c>
      <c r="Q5" s="18">
        <v>4245</v>
      </c>
      <c r="R5" s="170">
        <v>5.38</v>
      </c>
      <c r="S5" s="18">
        <v>19614</v>
      </c>
    </row>
    <row r="6" spans="1:19">
      <c r="A6" s="171">
        <f t="shared" si="2"/>
        <v>2013</v>
      </c>
      <c r="B6" s="172">
        <v>58248000</v>
      </c>
      <c r="C6" s="172">
        <f t="shared" si="0"/>
        <v>90136.55</v>
      </c>
      <c r="D6" s="174">
        <f t="shared" si="3"/>
        <v>-6.0576736984710666E-2</v>
      </c>
      <c r="E6" s="174">
        <f t="shared" si="4"/>
        <v>-5.736341965749614E-2</v>
      </c>
      <c r="F6" s="174">
        <f t="shared" si="5"/>
        <v>-4.8146974976243317E-2</v>
      </c>
      <c r="G6" s="163">
        <f t="shared" si="1"/>
        <v>1502.5</v>
      </c>
      <c r="H6" s="18">
        <v>581</v>
      </c>
      <c r="I6" s="120">
        <v>103.51</v>
      </c>
      <c r="J6" s="18">
        <v>2749</v>
      </c>
      <c r="K6" s="18">
        <v>156</v>
      </c>
      <c r="L6" s="120">
        <v>40.79</v>
      </c>
      <c r="M6" s="18">
        <v>744</v>
      </c>
      <c r="N6" s="18">
        <v>109</v>
      </c>
      <c r="O6" s="170">
        <v>53.27</v>
      </c>
      <c r="P6" s="18">
        <v>2030</v>
      </c>
      <c r="Q6" s="18">
        <v>3939</v>
      </c>
      <c r="R6" s="170">
        <v>6</v>
      </c>
      <c r="S6" s="18">
        <v>20388</v>
      </c>
    </row>
    <row r="7" spans="1:19">
      <c r="A7" s="171">
        <f>IF(LatestYear&gt;A6,A6+1,"")</f>
        <v>2014</v>
      </c>
      <c r="B7" s="172">
        <v>55517000</v>
      </c>
      <c r="C7" s="172">
        <f t="shared" si="0"/>
        <v>87004.83</v>
      </c>
      <c r="D7" s="174">
        <f t="shared" si="3"/>
        <v>-4.6885729982145352E-2</v>
      </c>
      <c r="E7" s="174">
        <f t="shared" si="4"/>
        <v>-3.474417425561549E-2</v>
      </c>
      <c r="F7" s="174">
        <f t="shared" si="5"/>
        <v>2.5069328896283771E-2</v>
      </c>
      <c r="G7" s="163">
        <f t="shared" si="1"/>
        <v>1540.1666666666665</v>
      </c>
      <c r="H7" s="18">
        <v>595</v>
      </c>
      <c r="I7" s="120">
        <v>92.94</v>
      </c>
      <c r="J7" s="18">
        <v>2708</v>
      </c>
      <c r="K7" s="18">
        <v>159</v>
      </c>
      <c r="L7" s="120">
        <v>38.71</v>
      </c>
      <c r="M7" s="18">
        <v>715</v>
      </c>
      <c r="N7" s="18">
        <v>129</v>
      </c>
      <c r="O7" s="170">
        <v>55.13</v>
      </c>
      <c r="P7" s="18">
        <v>2066</v>
      </c>
      <c r="Q7" s="18">
        <v>3943</v>
      </c>
      <c r="R7" s="170">
        <v>6.48</v>
      </c>
      <c r="S7" s="18">
        <v>20500</v>
      </c>
    </row>
    <row r="8" spans="1:19">
      <c r="A8" s="171">
        <f t="shared" si="2"/>
        <v>2015</v>
      </c>
      <c r="B8" s="172">
        <v>30935000</v>
      </c>
      <c r="C8" s="172">
        <f t="shared" si="0"/>
        <v>48050.14</v>
      </c>
      <c r="D8" s="174">
        <f t="shared" si="3"/>
        <v>-0.44278329160437346</v>
      </c>
      <c r="E8" s="174">
        <f t="shared" si="4"/>
        <v>-0.44773020072563785</v>
      </c>
      <c r="F8" s="174">
        <f t="shared" si="5"/>
        <v>3.1490098474191042E-2</v>
      </c>
      <c r="G8" s="163">
        <f t="shared" si="1"/>
        <v>1588.6666666666665</v>
      </c>
      <c r="H8" s="18">
        <v>605</v>
      </c>
      <c r="I8" s="120">
        <v>48.26</v>
      </c>
      <c r="J8" s="18">
        <v>2363</v>
      </c>
      <c r="K8" s="18">
        <v>156</v>
      </c>
      <c r="L8" s="120">
        <v>17.79</v>
      </c>
      <c r="M8" s="18">
        <v>558</v>
      </c>
      <c r="N8" s="18">
        <v>151</v>
      </c>
      <c r="O8" s="170">
        <v>18.72</v>
      </c>
      <c r="P8" s="18">
        <v>2393</v>
      </c>
      <c r="Q8" s="18">
        <v>4060</v>
      </c>
      <c r="R8" s="170">
        <v>3.96</v>
      </c>
      <c r="S8" s="18">
        <v>17193</v>
      </c>
    </row>
    <row r="9" spans="1:19">
      <c r="A9" s="171">
        <f>A8+1</f>
        <v>2016</v>
      </c>
      <c r="B9" s="164">
        <f>(1+E9)*B8</f>
        <v>22085965.591598842</v>
      </c>
      <c r="C9" s="172">
        <f>(H9*I9+K9*O9+K77*L77+Q9*R9)</f>
        <v>34305.276829206632</v>
      </c>
      <c r="D9" s="174">
        <f t="shared" si="3"/>
        <v>-0.28605251037340096</v>
      </c>
      <c r="E9" s="174">
        <f t="shared" si="4"/>
        <v>-0.28605251037340096</v>
      </c>
      <c r="F9" s="174">
        <f t="shared" si="5"/>
        <v>-4.0075535039865606E-2</v>
      </c>
      <c r="G9" s="18">
        <v>1525</v>
      </c>
      <c r="H9" s="163">
        <f>(1.03*H8)</f>
        <v>623.15</v>
      </c>
      <c r="I9" s="120">
        <f>D21</f>
        <v>33.818676498539041</v>
      </c>
      <c r="J9" s="163">
        <f>J8-H9</f>
        <v>1739.85</v>
      </c>
      <c r="K9" s="163">
        <f>1.03*K8</f>
        <v>160.68</v>
      </c>
      <c r="L9" s="120">
        <f>L8/(I8/I9)</f>
        <v>12.466519993970358</v>
      </c>
      <c r="M9" s="163">
        <f>M8-K9</f>
        <v>397.32</v>
      </c>
      <c r="N9" s="163">
        <f>1.03*N8</f>
        <v>155.53</v>
      </c>
      <c r="O9" s="120">
        <f>O8/(I8/I9)</f>
        <v>13.118226772744526</v>
      </c>
      <c r="P9" s="163">
        <f>P8-N9</f>
        <v>2237.4699999999998</v>
      </c>
      <c r="Q9" s="163">
        <f>1.03*Q8</f>
        <v>4181.8</v>
      </c>
      <c r="R9" s="170">
        <f>G21</f>
        <v>2.6599387563483283</v>
      </c>
      <c r="S9" s="163">
        <f>S8-Q9</f>
        <v>13011.2</v>
      </c>
    </row>
    <row r="10" spans="1:19">
      <c r="A10" s="171">
        <f t="shared" ref="A10:A13" si="6">A9+1</f>
        <v>2017</v>
      </c>
      <c r="B10" s="164">
        <f t="shared" ref="B10:B13" si="7">(1+E10)*B9</f>
        <v>29104251.182827041</v>
      </c>
      <c r="C10" s="172">
        <f t="shared" si="0"/>
        <v>45206.508612574908</v>
      </c>
      <c r="D10" s="174">
        <f t="shared" si="3"/>
        <v>0.31777128159150281</v>
      </c>
      <c r="E10" s="174">
        <f t="shared" si="4"/>
        <v>0.31777128159150281</v>
      </c>
      <c r="F10" s="174">
        <f t="shared" si="5"/>
        <v>3.0000000000000027E-2</v>
      </c>
      <c r="G10" s="166">
        <f>1.03*G9</f>
        <v>1570.75</v>
      </c>
      <c r="H10" s="163">
        <f t="shared" ref="H10:H13" si="8">(1.03*H9)</f>
        <v>641.84450000000004</v>
      </c>
      <c r="I10" s="120">
        <f>D33</f>
        <v>41.20179300089054</v>
      </c>
      <c r="J10" s="163">
        <f t="shared" ref="J10:J13" si="9">J9-H10</f>
        <v>1098.0054999999998</v>
      </c>
      <c r="K10" s="163">
        <f t="shared" ref="K10:K13" si="10">1.03*K9</f>
        <v>165.50040000000001</v>
      </c>
      <c r="L10" s="120">
        <f t="shared" ref="L10:L13" si="11">L9/(I9/I10)</f>
        <v>15.188145409984307</v>
      </c>
      <c r="M10" s="163">
        <f t="shared" ref="M10:M13" si="12">M9-K10</f>
        <v>231.81959999999998</v>
      </c>
      <c r="N10" s="163">
        <f t="shared" ref="N10:N13" si="13">1.03*N9</f>
        <v>160.19589999999999</v>
      </c>
      <c r="O10" s="120">
        <f t="shared" ref="O10:O13" si="14">O9/(I9/I10)</f>
        <v>15.982129402749086</v>
      </c>
      <c r="P10" s="163">
        <f t="shared" ref="P10:P13" si="15">P9-N10</f>
        <v>2077.2740999999996</v>
      </c>
      <c r="Q10" s="163">
        <f t="shared" ref="Q10:Q13" si="16">1.03*Q9</f>
        <v>4307.2539999999999</v>
      </c>
      <c r="R10" s="170">
        <f>G33</f>
        <v>3.7721760184572926</v>
      </c>
      <c r="S10" s="163">
        <f t="shared" ref="S10:S13" si="17">S9-Q10</f>
        <v>8703.9459999999999</v>
      </c>
    </row>
    <row r="11" spans="1:19">
      <c r="A11" s="171">
        <f t="shared" si="6"/>
        <v>2018</v>
      </c>
      <c r="B11" s="164">
        <f t="shared" si="7"/>
        <v>34168514.025375389</v>
      </c>
      <c r="C11" s="172">
        <f t="shared" si="0"/>
        <v>53072.632374696979</v>
      </c>
      <c r="D11" s="174">
        <f t="shared" si="3"/>
        <v>0.17400423088488592</v>
      </c>
      <c r="E11" s="174">
        <f t="shared" si="4"/>
        <v>0.17400423088488592</v>
      </c>
      <c r="F11" s="174">
        <f t="shared" si="5"/>
        <v>3.0000000000000027E-2</v>
      </c>
      <c r="G11" s="166">
        <f t="shared" ref="G11:G13" si="18">1.03*G10</f>
        <v>1617.8724999999999</v>
      </c>
      <c r="H11" s="163">
        <f t="shared" si="8"/>
        <v>661.0998350000001</v>
      </c>
      <c r="I11" s="120">
        <f>D45</f>
        <v>47.00458221764675</v>
      </c>
      <c r="J11" s="163">
        <f t="shared" si="9"/>
        <v>436.90566499999966</v>
      </c>
      <c r="K11" s="163">
        <f t="shared" si="10"/>
        <v>170.46541200000001</v>
      </c>
      <c r="L11" s="120">
        <f t="shared" si="11"/>
        <v>17.327217522833312</v>
      </c>
      <c r="M11" s="163">
        <f t="shared" si="12"/>
        <v>61.354187999999965</v>
      </c>
      <c r="N11" s="163">
        <f t="shared" si="13"/>
        <v>165.001777</v>
      </c>
      <c r="O11" s="120">
        <f t="shared" si="14"/>
        <v>18.233024846961193</v>
      </c>
      <c r="P11" s="163">
        <f t="shared" si="15"/>
        <v>1912.2723229999997</v>
      </c>
      <c r="Q11" s="163">
        <f t="shared" si="16"/>
        <v>4436.4716200000003</v>
      </c>
      <c r="R11" s="170">
        <f>G45</f>
        <v>4.2926499217689971</v>
      </c>
      <c r="S11" s="163">
        <f t="shared" si="17"/>
        <v>4267.4743799999997</v>
      </c>
    </row>
    <row r="12" spans="1:19">
      <c r="A12" s="171">
        <f t="shared" si="6"/>
        <v>2019</v>
      </c>
      <c r="B12" s="164">
        <f t="shared" si="7"/>
        <v>38021827.326636039</v>
      </c>
      <c r="C12" s="172">
        <f t="shared" si="0"/>
        <v>59057.835012144416</v>
      </c>
      <c r="D12" s="174">
        <f t="shared" si="3"/>
        <v>0.11277380392951741</v>
      </c>
      <c r="E12" s="174">
        <f t="shared" si="4"/>
        <v>0.11277380392951741</v>
      </c>
      <c r="F12" s="174">
        <f t="shared" si="5"/>
        <v>3.0000000000000027E-2</v>
      </c>
      <c r="G12" s="166">
        <f t="shared" si="18"/>
        <v>1666.4086749999999</v>
      </c>
      <c r="H12" s="163">
        <f t="shared" si="8"/>
        <v>680.93283005000012</v>
      </c>
      <c r="I12" s="120">
        <f>D57</f>
        <v>51.457318547567773</v>
      </c>
      <c r="J12" s="163">
        <f t="shared" si="9"/>
        <v>-244.02716505000046</v>
      </c>
      <c r="K12" s="163">
        <f t="shared" si="10"/>
        <v>175.57937436000003</v>
      </c>
      <c r="L12" s="120">
        <f t="shared" si="11"/>
        <v>18.968621984277469</v>
      </c>
      <c r="M12" s="163">
        <f t="shared" si="12"/>
        <v>-114.22518636000007</v>
      </c>
      <c r="N12" s="163">
        <f t="shared" si="13"/>
        <v>169.95183031000002</v>
      </c>
      <c r="O12" s="120">
        <f t="shared" si="14"/>
        <v>19.960236286996867</v>
      </c>
      <c r="P12" s="163">
        <f t="shared" si="15"/>
        <v>1742.3204926899996</v>
      </c>
      <c r="Q12" s="163">
        <f t="shared" si="16"/>
        <v>4569.5657686000004</v>
      </c>
      <c r="R12" s="170">
        <f>G57</f>
        <v>4.5274233338438954</v>
      </c>
      <c r="S12" s="163">
        <f t="shared" si="17"/>
        <v>-302.09138860000076</v>
      </c>
    </row>
    <row r="13" spans="1:19">
      <c r="A13" s="171">
        <f t="shared" si="6"/>
        <v>2020</v>
      </c>
      <c r="B13" s="164">
        <f t="shared" si="7"/>
        <v>41172842.314883702</v>
      </c>
      <c r="C13" s="172">
        <f>(H13*I13+K13*L13+M81*O13+Q13*R13)</f>
        <v>63952.184820691335</v>
      </c>
      <c r="D13" s="174">
        <f t="shared" si="3"/>
        <v>8.2873844046949197E-2</v>
      </c>
      <c r="E13" s="174">
        <f t="shared" si="4"/>
        <v>8.2873844046949197E-2</v>
      </c>
      <c r="F13" s="174">
        <f t="shared" si="5"/>
        <v>3.0000000000000027E-2</v>
      </c>
      <c r="G13" s="166">
        <f t="shared" si="18"/>
        <v>1716.40093525</v>
      </c>
      <c r="H13" s="163">
        <f t="shared" si="8"/>
        <v>701.36081495150017</v>
      </c>
      <c r="I13" s="120">
        <f>D69</f>
        <v>54.87409969938804</v>
      </c>
      <c r="J13" s="163">
        <f t="shared" si="9"/>
        <v>-945.38798000150064</v>
      </c>
      <c r="K13" s="163">
        <f t="shared" si="10"/>
        <v>180.84675559080003</v>
      </c>
      <c r="L13" s="120">
        <f t="shared" si="11"/>
        <v>20.228144087279595</v>
      </c>
      <c r="M13" s="163">
        <f t="shared" si="12"/>
        <v>-295.07194195080012</v>
      </c>
      <c r="N13" s="163">
        <f t="shared" si="13"/>
        <v>175.05038521930001</v>
      </c>
      <c r="O13" s="120">
        <f t="shared" si="14"/>
        <v>21.285601872617992</v>
      </c>
      <c r="P13" s="163">
        <f t="shared" si="15"/>
        <v>1567.2701074706995</v>
      </c>
      <c r="Q13" s="163">
        <f t="shared" si="16"/>
        <v>4706.6527416580002</v>
      </c>
      <c r="R13" s="170">
        <f>G69</f>
        <v>4.6333240421533368</v>
      </c>
      <c r="S13" s="163">
        <f t="shared" si="17"/>
        <v>-5008.744130258001</v>
      </c>
    </row>
    <row r="15" spans="1:19">
      <c r="A15" s="19" t="s">
        <v>428</v>
      </c>
    </row>
    <row r="16" spans="1:19" ht="17" thickBot="1">
      <c r="I16" s="180"/>
      <c r="M16" s="167"/>
    </row>
    <row r="17" spans="1:13" ht="16" customHeight="1" thickBot="1">
      <c r="A17" s="507" t="s">
        <v>198</v>
      </c>
      <c r="B17" s="513" t="s">
        <v>293</v>
      </c>
      <c r="C17" s="514"/>
      <c r="D17" s="515"/>
      <c r="E17" s="513" t="s">
        <v>258</v>
      </c>
      <c r="F17" s="514"/>
      <c r="G17" s="515"/>
      <c r="H17" s="167"/>
      <c r="I17" s="181"/>
      <c r="K17" s="167"/>
    </row>
    <row r="18" spans="1:13">
      <c r="A18" s="508"/>
      <c r="B18" s="179" t="s">
        <v>225</v>
      </c>
      <c r="C18" s="47">
        <v>1.4436834999999999</v>
      </c>
      <c r="D18" s="500" t="s">
        <v>384</v>
      </c>
      <c r="E18" s="179" t="s">
        <v>225</v>
      </c>
      <c r="F18" s="47">
        <v>0.30300100000000002</v>
      </c>
      <c r="G18" s="500" t="s">
        <v>384</v>
      </c>
      <c r="H18" s="167"/>
      <c r="K18" s="167"/>
    </row>
    <row r="19" spans="1:13" ht="17" thickBot="1">
      <c r="A19" s="509"/>
      <c r="B19" s="175" t="s">
        <v>291</v>
      </c>
      <c r="C19" s="18">
        <v>0.97817339999999997</v>
      </c>
      <c r="D19" s="500"/>
      <c r="E19" s="175" t="s">
        <v>291</v>
      </c>
      <c r="F19" s="18">
        <v>0.93580960000000002</v>
      </c>
      <c r="G19" s="500"/>
      <c r="H19" s="167"/>
      <c r="K19" s="167"/>
    </row>
    <row r="20" spans="1:13" ht="17" thickBot="1">
      <c r="A20" s="243" t="s">
        <v>294</v>
      </c>
      <c r="B20" s="510" t="s">
        <v>278</v>
      </c>
      <c r="C20" s="511"/>
      <c r="D20" s="501"/>
      <c r="E20" s="510" t="s">
        <v>292</v>
      </c>
      <c r="F20" s="511"/>
      <c r="G20" s="501"/>
      <c r="H20" s="167"/>
      <c r="K20" s="167"/>
    </row>
    <row r="21" spans="1:13">
      <c r="A21" s="504">
        <v>2016</v>
      </c>
      <c r="B21" s="179" t="s">
        <v>279</v>
      </c>
      <c r="C21" s="47">
        <v>31.7</v>
      </c>
      <c r="D21" s="498">
        <f>AVERAGE(C21:C32)</f>
        <v>33.818676498539041</v>
      </c>
      <c r="E21" s="179" t="s">
        <v>279</v>
      </c>
      <c r="F21" s="47">
        <v>2.27</v>
      </c>
      <c r="G21" s="498">
        <f>AVERAGE(F21:F32)</f>
        <v>2.6599387563483283</v>
      </c>
      <c r="H21" s="167"/>
      <c r="K21" s="167"/>
    </row>
    <row r="22" spans="1:13">
      <c r="A22" s="505"/>
      <c r="B22" s="176" t="s">
        <v>280</v>
      </c>
      <c r="C22" s="18">
        <v>30.35</v>
      </c>
      <c r="D22" s="499"/>
      <c r="E22" s="176" t="s">
        <v>280</v>
      </c>
      <c r="F22" s="18">
        <v>1.96</v>
      </c>
      <c r="G22" s="499"/>
      <c r="M22" s="168"/>
    </row>
    <row r="23" spans="1:13">
      <c r="A23" s="505"/>
      <c r="B23" s="175" t="s">
        <v>281</v>
      </c>
      <c r="C23" s="165">
        <f t="shared" ref="C23:C54" si="19">$C$18+C22*$C$19</f>
        <v>31.131246189999999</v>
      </c>
      <c r="D23" s="499"/>
      <c r="E23" s="175" t="s">
        <v>281</v>
      </c>
      <c r="F23" s="165">
        <f t="shared" ref="F23:F54" si="20">$F$18+F22*$F$19</f>
        <v>2.137187816</v>
      </c>
      <c r="G23" s="499"/>
      <c r="M23" s="168"/>
    </row>
    <row r="24" spans="1:13">
      <c r="A24" s="505"/>
      <c r="B24" s="175" t="s">
        <v>282</v>
      </c>
      <c r="C24" s="165">
        <f t="shared" si="19"/>
        <v>31.895440431909343</v>
      </c>
      <c r="D24" s="499"/>
      <c r="E24" s="175" t="s">
        <v>282</v>
      </c>
      <c r="F24" s="165">
        <f t="shared" si="20"/>
        <v>2.3030018752158337</v>
      </c>
      <c r="G24" s="499"/>
      <c r="M24" s="168"/>
    </row>
    <row r="25" spans="1:13">
      <c r="A25" s="505"/>
      <c r="B25" s="175" t="s">
        <v>283</v>
      </c>
      <c r="C25" s="165">
        <f t="shared" si="19"/>
        <v>32.642954911778233</v>
      </c>
      <c r="D25" s="499"/>
      <c r="E25" s="175" t="s">
        <v>283</v>
      </c>
      <c r="F25" s="165">
        <f t="shared" si="20"/>
        <v>2.4581722636449794</v>
      </c>
      <c r="G25" s="499"/>
      <c r="M25" s="168"/>
    </row>
    <row r="26" spans="1:13">
      <c r="A26" s="505"/>
      <c r="B26" s="175" t="s">
        <v>284</v>
      </c>
      <c r="C26" s="165">
        <f t="shared" si="19"/>
        <v>33.374153692100812</v>
      </c>
      <c r="D26" s="499"/>
      <c r="E26" s="175" t="s">
        <v>284</v>
      </c>
      <c r="F26" s="165">
        <f t="shared" si="20"/>
        <v>2.6033822027727029</v>
      </c>
      <c r="G26" s="499"/>
      <c r="M26" s="168"/>
    </row>
    <row r="27" spans="1:13">
      <c r="A27" s="505"/>
      <c r="B27" s="175" t="s">
        <v>285</v>
      </c>
      <c r="C27" s="165">
        <f t="shared" si="19"/>
        <v>34.089392889124802</v>
      </c>
      <c r="D27" s="499"/>
      <c r="E27" s="175" t="s">
        <v>285</v>
      </c>
      <c r="F27" s="165">
        <f t="shared" si="20"/>
        <v>2.7392710578238422</v>
      </c>
      <c r="G27" s="499"/>
    </row>
    <row r="28" spans="1:13">
      <c r="A28" s="505"/>
      <c r="B28" s="175" t="s">
        <v>286</v>
      </c>
      <c r="C28" s="165">
        <f t="shared" si="19"/>
        <v>34.789020846291031</v>
      </c>
      <c r="D28" s="499"/>
      <c r="E28" s="175" t="s">
        <v>286</v>
      </c>
      <c r="F28" s="165">
        <f t="shared" si="20"/>
        <v>2.8664371529137069</v>
      </c>
      <c r="G28" s="499"/>
    </row>
    <row r="29" spans="1:13">
      <c r="A29" s="505"/>
      <c r="B29" s="175" t="s">
        <v>287</v>
      </c>
      <c r="C29" s="165">
        <f t="shared" si="19"/>
        <v>35.473378303887372</v>
      </c>
      <c r="D29" s="499"/>
      <c r="E29" s="175" t="s">
        <v>287</v>
      </c>
      <c r="F29" s="165">
        <f t="shared" si="20"/>
        <v>2.985440405493315</v>
      </c>
      <c r="G29" s="499"/>
    </row>
    <row r="30" spans="1:13">
      <c r="A30" s="505"/>
      <c r="B30" s="175" t="s">
        <v>288</v>
      </c>
      <c r="C30" s="165">
        <f t="shared" si="19"/>
        <v>36.142798564999744</v>
      </c>
      <c r="D30" s="499"/>
      <c r="E30" s="175" t="s">
        <v>288</v>
      </c>
      <c r="F30" s="165">
        <f t="shared" si="20"/>
        <v>3.0968047916885371</v>
      </c>
      <c r="G30" s="499"/>
    </row>
    <row r="31" spans="1:13">
      <c r="A31" s="505"/>
      <c r="B31" s="175" t="s">
        <v>289</v>
      </c>
      <c r="C31" s="165">
        <f t="shared" si="19"/>
        <v>36.797607657840921</v>
      </c>
      <c r="D31" s="499"/>
      <c r="E31" s="175" t="s">
        <v>289</v>
      </c>
      <c r="F31" s="165">
        <f t="shared" si="20"/>
        <v>3.2010206533881331</v>
      </c>
      <c r="G31" s="499"/>
    </row>
    <row r="32" spans="1:13">
      <c r="A32" s="505"/>
      <c r="B32" s="175" t="s">
        <v>290</v>
      </c>
      <c r="C32" s="165">
        <f t="shared" si="19"/>
        <v>37.438124494536289</v>
      </c>
      <c r="D32" s="499"/>
      <c r="E32" s="175" t="s">
        <v>290</v>
      </c>
      <c r="F32" s="165">
        <f t="shared" si="20"/>
        <v>3.2985468572388879</v>
      </c>
      <c r="G32" s="499"/>
    </row>
    <row r="33" spans="1:7">
      <c r="A33" s="505">
        <v>2017</v>
      </c>
      <c r="B33" s="175" t="s">
        <v>279</v>
      </c>
      <c r="C33" s="165">
        <f t="shared" si="19"/>
        <v>38.064661026443844</v>
      </c>
      <c r="D33" s="499">
        <f>AVERAGE(C33:C44)</f>
        <v>41.20179300089054</v>
      </c>
      <c r="E33" s="175" t="s">
        <v>279</v>
      </c>
      <c r="F33" s="165">
        <f t="shared" si="20"/>
        <v>3.3898128150539808</v>
      </c>
      <c r="G33" s="499">
        <f>AVERAGE(F33:F44)</f>
        <v>3.7721760184572926</v>
      </c>
    </row>
    <row r="34" spans="1:7">
      <c r="A34" s="505"/>
      <c r="B34" s="176" t="s">
        <v>280</v>
      </c>
      <c r="C34" s="165">
        <f t="shared" si="19"/>
        <v>38.677522396084065</v>
      </c>
      <c r="D34" s="499"/>
      <c r="E34" s="176" t="s">
        <v>280</v>
      </c>
      <c r="F34" s="165">
        <f t="shared" si="20"/>
        <v>3.4752203745305401</v>
      </c>
      <c r="G34" s="499"/>
    </row>
    <row r="35" spans="1:7">
      <c r="A35" s="505"/>
      <c r="B35" s="175" t="s">
        <v>281</v>
      </c>
      <c r="C35" s="165">
        <f t="shared" si="19"/>
        <v>39.277007085753695</v>
      </c>
      <c r="D35" s="499"/>
      <c r="E35" s="175" t="s">
        <v>281</v>
      </c>
      <c r="F35" s="165">
        <f t="shared" si="20"/>
        <v>3.5551455886012753</v>
      </c>
      <c r="G35" s="499"/>
    </row>
    <row r="36" spans="1:7">
      <c r="A36" s="505"/>
      <c r="B36" s="175" t="s">
        <v>282</v>
      </c>
      <c r="C36" s="165">
        <f t="shared" si="19"/>
        <v>39.863407062895782</v>
      </c>
      <c r="D36" s="499"/>
      <c r="E36" s="175" t="s">
        <v>282</v>
      </c>
      <c r="F36" s="165">
        <f t="shared" si="20"/>
        <v>3.6299403712107243</v>
      </c>
      <c r="G36" s="499"/>
    </row>
    <row r="37" spans="1:7">
      <c r="A37" s="505"/>
      <c r="B37" s="175" t="s">
        <v>283</v>
      </c>
      <c r="C37" s="165">
        <f t="shared" si="19"/>
        <v>40.437007922296779</v>
      </c>
      <c r="D37" s="499"/>
      <c r="E37" s="175" t="s">
        <v>283</v>
      </c>
      <c r="F37" s="165">
        <f t="shared" si="20"/>
        <v>3.6999340468065598</v>
      </c>
      <c r="G37" s="499"/>
    </row>
    <row r="38" spans="1:7">
      <c r="A38" s="505"/>
      <c r="B38" s="175" t="s">
        <v>284</v>
      </c>
      <c r="C38" s="165">
        <f t="shared" si="19"/>
        <v>40.998089025179972</v>
      </c>
      <c r="D38" s="499"/>
      <c r="E38" s="175" t="s">
        <v>284</v>
      </c>
      <c r="F38" s="165">
        <f t="shared" si="20"/>
        <v>3.7654348003684279</v>
      </c>
      <c r="G38" s="499"/>
    </row>
    <row r="39" spans="1:7">
      <c r="A39" s="505"/>
      <c r="B39" s="175" t="s">
        <v>285</v>
      </c>
      <c r="C39" s="165">
        <f t="shared" si="19"/>
        <v>41.546923635262978</v>
      </c>
      <c r="D39" s="499"/>
      <c r="E39" s="175" t="s">
        <v>285</v>
      </c>
      <c r="F39" s="165">
        <f t="shared" si="20"/>
        <v>3.8267310343588585</v>
      </c>
      <c r="G39" s="499"/>
    </row>
    <row r="40" spans="1:7">
      <c r="A40" s="505"/>
      <c r="B40" s="175" t="s">
        <v>286</v>
      </c>
      <c r="C40" s="165">
        <f t="shared" si="19"/>
        <v>42.083779051845546</v>
      </c>
      <c r="D40" s="499"/>
      <c r="E40" s="175" t="s">
        <v>286</v>
      </c>
      <c r="F40" s="165">
        <f t="shared" si="20"/>
        <v>3.8840926385709498</v>
      </c>
      <c r="G40" s="499"/>
    </row>
    <row r="41" spans="1:7">
      <c r="A41" s="505"/>
      <c r="B41" s="175" t="s">
        <v>287</v>
      </c>
      <c r="C41" s="165">
        <f t="shared" si="19"/>
        <v>42.60891673999253</v>
      </c>
      <c r="D41" s="499"/>
      <c r="E41" s="175" t="s">
        <v>287</v>
      </c>
      <c r="F41" s="165">
        <f t="shared" si="20"/>
        <v>3.9377721784640252</v>
      </c>
      <c r="G41" s="499"/>
    </row>
    <row r="42" spans="1:7">
      <c r="A42" s="505"/>
      <c r="B42" s="175" t="s">
        <v>288</v>
      </c>
      <c r="C42" s="165">
        <f t="shared" si="19"/>
        <v>43.122592457875406</v>
      </c>
      <c r="D42" s="499"/>
      <c r="E42" s="175" t="s">
        <v>288</v>
      </c>
      <c r="F42" s="165">
        <f t="shared" si="20"/>
        <v>3.988006007219548</v>
      </c>
      <c r="G42" s="499"/>
    </row>
    <row r="43" spans="1:7">
      <c r="A43" s="505"/>
      <c r="B43" s="175" t="s">
        <v>289</v>
      </c>
      <c r="C43" s="165">
        <f t="shared" si="19"/>
        <v>43.625056381334339</v>
      </c>
      <c r="D43" s="499"/>
      <c r="E43" s="175" t="s">
        <v>289</v>
      </c>
      <c r="F43" s="165">
        <f t="shared" si="20"/>
        <v>4.0350153064137224</v>
      </c>
      <c r="G43" s="499"/>
    </row>
    <row r="44" spans="1:7">
      <c r="A44" s="505"/>
      <c r="B44" s="175" t="s">
        <v>290</v>
      </c>
      <c r="C44" s="165">
        <f t="shared" si="19"/>
        <v>44.116553225721503</v>
      </c>
      <c r="D44" s="499"/>
      <c r="E44" s="175" t="s">
        <v>290</v>
      </c>
      <c r="F44" s="165">
        <f t="shared" si="20"/>
        <v>4.0790070598889026</v>
      </c>
      <c r="G44" s="499"/>
    </row>
    <row r="45" spans="1:7">
      <c r="A45" s="505">
        <v>2018</v>
      </c>
      <c r="B45" s="175" t="s">
        <v>279</v>
      </c>
      <c r="C45" s="165">
        <f t="shared" si="19"/>
        <v>44.59732236508497</v>
      </c>
      <c r="D45" s="499">
        <f>AVERAGE(C45:C56)</f>
        <v>47.00458221764675</v>
      </c>
      <c r="E45" s="175" t="s">
        <v>279</v>
      </c>
      <c r="F45" s="165">
        <f t="shared" si="20"/>
        <v>4.1201749651118096</v>
      </c>
      <c r="G45" s="499">
        <f>AVERAGE(F45:F56)</f>
        <v>4.2926499217689971</v>
      </c>
    </row>
    <row r="46" spans="1:7">
      <c r="A46" s="505"/>
      <c r="B46" s="176" t="s">
        <v>280</v>
      </c>
      <c r="C46" s="165">
        <f t="shared" si="19"/>
        <v>45.067597948751207</v>
      </c>
      <c r="D46" s="499"/>
      <c r="E46" s="176" t="s">
        <v>280</v>
      </c>
      <c r="F46" s="165">
        <f t="shared" si="20"/>
        <v>4.158700286031296</v>
      </c>
      <c r="G46" s="499"/>
    </row>
    <row r="47" spans="1:7">
      <c r="A47" s="505"/>
      <c r="B47" s="175" t="s">
        <v>281</v>
      </c>
      <c r="C47" s="165">
        <f t="shared" si="19"/>
        <v>45.527609015362991</v>
      </c>
      <c r="D47" s="499"/>
      <c r="E47" s="175" t="s">
        <v>281</v>
      </c>
      <c r="F47" s="165">
        <f t="shared" si="20"/>
        <v>4.1947526511908331</v>
      </c>
      <c r="G47" s="499"/>
    </row>
    <row r="48" spans="1:7">
      <c r="A48" s="505"/>
      <c r="B48" s="175" t="s">
        <v>282</v>
      </c>
      <c r="C48" s="165">
        <f t="shared" si="19"/>
        <v>45.977579604428264</v>
      </c>
      <c r="D48" s="499"/>
      <c r="E48" s="175" t="s">
        <v>282</v>
      </c>
      <c r="F48" s="165">
        <f t="shared" si="20"/>
        <v>4.2284908006098325</v>
      </c>
      <c r="G48" s="499"/>
    </row>
    <row r="49" spans="1:7">
      <c r="A49" s="505"/>
      <c r="B49" s="175" t="s">
        <v>283</v>
      </c>
      <c r="C49" s="165">
        <f t="shared" si="19"/>
        <v>46.417728865434249</v>
      </c>
      <c r="D49" s="499"/>
      <c r="E49" s="175" t="s">
        <v>283</v>
      </c>
      <c r="F49" s="165">
        <f t="shared" si="20"/>
        <v>4.2600632847223672</v>
      </c>
      <c r="G49" s="499"/>
    </row>
    <row r="50" spans="1:7">
      <c r="A50" s="505"/>
      <c r="B50" s="175" t="s">
        <v>284</v>
      </c>
      <c r="C50" s="165">
        <f t="shared" si="19"/>
        <v>46.848271164579963</v>
      </c>
      <c r="D50" s="499"/>
      <c r="E50" s="175" t="s">
        <v>284</v>
      </c>
      <c r="F50" s="165">
        <f t="shared" si="20"/>
        <v>4.2896091184507243</v>
      </c>
      <c r="G50" s="499"/>
    </row>
    <row r="51" spans="1:7">
      <c r="A51" s="505"/>
      <c r="B51" s="175" t="s">
        <v>285</v>
      </c>
      <c r="C51" s="165">
        <f t="shared" si="19"/>
        <v>47.26941618917914</v>
      </c>
      <c r="D51" s="499"/>
      <c r="E51" s="175" t="s">
        <v>285</v>
      </c>
      <c r="F51" s="165">
        <f t="shared" si="20"/>
        <v>4.3172583932937254</v>
      </c>
      <c r="G51" s="499"/>
    </row>
    <row r="52" spans="1:7">
      <c r="A52" s="505"/>
      <c r="B52" s="175" t="s">
        <v>286</v>
      </c>
      <c r="C52" s="165">
        <f t="shared" si="19"/>
        <v>47.681369049784401</v>
      </c>
      <c r="D52" s="499"/>
      <c r="E52" s="175" t="s">
        <v>286</v>
      </c>
      <c r="F52" s="165">
        <f t="shared" si="20"/>
        <v>4.3431328501248441</v>
      </c>
      <c r="G52" s="499"/>
    </row>
    <row r="53" spans="1:7">
      <c r="A53" s="505"/>
      <c r="B53" s="175" t="s">
        <v>287</v>
      </c>
      <c r="C53" s="165">
        <f t="shared" si="19"/>
        <v>48.08433038008237</v>
      </c>
      <c r="D53" s="499"/>
      <c r="E53" s="175" t="s">
        <v>287</v>
      </c>
      <c r="F53" s="165">
        <f t="shared" si="20"/>
        <v>4.3673464152221904</v>
      </c>
      <c r="G53" s="499"/>
    </row>
    <row r="54" spans="1:7">
      <c r="A54" s="505"/>
      <c r="B54" s="175" t="s">
        <v>288</v>
      </c>
      <c r="C54" s="165">
        <f t="shared" si="19"/>
        <v>48.478496434608459</v>
      </c>
      <c r="D54" s="499"/>
      <c r="E54" s="175" t="s">
        <v>288</v>
      </c>
      <c r="F54" s="165">
        <f t="shared" si="20"/>
        <v>4.3900057018905123</v>
      </c>
      <c r="G54" s="499"/>
    </row>
    <row r="55" spans="1:7">
      <c r="A55" s="505"/>
      <c r="B55" s="175" t="s">
        <v>289</v>
      </c>
      <c r="C55" s="165">
        <f t="shared" ref="C55:C80" si="21">$C$18+C54*$C$19</f>
        <v>48.864059184328831</v>
      </c>
      <c r="D55" s="499"/>
      <c r="E55" s="175" t="s">
        <v>289</v>
      </c>
      <c r="F55" s="165">
        <f t="shared" ref="F55:F80" si="22">$F$18+F54*$F$19</f>
        <v>4.4112104798838798</v>
      </c>
      <c r="G55" s="499"/>
    </row>
    <row r="56" spans="1:7">
      <c r="A56" s="505"/>
      <c r="B56" s="175" t="s">
        <v>290</v>
      </c>
      <c r="C56" s="165">
        <f t="shared" si="21"/>
        <v>49.241206410136158</v>
      </c>
      <c r="D56" s="499"/>
      <c r="E56" s="175" t="s">
        <v>290</v>
      </c>
      <c r="F56" s="165">
        <f t="shared" si="22"/>
        <v>4.4310541146959421</v>
      </c>
      <c r="G56" s="499"/>
    </row>
    <row r="57" spans="1:7">
      <c r="A57" s="505">
        <v>2019</v>
      </c>
      <c r="B57" s="175" t="s">
        <v>279</v>
      </c>
      <c r="C57" s="165">
        <f t="shared" si="21"/>
        <v>49.610121794304675</v>
      </c>
      <c r="D57" s="499">
        <f>AVERAGE(C57:C68)</f>
        <v>51.457318547567773</v>
      </c>
      <c r="E57" s="175" t="s">
        <v>279</v>
      </c>
      <c r="F57" s="165">
        <f t="shared" si="22"/>
        <v>4.4496239786519638</v>
      </c>
      <c r="G57" s="499">
        <f>AVERAGE(F57:F68)</f>
        <v>4.5274233338438954</v>
      </c>
    </row>
    <row r="58" spans="1:7">
      <c r="A58" s="505"/>
      <c r="B58" s="176" t="s">
        <v>280</v>
      </c>
      <c r="C58" s="165">
        <f t="shared" si="21"/>
        <v>49.970985009949104</v>
      </c>
      <c r="D58" s="499"/>
      <c r="E58" s="176" t="s">
        <v>280</v>
      </c>
      <c r="F58" s="165">
        <f t="shared" si="22"/>
        <v>4.4670018356127033</v>
      </c>
      <c r="G58" s="499"/>
    </row>
    <row r="59" spans="1:7">
      <c r="A59" s="505"/>
      <c r="B59" s="175" t="s">
        <v>281</v>
      </c>
      <c r="C59" s="165">
        <f t="shared" si="21"/>
        <v>50.323971808530949</v>
      </c>
      <c r="D59" s="499"/>
      <c r="E59" s="175" t="s">
        <v>281</v>
      </c>
      <c r="F59" s="165">
        <f t="shared" si="22"/>
        <v>4.4832642009839896</v>
      </c>
      <c r="G59" s="499"/>
    </row>
    <row r="60" spans="1:7">
      <c r="A60" s="505"/>
      <c r="B60" s="175" t="s">
        <v>282</v>
      </c>
      <c r="C60" s="165">
        <f t="shared" si="21"/>
        <v>50.669254105454861</v>
      </c>
      <c r="D60" s="499"/>
      <c r="E60" s="175" t="s">
        <v>282</v>
      </c>
      <c r="F60" s="165">
        <f t="shared" si="22"/>
        <v>4.4984826786171475</v>
      </c>
      <c r="G60" s="499"/>
    </row>
    <row r="61" spans="1:7">
      <c r="A61" s="505"/>
      <c r="B61" s="175" t="s">
        <v>283</v>
      </c>
      <c r="C61" s="165">
        <f t="shared" si="21"/>
        <v>51.007000063796738</v>
      </c>
      <c r="D61" s="499"/>
      <c r="E61" s="175" t="s">
        <v>283</v>
      </c>
      <c r="F61" s="165">
        <f t="shared" si="22"/>
        <v>4.5127242760836417</v>
      </c>
      <c r="G61" s="499"/>
    </row>
    <row r="62" spans="1:7">
      <c r="A62" s="505"/>
      <c r="B62" s="175" t="s">
        <v>284</v>
      </c>
      <c r="C62" s="165">
        <f t="shared" si="21"/>
        <v>51.337374176204271</v>
      </c>
      <c r="D62" s="499"/>
      <c r="E62" s="175" t="s">
        <v>284</v>
      </c>
      <c r="F62" s="165">
        <f t="shared" si="22"/>
        <v>4.5260516997121227</v>
      </c>
      <c r="G62" s="499"/>
    </row>
    <row r="63" spans="1:7">
      <c r="A63" s="505"/>
      <c r="B63" s="175" t="s">
        <v>285</v>
      </c>
      <c r="C63" s="165">
        <f t="shared" si="21"/>
        <v>51.660537345009928</v>
      </c>
      <c r="D63" s="499"/>
      <c r="E63" s="175" t="s">
        <v>285</v>
      </c>
      <c r="F63" s="165">
        <f t="shared" si="22"/>
        <v>4.5385236306869219</v>
      </c>
      <c r="G63" s="499"/>
    </row>
    <row r="64" spans="1:7">
      <c r="A64" s="505"/>
      <c r="B64" s="175" t="s">
        <v>286</v>
      </c>
      <c r="C64" s="165">
        <f t="shared" si="21"/>
        <v>51.976646960595332</v>
      </c>
      <c r="D64" s="499"/>
      <c r="E64" s="175" t="s">
        <v>286</v>
      </c>
      <c r="F64" s="165">
        <f t="shared" si="22"/>
        <v>4.5501949834236761</v>
      </c>
      <c r="G64" s="499"/>
    </row>
    <row r="65" spans="1:7">
      <c r="A65" s="505"/>
      <c r="B65" s="175" t="s">
        <v>287</v>
      </c>
      <c r="C65" s="165">
        <f t="shared" si="21"/>
        <v>52.285856978045196</v>
      </c>
      <c r="D65" s="499"/>
      <c r="E65" s="175" t="s">
        <v>287</v>
      </c>
      <c r="F65" s="165">
        <f t="shared" si="22"/>
        <v>4.5611171473597167</v>
      </c>
      <c r="G65" s="499"/>
    </row>
    <row r="66" spans="1:7">
      <c r="A66" s="505"/>
      <c r="B66" s="175" t="s">
        <v>288</v>
      </c>
      <c r="C66" s="165">
        <f t="shared" si="21"/>
        <v>52.588317992128189</v>
      </c>
      <c r="D66" s="499"/>
      <c r="E66" s="175" t="s">
        <v>288</v>
      </c>
      <c r="F66" s="165">
        <f t="shared" si="22"/>
        <v>4.5713382132238376</v>
      </c>
      <c r="G66" s="499"/>
    </row>
    <row r="67" spans="1:7">
      <c r="A67" s="505"/>
      <c r="B67" s="175" t="s">
        <v>289</v>
      </c>
      <c r="C67" s="165">
        <f t="shared" si="21"/>
        <v>52.884177310641199</v>
      </c>
      <c r="D67" s="499"/>
      <c r="E67" s="175" t="s">
        <v>289</v>
      </c>
      <c r="F67" s="165">
        <f t="shared" si="22"/>
        <v>4.5809031847817145</v>
      </c>
      <c r="G67" s="499"/>
    </row>
    <row r="68" spans="1:7">
      <c r="A68" s="505"/>
      <c r="B68" s="175" t="s">
        <v>290</v>
      </c>
      <c r="C68" s="165">
        <f t="shared" si="21"/>
        <v>53.173579026152758</v>
      </c>
      <c r="D68" s="499"/>
      <c r="E68" s="175" t="s">
        <v>290</v>
      </c>
      <c r="F68" s="165">
        <f t="shared" si="22"/>
        <v>4.5898541769893022</v>
      </c>
      <c r="G68" s="499"/>
    </row>
    <row r="69" spans="1:7">
      <c r="A69" s="505">
        <v>2020</v>
      </c>
      <c r="B69" s="175" t="s">
        <v>279</v>
      </c>
      <c r="C69" s="165">
        <f t="shared" si="21"/>
        <v>53.456664086180531</v>
      </c>
      <c r="D69" s="499">
        <f>AVERAGE(C69:C80)</f>
        <v>54.87409969938804</v>
      </c>
      <c r="E69" s="175" t="s">
        <v>279</v>
      </c>
      <c r="F69" s="165">
        <f t="shared" si="22"/>
        <v>4.598230601426688</v>
      </c>
      <c r="G69" s="499">
        <f>AVERAGE(F69:F80)</f>
        <v>4.6333240421533368</v>
      </c>
    </row>
    <row r="70" spans="1:7">
      <c r="A70" s="505"/>
      <c r="B70" s="176" t="s">
        <v>280</v>
      </c>
      <c r="C70" s="165">
        <f t="shared" si="21"/>
        <v>53.733570361837103</v>
      </c>
      <c r="D70" s="499"/>
      <c r="E70" s="176" t="s">
        <v>280</v>
      </c>
      <c r="F70" s="165">
        <f t="shared" si="22"/>
        <v>4.6060693398288688</v>
      </c>
      <c r="G70" s="499"/>
    </row>
    <row r="71" spans="1:7">
      <c r="A71" s="505"/>
      <c r="B71" s="175" t="s">
        <v>281</v>
      </c>
      <c r="C71" s="165">
        <f t="shared" si="21"/>
        <v>54.004432714977426</v>
      </c>
      <c r="D71" s="499"/>
      <c r="E71" s="175" t="s">
        <v>281</v>
      </c>
      <c r="F71" s="165">
        <f t="shared" si="22"/>
        <v>4.613404906477518</v>
      </c>
      <c r="G71" s="499"/>
    </row>
    <row r="72" spans="1:7">
      <c r="A72" s="505"/>
      <c r="B72" s="175" t="s">
        <v>282</v>
      </c>
      <c r="C72" s="165">
        <f t="shared" si="21"/>
        <v>54.269383063880696</v>
      </c>
      <c r="D72" s="499"/>
      <c r="E72" s="175" t="s">
        <v>282</v>
      </c>
      <c r="F72" s="165">
        <f t="shared" si="22"/>
        <v>4.620269600168764</v>
      </c>
      <c r="G72" s="499"/>
    </row>
    <row r="73" spans="1:7">
      <c r="A73" s="505"/>
      <c r="B73" s="175" t="s">
        <v>283</v>
      </c>
      <c r="C73" s="165">
        <f t="shared" si="21"/>
        <v>54.528550447498596</v>
      </c>
      <c r="D73" s="499"/>
      <c r="E73" s="175" t="s">
        <v>283</v>
      </c>
      <c r="F73" s="165">
        <f t="shared" si="22"/>
        <v>4.6266936464260908</v>
      </c>
      <c r="G73" s="499"/>
    </row>
    <row r="74" spans="1:7">
      <c r="A74" s="505"/>
      <c r="B74" s="175" t="s">
        <v>284</v>
      </c>
      <c r="C74" s="165">
        <f t="shared" si="21"/>
        <v>54.782061088301219</v>
      </c>
      <c r="D74" s="499"/>
      <c r="E74" s="175" t="s">
        <v>284</v>
      </c>
      <c r="F74" s="165">
        <f t="shared" si="22"/>
        <v>4.6327053305845416</v>
      </c>
      <c r="G74" s="499"/>
    </row>
    <row r="75" spans="1:7">
      <c r="A75" s="505"/>
      <c r="B75" s="175" t="s">
        <v>285</v>
      </c>
      <c r="C75" s="165">
        <f t="shared" si="21"/>
        <v>55.030038453751303</v>
      </c>
      <c r="D75" s="499"/>
      <c r="E75" s="175" t="s">
        <v>285</v>
      </c>
      <c r="F75" s="165">
        <f t="shared" si="22"/>
        <v>4.6383311223321879</v>
      </c>
      <c r="G75" s="499"/>
    </row>
    <row r="76" spans="1:7">
      <c r="A76" s="505"/>
      <c r="B76" s="175" t="s">
        <v>286</v>
      </c>
      <c r="C76" s="165">
        <f t="shared" si="21"/>
        <v>55.272603316436651</v>
      </c>
      <c r="D76" s="499"/>
      <c r="E76" s="175" t="s">
        <v>286</v>
      </c>
      <c r="F76" s="165">
        <f t="shared" si="22"/>
        <v>4.6435957922572362</v>
      </c>
      <c r="G76" s="499"/>
    </row>
    <row r="77" spans="1:7">
      <c r="A77" s="505"/>
      <c r="B77" s="175" t="s">
        <v>287</v>
      </c>
      <c r="C77" s="165">
        <f t="shared" si="21"/>
        <v>55.509873812890113</v>
      </c>
      <c r="D77" s="499"/>
      <c r="E77" s="175" t="s">
        <v>287</v>
      </c>
      <c r="F77" s="165">
        <f t="shared" si="22"/>
        <v>4.6485225209139278</v>
      </c>
      <c r="G77" s="499"/>
    </row>
    <row r="78" spans="1:7">
      <c r="A78" s="505"/>
      <c r="B78" s="175" t="s">
        <v>288</v>
      </c>
      <c r="C78" s="165">
        <f t="shared" si="21"/>
        <v>55.741965501125684</v>
      </c>
      <c r="D78" s="499"/>
      <c r="E78" s="175" t="s">
        <v>288</v>
      </c>
      <c r="F78" s="165">
        <f t="shared" si="22"/>
        <v>4.653133000887455</v>
      </c>
      <c r="G78" s="499"/>
    </row>
    <row r="79" spans="1:7">
      <c r="A79" s="505"/>
      <c r="B79" s="175" t="s">
        <v>289</v>
      </c>
      <c r="C79" s="165">
        <f t="shared" si="21"/>
        <v>55.968991416918811</v>
      </c>
      <c r="D79" s="499"/>
      <c r="E79" s="175" t="s">
        <v>289</v>
      </c>
      <c r="F79" s="165">
        <f t="shared" si="22"/>
        <v>4.6574475323072893</v>
      </c>
      <c r="G79" s="499"/>
    </row>
    <row r="80" spans="1:7" ht="17" thickBot="1">
      <c r="A80" s="512"/>
      <c r="B80" s="177" t="s">
        <v>290</v>
      </c>
      <c r="C80" s="178">
        <f t="shared" si="21"/>
        <v>56.191062128858292</v>
      </c>
      <c r="D80" s="506"/>
      <c r="E80" s="177" t="s">
        <v>290</v>
      </c>
      <c r="F80" s="178">
        <f t="shared" si="22"/>
        <v>4.6614851122294718</v>
      </c>
      <c r="G80" s="506"/>
    </row>
  </sheetData>
  <mergeCells count="33">
    <mergeCell ref="G69:G80"/>
    <mergeCell ref="A17:A19"/>
    <mergeCell ref="B20:C20"/>
    <mergeCell ref="E20:F20"/>
    <mergeCell ref="G21:G32"/>
    <mergeCell ref="G33:G44"/>
    <mergeCell ref="D45:D56"/>
    <mergeCell ref="A45:A56"/>
    <mergeCell ref="D57:D68"/>
    <mergeCell ref="A57:A68"/>
    <mergeCell ref="D69:D80"/>
    <mergeCell ref="A69:A80"/>
    <mergeCell ref="B17:D17"/>
    <mergeCell ref="E17:G17"/>
    <mergeCell ref="G45:G56"/>
    <mergeCell ref="G57:G68"/>
    <mergeCell ref="A1:A2"/>
    <mergeCell ref="C1:C2"/>
    <mergeCell ref="A21:A32"/>
    <mergeCell ref="A33:A44"/>
    <mergeCell ref="D1:D2"/>
    <mergeCell ref="D18:D20"/>
    <mergeCell ref="B1:B2"/>
    <mergeCell ref="Q1:S1"/>
    <mergeCell ref="G1:G2"/>
    <mergeCell ref="D21:D32"/>
    <mergeCell ref="D33:D44"/>
    <mergeCell ref="H1:J1"/>
    <mergeCell ref="K1:M1"/>
    <mergeCell ref="N1:P1"/>
    <mergeCell ref="G18:G20"/>
    <mergeCell ref="F1:F2"/>
    <mergeCell ref="E1:E2"/>
  </mergeCells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7"/>
  <dimension ref="A1:I183"/>
  <sheetViews>
    <sheetView topLeftCell="G13" workbookViewId="0">
      <selection activeCell="C4" sqref="C4"/>
    </sheetView>
  </sheetViews>
  <sheetFormatPr baseColWidth="10" defaultColWidth="10.83203125" defaultRowHeight="16"/>
  <cols>
    <col min="1" max="1" width="10.83203125" style="19"/>
    <col min="2" max="2" width="12.33203125" style="19" bestFit="1" customWidth="1"/>
    <col min="3" max="4" width="10.83203125" style="19"/>
    <col min="5" max="5" width="19" style="19" bestFit="1" customWidth="1"/>
    <col min="6" max="16384" width="10.83203125" style="19"/>
  </cols>
  <sheetData>
    <row r="1" spans="1:9">
      <c r="A1" s="516" t="s">
        <v>257</v>
      </c>
      <c r="B1" s="517"/>
      <c r="C1" s="518"/>
      <c r="D1" s="516" t="s">
        <v>254</v>
      </c>
      <c r="E1" s="517"/>
      <c r="F1" s="518"/>
      <c r="G1" s="516" t="s">
        <v>258</v>
      </c>
      <c r="H1" s="517"/>
      <c r="I1" s="518"/>
    </row>
    <row r="2" spans="1:9">
      <c r="A2" s="244" t="s">
        <v>255</v>
      </c>
      <c r="B2" s="244" t="s">
        <v>257</v>
      </c>
      <c r="C2" s="244" t="s">
        <v>256</v>
      </c>
      <c r="D2" s="244" t="s">
        <v>255</v>
      </c>
      <c r="E2" s="244" t="s">
        <v>254</v>
      </c>
      <c r="F2" s="244" t="s">
        <v>256</v>
      </c>
      <c r="G2" s="244" t="s">
        <v>255</v>
      </c>
      <c r="H2" s="244" t="s">
        <v>258</v>
      </c>
      <c r="I2" s="244" t="s">
        <v>256</v>
      </c>
    </row>
    <row r="3" spans="1:9">
      <c r="A3" s="245">
        <v>36923</v>
      </c>
      <c r="B3" s="246">
        <v>29.57</v>
      </c>
      <c r="C3" s="247" t="s">
        <v>2</v>
      </c>
      <c r="D3" s="245">
        <v>36923</v>
      </c>
      <c r="E3" s="246">
        <v>27.41</v>
      </c>
      <c r="F3" s="114" t="s">
        <v>2</v>
      </c>
      <c r="G3" s="245">
        <v>36923</v>
      </c>
      <c r="H3" s="246">
        <v>5.55</v>
      </c>
      <c r="I3" s="28" t="s">
        <v>2</v>
      </c>
    </row>
    <row r="4" spans="1:9">
      <c r="A4" s="248">
        <v>36951</v>
      </c>
      <c r="B4" s="249">
        <v>27.24</v>
      </c>
      <c r="C4" s="250">
        <f>B4/B3-1</f>
        <v>-7.8796077105174223E-2</v>
      </c>
      <c r="D4" s="248">
        <v>36951</v>
      </c>
      <c r="E4" s="249">
        <v>24.4</v>
      </c>
      <c r="F4" s="251">
        <f>E4/E3-1</f>
        <v>-0.10981393651951843</v>
      </c>
      <c r="G4" s="248">
        <v>36951</v>
      </c>
      <c r="H4" s="249">
        <v>5.18</v>
      </c>
      <c r="I4" s="251">
        <f>H4/H3-1</f>
        <v>-6.6666666666666652E-2</v>
      </c>
    </row>
    <row r="5" spans="1:9">
      <c r="A5" s="248">
        <v>36982</v>
      </c>
      <c r="B5" s="249">
        <v>27.37</v>
      </c>
      <c r="C5" s="250">
        <f>B5/B4-1</f>
        <v>4.7723935389134553E-3</v>
      </c>
      <c r="D5" s="248">
        <v>36982</v>
      </c>
      <c r="E5" s="249">
        <v>25.55</v>
      </c>
      <c r="F5" s="251">
        <f t="shared" ref="F5:F68" si="0">E5/E4-1</f>
        <v>4.7131147540983687E-2</v>
      </c>
      <c r="G5" s="248">
        <v>36982</v>
      </c>
      <c r="H5" s="249">
        <v>5.18</v>
      </c>
      <c r="I5" s="251">
        <f t="shared" ref="I5:I68" si="1">H5/H4-1</f>
        <v>0</v>
      </c>
    </row>
    <row r="6" spans="1:9">
      <c r="A6" s="248">
        <v>37012</v>
      </c>
      <c r="B6" s="249">
        <v>28.61</v>
      </c>
      <c r="C6" s="250">
        <f t="shared" ref="C6:C69" si="2">B6/B5-1</f>
        <v>4.5305078553160349E-2</v>
      </c>
      <c r="D6" s="248">
        <v>37012</v>
      </c>
      <c r="E6" s="249">
        <v>28.45</v>
      </c>
      <c r="F6" s="251">
        <f t="shared" si="0"/>
        <v>0.11350293542074352</v>
      </c>
      <c r="G6" s="248">
        <v>37012</v>
      </c>
      <c r="H6" s="249">
        <v>4.2</v>
      </c>
      <c r="I6" s="251">
        <f t="shared" si="1"/>
        <v>-0.18918918918918914</v>
      </c>
    </row>
    <row r="7" spans="1:9">
      <c r="A7" s="248">
        <v>37043</v>
      </c>
      <c r="B7" s="249">
        <v>27.56</v>
      </c>
      <c r="C7" s="250">
        <f t="shared" si="2"/>
        <v>-3.6700454386578096E-2</v>
      </c>
      <c r="D7" s="248">
        <v>37043</v>
      </c>
      <c r="E7" s="249">
        <v>27.72</v>
      </c>
      <c r="F7" s="251">
        <f t="shared" si="0"/>
        <v>-2.5659050966608143E-2</v>
      </c>
      <c r="G7" s="248">
        <v>37043</v>
      </c>
      <c r="H7" s="249">
        <v>3.73</v>
      </c>
      <c r="I7" s="251">
        <f t="shared" si="1"/>
        <v>-0.11190476190476195</v>
      </c>
    </row>
    <row r="8" spans="1:9">
      <c r="A8" s="248">
        <v>37073</v>
      </c>
      <c r="B8" s="249">
        <v>26.44</v>
      </c>
      <c r="C8" s="250">
        <f t="shared" si="2"/>
        <v>-4.0638606676342448E-2</v>
      </c>
      <c r="D8" s="248">
        <v>37073</v>
      </c>
      <c r="E8" s="249">
        <v>24.54</v>
      </c>
      <c r="F8" s="251">
        <f t="shared" si="0"/>
        <v>-0.11471861471861466</v>
      </c>
      <c r="G8" s="248">
        <v>37073</v>
      </c>
      <c r="H8" s="249">
        <v>3.11</v>
      </c>
      <c r="I8" s="251">
        <f t="shared" si="1"/>
        <v>-0.16621983914209115</v>
      </c>
    </row>
    <row r="9" spans="1:9">
      <c r="A9" s="248">
        <v>37104</v>
      </c>
      <c r="B9" s="249">
        <v>27.45</v>
      </c>
      <c r="C9" s="250">
        <f t="shared" si="2"/>
        <v>3.8199697428139112E-2</v>
      </c>
      <c r="D9" s="248">
        <v>37104</v>
      </c>
      <c r="E9" s="249">
        <v>25.67</v>
      </c>
      <c r="F9" s="251">
        <f t="shared" si="0"/>
        <v>4.6047269763651366E-2</v>
      </c>
      <c r="G9" s="248">
        <v>37104</v>
      </c>
      <c r="H9" s="249">
        <v>2.95</v>
      </c>
      <c r="I9" s="251">
        <f t="shared" si="1"/>
        <v>-5.1446945337620509E-2</v>
      </c>
    </row>
    <row r="10" spans="1:9">
      <c r="A10" s="248">
        <v>37135</v>
      </c>
      <c r="B10" s="249">
        <v>25.59</v>
      </c>
      <c r="C10" s="250">
        <f t="shared" si="2"/>
        <v>-6.7759562841530063E-2</v>
      </c>
      <c r="D10" s="248">
        <v>37135</v>
      </c>
      <c r="E10" s="249">
        <v>25.54</v>
      </c>
      <c r="F10" s="251">
        <f t="shared" si="0"/>
        <v>-5.0642773665758867E-3</v>
      </c>
      <c r="G10" s="248">
        <v>37135</v>
      </c>
      <c r="H10" s="249">
        <v>2.19</v>
      </c>
      <c r="I10" s="251">
        <f t="shared" si="1"/>
        <v>-0.25762711864406784</v>
      </c>
    </row>
    <row r="11" spans="1:9">
      <c r="A11" s="248">
        <v>37165</v>
      </c>
      <c r="B11" s="249">
        <v>22.18</v>
      </c>
      <c r="C11" s="250">
        <f t="shared" si="2"/>
        <v>-0.13325517780382967</v>
      </c>
      <c r="D11" s="248">
        <v>37165</v>
      </c>
      <c r="E11" s="249">
        <v>20.48</v>
      </c>
      <c r="F11" s="251">
        <f t="shared" si="0"/>
        <v>-0.19812059514487079</v>
      </c>
      <c r="G11" s="248">
        <v>37165</v>
      </c>
      <c r="H11" s="249">
        <v>2.4700000000000002</v>
      </c>
      <c r="I11" s="251">
        <f t="shared" si="1"/>
        <v>0.12785388127853903</v>
      </c>
    </row>
    <row r="12" spans="1:9">
      <c r="A12" s="248">
        <v>37196</v>
      </c>
      <c r="B12" s="249">
        <v>19.59</v>
      </c>
      <c r="C12" s="250">
        <f t="shared" si="2"/>
        <v>-0.11677186654643823</v>
      </c>
      <c r="D12" s="248">
        <v>37196</v>
      </c>
      <c r="E12" s="249">
        <v>18.940000000000001</v>
      </c>
      <c r="F12" s="251">
        <f t="shared" si="0"/>
        <v>-7.51953125E-2</v>
      </c>
      <c r="G12" s="248">
        <v>37196</v>
      </c>
      <c r="H12" s="249">
        <v>2.36</v>
      </c>
      <c r="I12" s="251">
        <f t="shared" si="1"/>
        <v>-4.4534412955465674E-2</v>
      </c>
    </row>
    <row r="13" spans="1:9">
      <c r="A13" s="248">
        <v>37226</v>
      </c>
      <c r="B13" s="249">
        <v>19.309999999999999</v>
      </c>
      <c r="C13" s="250">
        <f t="shared" si="2"/>
        <v>-1.429300663603883E-2</v>
      </c>
      <c r="D13" s="248">
        <v>37226</v>
      </c>
      <c r="E13" s="249">
        <v>18.600000000000001</v>
      </c>
      <c r="F13" s="251">
        <f t="shared" si="0"/>
        <v>-1.7951425554382228E-2</v>
      </c>
      <c r="G13" s="248">
        <v>37226</v>
      </c>
      <c r="H13" s="249">
        <v>2.42</v>
      </c>
      <c r="I13" s="251">
        <f t="shared" si="1"/>
        <v>2.5423728813559254E-2</v>
      </c>
    </row>
    <row r="14" spans="1:9">
      <c r="A14" s="248">
        <v>37257</v>
      </c>
      <c r="B14" s="249">
        <v>19.690000000000001</v>
      </c>
      <c r="C14" s="250">
        <f t="shared" si="2"/>
        <v>1.9678922837907953E-2</v>
      </c>
      <c r="D14" s="248">
        <v>37257</v>
      </c>
      <c r="E14" s="249">
        <v>19.48</v>
      </c>
      <c r="F14" s="251">
        <f t="shared" si="0"/>
        <v>4.7311827956989294E-2</v>
      </c>
      <c r="G14" s="248">
        <v>37257</v>
      </c>
      <c r="H14" s="249">
        <v>2.2599999999999998</v>
      </c>
      <c r="I14" s="251">
        <f t="shared" si="1"/>
        <v>-6.6115702479338956E-2</v>
      </c>
    </row>
    <row r="15" spans="1:9">
      <c r="A15" s="248">
        <v>37288</v>
      </c>
      <c r="B15" s="249">
        <v>20.72</v>
      </c>
      <c r="C15" s="250">
        <f t="shared" si="2"/>
        <v>5.2310817673945964E-2</v>
      </c>
      <c r="D15" s="248">
        <v>37288</v>
      </c>
      <c r="E15" s="249">
        <v>20.29</v>
      </c>
      <c r="F15" s="251">
        <f t="shared" si="0"/>
        <v>4.158110882956878E-2</v>
      </c>
      <c r="G15" s="248">
        <v>37288</v>
      </c>
      <c r="H15" s="249">
        <v>2.31</v>
      </c>
      <c r="I15" s="251">
        <f t="shared" si="1"/>
        <v>2.212389380530988E-2</v>
      </c>
    </row>
    <row r="16" spans="1:9">
      <c r="A16" s="248">
        <v>37316</v>
      </c>
      <c r="B16" s="249">
        <v>24.38</v>
      </c>
      <c r="C16" s="250">
        <f t="shared" si="2"/>
        <v>0.17664092664092657</v>
      </c>
      <c r="D16" s="248">
        <v>37316</v>
      </c>
      <c r="E16" s="249">
        <v>23.69</v>
      </c>
      <c r="F16" s="251">
        <f t="shared" si="0"/>
        <v>0.16757023164120266</v>
      </c>
      <c r="G16" s="248">
        <v>37316</v>
      </c>
      <c r="H16" s="249">
        <v>3.03</v>
      </c>
      <c r="I16" s="251">
        <f t="shared" si="1"/>
        <v>0.31168831168831157</v>
      </c>
    </row>
    <row r="17" spans="1:9">
      <c r="A17" s="248">
        <v>37347</v>
      </c>
      <c r="B17" s="249">
        <v>26.24</v>
      </c>
      <c r="C17" s="250">
        <f t="shared" si="2"/>
        <v>7.6292042657916337E-2</v>
      </c>
      <c r="D17" s="248">
        <v>37347</v>
      </c>
      <c r="E17" s="249">
        <v>25.65</v>
      </c>
      <c r="F17" s="251">
        <f t="shared" si="0"/>
        <v>8.2735331363444464E-2</v>
      </c>
      <c r="G17" s="248">
        <v>37347</v>
      </c>
      <c r="H17" s="249">
        <v>3.43</v>
      </c>
      <c r="I17" s="251">
        <f t="shared" si="1"/>
        <v>0.13201320132013206</v>
      </c>
    </row>
    <row r="18" spans="1:9">
      <c r="A18" s="248">
        <v>37377</v>
      </c>
      <c r="B18" s="249">
        <v>27.04</v>
      </c>
      <c r="C18" s="250">
        <f t="shared" si="2"/>
        <v>3.0487804878048808E-2</v>
      </c>
      <c r="D18" s="248">
        <v>37377</v>
      </c>
      <c r="E18" s="249">
        <v>25.43</v>
      </c>
      <c r="F18" s="251">
        <f t="shared" si="0"/>
        <v>-8.5769980506822385E-3</v>
      </c>
      <c r="G18" s="248">
        <v>37377</v>
      </c>
      <c r="H18" s="249">
        <v>3.5</v>
      </c>
      <c r="I18" s="251">
        <f t="shared" si="1"/>
        <v>2.0408163265306145E-2</v>
      </c>
    </row>
    <row r="19" spans="1:9">
      <c r="A19" s="248">
        <v>37408</v>
      </c>
      <c r="B19" s="249">
        <v>25.51</v>
      </c>
      <c r="C19" s="250">
        <f t="shared" si="2"/>
        <v>-5.6582840236686249E-2</v>
      </c>
      <c r="D19" s="248">
        <v>37408</v>
      </c>
      <c r="E19" s="249">
        <v>24.13</v>
      </c>
      <c r="F19" s="251">
        <f t="shared" si="0"/>
        <v>-5.1120723554856529E-2</v>
      </c>
      <c r="G19" s="248">
        <v>37408</v>
      </c>
      <c r="H19" s="249">
        <v>3.23</v>
      </c>
      <c r="I19" s="251">
        <f t="shared" si="1"/>
        <v>-7.714285714285718E-2</v>
      </c>
    </row>
    <row r="20" spans="1:9">
      <c r="A20" s="248">
        <v>37438</v>
      </c>
      <c r="B20" s="249">
        <v>26.92</v>
      </c>
      <c r="C20" s="250">
        <f t="shared" si="2"/>
        <v>5.5272442179537418E-2</v>
      </c>
      <c r="D20" s="248">
        <v>37438</v>
      </c>
      <c r="E20" s="249">
        <v>25.77</v>
      </c>
      <c r="F20" s="251">
        <f t="shared" si="0"/>
        <v>6.7965188561956102E-2</v>
      </c>
      <c r="G20" s="248">
        <v>37438</v>
      </c>
      <c r="H20" s="249">
        <v>2.99</v>
      </c>
      <c r="I20" s="251">
        <f t="shared" si="1"/>
        <v>-7.4303405572755388E-2</v>
      </c>
    </row>
    <row r="21" spans="1:9">
      <c r="A21" s="248">
        <v>37469</v>
      </c>
      <c r="B21" s="249">
        <v>28.37</v>
      </c>
      <c r="C21" s="250">
        <f t="shared" si="2"/>
        <v>5.386329866270434E-2</v>
      </c>
      <c r="D21" s="248">
        <v>37469</v>
      </c>
      <c r="E21" s="249">
        <v>26.63</v>
      </c>
      <c r="F21" s="251">
        <f t="shared" si="0"/>
        <v>3.3372138145129959E-2</v>
      </c>
      <c r="G21" s="248">
        <v>37469</v>
      </c>
      <c r="H21" s="249">
        <v>3.09</v>
      </c>
      <c r="I21" s="251">
        <f t="shared" si="1"/>
        <v>3.3444816053511683E-2</v>
      </c>
    </row>
    <row r="22" spans="1:9">
      <c r="A22" s="248">
        <v>37500</v>
      </c>
      <c r="B22" s="249">
        <v>29.67</v>
      </c>
      <c r="C22" s="250">
        <f t="shared" si="2"/>
        <v>4.582305252026786E-2</v>
      </c>
      <c r="D22" s="248">
        <v>37500</v>
      </c>
      <c r="E22" s="249">
        <v>28.34</v>
      </c>
      <c r="F22" s="251">
        <f t="shared" si="0"/>
        <v>6.4213293278257533E-2</v>
      </c>
      <c r="G22" s="248">
        <v>37500</v>
      </c>
      <c r="H22" s="249">
        <v>3.55</v>
      </c>
      <c r="I22" s="251">
        <f t="shared" si="1"/>
        <v>0.14886731391585761</v>
      </c>
    </row>
    <row r="23" spans="1:9">
      <c r="A23" s="248">
        <v>37530</v>
      </c>
      <c r="B23" s="249">
        <v>28.85</v>
      </c>
      <c r="C23" s="250">
        <f t="shared" si="2"/>
        <v>-2.7637344118638385E-2</v>
      </c>
      <c r="D23" s="248">
        <v>37530</v>
      </c>
      <c r="E23" s="249">
        <v>27.55</v>
      </c>
      <c r="F23" s="251">
        <f t="shared" si="0"/>
        <v>-2.7875793930839721E-2</v>
      </c>
      <c r="G23" s="248">
        <v>37530</v>
      </c>
      <c r="H23" s="249">
        <v>4.13</v>
      </c>
      <c r="I23" s="251">
        <f t="shared" si="1"/>
        <v>0.16338028169014085</v>
      </c>
    </row>
    <row r="24" spans="1:9">
      <c r="A24" s="248">
        <v>37561</v>
      </c>
      <c r="B24" s="249">
        <v>26.56</v>
      </c>
      <c r="C24" s="250">
        <f t="shared" si="2"/>
        <v>-7.9376083188908209E-2</v>
      </c>
      <c r="D24" s="248">
        <v>37561</v>
      </c>
      <c r="E24" s="249">
        <v>24.5</v>
      </c>
      <c r="F24" s="251">
        <f t="shared" si="0"/>
        <v>-0.11070780399274049</v>
      </c>
      <c r="G24" s="248">
        <v>37561</v>
      </c>
      <c r="H24" s="249">
        <v>4.0599999999999996</v>
      </c>
      <c r="I24" s="251">
        <f t="shared" si="1"/>
        <v>-1.6949152542372947E-2</v>
      </c>
    </row>
    <row r="25" spans="1:9">
      <c r="A25" s="248">
        <v>37591</v>
      </c>
      <c r="B25" s="249">
        <v>29.44</v>
      </c>
      <c r="C25" s="250">
        <f t="shared" si="2"/>
        <v>0.10843373493975905</v>
      </c>
      <c r="D25" s="248">
        <v>37591</v>
      </c>
      <c r="E25" s="249">
        <v>28.52</v>
      </c>
      <c r="F25" s="251">
        <f t="shared" si="0"/>
        <v>0.16408163265306119</v>
      </c>
      <c r="G25" s="248">
        <v>37591</v>
      </c>
      <c r="H25" s="249">
        <v>4.75</v>
      </c>
      <c r="I25" s="251">
        <f t="shared" si="1"/>
        <v>0.16995073891625623</v>
      </c>
    </row>
    <row r="26" spans="1:9">
      <c r="A26" s="248">
        <v>37622</v>
      </c>
      <c r="B26" s="249">
        <v>32.950000000000003</v>
      </c>
      <c r="C26" s="250">
        <f t="shared" si="2"/>
        <v>0.11922554347826098</v>
      </c>
      <c r="D26" s="248">
        <v>37622</v>
      </c>
      <c r="E26" s="249">
        <v>31.29</v>
      </c>
      <c r="F26" s="251">
        <f t="shared" si="0"/>
        <v>9.7124824684432065E-2</v>
      </c>
      <c r="G26" s="248">
        <v>37622</v>
      </c>
      <c r="H26" s="249">
        <v>5.45</v>
      </c>
      <c r="I26" s="251">
        <f t="shared" si="1"/>
        <v>0.14736842105263159</v>
      </c>
    </row>
    <row r="27" spans="1:9">
      <c r="A27" s="248">
        <v>37653</v>
      </c>
      <c r="B27" s="249">
        <v>35.799999999999997</v>
      </c>
      <c r="C27" s="250">
        <f t="shared" si="2"/>
        <v>8.6494688922609919E-2</v>
      </c>
      <c r="D27" s="248">
        <v>37653</v>
      </c>
      <c r="E27" s="249">
        <v>32.65</v>
      </c>
      <c r="F27" s="251">
        <f t="shared" si="0"/>
        <v>4.3464365612016609E-2</v>
      </c>
      <c r="G27" s="248">
        <v>37653</v>
      </c>
      <c r="H27" s="249">
        <v>7.7</v>
      </c>
      <c r="I27" s="251">
        <f t="shared" si="1"/>
        <v>0.41284403669724767</v>
      </c>
    </row>
    <row r="28" spans="1:9">
      <c r="A28" s="248">
        <v>37681</v>
      </c>
      <c r="B28" s="249">
        <v>33.32</v>
      </c>
      <c r="C28" s="250">
        <f t="shared" si="2"/>
        <v>-6.9273743016759703E-2</v>
      </c>
      <c r="D28" s="248">
        <v>37681</v>
      </c>
      <c r="E28" s="249">
        <v>30.34</v>
      </c>
      <c r="F28" s="251">
        <f t="shared" si="0"/>
        <v>-7.0750382848391968E-2</v>
      </c>
      <c r="G28" s="248">
        <v>37681</v>
      </c>
      <c r="H28" s="249">
        <v>5.94</v>
      </c>
      <c r="I28" s="251">
        <f t="shared" si="1"/>
        <v>-0.22857142857142854</v>
      </c>
    </row>
    <row r="29" spans="1:9">
      <c r="A29" s="248">
        <v>37712</v>
      </c>
      <c r="B29" s="249">
        <v>28.09</v>
      </c>
      <c r="C29" s="250">
        <f t="shared" si="2"/>
        <v>-0.1569627851140456</v>
      </c>
      <c r="D29" s="248">
        <v>37712</v>
      </c>
      <c r="E29" s="249">
        <v>25.02</v>
      </c>
      <c r="F29" s="251">
        <f t="shared" si="0"/>
        <v>-0.17534607778510214</v>
      </c>
      <c r="G29" s="248">
        <v>37712</v>
      </c>
      <c r="H29" s="249">
        <v>5.28</v>
      </c>
      <c r="I29" s="251">
        <f t="shared" si="1"/>
        <v>-0.11111111111111116</v>
      </c>
    </row>
    <row r="30" spans="1:9">
      <c r="A30" s="248">
        <v>37742</v>
      </c>
      <c r="B30" s="249">
        <v>28.13</v>
      </c>
      <c r="C30" s="250">
        <f t="shared" si="2"/>
        <v>1.4239943040228464E-3</v>
      </c>
      <c r="D30" s="248">
        <v>37742</v>
      </c>
      <c r="E30" s="249">
        <v>25.81</v>
      </c>
      <c r="F30" s="251">
        <f t="shared" si="0"/>
        <v>3.1574740207833685E-2</v>
      </c>
      <c r="G30" s="248">
        <v>37742</v>
      </c>
      <c r="H30" s="249">
        <v>5.81</v>
      </c>
      <c r="I30" s="251">
        <f t="shared" si="1"/>
        <v>0.10037878787878785</v>
      </c>
    </row>
    <row r="31" spans="1:9">
      <c r="A31" s="248">
        <v>37773</v>
      </c>
      <c r="B31" s="249">
        <v>30.71</v>
      </c>
      <c r="C31" s="250">
        <f t="shared" si="2"/>
        <v>9.1717028083896368E-2</v>
      </c>
      <c r="D31" s="248">
        <v>37773</v>
      </c>
      <c r="E31" s="249">
        <v>27.55</v>
      </c>
      <c r="F31" s="251">
        <f t="shared" si="0"/>
        <v>6.7415730337078816E-2</v>
      </c>
      <c r="G31" s="248">
        <v>37773</v>
      </c>
      <c r="H31" s="249">
        <v>5.85</v>
      </c>
      <c r="I31" s="251">
        <f t="shared" si="1"/>
        <v>6.8846815834768815E-3</v>
      </c>
    </row>
    <row r="32" spans="1:9">
      <c r="A32" s="248">
        <v>37803</v>
      </c>
      <c r="B32" s="249">
        <v>30.75</v>
      </c>
      <c r="C32" s="250">
        <f t="shared" si="2"/>
        <v>1.3025073266037523E-3</v>
      </c>
      <c r="D32" s="248">
        <v>37803</v>
      </c>
      <c r="E32" s="249">
        <v>28.4</v>
      </c>
      <c r="F32" s="251">
        <f t="shared" si="0"/>
        <v>3.085299455535373E-2</v>
      </c>
      <c r="G32" s="248">
        <v>37803</v>
      </c>
      <c r="H32" s="249">
        <v>5.03</v>
      </c>
      <c r="I32" s="251">
        <f t="shared" si="1"/>
        <v>-0.14017094017094012</v>
      </c>
    </row>
    <row r="33" spans="1:9">
      <c r="A33" s="248">
        <v>37834</v>
      </c>
      <c r="B33" s="249">
        <v>31.58</v>
      </c>
      <c r="C33" s="250">
        <f t="shared" si="2"/>
        <v>2.6991869918699063E-2</v>
      </c>
      <c r="D33" s="248">
        <v>37834</v>
      </c>
      <c r="E33" s="249">
        <v>29.83</v>
      </c>
      <c r="F33" s="251">
        <f t="shared" si="0"/>
        <v>5.0352112676056437E-2</v>
      </c>
      <c r="G33" s="248">
        <v>37834</v>
      </c>
      <c r="H33" s="249">
        <v>4.99</v>
      </c>
      <c r="I33" s="251">
        <f t="shared" si="1"/>
        <v>-7.9522862823061535E-3</v>
      </c>
    </row>
    <row r="34" spans="1:9">
      <c r="A34" s="248">
        <v>37865</v>
      </c>
      <c r="B34" s="249">
        <v>28.28</v>
      </c>
      <c r="C34" s="250">
        <f t="shared" si="2"/>
        <v>-0.10449651678277383</v>
      </c>
      <c r="D34" s="248">
        <v>37865</v>
      </c>
      <c r="E34" s="249">
        <v>27.1</v>
      </c>
      <c r="F34" s="251">
        <f t="shared" si="0"/>
        <v>-9.151860543077428E-2</v>
      </c>
      <c r="G34" s="248">
        <v>37865</v>
      </c>
      <c r="H34" s="249">
        <v>4.62</v>
      </c>
      <c r="I34" s="251">
        <f t="shared" si="1"/>
        <v>-7.4148296593186336E-2</v>
      </c>
    </row>
    <row r="35" spans="1:9">
      <c r="A35" s="248">
        <v>37895</v>
      </c>
      <c r="B35" s="249">
        <v>30.32</v>
      </c>
      <c r="C35" s="250">
        <f t="shared" si="2"/>
        <v>7.2135785007072073E-2</v>
      </c>
      <c r="D35" s="248">
        <v>37895</v>
      </c>
      <c r="E35" s="249">
        <v>29.59</v>
      </c>
      <c r="F35" s="251">
        <f t="shared" si="0"/>
        <v>9.1881918819188169E-2</v>
      </c>
      <c r="G35" s="248">
        <v>37895</v>
      </c>
      <c r="H35" s="249">
        <v>4.63</v>
      </c>
      <c r="I35" s="251">
        <f t="shared" si="1"/>
        <v>2.1645021645020357E-3</v>
      </c>
    </row>
    <row r="36" spans="1:9">
      <c r="A36" s="248">
        <v>37926</v>
      </c>
      <c r="B36" s="249">
        <v>31.09</v>
      </c>
      <c r="C36" s="250">
        <f t="shared" si="2"/>
        <v>2.5395778364116106E-2</v>
      </c>
      <c r="D36" s="248">
        <v>37926</v>
      </c>
      <c r="E36" s="249">
        <v>28.77</v>
      </c>
      <c r="F36" s="251">
        <f t="shared" si="0"/>
        <v>-2.7712064886786125E-2</v>
      </c>
      <c r="G36" s="248">
        <v>37926</v>
      </c>
      <c r="H36" s="249">
        <v>4.49</v>
      </c>
      <c r="I36" s="251">
        <f t="shared" si="1"/>
        <v>-3.0237580993520474E-2</v>
      </c>
    </row>
    <row r="37" spans="1:9">
      <c r="A37" s="248">
        <v>37956</v>
      </c>
      <c r="B37" s="249">
        <v>32.119999999999997</v>
      </c>
      <c r="C37" s="250">
        <f t="shared" si="2"/>
        <v>3.3129623673206821E-2</v>
      </c>
      <c r="D37" s="248">
        <v>37956</v>
      </c>
      <c r="E37" s="249">
        <v>29.88</v>
      </c>
      <c r="F37" s="251">
        <f t="shared" si="0"/>
        <v>3.8581856100104339E-2</v>
      </c>
      <c r="G37" s="248">
        <v>37956</v>
      </c>
      <c r="H37" s="249">
        <v>6.14</v>
      </c>
      <c r="I37" s="251">
        <f t="shared" si="1"/>
        <v>0.36748329621380837</v>
      </c>
    </row>
    <row r="38" spans="1:9">
      <c r="A38" s="248">
        <v>37987</v>
      </c>
      <c r="B38" s="249">
        <v>34.24</v>
      </c>
      <c r="C38" s="250">
        <f t="shared" si="2"/>
        <v>6.6002490660024948E-2</v>
      </c>
      <c r="D38" s="248">
        <v>37987</v>
      </c>
      <c r="E38" s="249">
        <v>31.18</v>
      </c>
      <c r="F38" s="251">
        <f t="shared" si="0"/>
        <v>4.3507362784471315E-2</v>
      </c>
      <c r="G38" s="248">
        <v>37987</v>
      </c>
      <c r="H38" s="249">
        <v>6.15</v>
      </c>
      <c r="I38" s="251">
        <f t="shared" si="1"/>
        <v>1.6286644951140072E-3</v>
      </c>
    </row>
    <row r="39" spans="1:9">
      <c r="A39" s="248">
        <v>38018</v>
      </c>
      <c r="B39" s="249">
        <v>34.729999999999997</v>
      </c>
      <c r="C39" s="250">
        <f t="shared" si="2"/>
        <v>1.4310747663551338E-2</v>
      </c>
      <c r="D39" s="248">
        <v>38018</v>
      </c>
      <c r="E39" s="249">
        <v>30.87</v>
      </c>
      <c r="F39" s="251">
        <f t="shared" si="0"/>
        <v>-9.9422706863373511E-3</v>
      </c>
      <c r="G39" s="248">
        <v>38018</v>
      </c>
      <c r="H39" s="249">
        <v>5.38</v>
      </c>
      <c r="I39" s="251">
        <f t="shared" si="1"/>
        <v>-0.12520325203252036</v>
      </c>
    </row>
    <row r="40" spans="1:9">
      <c r="A40" s="248">
        <v>38047</v>
      </c>
      <c r="B40" s="249">
        <v>36.729999999999997</v>
      </c>
      <c r="C40" s="250">
        <f t="shared" si="2"/>
        <v>5.7587100489490339E-2</v>
      </c>
      <c r="D40" s="248">
        <v>38047</v>
      </c>
      <c r="E40" s="249">
        <v>33.799999999999997</v>
      </c>
      <c r="F40" s="251">
        <f t="shared" si="0"/>
        <v>9.4914156138645733E-2</v>
      </c>
      <c r="G40" s="248">
        <v>38047</v>
      </c>
      <c r="H40" s="249">
        <v>5.4</v>
      </c>
      <c r="I40" s="251">
        <f t="shared" si="1"/>
        <v>3.7174721189592308E-3</v>
      </c>
    </row>
    <row r="41" spans="1:9">
      <c r="A41" s="248">
        <v>38078</v>
      </c>
      <c r="B41" s="249">
        <v>36.72</v>
      </c>
      <c r="C41" s="250">
        <f t="shared" si="2"/>
        <v>-2.7225701061794894E-4</v>
      </c>
      <c r="D41" s="248">
        <v>38078</v>
      </c>
      <c r="E41" s="249">
        <v>33.36</v>
      </c>
      <c r="F41" s="251">
        <f t="shared" si="0"/>
        <v>-1.3017751479289852E-2</v>
      </c>
      <c r="G41" s="248">
        <v>38078</v>
      </c>
      <c r="H41" s="249">
        <v>5.72</v>
      </c>
      <c r="I41" s="251">
        <f t="shared" si="1"/>
        <v>5.9259259259259123E-2</v>
      </c>
    </row>
    <row r="42" spans="1:9">
      <c r="A42" s="248">
        <v>38108</v>
      </c>
      <c r="B42" s="249">
        <v>40.29</v>
      </c>
      <c r="C42" s="250">
        <f t="shared" si="2"/>
        <v>9.7222222222222321E-2</v>
      </c>
      <c r="D42" s="248">
        <v>38108</v>
      </c>
      <c r="E42" s="249">
        <v>37.92</v>
      </c>
      <c r="F42" s="251">
        <f t="shared" si="0"/>
        <v>0.13669064748201443</v>
      </c>
      <c r="G42" s="248">
        <v>38108</v>
      </c>
      <c r="H42" s="249">
        <v>6.34</v>
      </c>
      <c r="I42" s="251">
        <f t="shared" si="1"/>
        <v>0.10839160839160833</v>
      </c>
    </row>
    <row r="43" spans="1:9">
      <c r="A43" s="248">
        <v>38139</v>
      </c>
      <c r="B43" s="249">
        <v>38.03</v>
      </c>
      <c r="C43" s="250">
        <f t="shared" si="2"/>
        <v>-5.6093323405311479E-2</v>
      </c>
      <c r="D43" s="248">
        <v>38139</v>
      </c>
      <c r="E43" s="249">
        <v>35.19</v>
      </c>
      <c r="F43" s="251">
        <f t="shared" si="0"/>
        <v>-7.1993670886076E-2</v>
      </c>
      <c r="G43" s="248">
        <v>38139</v>
      </c>
      <c r="H43" s="249">
        <v>6.27</v>
      </c>
      <c r="I43" s="251">
        <f t="shared" si="1"/>
        <v>-1.104100946372244E-2</v>
      </c>
    </row>
    <row r="44" spans="1:9">
      <c r="A44" s="248">
        <v>38169</v>
      </c>
      <c r="B44" s="249">
        <v>40.82</v>
      </c>
      <c r="C44" s="250">
        <f t="shared" si="2"/>
        <v>7.3363134367604443E-2</v>
      </c>
      <c r="D44" s="248">
        <v>38169</v>
      </c>
      <c r="E44" s="249">
        <v>38.369999999999997</v>
      </c>
      <c r="F44" s="251">
        <f t="shared" si="0"/>
        <v>9.036658141517484E-2</v>
      </c>
      <c r="G44" s="248">
        <v>38169</v>
      </c>
      <c r="H44" s="249">
        <v>5.93</v>
      </c>
      <c r="I44" s="251">
        <f t="shared" si="1"/>
        <v>-5.4226475279106845E-2</v>
      </c>
    </row>
    <row r="45" spans="1:9">
      <c r="A45" s="248">
        <v>38200</v>
      </c>
      <c r="B45" s="249">
        <v>44.92</v>
      </c>
      <c r="C45" s="250">
        <f t="shared" si="2"/>
        <v>0.10044096031357186</v>
      </c>
      <c r="D45" s="248">
        <v>38200</v>
      </c>
      <c r="E45" s="249">
        <v>43.03</v>
      </c>
      <c r="F45" s="251">
        <f t="shared" si="0"/>
        <v>0.12144904873599183</v>
      </c>
      <c r="G45" s="248">
        <v>38200</v>
      </c>
      <c r="H45" s="249">
        <v>5.41</v>
      </c>
      <c r="I45" s="251">
        <f t="shared" si="1"/>
        <v>-8.7689713322090967E-2</v>
      </c>
    </row>
    <row r="46" spans="1:9">
      <c r="A46" s="248">
        <v>38231</v>
      </c>
      <c r="B46" s="249">
        <v>45.93</v>
      </c>
      <c r="C46" s="250">
        <f t="shared" si="2"/>
        <v>2.2484416740872648E-2</v>
      </c>
      <c r="D46" s="248">
        <v>38231</v>
      </c>
      <c r="E46" s="249">
        <v>43.38</v>
      </c>
      <c r="F46" s="251">
        <f t="shared" si="0"/>
        <v>8.1338600976064157E-3</v>
      </c>
      <c r="G46" s="248">
        <v>38231</v>
      </c>
      <c r="H46" s="249">
        <v>5.17</v>
      </c>
      <c r="I46" s="251">
        <f t="shared" si="1"/>
        <v>-4.4362292051756014E-2</v>
      </c>
    </row>
    <row r="47" spans="1:9">
      <c r="A47" s="248">
        <v>38261</v>
      </c>
      <c r="B47" s="249">
        <v>53.25</v>
      </c>
      <c r="C47" s="250">
        <f t="shared" si="2"/>
        <v>0.15937295885042446</v>
      </c>
      <c r="D47" s="248">
        <v>38261</v>
      </c>
      <c r="E47" s="249">
        <v>49.77</v>
      </c>
      <c r="F47" s="251">
        <f t="shared" si="0"/>
        <v>0.14730290456431527</v>
      </c>
      <c r="G47" s="248">
        <v>38261</v>
      </c>
      <c r="H47" s="249">
        <v>6.38</v>
      </c>
      <c r="I47" s="251">
        <f t="shared" si="1"/>
        <v>0.23404255319148937</v>
      </c>
    </row>
    <row r="48" spans="1:9">
      <c r="A48" s="248">
        <v>38292</v>
      </c>
      <c r="B48" s="249">
        <v>48.45</v>
      </c>
      <c r="C48" s="250">
        <f t="shared" si="2"/>
        <v>-9.0140845070422526E-2</v>
      </c>
      <c r="D48" s="248">
        <v>38292</v>
      </c>
      <c r="E48" s="249">
        <v>43.05</v>
      </c>
      <c r="F48" s="251">
        <f t="shared" si="0"/>
        <v>-0.13502109704641363</v>
      </c>
      <c r="G48" s="248">
        <v>38292</v>
      </c>
      <c r="H48" s="249">
        <v>6.19</v>
      </c>
      <c r="I48" s="251">
        <f t="shared" si="1"/>
        <v>-2.9780564263322762E-2</v>
      </c>
    </row>
    <row r="49" spans="1:9">
      <c r="A49" s="248">
        <v>38322</v>
      </c>
      <c r="B49" s="249">
        <v>43.23</v>
      </c>
      <c r="C49" s="250">
        <f t="shared" si="2"/>
        <v>-0.10773993808049542</v>
      </c>
      <c r="D49" s="248">
        <v>38322</v>
      </c>
      <c r="E49" s="249">
        <v>39.65</v>
      </c>
      <c r="F49" s="251">
        <f t="shared" si="0"/>
        <v>-7.8977932636469239E-2</v>
      </c>
      <c r="G49" s="248">
        <v>38322</v>
      </c>
      <c r="H49" s="249">
        <v>6.58</v>
      </c>
      <c r="I49" s="251">
        <f t="shared" si="1"/>
        <v>6.3004846526655944E-2</v>
      </c>
    </row>
    <row r="50" spans="1:9">
      <c r="A50" s="248">
        <v>38353</v>
      </c>
      <c r="B50" s="249">
        <v>46.82</v>
      </c>
      <c r="C50" s="250">
        <f t="shared" si="2"/>
        <v>8.3044182280823664E-2</v>
      </c>
      <c r="D50" s="248">
        <v>38353</v>
      </c>
      <c r="E50" s="249">
        <v>44.28</v>
      </c>
      <c r="F50" s="251">
        <f t="shared" si="0"/>
        <v>0.11677175283732666</v>
      </c>
      <c r="G50" s="248">
        <v>38353</v>
      </c>
      <c r="H50" s="249">
        <v>6.15</v>
      </c>
      <c r="I50" s="251">
        <f t="shared" si="1"/>
        <v>-6.534954407294824E-2</v>
      </c>
    </row>
    <row r="51" spans="1:9">
      <c r="A51" s="248">
        <v>38384</v>
      </c>
      <c r="B51" s="249">
        <v>47.96</v>
      </c>
      <c r="C51" s="250">
        <f t="shared" si="2"/>
        <v>2.4348568987612174E-2</v>
      </c>
      <c r="D51" s="248">
        <v>38384</v>
      </c>
      <c r="E51" s="249">
        <v>45.56</v>
      </c>
      <c r="F51" s="251">
        <f t="shared" si="0"/>
        <v>2.8906955736224038E-2</v>
      </c>
      <c r="G51" s="248">
        <v>38384</v>
      </c>
      <c r="H51" s="249">
        <v>6.14</v>
      </c>
      <c r="I51" s="251">
        <f t="shared" si="1"/>
        <v>-1.6260162601626771E-3</v>
      </c>
    </row>
    <row r="52" spans="1:9">
      <c r="A52" s="248">
        <v>38412</v>
      </c>
      <c r="B52" s="249">
        <v>54.17</v>
      </c>
      <c r="C52" s="250">
        <f t="shared" si="2"/>
        <v>0.12948290241868232</v>
      </c>
      <c r="D52" s="248">
        <v>38412</v>
      </c>
      <c r="E52" s="249">
        <v>53.08</v>
      </c>
      <c r="F52" s="251">
        <f t="shared" si="0"/>
        <v>0.16505706760316063</v>
      </c>
      <c r="G52" s="248">
        <v>38412</v>
      </c>
      <c r="H52" s="249">
        <v>6.65</v>
      </c>
      <c r="I52" s="251">
        <f t="shared" si="1"/>
        <v>8.3061889250814369E-2</v>
      </c>
    </row>
    <row r="53" spans="1:9">
      <c r="A53" s="248">
        <v>38443</v>
      </c>
      <c r="B53" s="249">
        <v>52.96</v>
      </c>
      <c r="C53" s="250">
        <f t="shared" si="2"/>
        <v>-2.2337086948495455E-2</v>
      </c>
      <c r="D53" s="248">
        <v>38443</v>
      </c>
      <c r="E53" s="249">
        <v>51.86</v>
      </c>
      <c r="F53" s="251">
        <f t="shared" si="0"/>
        <v>-2.298417483044457E-2</v>
      </c>
      <c r="G53" s="248">
        <v>38443</v>
      </c>
      <c r="H53" s="249">
        <v>7.18</v>
      </c>
      <c r="I53" s="251">
        <f t="shared" si="1"/>
        <v>7.9699248120300714E-2</v>
      </c>
    </row>
    <row r="54" spans="1:9">
      <c r="A54" s="248">
        <v>38473</v>
      </c>
      <c r="B54" s="249">
        <v>49.81</v>
      </c>
      <c r="C54" s="250">
        <f t="shared" si="2"/>
        <v>-5.9478851963746249E-2</v>
      </c>
      <c r="D54" s="248">
        <v>38473</v>
      </c>
      <c r="E54" s="249">
        <v>48.67</v>
      </c>
      <c r="F54" s="251">
        <f t="shared" si="0"/>
        <v>-6.1511762437331252E-2</v>
      </c>
      <c r="G54" s="248">
        <v>38473</v>
      </c>
      <c r="H54" s="249">
        <v>6.47</v>
      </c>
      <c r="I54" s="251">
        <f t="shared" si="1"/>
        <v>-9.8885793871866245E-2</v>
      </c>
    </row>
    <row r="55" spans="1:9">
      <c r="A55" s="248">
        <v>38504</v>
      </c>
      <c r="B55" s="249">
        <v>56.39</v>
      </c>
      <c r="C55" s="250">
        <f t="shared" si="2"/>
        <v>0.13210198755270031</v>
      </c>
      <c r="D55" s="248">
        <v>38504</v>
      </c>
      <c r="E55" s="249">
        <v>54.31</v>
      </c>
      <c r="F55" s="251">
        <f t="shared" si="0"/>
        <v>0.11588247380316408</v>
      </c>
      <c r="G55" s="248">
        <v>38504</v>
      </c>
      <c r="H55" s="249">
        <v>7.18</v>
      </c>
      <c r="I55" s="251">
        <f t="shared" si="1"/>
        <v>0.10973724884080371</v>
      </c>
    </row>
    <row r="56" spans="1:9">
      <c r="A56" s="248">
        <v>38534</v>
      </c>
      <c r="B56" s="249">
        <v>58.67</v>
      </c>
      <c r="C56" s="250">
        <f t="shared" si="2"/>
        <v>4.043270083348105E-2</v>
      </c>
      <c r="D56" s="248">
        <v>38534</v>
      </c>
      <c r="E56" s="249">
        <v>57.58</v>
      </c>
      <c r="F56" s="251">
        <f t="shared" si="0"/>
        <v>6.0209906094641719E-2</v>
      </c>
      <c r="G56" s="248">
        <v>38534</v>
      </c>
      <c r="H56" s="249">
        <v>7.65</v>
      </c>
      <c r="I56" s="251">
        <f t="shared" si="1"/>
        <v>6.5459610027855275E-2</v>
      </c>
    </row>
    <row r="57" spans="1:9">
      <c r="A57" s="248">
        <v>38565</v>
      </c>
      <c r="B57" s="249">
        <v>64.959999999999994</v>
      </c>
      <c r="C57" s="250">
        <f t="shared" si="2"/>
        <v>0.10720981762399839</v>
      </c>
      <c r="D57" s="248">
        <v>38565</v>
      </c>
      <c r="E57" s="249">
        <v>64.09</v>
      </c>
      <c r="F57" s="251">
        <f t="shared" si="0"/>
        <v>0.11306009030913522</v>
      </c>
      <c r="G57" s="248">
        <v>38565</v>
      </c>
      <c r="H57" s="249">
        <v>9.52</v>
      </c>
      <c r="I57" s="251">
        <f t="shared" si="1"/>
        <v>0.24444444444444424</v>
      </c>
    </row>
    <row r="58" spans="1:9">
      <c r="A58" s="248">
        <v>38596</v>
      </c>
      <c r="B58" s="249">
        <v>65.540000000000006</v>
      </c>
      <c r="C58" s="250">
        <f t="shared" si="2"/>
        <v>8.9285714285716189E-3</v>
      </c>
      <c r="D58" s="248">
        <v>38596</v>
      </c>
      <c r="E58" s="249">
        <v>62.98</v>
      </c>
      <c r="F58" s="251">
        <f t="shared" si="0"/>
        <v>-1.7319394601341909E-2</v>
      </c>
      <c r="G58" s="248">
        <v>38596</v>
      </c>
      <c r="H58" s="249">
        <v>12.42</v>
      </c>
      <c r="I58" s="251">
        <f t="shared" si="1"/>
        <v>0.30462184873949583</v>
      </c>
    </row>
    <row r="59" spans="1:9">
      <c r="A59" s="248">
        <v>38626</v>
      </c>
      <c r="B59" s="249">
        <v>62.36</v>
      </c>
      <c r="C59" s="250">
        <f t="shared" si="2"/>
        <v>-4.8519987793713915E-2</v>
      </c>
      <c r="D59" s="248">
        <v>38626</v>
      </c>
      <c r="E59" s="249">
        <v>58.52</v>
      </c>
      <c r="F59" s="251">
        <f t="shared" si="0"/>
        <v>-7.0816132105430252E-2</v>
      </c>
      <c r="G59" s="248">
        <v>38626</v>
      </c>
      <c r="H59" s="249">
        <v>13.63</v>
      </c>
      <c r="I59" s="251">
        <f t="shared" si="1"/>
        <v>9.7423510466988716E-2</v>
      </c>
    </row>
    <row r="60" spans="1:9">
      <c r="A60" s="248">
        <v>38657</v>
      </c>
      <c r="B60" s="249">
        <v>58.28</v>
      </c>
      <c r="C60" s="250">
        <f t="shared" si="2"/>
        <v>-6.5426555484284776E-2</v>
      </c>
      <c r="D60" s="248">
        <v>38657</v>
      </c>
      <c r="E60" s="249">
        <v>55.53</v>
      </c>
      <c r="F60" s="251">
        <f t="shared" si="0"/>
        <v>-5.1093643198906413E-2</v>
      </c>
      <c r="G60" s="248">
        <v>38657</v>
      </c>
      <c r="H60" s="249">
        <v>10.3</v>
      </c>
      <c r="I60" s="251">
        <f t="shared" si="1"/>
        <v>-0.24431401320616286</v>
      </c>
    </row>
    <row r="61" spans="1:9">
      <c r="A61" s="248">
        <v>38687</v>
      </c>
      <c r="B61" s="249">
        <v>59.41</v>
      </c>
      <c r="C61" s="250">
        <f t="shared" si="2"/>
        <v>1.938915579958822E-2</v>
      </c>
      <c r="D61" s="248">
        <v>38687</v>
      </c>
      <c r="E61" s="249">
        <v>56.75</v>
      </c>
      <c r="F61" s="251">
        <f t="shared" si="0"/>
        <v>2.197010624887441E-2</v>
      </c>
      <c r="G61" s="248">
        <v>38687</v>
      </c>
      <c r="H61" s="249">
        <v>13.05</v>
      </c>
      <c r="I61" s="251">
        <f t="shared" si="1"/>
        <v>0.2669902912621358</v>
      </c>
    </row>
    <row r="62" spans="1:9">
      <c r="A62" s="248">
        <v>38718</v>
      </c>
      <c r="B62" s="249">
        <v>65.48</v>
      </c>
      <c r="C62" s="250">
        <f t="shared" si="2"/>
        <v>0.10217135162430591</v>
      </c>
      <c r="D62" s="248">
        <v>38718</v>
      </c>
      <c r="E62" s="249">
        <v>63.57</v>
      </c>
      <c r="F62" s="251">
        <f t="shared" si="0"/>
        <v>0.12017621145374457</v>
      </c>
      <c r="G62" s="248">
        <v>38718</v>
      </c>
      <c r="H62" s="249">
        <v>8.69</v>
      </c>
      <c r="I62" s="251">
        <f t="shared" si="1"/>
        <v>-0.33409961685823764</v>
      </c>
    </row>
    <row r="63" spans="1:9">
      <c r="A63" s="248">
        <v>38749</v>
      </c>
      <c r="B63" s="249">
        <v>61.62</v>
      </c>
      <c r="C63" s="250">
        <f t="shared" si="2"/>
        <v>-5.8949297495418551E-2</v>
      </c>
      <c r="D63" s="248">
        <v>38749</v>
      </c>
      <c r="E63" s="249">
        <v>59.92</v>
      </c>
      <c r="F63" s="251">
        <f t="shared" si="0"/>
        <v>-5.7417020607204661E-2</v>
      </c>
      <c r="G63" s="248">
        <v>38749</v>
      </c>
      <c r="H63" s="249">
        <v>7.53</v>
      </c>
      <c r="I63" s="251">
        <f t="shared" si="1"/>
        <v>-0.13348676639815871</v>
      </c>
    </row>
    <row r="64" spans="1:9">
      <c r="A64" s="248">
        <v>38777</v>
      </c>
      <c r="B64" s="249">
        <v>62.89</v>
      </c>
      <c r="C64" s="250">
        <f t="shared" si="2"/>
        <v>2.0610191496267527E-2</v>
      </c>
      <c r="D64" s="248">
        <v>38777</v>
      </c>
      <c r="E64" s="249">
        <v>62.25</v>
      </c>
      <c r="F64" s="251">
        <f t="shared" si="0"/>
        <v>3.8885180240320505E-2</v>
      </c>
      <c r="G64" s="248">
        <v>38777</v>
      </c>
      <c r="H64" s="249">
        <v>6.88</v>
      </c>
      <c r="I64" s="251">
        <f t="shared" si="1"/>
        <v>-8.6321381142098308E-2</v>
      </c>
    </row>
    <row r="65" spans="1:9">
      <c r="A65" s="248">
        <v>38808</v>
      </c>
      <c r="B65" s="249">
        <v>69.540000000000006</v>
      </c>
      <c r="C65" s="250">
        <f t="shared" si="2"/>
        <v>0.10574018126888229</v>
      </c>
      <c r="D65" s="248">
        <v>38808</v>
      </c>
      <c r="E65" s="249">
        <v>70.44</v>
      </c>
      <c r="F65" s="251">
        <f t="shared" si="0"/>
        <v>0.13156626506024094</v>
      </c>
      <c r="G65" s="248">
        <v>38808</v>
      </c>
      <c r="H65" s="249">
        <v>7.17</v>
      </c>
      <c r="I65" s="251">
        <f t="shared" si="1"/>
        <v>4.2151162790697638E-2</v>
      </c>
    </row>
    <row r="66" spans="1:9">
      <c r="A66" s="248">
        <v>38838</v>
      </c>
      <c r="B66" s="249">
        <v>70.930000000000007</v>
      </c>
      <c r="C66" s="250">
        <f t="shared" si="2"/>
        <v>1.9988495829738273E-2</v>
      </c>
      <c r="D66" s="248">
        <v>38838</v>
      </c>
      <c r="E66" s="249">
        <v>70.19</v>
      </c>
      <c r="F66" s="251">
        <f t="shared" si="0"/>
        <v>-3.5491198182850958E-3</v>
      </c>
      <c r="G66" s="248">
        <v>38838</v>
      </c>
      <c r="H66" s="249">
        <v>6.25</v>
      </c>
      <c r="I66" s="251">
        <f t="shared" si="1"/>
        <v>-0.12831241283124128</v>
      </c>
    </row>
    <row r="67" spans="1:9">
      <c r="A67" s="248">
        <v>38869</v>
      </c>
      <c r="B67" s="249">
        <v>70.930000000000007</v>
      </c>
      <c r="C67" s="250">
        <f t="shared" si="2"/>
        <v>0</v>
      </c>
      <c r="D67" s="248">
        <v>38869</v>
      </c>
      <c r="E67" s="249">
        <v>68.86</v>
      </c>
      <c r="F67" s="251">
        <f t="shared" si="0"/>
        <v>-1.8948568172104219E-2</v>
      </c>
      <c r="G67" s="248">
        <v>38869</v>
      </c>
      <c r="H67" s="249">
        <v>6.2</v>
      </c>
      <c r="I67" s="251">
        <f t="shared" si="1"/>
        <v>-8.0000000000000071E-3</v>
      </c>
    </row>
    <row r="68" spans="1:9">
      <c r="A68" s="248">
        <v>38899</v>
      </c>
      <c r="B68" s="249">
        <v>74.400000000000006</v>
      </c>
      <c r="C68" s="250">
        <f t="shared" si="2"/>
        <v>4.8921471873678346E-2</v>
      </c>
      <c r="D68" s="248">
        <v>38899</v>
      </c>
      <c r="E68" s="249">
        <v>73.900000000000006</v>
      </c>
      <c r="F68" s="251">
        <f t="shared" si="0"/>
        <v>7.3191983735114707E-2</v>
      </c>
      <c r="G68" s="248">
        <v>38899</v>
      </c>
      <c r="H68" s="249">
        <v>6.17</v>
      </c>
      <c r="I68" s="251">
        <f t="shared" si="1"/>
        <v>-4.8387096774193949E-3</v>
      </c>
    </row>
    <row r="69" spans="1:9">
      <c r="A69" s="248">
        <v>38930</v>
      </c>
      <c r="B69" s="249">
        <v>73.040000000000006</v>
      </c>
      <c r="C69" s="250">
        <f t="shared" si="2"/>
        <v>-1.8279569892473146E-2</v>
      </c>
      <c r="D69" s="248">
        <v>38930</v>
      </c>
      <c r="E69" s="249">
        <v>73.61</v>
      </c>
      <c r="F69" s="251">
        <f t="shared" ref="F69:F132" si="3">E69/E68-1</f>
        <v>-3.9242219215156471E-3</v>
      </c>
      <c r="G69" s="248">
        <v>38930</v>
      </c>
      <c r="H69" s="249">
        <v>7.13</v>
      </c>
      <c r="I69" s="251">
        <f t="shared" ref="I69:I132" si="4">H69/H68-1</f>
        <v>0.15559157212317665</v>
      </c>
    </row>
    <row r="70" spans="1:9">
      <c r="A70" s="248">
        <v>38961</v>
      </c>
      <c r="B70" s="249">
        <v>63.82</v>
      </c>
      <c r="C70" s="250">
        <f t="shared" ref="C70:C133" si="5">B70/B69-1</f>
        <v>-0.12623220153340642</v>
      </c>
      <c r="D70" s="248">
        <v>38961</v>
      </c>
      <c r="E70" s="249">
        <v>62.77</v>
      </c>
      <c r="F70" s="251">
        <f t="shared" si="3"/>
        <v>-0.14726260019019155</v>
      </c>
      <c r="G70" s="248">
        <v>38961</v>
      </c>
      <c r="H70" s="249">
        <v>4.9000000000000004</v>
      </c>
      <c r="I70" s="251">
        <f t="shared" si="4"/>
        <v>-0.31276297335203362</v>
      </c>
    </row>
    <row r="71" spans="1:9">
      <c r="A71" s="248">
        <v>38991</v>
      </c>
      <c r="B71" s="249">
        <v>58.85</v>
      </c>
      <c r="C71" s="250">
        <f t="shared" si="5"/>
        <v>-7.7875274208711986E-2</v>
      </c>
      <c r="D71" s="248">
        <v>38991</v>
      </c>
      <c r="E71" s="249">
        <v>58.38</v>
      </c>
      <c r="F71" s="251">
        <f t="shared" si="3"/>
        <v>-6.9937868408475379E-2</v>
      </c>
      <c r="G71" s="248">
        <v>38991</v>
      </c>
      <c r="H71" s="249">
        <v>5.84</v>
      </c>
      <c r="I71" s="251">
        <f t="shared" si="4"/>
        <v>0.19183673469387741</v>
      </c>
    </row>
    <row r="72" spans="1:9">
      <c r="A72" s="248">
        <v>39022</v>
      </c>
      <c r="B72" s="249">
        <v>59.13</v>
      </c>
      <c r="C72" s="250">
        <f t="shared" si="5"/>
        <v>4.757858963466477E-3</v>
      </c>
      <c r="D72" s="248">
        <v>39022</v>
      </c>
      <c r="E72" s="249">
        <v>58.48</v>
      </c>
      <c r="F72" s="251">
        <f t="shared" si="3"/>
        <v>1.7129153819799292E-3</v>
      </c>
      <c r="G72" s="248">
        <v>39022</v>
      </c>
      <c r="H72" s="249">
        <v>7.41</v>
      </c>
      <c r="I72" s="251">
        <f t="shared" si="4"/>
        <v>0.2688356164383563</v>
      </c>
    </row>
    <row r="73" spans="1:9">
      <c r="A73" s="248">
        <v>39052</v>
      </c>
      <c r="B73" s="249">
        <v>62</v>
      </c>
      <c r="C73" s="250">
        <f t="shared" si="5"/>
        <v>4.8537121596482269E-2</v>
      </c>
      <c r="D73" s="248">
        <v>39052</v>
      </c>
      <c r="E73" s="249">
        <v>62.31</v>
      </c>
      <c r="F73" s="251">
        <f t="shared" si="3"/>
        <v>6.5492476060191596E-2</v>
      </c>
      <c r="G73" s="248">
        <v>39052</v>
      </c>
      <c r="H73" s="249">
        <v>6.73</v>
      </c>
      <c r="I73" s="251">
        <f t="shared" si="4"/>
        <v>-9.176788124156543E-2</v>
      </c>
    </row>
    <row r="74" spans="1:9">
      <c r="A74" s="248">
        <v>39083</v>
      </c>
      <c r="B74" s="249">
        <v>54.24</v>
      </c>
      <c r="C74" s="250">
        <f t="shared" si="5"/>
        <v>-0.12516129032258061</v>
      </c>
      <c r="D74" s="248">
        <v>39083</v>
      </c>
      <c r="E74" s="249">
        <v>54.3</v>
      </c>
      <c r="F74" s="251">
        <f t="shared" si="3"/>
        <v>-0.12855079441502171</v>
      </c>
      <c r="G74" s="248">
        <v>39083</v>
      </c>
      <c r="H74" s="249">
        <v>6.53</v>
      </c>
      <c r="I74" s="251">
        <f t="shared" si="4"/>
        <v>-2.9717682020802383E-2</v>
      </c>
    </row>
    <row r="75" spans="1:9">
      <c r="A75" s="248">
        <v>39114</v>
      </c>
      <c r="B75" s="249">
        <v>59.25</v>
      </c>
      <c r="C75" s="250">
        <f t="shared" si="5"/>
        <v>9.2367256637168049E-2</v>
      </c>
      <c r="D75" s="248">
        <v>39114</v>
      </c>
      <c r="E75" s="249">
        <v>57.76</v>
      </c>
      <c r="F75" s="251">
        <f t="shared" si="3"/>
        <v>6.3720073664825128E-2</v>
      </c>
      <c r="G75" s="248">
        <v>39114</v>
      </c>
      <c r="H75" s="249">
        <v>8</v>
      </c>
      <c r="I75" s="251">
        <f t="shared" si="4"/>
        <v>0.22511485451761093</v>
      </c>
    </row>
    <row r="76" spans="1:9">
      <c r="A76" s="248">
        <v>39142</v>
      </c>
      <c r="B76" s="249">
        <v>60.6</v>
      </c>
      <c r="C76" s="250">
        <f t="shared" si="5"/>
        <v>2.27848101265824E-2</v>
      </c>
      <c r="D76" s="248">
        <v>39142</v>
      </c>
      <c r="E76" s="249">
        <v>62.14</v>
      </c>
      <c r="F76" s="251">
        <f t="shared" si="3"/>
        <v>7.5831024930747892E-2</v>
      </c>
      <c r="G76" s="248">
        <v>39142</v>
      </c>
      <c r="H76" s="249">
        <v>7.11</v>
      </c>
      <c r="I76" s="251">
        <f t="shared" si="4"/>
        <v>-0.11124999999999996</v>
      </c>
    </row>
    <row r="77" spans="1:9">
      <c r="A77" s="248">
        <v>39173</v>
      </c>
      <c r="B77" s="249">
        <v>63.94</v>
      </c>
      <c r="C77" s="250">
        <f t="shared" si="5"/>
        <v>5.5115511551155016E-2</v>
      </c>
      <c r="D77" s="248">
        <v>39173</v>
      </c>
      <c r="E77" s="249">
        <v>67.400000000000006</v>
      </c>
      <c r="F77" s="251">
        <f t="shared" si="3"/>
        <v>8.4647570003218542E-2</v>
      </c>
      <c r="G77" s="248">
        <v>39173</v>
      </c>
      <c r="H77" s="249">
        <v>7.6</v>
      </c>
      <c r="I77" s="251">
        <f t="shared" si="4"/>
        <v>6.891701828410679E-2</v>
      </c>
    </row>
    <row r="78" spans="1:9">
      <c r="A78" s="248">
        <v>39203</v>
      </c>
      <c r="B78" s="249">
        <v>63.45</v>
      </c>
      <c r="C78" s="250">
        <f t="shared" si="5"/>
        <v>-7.6634344698153223E-3</v>
      </c>
      <c r="D78" s="248">
        <v>39203</v>
      </c>
      <c r="E78" s="249">
        <v>67.48</v>
      </c>
      <c r="F78" s="251">
        <f t="shared" si="3"/>
        <v>1.1869436201781269E-3</v>
      </c>
      <c r="G78" s="248">
        <v>39203</v>
      </c>
      <c r="H78" s="249">
        <v>7.64</v>
      </c>
      <c r="I78" s="251">
        <f t="shared" si="4"/>
        <v>5.2631578947368585E-3</v>
      </c>
    </row>
    <row r="79" spans="1:9">
      <c r="A79" s="248">
        <v>39234</v>
      </c>
      <c r="B79" s="249">
        <v>67.489999999999995</v>
      </c>
      <c r="C79" s="250">
        <f t="shared" si="5"/>
        <v>6.3672182821118861E-2</v>
      </c>
      <c r="D79" s="248">
        <v>39234</v>
      </c>
      <c r="E79" s="249">
        <v>71.319999999999993</v>
      </c>
      <c r="F79" s="251">
        <f t="shared" si="3"/>
        <v>5.6905749851807741E-2</v>
      </c>
      <c r="G79" s="248">
        <v>39234</v>
      </c>
      <c r="H79" s="249">
        <v>7.35</v>
      </c>
      <c r="I79" s="251">
        <f t="shared" si="4"/>
        <v>-3.7958115183246099E-2</v>
      </c>
    </row>
    <row r="80" spans="1:9">
      <c r="A80" s="248">
        <v>39264</v>
      </c>
      <c r="B80" s="249">
        <v>74.14</v>
      </c>
      <c r="C80" s="250">
        <f t="shared" si="5"/>
        <v>9.8533116017187838E-2</v>
      </c>
      <c r="D80" s="248">
        <v>39264</v>
      </c>
      <c r="E80" s="249">
        <v>77.2</v>
      </c>
      <c r="F80" s="251">
        <f t="shared" si="3"/>
        <v>8.2445316881660347E-2</v>
      </c>
      <c r="G80" s="248">
        <v>39264</v>
      </c>
      <c r="H80" s="249">
        <v>6.22</v>
      </c>
      <c r="I80" s="251">
        <f t="shared" si="4"/>
        <v>-0.15374149659863945</v>
      </c>
    </row>
    <row r="81" spans="1:9">
      <c r="A81" s="248">
        <v>39295</v>
      </c>
      <c r="B81" s="249">
        <v>72.38</v>
      </c>
      <c r="C81" s="250">
        <f t="shared" si="5"/>
        <v>-2.3738872403560873E-2</v>
      </c>
      <c r="D81" s="248">
        <v>39295</v>
      </c>
      <c r="E81" s="249">
        <v>70.8</v>
      </c>
      <c r="F81" s="251">
        <f t="shared" si="3"/>
        <v>-8.290155440414515E-2</v>
      </c>
      <c r="G81" s="248">
        <v>39295</v>
      </c>
      <c r="H81" s="249">
        <v>6.22</v>
      </c>
      <c r="I81" s="251">
        <f t="shared" si="4"/>
        <v>0</v>
      </c>
    </row>
    <row r="82" spans="1:9">
      <c r="A82" s="248">
        <v>39326</v>
      </c>
      <c r="B82" s="249">
        <v>79.91</v>
      </c>
      <c r="C82" s="250">
        <f t="shared" si="5"/>
        <v>0.10403426360873169</v>
      </c>
      <c r="D82" s="248">
        <v>39326</v>
      </c>
      <c r="E82" s="249">
        <v>77.13</v>
      </c>
      <c r="F82" s="251">
        <f t="shared" si="3"/>
        <v>8.9406779661016955E-2</v>
      </c>
      <c r="G82" s="248">
        <v>39326</v>
      </c>
      <c r="H82" s="249">
        <v>6.07</v>
      </c>
      <c r="I82" s="251">
        <f t="shared" si="4"/>
        <v>-2.4115755627009516E-2</v>
      </c>
    </row>
    <row r="83" spans="1:9">
      <c r="A83" s="248">
        <v>39356</v>
      </c>
      <c r="B83" s="249">
        <v>85.9</v>
      </c>
      <c r="C83" s="250">
        <f t="shared" si="5"/>
        <v>7.4959329245401163E-2</v>
      </c>
      <c r="D83" s="248">
        <v>39356</v>
      </c>
      <c r="E83" s="249">
        <v>83.04</v>
      </c>
      <c r="F83" s="251">
        <f t="shared" si="3"/>
        <v>7.6623881758070889E-2</v>
      </c>
      <c r="G83" s="248">
        <v>39356</v>
      </c>
      <c r="H83" s="249">
        <v>6.74</v>
      </c>
      <c r="I83" s="251">
        <f t="shared" si="4"/>
        <v>0.11037891268533762</v>
      </c>
    </row>
    <row r="84" spans="1:9">
      <c r="A84" s="248">
        <v>39387</v>
      </c>
      <c r="B84" s="249">
        <v>94.76</v>
      </c>
      <c r="C84" s="250">
        <f t="shared" si="5"/>
        <v>0.10314318975552972</v>
      </c>
      <c r="D84" s="248">
        <v>39387</v>
      </c>
      <c r="E84" s="249">
        <v>92.53</v>
      </c>
      <c r="F84" s="251">
        <f t="shared" si="3"/>
        <v>0.11428227360308285</v>
      </c>
      <c r="G84" s="248">
        <v>39387</v>
      </c>
      <c r="H84" s="249">
        <v>7.11</v>
      </c>
      <c r="I84" s="251">
        <f t="shared" si="4"/>
        <v>5.4896142433234374E-2</v>
      </c>
    </row>
    <row r="85" spans="1:9">
      <c r="A85" s="248">
        <v>39417</v>
      </c>
      <c r="B85" s="249">
        <v>91.36</v>
      </c>
      <c r="C85" s="250">
        <f t="shared" si="5"/>
        <v>-3.588011819333059E-2</v>
      </c>
      <c r="D85" s="248">
        <v>39417</v>
      </c>
      <c r="E85" s="249">
        <v>91.45</v>
      </c>
      <c r="F85" s="251">
        <f t="shared" si="3"/>
        <v>-1.1671890197773704E-2</v>
      </c>
      <c r="G85" s="248">
        <v>39417</v>
      </c>
      <c r="H85" s="249">
        <v>7.13</v>
      </c>
      <c r="I85" s="251">
        <f t="shared" si="4"/>
        <v>2.8129395218001729E-3</v>
      </c>
    </row>
    <row r="86" spans="1:9">
      <c r="A86" s="248">
        <v>39448</v>
      </c>
      <c r="B86" s="249">
        <v>92.98</v>
      </c>
      <c r="C86" s="250">
        <f t="shared" si="5"/>
        <v>1.7732049036777608E-2</v>
      </c>
      <c r="D86" s="248">
        <v>39448</v>
      </c>
      <c r="E86" s="249">
        <v>91.92</v>
      </c>
      <c r="F86" s="251">
        <f t="shared" si="3"/>
        <v>5.1394204483323769E-3</v>
      </c>
      <c r="G86" s="248">
        <v>39448</v>
      </c>
      <c r="H86" s="249">
        <v>7.98</v>
      </c>
      <c r="I86" s="251">
        <f t="shared" si="4"/>
        <v>0.1192145862552596</v>
      </c>
    </row>
    <row r="87" spans="1:9">
      <c r="A87" s="248">
        <v>39479</v>
      </c>
      <c r="B87" s="249">
        <v>95.38</v>
      </c>
      <c r="C87" s="250">
        <f t="shared" si="5"/>
        <v>2.5812002581200089E-2</v>
      </c>
      <c r="D87" s="248">
        <v>39479</v>
      </c>
      <c r="E87" s="249">
        <v>94.82</v>
      </c>
      <c r="F87" s="251">
        <f t="shared" si="3"/>
        <v>3.1549173194081792E-2</v>
      </c>
      <c r="G87" s="248">
        <v>39479</v>
      </c>
      <c r="H87" s="249">
        <v>8.5399999999999991</v>
      </c>
      <c r="I87" s="251">
        <f t="shared" si="4"/>
        <v>7.0175438596491002E-2</v>
      </c>
    </row>
    <row r="88" spans="1:9">
      <c r="A88" s="248">
        <v>39508</v>
      </c>
      <c r="B88" s="249">
        <v>105.47</v>
      </c>
      <c r="C88" s="250">
        <f t="shared" si="5"/>
        <v>0.10578737680855532</v>
      </c>
      <c r="D88" s="248">
        <v>39508</v>
      </c>
      <c r="E88" s="249">
        <v>103.28</v>
      </c>
      <c r="F88" s="251">
        <f t="shared" si="3"/>
        <v>8.9221683189200762E-2</v>
      </c>
      <c r="G88" s="248">
        <v>39508</v>
      </c>
      <c r="H88" s="249">
        <v>9.41</v>
      </c>
      <c r="I88" s="251">
        <f t="shared" si="4"/>
        <v>0.10187353629976603</v>
      </c>
    </row>
    <row r="89" spans="1:9">
      <c r="A89" s="248">
        <v>39539</v>
      </c>
      <c r="B89" s="249">
        <v>112.62</v>
      </c>
      <c r="C89" s="250">
        <f t="shared" si="5"/>
        <v>6.7791789134351133E-2</v>
      </c>
      <c r="D89" s="248">
        <v>39539</v>
      </c>
      <c r="E89" s="249">
        <v>110.44</v>
      </c>
      <c r="F89" s="251">
        <f t="shared" si="3"/>
        <v>6.9326103795507299E-2</v>
      </c>
      <c r="G89" s="248">
        <v>39539</v>
      </c>
      <c r="H89" s="249">
        <v>10.18</v>
      </c>
      <c r="I89" s="251">
        <f t="shared" si="4"/>
        <v>8.1827842720510136E-2</v>
      </c>
    </row>
    <row r="90" spans="1:9">
      <c r="A90" s="248">
        <v>39569</v>
      </c>
      <c r="B90" s="249">
        <v>125.37</v>
      </c>
      <c r="C90" s="250">
        <f t="shared" si="5"/>
        <v>0.11321257325519452</v>
      </c>
      <c r="D90" s="248">
        <v>39569</v>
      </c>
      <c r="E90" s="249">
        <v>123.94</v>
      </c>
      <c r="F90" s="251">
        <f t="shared" si="3"/>
        <v>0.12223831944947494</v>
      </c>
      <c r="G90" s="248">
        <v>39569</v>
      </c>
      <c r="H90" s="249">
        <v>11.27</v>
      </c>
      <c r="I90" s="251">
        <f t="shared" si="4"/>
        <v>0.10707269155206278</v>
      </c>
    </row>
    <row r="91" spans="1:9">
      <c r="A91" s="248">
        <v>39600</v>
      </c>
      <c r="B91" s="249">
        <v>133.93</v>
      </c>
      <c r="C91" s="250">
        <f t="shared" si="5"/>
        <v>6.8277897423625999E-2</v>
      </c>
      <c r="D91" s="248">
        <v>39600</v>
      </c>
      <c r="E91" s="249">
        <v>133.05000000000001</v>
      </c>
      <c r="F91" s="251">
        <f t="shared" si="3"/>
        <v>7.3503308052283556E-2</v>
      </c>
      <c r="G91" s="248">
        <v>39600</v>
      </c>
      <c r="H91" s="249">
        <v>12.68</v>
      </c>
      <c r="I91" s="251">
        <f t="shared" si="4"/>
        <v>0.12511091393078977</v>
      </c>
    </row>
    <row r="92" spans="1:9">
      <c r="A92" s="248">
        <v>39630</v>
      </c>
      <c r="B92" s="249">
        <v>133.38</v>
      </c>
      <c r="C92" s="250">
        <f t="shared" si="5"/>
        <v>-4.1066228626895906E-3</v>
      </c>
      <c r="D92" s="248">
        <v>39630</v>
      </c>
      <c r="E92" s="249">
        <v>133.9</v>
      </c>
      <c r="F92" s="251">
        <f t="shared" si="3"/>
        <v>6.3885757234121154E-3</v>
      </c>
      <c r="G92" s="248">
        <v>39630</v>
      </c>
      <c r="H92" s="249">
        <v>11.09</v>
      </c>
      <c r="I92" s="251">
        <f t="shared" si="4"/>
        <v>-0.12539432176656151</v>
      </c>
    </row>
    <row r="93" spans="1:9">
      <c r="A93" s="248">
        <v>39661</v>
      </c>
      <c r="B93" s="249">
        <v>116.64</v>
      </c>
      <c r="C93" s="250">
        <f t="shared" si="5"/>
        <v>-0.12550607287449389</v>
      </c>
      <c r="D93" s="248">
        <v>39661</v>
      </c>
      <c r="E93" s="249">
        <v>113.85</v>
      </c>
      <c r="F93" s="251">
        <f t="shared" si="3"/>
        <v>-0.14973861090365947</v>
      </c>
      <c r="G93" s="248">
        <v>39661</v>
      </c>
      <c r="H93" s="249">
        <v>8.25</v>
      </c>
      <c r="I93" s="251">
        <f t="shared" si="4"/>
        <v>-0.25608656447249778</v>
      </c>
    </row>
    <row r="94" spans="1:9">
      <c r="A94" s="248">
        <v>39692</v>
      </c>
      <c r="B94" s="249">
        <v>103.94</v>
      </c>
      <c r="C94" s="250">
        <f t="shared" si="5"/>
        <v>-0.10888203017832654</v>
      </c>
      <c r="D94" s="248">
        <v>39692</v>
      </c>
      <c r="E94" s="249">
        <v>99.06</v>
      </c>
      <c r="F94" s="251">
        <f t="shared" si="3"/>
        <v>-0.12990777338603421</v>
      </c>
      <c r="G94" s="248">
        <v>39692</v>
      </c>
      <c r="H94" s="249">
        <v>7.62</v>
      </c>
      <c r="I94" s="251">
        <f t="shared" si="4"/>
        <v>-7.63636363636363E-2</v>
      </c>
    </row>
    <row r="95" spans="1:9">
      <c r="A95" s="248">
        <v>39722</v>
      </c>
      <c r="B95" s="249">
        <v>76.61</v>
      </c>
      <c r="C95" s="250">
        <f t="shared" si="5"/>
        <v>-0.26294015778333657</v>
      </c>
      <c r="D95" s="248">
        <v>39722</v>
      </c>
      <c r="E95" s="249">
        <v>72.84</v>
      </c>
      <c r="F95" s="251">
        <f t="shared" si="3"/>
        <v>-0.26468806783767407</v>
      </c>
      <c r="G95" s="248">
        <v>39722</v>
      </c>
      <c r="H95" s="249">
        <v>6.74</v>
      </c>
      <c r="I95" s="251">
        <f t="shared" si="4"/>
        <v>-0.11548556430446189</v>
      </c>
    </row>
    <row r="96" spans="1:9">
      <c r="A96" s="248">
        <v>39753</v>
      </c>
      <c r="B96" s="249">
        <v>57.29</v>
      </c>
      <c r="C96" s="250">
        <f t="shared" si="5"/>
        <v>-0.25218639864247483</v>
      </c>
      <c r="D96" s="248">
        <v>39753</v>
      </c>
      <c r="E96" s="249">
        <v>53.24</v>
      </c>
      <c r="F96" s="251">
        <f t="shared" si="3"/>
        <v>-0.26908292147171886</v>
      </c>
      <c r="G96" s="248">
        <v>39753</v>
      </c>
      <c r="H96" s="249">
        <v>6.7</v>
      </c>
      <c r="I96" s="251">
        <f t="shared" si="4"/>
        <v>-5.9347181008901906E-3</v>
      </c>
    </row>
    <row r="97" spans="1:9">
      <c r="A97" s="248">
        <v>39783</v>
      </c>
      <c r="B97" s="249">
        <v>41.44</v>
      </c>
      <c r="C97" s="250">
        <f t="shared" si="5"/>
        <v>-0.27666259382091118</v>
      </c>
      <c r="D97" s="248">
        <v>39783</v>
      </c>
      <c r="E97" s="249">
        <v>41.58</v>
      </c>
      <c r="F97" s="251">
        <f t="shared" si="3"/>
        <v>-0.21900826446280997</v>
      </c>
      <c r="G97" s="248">
        <v>39783</v>
      </c>
      <c r="H97" s="249">
        <v>5.84</v>
      </c>
      <c r="I97" s="251">
        <f t="shared" si="4"/>
        <v>-0.12835820895522387</v>
      </c>
    </row>
    <row r="98" spans="1:9">
      <c r="A98" s="248">
        <v>39814</v>
      </c>
      <c r="B98" s="249">
        <v>41.74</v>
      </c>
      <c r="C98" s="250">
        <f t="shared" si="5"/>
        <v>7.2393822393823637E-3</v>
      </c>
      <c r="D98" s="248">
        <v>39814</v>
      </c>
      <c r="E98" s="249">
        <v>44.86</v>
      </c>
      <c r="F98" s="251">
        <f t="shared" si="3"/>
        <v>7.8884078884079001E-2</v>
      </c>
      <c r="G98" s="248">
        <v>39814</v>
      </c>
      <c r="H98" s="249">
        <v>5.23</v>
      </c>
      <c r="I98" s="251">
        <f t="shared" si="4"/>
        <v>-0.10445205479452047</v>
      </c>
    </row>
    <row r="99" spans="1:9">
      <c r="A99" s="248">
        <v>39845</v>
      </c>
      <c r="B99" s="249">
        <v>39.15</v>
      </c>
      <c r="C99" s="250">
        <f t="shared" si="5"/>
        <v>-6.2050790608529027E-2</v>
      </c>
      <c r="D99" s="248">
        <v>39845</v>
      </c>
      <c r="E99" s="249">
        <v>43.24</v>
      </c>
      <c r="F99" s="251">
        <f t="shared" si="3"/>
        <v>-3.6112349531876919E-2</v>
      </c>
      <c r="G99" s="248">
        <v>39845</v>
      </c>
      <c r="H99" s="249">
        <v>4.49</v>
      </c>
      <c r="I99" s="251">
        <f t="shared" si="4"/>
        <v>-0.14149139579349912</v>
      </c>
    </row>
    <row r="100" spans="1:9">
      <c r="A100" s="248">
        <v>39873</v>
      </c>
      <c r="B100" s="249">
        <v>47.98</v>
      </c>
      <c r="C100" s="250">
        <f t="shared" si="5"/>
        <v>0.22554278416347384</v>
      </c>
      <c r="D100" s="248">
        <v>39873</v>
      </c>
      <c r="E100" s="249">
        <v>46.84</v>
      </c>
      <c r="F100" s="251">
        <f t="shared" si="3"/>
        <v>8.3256244218316455E-2</v>
      </c>
      <c r="G100" s="248">
        <v>39873</v>
      </c>
      <c r="H100" s="249">
        <v>3.96</v>
      </c>
      <c r="I100" s="251">
        <f t="shared" si="4"/>
        <v>-0.1180400890868597</v>
      </c>
    </row>
    <row r="101" spans="1:9">
      <c r="A101" s="248">
        <v>39904</v>
      </c>
      <c r="B101" s="249">
        <v>49.81</v>
      </c>
      <c r="C101" s="250">
        <f t="shared" si="5"/>
        <v>3.8140892038349472E-2</v>
      </c>
      <c r="D101" s="248">
        <v>39904</v>
      </c>
      <c r="E101" s="249">
        <v>50.85</v>
      </c>
      <c r="F101" s="251">
        <f t="shared" si="3"/>
        <v>8.5610589239965895E-2</v>
      </c>
      <c r="G101" s="248">
        <v>39904</v>
      </c>
      <c r="H101" s="249">
        <v>3.49</v>
      </c>
      <c r="I101" s="251">
        <f t="shared" si="4"/>
        <v>-0.11868686868686862</v>
      </c>
    </row>
    <row r="102" spans="1:9">
      <c r="A102" s="248">
        <v>39934</v>
      </c>
      <c r="B102" s="249">
        <v>59.12</v>
      </c>
      <c r="C102" s="250">
        <f t="shared" si="5"/>
        <v>0.1869102589841396</v>
      </c>
      <c r="D102" s="248">
        <v>39934</v>
      </c>
      <c r="E102" s="249">
        <v>57.94</v>
      </c>
      <c r="F102" s="251">
        <f t="shared" si="3"/>
        <v>0.1394296951819074</v>
      </c>
      <c r="G102" s="248">
        <v>39934</v>
      </c>
      <c r="H102" s="249">
        <v>3.83</v>
      </c>
      <c r="I102" s="251">
        <f t="shared" si="4"/>
        <v>9.7421203438395443E-2</v>
      </c>
    </row>
    <row r="103" spans="1:9">
      <c r="A103" s="248">
        <v>39965</v>
      </c>
      <c r="B103" s="249">
        <v>69.58</v>
      </c>
      <c r="C103" s="250">
        <f t="shared" si="5"/>
        <v>0.17692828146143436</v>
      </c>
      <c r="D103" s="248">
        <v>39965</v>
      </c>
      <c r="E103" s="249">
        <v>68.59</v>
      </c>
      <c r="F103" s="251">
        <f t="shared" si="3"/>
        <v>0.18381083879875737</v>
      </c>
      <c r="G103" s="248">
        <v>39965</v>
      </c>
      <c r="H103" s="249">
        <v>3.8</v>
      </c>
      <c r="I103" s="251">
        <f t="shared" si="4"/>
        <v>-7.8328981723237989E-3</v>
      </c>
    </row>
    <row r="104" spans="1:9">
      <c r="A104" s="248">
        <v>39995</v>
      </c>
      <c r="B104" s="249">
        <v>64.14</v>
      </c>
      <c r="C104" s="250">
        <f t="shared" si="5"/>
        <v>-7.8183386030468482E-2</v>
      </c>
      <c r="D104" s="248">
        <v>39995</v>
      </c>
      <c r="E104" s="249">
        <v>64.92</v>
      </c>
      <c r="F104" s="251">
        <f t="shared" si="3"/>
        <v>-5.3506342032366261E-2</v>
      </c>
      <c r="G104" s="248">
        <v>39995</v>
      </c>
      <c r="H104" s="249">
        <v>3.39</v>
      </c>
      <c r="I104" s="251">
        <f t="shared" si="4"/>
        <v>-0.10789473684210515</v>
      </c>
    </row>
    <row r="105" spans="1:9">
      <c r="A105" s="248">
        <v>40026</v>
      </c>
      <c r="B105" s="249">
        <v>71.06</v>
      </c>
      <c r="C105" s="250">
        <f t="shared" si="5"/>
        <v>0.10788899282818831</v>
      </c>
      <c r="D105" s="248">
        <v>40026</v>
      </c>
      <c r="E105" s="249">
        <v>72.5</v>
      </c>
      <c r="F105" s="251">
        <f t="shared" si="3"/>
        <v>0.11675908810844104</v>
      </c>
      <c r="G105" s="248">
        <v>40026</v>
      </c>
      <c r="H105" s="249">
        <v>3.14</v>
      </c>
      <c r="I105" s="251">
        <f t="shared" si="4"/>
        <v>-7.3746312684365822E-2</v>
      </c>
    </row>
    <row r="106" spans="1:9">
      <c r="A106" s="248">
        <v>40057</v>
      </c>
      <c r="B106" s="249">
        <v>69.44</v>
      </c>
      <c r="C106" s="250">
        <f t="shared" si="5"/>
        <v>-2.2797635800731797E-2</v>
      </c>
      <c r="D106" s="248">
        <v>40057</v>
      </c>
      <c r="E106" s="249">
        <v>67.69</v>
      </c>
      <c r="F106" s="251">
        <f t="shared" si="3"/>
        <v>-6.6344827586206967E-2</v>
      </c>
      <c r="G106" s="248">
        <v>40057</v>
      </c>
      <c r="H106" s="249">
        <v>2.99</v>
      </c>
      <c r="I106" s="251">
        <f t="shared" si="4"/>
        <v>-4.7770700636942665E-2</v>
      </c>
    </row>
    <row r="107" spans="1:9">
      <c r="A107" s="248">
        <v>40087</v>
      </c>
      <c r="B107" s="249">
        <v>75.77</v>
      </c>
      <c r="C107" s="250">
        <f t="shared" si="5"/>
        <v>9.1157834101382562E-2</v>
      </c>
      <c r="D107" s="248">
        <v>40087</v>
      </c>
      <c r="E107" s="249">
        <v>73.19</v>
      </c>
      <c r="F107" s="251">
        <f t="shared" si="3"/>
        <v>8.1252769980794781E-2</v>
      </c>
      <c r="G107" s="248">
        <v>40087</v>
      </c>
      <c r="H107" s="249">
        <v>4</v>
      </c>
      <c r="I107" s="251">
        <f t="shared" si="4"/>
        <v>0.33779264214046822</v>
      </c>
    </row>
    <row r="108" spans="1:9">
      <c r="A108" s="248">
        <v>40118</v>
      </c>
      <c r="B108" s="249">
        <v>78</v>
      </c>
      <c r="C108" s="250">
        <f t="shared" si="5"/>
        <v>2.9431173287580936E-2</v>
      </c>
      <c r="D108" s="248">
        <v>40118</v>
      </c>
      <c r="E108" s="249">
        <v>77.040000000000006</v>
      </c>
      <c r="F108" s="251">
        <f t="shared" si="3"/>
        <v>5.2602814592157543E-2</v>
      </c>
      <c r="G108" s="248">
        <v>40118</v>
      </c>
      <c r="H108" s="249">
        <v>3.68</v>
      </c>
      <c r="I108" s="251">
        <f t="shared" si="4"/>
        <v>-7.999999999999996E-2</v>
      </c>
    </row>
    <row r="109" spans="1:9">
      <c r="A109" s="248">
        <v>40148</v>
      </c>
      <c r="B109" s="249">
        <v>74.489999999999995</v>
      </c>
      <c r="C109" s="250">
        <f t="shared" si="5"/>
        <v>-4.500000000000004E-2</v>
      </c>
      <c r="D109" s="248">
        <v>40148</v>
      </c>
      <c r="E109" s="249">
        <v>74.67</v>
      </c>
      <c r="F109" s="251">
        <f t="shared" si="3"/>
        <v>-3.0763239875389425E-2</v>
      </c>
      <c r="G109" s="248">
        <v>40148</v>
      </c>
      <c r="H109" s="249">
        <v>5.35</v>
      </c>
      <c r="I109" s="251">
        <f t="shared" si="4"/>
        <v>0.4538043478260867</v>
      </c>
    </row>
    <row r="110" spans="1:9">
      <c r="A110" s="248">
        <v>40179</v>
      </c>
      <c r="B110" s="249">
        <v>78.34</v>
      </c>
      <c r="C110" s="250">
        <f t="shared" si="5"/>
        <v>5.168478990468528E-2</v>
      </c>
      <c r="D110" s="248">
        <v>40179</v>
      </c>
      <c r="E110" s="249">
        <v>76.37</v>
      </c>
      <c r="F110" s="251">
        <f t="shared" si="3"/>
        <v>2.27668407660373E-2</v>
      </c>
      <c r="G110" s="248">
        <v>40179</v>
      </c>
      <c r="H110" s="249">
        <v>5.84</v>
      </c>
      <c r="I110" s="251">
        <f t="shared" si="4"/>
        <v>9.158878504672896E-2</v>
      </c>
    </row>
    <row r="111" spans="1:9">
      <c r="A111" s="248">
        <v>40210</v>
      </c>
      <c r="B111" s="249">
        <v>76.3</v>
      </c>
      <c r="C111" s="250">
        <f t="shared" si="5"/>
        <v>-2.6040336992596447E-2</v>
      </c>
      <c r="D111" s="248">
        <v>40210</v>
      </c>
      <c r="E111" s="249">
        <v>74.31</v>
      </c>
      <c r="F111" s="251">
        <f t="shared" si="3"/>
        <v>-2.6973942647636528E-2</v>
      </c>
      <c r="G111" s="248">
        <v>40210</v>
      </c>
      <c r="H111" s="249">
        <v>5.32</v>
      </c>
      <c r="I111" s="251">
        <f t="shared" si="4"/>
        <v>-8.9041095890410871E-2</v>
      </c>
    </row>
    <row r="112" spans="1:9">
      <c r="A112" s="248">
        <v>40238</v>
      </c>
      <c r="B112" s="249">
        <v>81.25</v>
      </c>
      <c r="C112" s="250">
        <f t="shared" si="5"/>
        <v>6.4875491480996139E-2</v>
      </c>
      <c r="D112" s="248">
        <v>40238</v>
      </c>
      <c r="E112" s="249">
        <v>79.27</v>
      </c>
      <c r="F112" s="251">
        <f t="shared" si="3"/>
        <v>6.6747409500740096E-2</v>
      </c>
      <c r="G112" s="248">
        <v>40238</v>
      </c>
      <c r="H112" s="249">
        <v>4.29</v>
      </c>
      <c r="I112" s="251">
        <f t="shared" si="4"/>
        <v>-0.19360902255639101</v>
      </c>
    </row>
    <row r="113" spans="1:9">
      <c r="A113" s="248">
        <v>40269</v>
      </c>
      <c r="B113" s="249">
        <v>84.5</v>
      </c>
      <c r="C113" s="250">
        <f t="shared" si="5"/>
        <v>4.0000000000000036E-2</v>
      </c>
      <c r="D113" s="248">
        <v>40269</v>
      </c>
      <c r="E113" s="249">
        <v>84.93</v>
      </c>
      <c r="F113" s="251">
        <f t="shared" si="3"/>
        <v>7.1401539043774553E-2</v>
      </c>
      <c r="G113" s="248">
        <v>40269</v>
      </c>
      <c r="H113" s="249">
        <v>4.04</v>
      </c>
      <c r="I113" s="251">
        <f t="shared" si="4"/>
        <v>-5.82750582750583E-2</v>
      </c>
    </row>
    <row r="114" spans="1:9">
      <c r="A114" s="248">
        <v>40299</v>
      </c>
      <c r="B114" s="249">
        <v>73.739999999999995</v>
      </c>
      <c r="C114" s="250">
        <f t="shared" si="5"/>
        <v>-0.12733727810650897</v>
      </c>
      <c r="D114" s="248">
        <v>40299</v>
      </c>
      <c r="E114" s="249">
        <v>76.25</v>
      </c>
      <c r="F114" s="251">
        <f t="shared" si="3"/>
        <v>-0.10220181325797728</v>
      </c>
      <c r="G114" s="248">
        <v>40299</v>
      </c>
      <c r="H114" s="249">
        <v>4.1500000000000004</v>
      </c>
      <c r="I114" s="251">
        <f t="shared" si="4"/>
        <v>2.7227722772277252E-2</v>
      </c>
    </row>
    <row r="115" spans="1:9">
      <c r="A115" s="248">
        <v>40330</v>
      </c>
      <c r="B115" s="249">
        <v>75.349999999999994</v>
      </c>
      <c r="C115" s="250">
        <f t="shared" si="5"/>
        <v>2.1833468944941758E-2</v>
      </c>
      <c r="D115" s="248">
        <v>40330</v>
      </c>
      <c r="E115" s="249">
        <v>74.84</v>
      </c>
      <c r="F115" s="251">
        <f t="shared" si="3"/>
        <v>-1.849180327868849E-2</v>
      </c>
      <c r="G115" s="248">
        <v>40330</v>
      </c>
      <c r="H115" s="249">
        <v>4.8</v>
      </c>
      <c r="I115" s="251">
        <f t="shared" si="4"/>
        <v>0.15662650602409633</v>
      </c>
    </row>
    <row r="116" spans="1:9">
      <c r="A116" s="248">
        <v>40360</v>
      </c>
      <c r="B116" s="249">
        <v>76.16</v>
      </c>
      <c r="C116" s="250">
        <f t="shared" si="5"/>
        <v>1.0749834107498302E-2</v>
      </c>
      <c r="D116" s="248">
        <v>40360</v>
      </c>
      <c r="E116" s="249">
        <v>74.739999999999995</v>
      </c>
      <c r="F116" s="251">
        <f t="shared" si="3"/>
        <v>-1.3361838588991093E-3</v>
      </c>
      <c r="G116" s="248">
        <v>40360</v>
      </c>
      <c r="H116" s="249">
        <v>4.63</v>
      </c>
      <c r="I116" s="251">
        <f t="shared" si="4"/>
        <v>-3.5416666666666652E-2</v>
      </c>
    </row>
    <row r="117" spans="1:9">
      <c r="A117" s="248">
        <v>40391</v>
      </c>
      <c r="B117" s="249">
        <v>76.599999999999994</v>
      </c>
      <c r="C117" s="250">
        <f t="shared" si="5"/>
        <v>5.7773109243697274E-3</v>
      </c>
      <c r="D117" s="248">
        <v>40391</v>
      </c>
      <c r="E117" s="249">
        <v>76.69</v>
      </c>
      <c r="F117" s="251">
        <f t="shared" si="3"/>
        <v>2.6090446882526042E-2</v>
      </c>
      <c r="G117" s="248">
        <v>40391</v>
      </c>
      <c r="H117" s="249">
        <v>4.3099999999999996</v>
      </c>
      <c r="I117" s="251">
        <f t="shared" si="4"/>
        <v>-6.9114470842332687E-2</v>
      </c>
    </row>
    <row r="118" spans="1:9">
      <c r="A118" s="248">
        <v>40422</v>
      </c>
      <c r="B118" s="249">
        <v>75.260000000000005</v>
      </c>
      <c r="C118" s="250">
        <f t="shared" si="5"/>
        <v>-1.7493472584856229E-2</v>
      </c>
      <c r="D118" s="248">
        <v>40422</v>
      </c>
      <c r="E118" s="249">
        <v>77.790000000000006</v>
      </c>
      <c r="F118" s="251">
        <f t="shared" si="3"/>
        <v>1.4343460685878329E-2</v>
      </c>
      <c r="G118" s="248">
        <v>40422</v>
      </c>
      <c r="H118" s="249">
        <v>3.89</v>
      </c>
      <c r="I118" s="251">
        <f t="shared" si="4"/>
        <v>-9.7447795823665806E-2</v>
      </c>
    </row>
    <row r="119" spans="1:9">
      <c r="A119" s="248">
        <v>40452</v>
      </c>
      <c r="B119" s="249">
        <v>81.900000000000006</v>
      </c>
      <c r="C119" s="250">
        <f t="shared" si="5"/>
        <v>8.8227478076003285E-2</v>
      </c>
      <c r="D119" s="248">
        <v>40452</v>
      </c>
      <c r="E119" s="249">
        <v>82.92</v>
      </c>
      <c r="F119" s="251">
        <f t="shared" si="3"/>
        <v>6.5946779791747012E-2</v>
      </c>
      <c r="G119" s="248">
        <v>40452</v>
      </c>
      <c r="H119" s="249">
        <v>3.43</v>
      </c>
      <c r="I119" s="251">
        <f t="shared" si="4"/>
        <v>-0.1182519280205655</v>
      </c>
    </row>
    <row r="120" spans="1:9">
      <c r="A120" s="248">
        <v>40483</v>
      </c>
      <c r="B120" s="249">
        <v>84.19</v>
      </c>
      <c r="C120" s="250">
        <f t="shared" si="5"/>
        <v>2.7960927960927862E-2</v>
      </c>
      <c r="D120" s="248">
        <v>40483</v>
      </c>
      <c r="E120" s="249">
        <v>85.67</v>
      </c>
      <c r="F120" s="251">
        <f t="shared" si="3"/>
        <v>3.3164495899662416E-2</v>
      </c>
      <c r="G120" s="248">
        <v>40483</v>
      </c>
      <c r="H120" s="249">
        <v>3.71</v>
      </c>
      <c r="I120" s="251">
        <f t="shared" si="4"/>
        <v>8.1632653061224358E-2</v>
      </c>
    </row>
    <row r="121" spans="1:9">
      <c r="A121" s="248">
        <v>40513</v>
      </c>
      <c r="B121" s="249">
        <v>89.22</v>
      </c>
      <c r="C121" s="250">
        <f t="shared" si="5"/>
        <v>5.9745813041929052E-2</v>
      </c>
      <c r="D121" s="248">
        <v>40513</v>
      </c>
      <c r="E121" s="249">
        <v>91.8</v>
      </c>
      <c r="F121" s="251">
        <f t="shared" si="3"/>
        <v>7.155363604528997E-2</v>
      </c>
      <c r="G121" s="248">
        <v>40513</v>
      </c>
      <c r="H121" s="249">
        <v>4.25</v>
      </c>
      <c r="I121" s="251">
        <f t="shared" si="4"/>
        <v>0.14555256064690036</v>
      </c>
    </row>
    <row r="122" spans="1:9">
      <c r="A122" s="248">
        <v>40544</v>
      </c>
      <c r="B122" s="249">
        <v>89.51</v>
      </c>
      <c r="C122" s="250">
        <f t="shared" si="5"/>
        <v>3.2503922887245906E-3</v>
      </c>
      <c r="D122" s="248">
        <v>40544</v>
      </c>
      <c r="E122" s="249">
        <v>96.29</v>
      </c>
      <c r="F122" s="251">
        <f t="shared" si="3"/>
        <v>4.8910675381263813E-2</v>
      </c>
      <c r="G122" s="248">
        <v>40544</v>
      </c>
      <c r="H122" s="249">
        <v>4.49</v>
      </c>
      <c r="I122" s="251">
        <f t="shared" si="4"/>
        <v>5.6470588235294272E-2</v>
      </c>
    </row>
    <row r="123" spans="1:9">
      <c r="A123" s="248">
        <v>40575</v>
      </c>
      <c r="B123" s="249">
        <v>89.37</v>
      </c>
      <c r="C123" s="250">
        <f t="shared" si="5"/>
        <v>-1.5640710535135272E-3</v>
      </c>
      <c r="D123" s="248">
        <v>40575</v>
      </c>
      <c r="E123" s="249">
        <v>103.96</v>
      </c>
      <c r="F123" s="251">
        <f t="shared" si="3"/>
        <v>7.9655208225153151E-2</v>
      </c>
      <c r="G123" s="248">
        <v>40575</v>
      </c>
      <c r="H123" s="249">
        <v>4.09</v>
      </c>
      <c r="I123" s="251">
        <f t="shared" si="4"/>
        <v>-8.9086859688196074E-2</v>
      </c>
    </row>
    <row r="124" spans="1:9">
      <c r="A124" s="248">
        <v>40603</v>
      </c>
      <c r="B124" s="249">
        <v>102.92</v>
      </c>
      <c r="C124" s="250">
        <f t="shared" si="5"/>
        <v>0.1516168736712542</v>
      </c>
      <c r="D124" s="248">
        <v>40603</v>
      </c>
      <c r="E124" s="249">
        <v>114.44</v>
      </c>
      <c r="F124" s="251">
        <f t="shared" si="3"/>
        <v>0.10080800307810711</v>
      </c>
      <c r="G124" s="248">
        <v>40603</v>
      </c>
      <c r="H124" s="249">
        <v>3.97</v>
      </c>
      <c r="I124" s="251">
        <f t="shared" si="4"/>
        <v>-2.9339853300733409E-2</v>
      </c>
    </row>
    <row r="125" spans="1:9">
      <c r="A125" s="248">
        <v>40634</v>
      </c>
      <c r="B125" s="249">
        <v>110.04</v>
      </c>
      <c r="C125" s="250">
        <f t="shared" si="5"/>
        <v>6.9179945588806913E-2</v>
      </c>
      <c r="D125" s="248">
        <v>40634</v>
      </c>
      <c r="E125" s="249">
        <v>123.15</v>
      </c>
      <c r="F125" s="251">
        <f t="shared" si="3"/>
        <v>7.6109751835022887E-2</v>
      </c>
      <c r="G125" s="248">
        <v>40634</v>
      </c>
      <c r="H125" s="249">
        <v>4.24</v>
      </c>
      <c r="I125" s="251">
        <f t="shared" si="4"/>
        <v>6.8010075566750539E-2</v>
      </c>
    </row>
    <row r="126" spans="1:9">
      <c r="A126" s="248">
        <v>40664</v>
      </c>
      <c r="B126" s="249">
        <v>101.25</v>
      </c>
      <c r="C126" s="250">
        <f t="shared" si="5"/>
        <v>-7.9880043620501717E-2</v>
      </c>
      <c r="D126" s="248">
        <v>40664</v>
      </c>
      <c r="E126" s="249">
        <v>114.46</v>
      </c>
      <c r="F126" s="251">
        <f t="shared" si="3"/>
        <v>-7.0564352415753206E-2</v>
      </c>
      <c r="G126" s="248">
        <v>40664</v>
      </c>
      <c r="H126" s="249">
        <v>4.3099999999999996</v>
      </c>
      <c r="I126" s="251">
        <f t="shared" si="4"/>
        <v>1.6509433962264008E-2</v>
      </c>
    </row>
    <row r="127" spans="1:9">
      <c r="A127" s="248">
        <v>40695</v>
      </c>
      <c r="B127" s="249">
        <v>96.25</v>
      </c>
      <c r="C127" s="250">
        <f t="shared" si="5"/>
        <v>-4.9382716049382713E-2</v>
      </c>
      <c r="D127" s="248">
        <v>40695</v>
      </c>
      <c r="E127" s="249">
        <v>113.76</v>
      </c>
      <c r="F127" s="251">
        <f t="shared" si="3"/>
        <v>-6.115673597763327E-3</v>
      </c>
      <c r="G127" s="248">
        <v>40695</v>
      </c>
      <c r="H127" s="249">
        <v>4.54</v>
      </c>
      <c r="I127" s="251">
        <f t="shared" si="4"/>
        <v>5.3364269141531473E-2</v>
      </c>
    </row>
    <row r="128" spans="1:9">
      <c r="A128" s="248">
        <v>40725</v>
      </c>
      <c r="B128" s="249">
        <v>97.19</v>
      </c>
      <c r="C128" s="250">
        <f t="shared" si="5"/>
        <v>9.7662337662336451E-3</v>
      </c>
      <c r="D128" s="248">
        <v>40725</v>
      </c>
      <c r="E128" s="249">
        <v>116.46</v>
      </c>
      <c r="F128" s="251">
        <f t="shared" si="3"/>
        <v>2.3734177215189778E-2</v>
      </c>
      <c r="G128" s="248">
        <v>40725</v>
      </c>
      <c r="H128" s="249">
        <v>4.42</v>
      </c>
      <c r="I128" s="251">
        <f t="shared" si="4"/>
        <v>-2.6431718061673992E-2</v>
      </c>
    </row>
    <row r="129" spans="1:9">
      <c r="A129" s="248">
        <v>40756</v>
      </c>
      <c r="B129" s="249">
        <v>86.32</v>
      </c>
      <c r="C129" s="250">
        <f t="shared" si="5"/>
        <v>-0.1118427821792366</v>
      </c>
      <c r="D129" s="248">
        <v>40756</v>
      </c>
      <c r="E129" s="249">
        <v>110.08</v>
      </c>
      <c r="F129" s="251">
        <f t="shared" si="3"/>
        <v>-5.4782758028507628E-2</v>
      </c>
      <c r="G129" s="248">
        <v>40756</v>
      </c>
      <c r="H129" s="249">
        <v>4.05</v>
      </c>
      <c r="I129" s="251">
        <f t="shared" si="4"/>
        <v>-8.371040723981904E-2</v>
      </c>
    </row>
    <row r="130" spans="1:9">
      <c r="A130" s="248">
        <v>40787</v>
      </c>
      <c r="B130" s="249">
        <v>85.62</v>
      </c>
      <c r="C130" s="250">
        <f t="shared" si="5"/>
        <v>-8.1093605189989093E-3</v>
      </c>
      <c r="D130" s="248">
        <v>40787</v>
      </c>
      <c r="E130" s="249">
        <v>110.88</v>
      </c>
      <c r="F130" s="251">
        <f t="shared" si="3"/>
        <v>7.2674418604650182E-3</v>
      </c>
      <c r="G130" s="248">
        <v>40787</v>
      </c>
      <c r="H130" s="249">
        <v>3.89</v>
      </c>
      <c r="I130" s="251">
        <f t="shared" si="4"/>
        <v>-3.9506172839506082E-2</v>
      </c>
    </row>
    <row r="131" spans="1:9">
      <c r="A131" s="248">
        <v>40817</v>
      </c>
      <c r="B131" s="249">
        <v>86.41</v>
      </c>
      <c r="C131" s="250">
        <f t="shared" si="5"/>
        <v>9.2268161644475377E-3</v>
      </c>
      <c r="D131" s="248">
        <v>40817</v>
      </c>
      <c r="E131" s="249">
        <v>109.47</v>
      </c>
      <c r="F131" s="251">
        <f t="shared" si="3"/>
        <v>-1.2716450216450181E-2</v>
      </c>
      <c r="G131" s="248">
        <v>40817</v>
      </c>
      <c r="H131" s="249">
        <v>3.56</v>
      </c>
      <c r="I131" s="251">
        <f t="shared" si="4"/>
        <v>-8.4832904884318827E-2</v>
      </c>
    </row>
    <row r="132" spans="1:9">
      <c r="A132" s="248">
        <v>40848</v>
      </c>
      <c r="B132" s="249">
        <v>97.07</v>
      </c>
      <c r="C132" s="250">
        <f t="shared" si="5"/>
        <v>0.12336535123249615</v>
      </c>
      <c r="D132" s="248">
        <v>40848</v>
      </c>
      <c r="E132" s="249">
        <v>110.5</v>
      </c>
      <c r="F132" s="251">
        <f t="shared" si="3"/>
        <v>9.4089704941993091E-3</v>
      </c>
      <c r="G132" s="248">
        <v>40848</v>
      </c>
      <c r="H132" s="249">
        <v>3.26</v>
      </c>
      <c r="I132" s="251">
        <f t="shared" si="4"/>
        <v>-8.4269662921348409E-2</v>
      </c>
    </row>
    <row r="133" spans="1:9">
      <c r="A133" s="248">
        <v>40878</v>
      </c>
      <c r="B133" s="249">
        <v>98.61</v>
      </c>
      <c r="C133" s="250">
        <f t="shared" si="5"/>
        <v>1.586483980632547E-2</v>
      </c>
      <c r="D133" s="248">
        <v>40878</v>
      </c>
      <c r="E133" s="249">
        <v>107.97</v>
      </c>
      <c r="F133" s="251">
        <f t="shared" ref="F133:F183" si="6">E133/E132-1</f>
        <v>-2.2895927601809918E-2</v>
      </c>
      <c r="G133" s="248">
        <v>40878</v>
      </c>
      <c r="H133" s="249">
        <v>3.16</v>
      </c>
      <c r="I133" s="251">
        <f t="shared" ref="I133:I183" si="7">H133/H132-1</f>
        <v>-3.0674846625766805E-2</v>
      </c>
    </row>
    <row r="134" spans="1:9">
      <c r="A134" s="248">
        <v>40909</v>
      </c>
      <c r="B134" s="249">
        <v>100.15</v>
      </c>
      <c r="C134" s="250">
        <f t="shared" ref="C134:C183" si="8">B134/B133-1</f>
        <v>1.5617077375519761E-2</v>
      </c>
      <c r="D134" s="248">
        <v>40909</v>
      </c>
      <c r="E134" s="249">
        <v>110.99</v>
      </c>
      <c r="F134" s="251">
        <f t="shared" si="6"/>
        <v>2.7970732610910432E-2</v>
      </c>
      <c r="G134" s="248">
        <v>40909</v>
      </c>
      <c r="H134" s="249">
        <v>2.67</v>
      </c>
      <c r="I134" s="251">
        <f t="shared" si="7"/>
        <v>-0.15506329113924056</v>
      </c>
    </row>
    <row r="135" spans="1:9">
      <c r="A135" s="248">
        <v>40940</v>
      </c>
      <c r="B135" s="249">
        <v>102.26</v>
      </c>
      <c r="C135" s="250">
        <f t="shared" si="8"/>
        <v>2.1068397403894101E-2</v>
      </c>
      <c r="D135" s="248">
        <v>40940</v>
      </c>
      <c r="E135" s="249">
        <v>119.7</v>
      </c>
      <c r="F135" s="251">
        <f t="shared" si="6"/>
        <v>7.8475538336787221E-2</v>
      </c>
      <c r="G135" s="248">
        <v>40940</v>
      </c>
      <c r="H135" s="249">
        <v>2.5299999999999998</v>
      </c>
      <c r="I135" s="251">
        <f t="shared" si="7"/>
        <v>-5.2434456928838968E-2</v>
      </c>
    </row>
    <row r="136" spans="1:9">
      <c r="A136" s="248">
        <v>40969</v>
      </c>
      <c r="B136" s="249">
        <v>106.15</v>
      </c>
      <c r="C136" s="250">
        <f t="shared" si="8"/>
        <v>3.804028945824367E-2</v>
      </c>
      <c r="D136" s="248">
        <v>40969</v>
      </c>
      <c r="E136" s="249">
        <v>124.93</v>
      </c>
      <c r="F136" s="251">
        <f t="shared" si="6"/>
        <v>4.3692564745196449E-2</v>
      </c>
      <c r="G136" s="248">
        <v>40969</v>
      </c>
      <c r="H136" s="249">
        <v>2.16</v>
      </c>
      <c r="I136" s="251">
        <f t="shared" si="7"/>
        <v>-0.14624505928853748</v>
      </c>
    </row>
    <row r="137" spans="1:9">
      <c r="A137" s="248">
        <v>41000</v>
      </c>
      <c r="B137" s="249">
        <v>103.28</v>
      </c>
      <c r="C137" s="250">
        <f t="shared" si="8"/>
        <v>-2.7037211493170066E-2</v>
      </c>
      <c r="D137" s="248">
        <v>41000</v>
      </c>
      <c r="E137" s="249">
        <v>120.59</v>
      </c>
      <c r="F137" s="251">
        <f t="shared" si="6"/>
        <v>-3.4739454094292799E-2</v>
      </c>
      <c r="G137" s="248">
        <v>41000</v>
      </c>
      <c r="H137" s="249">
        <v>1.95</v>
      </c>
      <c r="I137" s="251">
        <f t="shared" si="7"/>
        <v>-9.7222222222222321E-2</v>
      </c>
    </row>
    <row r="138" spans="1:9">
      <c r="A138" s="248">
        <v>41030</v>
      </c>
      <c r="B138" s="249">
        <v>94.51</v>
      </c>
      <c r="C138" s="250">
        <f t="shared" si="8"/>
        <v>-8.4914794732765309E-2</v>
      </c>
      <c r="D138" s="248">
        <v>41030</v>
      </c>
      <c r="E138" s="249">
        <v>110.52</v>
      </c>
      <c r="F138" s="251">
        <f t="shared" si="6"/>
        <v>-8.3506095032755634E-2</v>
      </c>
      <c r="G138" s="248">
        <v>41030</v>
      </c>
      <c r="H138" s="249">
        <v>2.4300000000000002</v>
      </c>
      <c r="I138" s="251">
        <f t="shared" si="7"/>
        <v>0.24615384615384617</v>
      </c>
    </row>
    <row r="139" spans="1:9">
      <c r="A139" s="248">
        <v>41061</v>
      </c>
      <c r="B139" s="249">
        <v>82.36</v>
      </c>
      <c r="C139" s="250">
        <f t="shared" si="8"/>
        <v>-0.12855782456882869</v>
      </c>
      <c r="D139" s="248">
        <v>41061</v>
      </c>
      <c r="E139" s="249">
        <v>95.59</v>
      </c>
      <c r="F139" s="251">
        <f t="shared" si="6"/>
        <v>-0.13508867173362282</v>
      </c>
      <c r="G139" s="248">
        <v>41061</v>
      </c>
      <c r="H139" s="249">
        <v>2.4500000000000002</v>
      </c>
      <c r="I139" s="251">
        <f t="shared" si="7"/>
        <v>8.2304526748970819E-3</v>
      </c>
    </row>
    <row r="140" spans="1:9">
      <c r="A140" s="248">
        <v>41091</v>
      </c>
      <c r="B140" s="249">
        <v>87.89</v>
      </c>
      <c r="C140" s="250">
        <f t="shared" si="8"/>
        <v>6.7144244779018925E-2</v>
      </c>
      <c r="D140" s="248">
        <v>41091</v>
      </c>
      <c r="E140" s="249">
        <v>103.14</v>
      </c>
      <c r="F140" s="251">
        <f t="shared" si="6"/>
        <v>7.8983157234020274E-2</v>
      </c>
      <c r="G140" s="248">
        <v>41091</v>
      </c>
      <c r="H140" s="249">
        <v>2.96</v>
      </c>
      <c r="I140" s="251">
        <f t="shared" si="7"/>
        <v>0.20816326530612228</v>
      </c>
    </row>
    <row r="141" spans="1:9">
      <c r="A141" s="248">
        <v>41122</v>
      </c>
      <c r="B141" s="249">
        <v>94.11</v>
      </c>
      <c r="C141" s="250">
        <f t="shared" si="8"/>
        <v>7.077028103310945E-2</v>
      </c>
      <c r="D141" s="248">
        <v>41122</v>
      </c>
      <c r="E141" s="249">
        <v>113.34</v>
      </c>
      <c r="F141" s="251">
        <f t="shared" si="6"/>
        <v>9.88947062245491E-2</v>
      </c>
      <c r="G141" s="248">
        <v>41122</v>
      </c>
      <c r="H141" s="249">
        <v>2.84</v>
      </c>
      <c r="I141" s="251">
        <f t="shared" si="7"/>
        <v>-4.0540540540540571E-2</v>
      </c>
    </row>
    <row r="142" spans="1:9">
      <c r="A142" s="248">
        <v>41153</v>
      </c>
      <c r="B142" s="249">
        <v>94.61</v>
      </c>
      <c r="C142" s="250">
        <f t="shared" si="8"/>
        <v>5.3129316756985734E-3</v>
      </c>
      <c r="D142" s="248">
        <v>41153</v>
      </c>
      <c r="E142" s="249">
        <v>113.38</v>
      </c>
      <c r="F142" s="251">
        <f t="shared" si="6"/>
        <v>3.5292041644607863E-4</v>
      </c>
      <c r="G142" s="248">
        <v>41153</v>
      </c>
      <c r="H142" s="249">
        <v>2.85</v>
      </c>
      <c r="I142" s="251">
        <f t="shared" si="7"/>
        <v>3.5211267605634866E-3</v>
      </c>
    </row>
    <row r="143" spans="1:9">
      <c r="A143" s="248">
        <v>41183</v>
      </c>
      <c r="B143" s="249">
        <v>89.52</v>
      </c>
      <c r="C143" s="250">
        <f t="shared" si="8"/>
        <v>-5.37998097452701E-2</v>
      </c>
      <c r="D143" s="248">
        <v>41183</v>
      </c>
      <c r="E143" s="249">
        <v>111.97</v>
      </c>
      <c r="F143" s="251">
        <f t="shared" si="6"/>
        <v>-1.2436055741753327E-2</v>
      </c>
      <c r="G143" s="248">
        <v>41183</v>
      </c>
      <c r="H143" s="249">
        <v>3.32</v>
      </c>
      <c r="I143" s="251">
        <f t="shared" si="7"/>
        <v>0.16491228070175423</v>
      </c>
    </row>
    <row r="144" spans="1:9">
      <c r="A144" s="248">
        <v>41214</v>
      </c>
      <c r="B144" s="249">
        <v>86.69</v>
      </c>
      <c r="C144" s="250">
        <f t="shared" si="8"/>
        <v>-3.1613047363717617E-2</v>
      </c>
      <c r="D144" s="248">
        <v>41214</v>
      </c>
      <c r="E144" s="249">
        <v>109.71</v>
      </c>
      <c r="F144" s="251">
        <f t="shared" si="6"/>
        <v>-2.0183977851210178E-2</v>
      </c>
      <c r="G144" s="248">
        <v>41214</v>
      </c>
      <c r="H144" s="249">
        <v>3.54</v>
      </c>
      <c r="I144" s="251">
        <f t="shared" si="7"/>
        <v>6.6265060240964013E-2</v>
      </c>
    </row>
    <row r="145" spans="1:9">
      <c r="A145" s="248">
        <v>41244</v>
      </c>
      <c r="B145" s="249">
        <v>88.19</v>
      </c>
      <c r="C145" s="250">
        <f t="shared" si="8"/>
        <v>1.730303379859266E-2</v>
      </c>
      <c r="D145" s="248">
        <v>41244</v>
      </c>
      <c r="E145" s="249">
        <v>109.64</v>
      </c>
      <c r="F145" s="251">
        <f t="shared" si="6"/>
        <v>-6.3804575699566435E-4</v>
      </c>
      <c r="G145" s="248">
        <v>41244</v>
      </c>
      <c r="H145" s="249">
        <v>3.34</v>
      </c>
      <c r="I145" s="251">
        <f t="shared" si="7"/>
        <v>-5.6497175141242972E-2</v>
      </c>
    </row>
    <row r="146" spans="1:9">
      <c r="A146" s="248">
        <v>41275</v>
      </c>
      <c r="B146" s="249">
        <v>94.65</v>
      </c>
      <c r="C146" s="250">
        <f t="shared" si="8"/>
        <v>7.3250935480213331E-2</v>
      </c>
      <c r="D146" s="248">
        <v>41275</v>
      </c>
      <c r="E146" s="249">
        <v>112.93</v>
      </c>
      <c r="F146" s="251">
        <f t="shared" si="6"/>
        <v>3.0007296607077683E-2</v>
      </c>
      <c r="G146" s="248">
        <v>41275</v>
      </c>
      <c r="H146" s="249">
        <v>3.33</v>
      </c>
      <c r="I146" s="251">
        <f t="shared" si="7"/>
        <v>-2.9940119760478723E-3</v>
      </c>
    </row>
    <row r="147" spans="1:9">
      <c r="A147" s="248">
        <v>41306</v>
      </c>
      <c r="B147" s="249">
        <v>95.3</v>
      </c>
      <c r="C147" s="250">
        <f t="shared" si="8"/>
        <v>6.8674062334916908E-3</v>
      </c>
      <c r="D147" s="248">
        <v>41306</v>
      </c>
      <c r="E147" s="249">
        <v>116.46</v>
      </c>
      <c r="F147" s="251">
        <f t="shared" si="6"/>
        <v>3.125830160276255E-2</v>
      </c>
      <c r="G147" s="248">
        <v>41306</v>
      </c>
      <c r="H147" s="249">
        <v>3.33</v>
      </c>
      <c r="I147" s="251">
        <f t="shared" si="7"/>
        <v>0</v>
      </c>
    </row>
    <row r="148" spans="1:9">
      <c r="A148" s="248">
        <v>41334</v>
      </c>
      <c r="B148" s="249">
        <v>93.12</v>
      </c>
      <c r="C148" s="250">
        <f t="shared" si="8"/>
        <v>-2.2875131164742823E-2</v>
      </c>
      <c r="D148" s="248">
        <v>41334</v>
      </c>
      <c r="E148" s="249">
        <v>109.24</v>
      </c>
      <c r="F148" s="251">
        <f t="shared" si="6"/>
        <v>-6.1995534947621445E-2</v>
      </c>
      <c r="G148" s="248">
        <v>41334</v>
      </c>
      <c r="H148" s="249">
        <v>3.8</v>
      </c>
      <c r="I148" s="251">
        <f t="shared" si="7"/>
        <v>0.14114114114114096</v>
      </c>
    </row>
    <row r="149" spans="1:9">
      <c r="A149" s="248">
        <v>41365</v>
      </c>
      <c r="B149" s="249">
        <v>92.02</v>
      </c>
      <c r="C149" s="250">
        <f t="shared" si="8"/>
        <v>-1.1812714776632371E-2</v>
      </c>
      <c r="D149" s="248">
        <v>41365</v>
      </c>
      <c r="E149" s="249">
        <v>102.88</v>
      </c>
      <c r="F149" s="251">
        <f t="shared" si="6"/>
        <v>-5.8220432076162565E-2</v>
      </c>
      <c r="G149" s="248">
        <v>41365</v>
      </c>
      <c r="H149" s="249">
        <v>4.17</v>
      </c>
      <c r="I149" s="251">
        <f t="shared" si="7"/>
        <v>9.7368421052631549E-2</v>
      </c>
    </row>
    <row r="150" spans="1:9">
      <c r="A150" s="248">
        <v>41395</v>
      </c>
      <c r="B150" s="249">
        <v>94.72</v>
      </c>
      <c r="C150" s="250">
        <f t="shared" si="8"/>
        <v>2.9341447511410657E-2</v>
      </c>
      <c r="D150" s="248">
        <v>41395</v>
      </c>
      <c r="E150" s="249">
        <v>103.03</v>
      </c>
      <c r="F150" s="251">
        <f t="shared" si="6"/>
        <v>1.4580093312597242E-3</v>
      </c>
      <c r="G150" s="248">
        <v>41395</v>
      </c>
      <c r="H150" s="249">
        <v>4.04</v>
      </c>
      <c r="I150" s="251">
        <f t="shared" si="7"/>
        <v>-3.1175059952038398E-2</v>
      </c>
    </row>
    <row r="151" spans="1:9">
      <c r="A151" s="248">
        <v>41426</v>
      </c>
      <c r="B151" s="249">
        <v>95.79</v>
      </c>
      <c r="C151" s="250">
        <f t="shared" si="8"/>
        <v>1.1296452702702853E-2</v>
      </c>
      <c r="D151" s="248">
        <v>41426</v>
      </c>
      <c r="E151" s="249">
        <v>103.11</v>
      </c>
      <c r="F151" s="251">
        <f t="shared" si="6"/>
        <v>7.7647287197901704E-4</v>
      </c>
      <c r="G151" s="248">
        <v>41426</v>
      </c>
      <c r="H151" s="249">
        <v>3.83</v>
      </c>
      <c r="I151" s="251">
        <f t="shared" si="7"/>
        <v>-5.1980198019802026E-2</v>
      </c>
    </row>
    <row r="152" spans="1:9">
      <c r="A152" s="248">
        <v>41456</v>
      </c>
      <c r="B152" s="249">
        <v>104.55</v>
      </c>
      <c r="C152" s="250">
        <f t="shared" si="8"/>
        <v>9.145004697776371E-2</v>
      </c>
      <c r="D152" s="248">
        <v>41456</v>
      </c>
      <c r="E152" s="249">
        <v>107.72</v>
      </c>
      <c r="F152" s="251">
        <f t="shared" si="6"/>
        <v>4.4709533507904187E-2</v>
      </c>
      <c r="G152" s="248">
        <v>41456</v>
      </c>
      <c r="H152" s="249">
        <v>3.62</v>
      </c>
      <c r="I152" s="251">
        <f t="shared" si="7"/>
        <v>-5.4830287206266259E-2</v>
      </c>
    </row>
    <row r="153" spans="1:9">
      <c r="A153" s="248">
        <v>41487</v>
      </c>
      <c r="B153" s="249">
        <v>106.55</v>
      </c>
      <c r="C153" s="250">
        <f t="shared" si="8"/>
        <v>1.9129603060736411E-2</v>
      </c>
      <c r="D153" s="248">
        <v>41487</v>
      </c>
      <c r="E153" s="249">
        <v>110.96</v>
      </c>
      <c r="F153" s="251">
        <f t="shared" si="6"/>
        <v>3.0077979948013311E-2</v>
      </c>
      <c r="G153" s="248">
        <v>41487</v>
      </c>
      <c r="H153" s="249">
        <v>3.43</v>
      </c>
      <c r="I153" s="251">
        <f t="shared" si="7"/>
        <v>-5.24861878453039E-2</v>
      </c>
    </row>
    <row r="154" spans="1:9">
      <c r="A154" s="248">
        <v>41518</v>
      </c>
      <c r="B154" s="249">
        <v>106.31</v>
      </c>
      <c r="C154" s="250">
        <f t="shared" si="8"/>
        <v>-2.2524636320975233E-3</v>
      </c>
      <c r="D154" s="248">
        <v>41518</v>
      </c>
      <c r="E154" s="249">
        <v>111.62</v>
      </c>
      <c r="F154" s="251">
        <f t="shared" si="6"/>
        <v>5.9480894015861985E-3</v>
      </c>
      <c r="G154" s="248">
        <v>41518</v>
      </c>
      <c r="H154" s="249">
        <v>3.62</v>
      </c>
      <c r="I154" s="251">
        <f t="shared" si="7"/>
        <v>5.5393586005830775E-2</v>
      </c>
    </row>
    <row r="155" spans="1:9">
      <c r="A155" s="248">
        <v>41548</v>
      </c>
      <c r="B155" s="249">
        <v>100.5</v>
      </c>
      <c r="C155" s="250">
        <f t="shared" si="8"/>
        <v>-5.4651490922772994E-2</v>
      </c>
      <c r="D155" s="248">
        <v>41548</v>
      </c>
      <c r="E155" s="249">
        <v>109.48</v>
      </c>
      <c r="F155" s="251">
        <f t="shared" si="6"/>
        <v>-1.9172191363554969E-2</v>
      </c>
      <c r="G155" s="248">
        <v>41548</v>
      </c>
      <c r="H155" s="249">
        <v>3.67</v>
      </c>
      <c r="I155" s="251">
        <f t="shared" si="7"/>
        <v>1.3812154696132506E-2</v>
      </c>
    </row>
    <row r="156" spans="1:9">
      <c r="A156" s="248">
        <v>41579</v>
      </c>
      <c r="B156" s="249">
        <v>93.81</v>
      </c>
      <c r="C156" s="250">
        <f t="shared" si="8"/>
        <v>-6.6567164179104465E-2</v>
      </c>
      <c r="D156" s="248">
        <v>41579</v>
      </c>
      <c r="E156" s="249">
        <v>108.08</v>
      </c>
      <c r="F156" s="251">
        <f t="shared" si="6"/>
        <v>-1.2787723785166238E-2</v>
      </c>
      <c r="G156" s="248">
        <v>41579</v>
      </c>
      <c r="H156" s="249">
        <v>3.62</v>
      </c>
      <c r="I156" s="251">
        <f t="shared" si="7"/>
        <v>-1.3623978201634857E-2</v>
      </c>
    </row>
    <row r="157" spans="1:9">
      <c r="A157" s="248">
        <v>41609</v>
      </c>
      <c r="B157" s="249">
        <v>97.9</v>
      </c>
      <c r="C157" s="250">
        <f t="shared" si="8"/>
        <v>4.3598763458053469E-2</v>
      </c>
      <c r="D157" s="248">
        <v>41609</v>
      </c>
      <c r="E157" s="249">
        <v>110.63</v>
      </c>
      <c r="F157" s="251">
        <f t="shared" si="6"/>
        <v>2.359363434492967E-2</v>
      </c>
      <c r="G157" s="248">
        <v>41609</v>
      </c>
      <c r="H157" s="249">
        <v>4.24</v>
      </c>
      <c r="I157" s="251">
        <f t="shared" si="7"/>
        <v>0.17127071823204432</v>
      </c>
    </row>
    <row r="158" spans="1:9">
      <c r="A158" s="248">
        <v>41640</v>
      </c>
      <c r="B158" s="249">
        <v>95</v>
      </c>
      <c r="C158" s="250">
        <f t="shared" si="8"/>
        <v>-2.9622063329928561E-2</v>
      </c>
      <c r="D158" s="248">
        <v>41640</v>
      </c>
      <c r="E158" s="249">
        <v>107.57</v>
      </c>
      <c r="F158" s="251">
        <f t="shared" si="6"/>
        <v>-2.7659766790201545E-2</v>
      </c>
      <c r="G158" s="248">
        <v>41640</v>
      </c>
      <c r="H158" s="249">
        <v>4.7</v>
      </c>
      <c r="I158" s="251">
        <f t="shared" si="7"/>
        <v>0.10849056603773577</v>
      </c>
    </row>
    <row r="159" spans="1:9">
      <c r="A159" s="248">
        <v>41671</v>
      </c>
      <c r="B159" s="249">
        <v>100.7</v>
      </c>
      <c r="C159" s="250">
        <f t="shared" si="8"/>
        <v>6.0000000000000053E-2</v>
      </c>
      <c r="D159" s="248">
        <v>41671</v>
      </c>
      <c r="E159" s="249">
        <v>108.81</v>
      </c>
      <c r="F159" s="251">
        <f t="shared" si="6"/>
        <v>1.1527377521613813E-2</v>
      </c>
      <c r="G159" s="248">
        <v>41671</v>
      </c>
      <c r="H159" s="249">
        <v>5.98</v>
      </c>
      <c r="I159" s="251">
        <f t="shared" si="7"/>
        <v>0.27234042553191484</v>
      </c>
    </row>
    <row r="160" spans="1:9">
      <c r="A160" s="248">
        <v>41699</v>
      </c>
      <c r="B160" s="249">
        <v>100.57</v>
      </c>
      <c r="C160" s="250">
        <f t="shared" si="8"/>
        <v>-1.2909632571996843E-3</v>
      </c>
      <c r="D160" s="248">
        <v>41699</v>
      </c>
      <c r="E160" s="249">
        <v>107.41</v>
      </c>
      <c r="F160" s="251">
        <f t="shared" si="6"/>
        <v>-1.286646447936779E-2</v>
      </c>
      <c r="G160" s="248">
        <v>41699</v>
      </c>
      <c r="H160" s="249">
        <v>4.88</v>
      </c>
      <c r="I160" s="251">
        <f t="shared" si="7"/>
        <v>-0.18394648829431448</v>
      </c>
    </row>
    <row r="161" spans="1:9">
      <c r="A161" s="248">
        <v>41730</v>
      </c>
      <c r="B161" s="249">
        <v>102.18</v>
      </c>
      <c r="C161" s="250">
        <f t="shared" si="8"/>
        <v>1.6008750124291593E-2</v>
      </c>
      <c r="D161" s="248">
        <v>41730</v>
      </c>
      <c r="E161" s="249">
        <v>107.88</v>
      </c>
      <c r="F161" s="251">
        <f t="shared" si="6"/>
        <v>4.3757564472581834E-3</v>
      </c>
      <c r="G161" s="248">
        <v>41730</v>
      </c>
      <c r="H161" s="249">
        <v>4.63</v>
      </c>
      <c r="I161" s="251">
        <f t="shared" si="7"/>
        <v>-5.1229508196721341E-2</v>
      </c>
    </row>
    <row r="162" spans="1:9">
      <c r="A162" s="248">
        <v>41760</v>
      </c>
      <c r="B162" s="249">
        <v>102</v>
      </c>
      <c r="C162" s="250">
        <f t="shared" si="8"/>
        <v>-1.7615971814445297E-3</v>
      </c>
      <c r="D162" s="248">
        <v>41760</v>
      </c>
      <c r="E162" s="249">
        <v>109.68</v>
      </c>
      <c r="F162" s="251">
        <f t="shared" si="6"/>
        <v>1.6685205784204848E-2</v>
      </c>
      <c r="G162" s="248">
        <v>41760</v>
      </c>
      <c r="H162" s="249">
        <v>4.5599999999999996</v>
      </c>
      <c r="I162" s="251">
        <f t="shared" si="7"/>
        <v>-1.5118790496760348E-2</v>
      </c>
    </row>
    <row r="163" spans="1:9">
      <c r="A163" s="248">
        <v>41791</v>
      </c>
      <c r="B163" s="249">
        <v>105.24</v>
      </c>
      <c r="C163" s="250">
        <f t="shared" si="8"/>
        <v>3.1764705882352917E-2</v>
      </c>
      <c r="D163" s="248">
        <v>41791</v>
      </c>
      <c r="E163" s="249">
        <v>111.87</v>
      </c>
      <c r="F163" s="251">
        <f t="shared" si="6"/>
        <v>1.9967177242888434E-2</v>
      </c>
      <c r="G163" s="248">
        <v>41791</v>
      </c>
      <c r="H163" s="249">
        <v>4.57</v>
      </c>
      <c r="I163" s="251">
        <f t="shared" si="7"/>
        <v>2.1929824561404132E-3</v>
      </c>
    </row>
    <row r="164" spans="1:9">
      <c r="A164" s="248">
        <v>41821</v>
      </c>
      <c r="B164" s="249">
        <v>102.99</v>
      </c>
      <c r="C164" s="250">
        <f t="shared" si="8"/>
        <v>-2.1379703534777694E-2</v>
      </c>
      <c r="D164" s="248">
        <v>41821</v>
      </c>
      <c r="E164" s="249">
        <v>106.98</v>
      </c>
      <c r="F164" s="251">
        <f t="shared" si="6"/>
        <v>-4.371145079109684E-2</v>
      </c>
      <c r="G164" s="248">
        <v>41821</v>
      </c>
      <c r="H164" s="249">
        <v>4.01</v>
      </c>
      <c r="I164" s="251">
        <f t="shared" si="7"/>
        <v>-0.12253829321663035</v>
      </c>
    </row>
    <row r="165" spans="1:9">
      <c r="A165" s="248">
        <v>41852</v>
      </c>
      <c r="B165" s="249">
        <v>96.38</v>
      </c>
      <c r="C165" s="250">
        <f t="shared" si="8"/>
        <v>-6.4180988445480147E-2</v>
      </c>
      <c r="D165" s="248">
        <v>41852</v>
      </c>
      <c r="E165" s="249">
        <v>101.92</v>
      </c>
      <c r="F165" s="251">
        <f t="shared" si="6"/>
        <v>-4.7298560478594154E-2</v>
      </c>
      <c r="G165" s="248">
        <v>41852</v>
      </c>
      <c r="H165" s="249">
        <v>3.89</v>
      </c>
      <c r="I165" s="251">
        <f t="shared" si="7"/>
        <v>-2.9925187032418865E-2</v>
      </c>
    </row>
    <row r="166" spans="1:9">
      <c r="A166" s="248">
        <v>41883</v>
      </c>
      <c r="B166" s="249">
        <v>93.35</v>
      </c>
      <c r="C166" s="250">
        <f t="shared" si="8"/>
        <v>-3.1438057688317089E-2</v>
      </c>
      <c r="D166" s="248">
        <v>41883</v>
      </c>
      <c r="E166" s="249">
        <v>97.34</v>
      </c>
      <c r="F166" s="251">
        <f t="shared" si="6"/>
        <v>-4.4937205651491396E-2</v>
      </c>
      <c r="G166" s="248">
        <v>41883</v>
      </c>
      <c r="H166" s="249">
        <v>3.92</v>
      </c>
      <c r="I166" s="251">
        <f t="shared" si="7"/>
        <v>7.7120822622107621E-3</v>
      </c>
    </row>
    <row r="167" spans="1:9">
      <c r="A167" s="248">
        <v>41913</v>
      </c>
      <c r="B167" s="249">
        <v>84.4</v>
      </c>
      <c r="C167" s="250">
        <f t="shared" si="8"/>
        <v>-9.5875736475629192E-2</v>
      </c>
      <c r="D167" s="248">
        <v>41913</v>
      </c>
      <c r="E167" s="249">
        <v>87.27</v>
      </c>
      <c r="F167" s="251">
        <f t="shared" si="6"/>
        <v>-0.10345181836860495</v>
      </c>
      <c r="G167" s="248">
        <v>41913</v>
      </c>
      <c r="H167" s="249">
        <v>3.77</v>
      </c>
      <c r="I167" s="251">
        <f t="shared" si="7"/>
        <v>-3.8265306122448939E-2</v>
      </c>
    </row>
    <row r="168" spans="1:9">
      <c r="A168" s="248">
        <v>41944</v>
      </c>
      <c r="B168" s="249">
        <v>75.7</v>
      </c>
      <c r="C168" s="250">
        <f t="shared" si="8"/>
        <v>-0.10308056872037918</v>
      </c>
      <c r="D168" s="248">
        <v>41944</v>
      </c>
      <c r="E168" s="249">
        <v>78.44</v>
      </c>
      <c r="F168" s="251">
        <f t="shared" si="6"/>
        <v>-0.10118024521599633</v>
      </c>
      <c r="G168" s="248">
        <v>41944</v>
      </c>
      <c r="H168" s="249">
        <v>4.0999999999999996</v>
      </c>
      <c r="I168" s="251">
        <f t="shared" si="7"/>
        <v>8.7533156498673659E-2</v>
      </c>
    </row>
    <row r="169" spans="1:9">
      <c r="A169" s="248">
        <v>41974</v>
      </c>
      <c r="B169" s="249">
        <v>59.1</v>
      </c>
      <c r="C169" s="250">
        <f t="shared" si="8"/>
        <v>-0.21928665785997359</v>
      </c>
      <c r="D169" s="248">
        <v>41974</v>
      </c>
      <c r="E169" s="249">
        <v>62.16</v>
      </c>
      <c r="F169" s="251">
        <f t="shared" si="6"/>
        <v>-0.20754716981132082</v>
      </c>
      <c r="G169" s="248">
        <v>41974</v>
      </c>
      <c r="H169" s="249">
        <v>3.43</v>
      </c>
      <c r="I169" s="251">
        <f t="shared" si="7"/>
        <v>-0.16341463414634139</v>
      </c>
    </row>
    <row r="170" spans="1:9">
      <c r="A170" s="248">
        <v>42005</v>
      </c>
      <c r="B170" s="249">
        <v>47.6</v>
      </c>
      <c r="C170" s="250">
        <f t="shared" si="8"/>
        <v>-0.19458544839255498</v>
      </c>
      <c r="D170" s="248">
        <v>42005</v>
      </c>
      <c r="E170" s="249">
        <v>48.42</v>
      </c>
      <c r="F170" s="251">
        <f t="shared" si="6"/>
        <v>-0.22104247104247099</v>
      </c>
      <c r="G170" s="248">
        <v>42005</v>
      </c>
      <c r="H170" s="249">
        <v>2.97</v>
      </c>
      <c r="I170" s="251">
        <f t="shared" si="7"/>
        <v>-0.13411078717201164</v>
      </c>
    </row>
    <row r="171" spans="1:9">
      <c r="A171" s="248">
        <v>42036</v>
      </c>
      <c r="B171" s="249">
        <v>50.72</v>
      </c>
      <c r="C171" s="250">
        <f t="shared" si="8"/>
        <v>6.5546218487394947E-2</v>
      </c>
      <c r="D171" s="248">
        <v>42036</v>
      </c>
      <c r="E171" s="249">
        <v>57.93</v>
      </c>
      <c r="F171" s="251">
        <f t="shared" si="6"/>
        <v>0.19640644361833948</v>
      </c>
      <c r="G171" s="248">
        <v>42036</v>
      </c>
      <c r="H171" s="249">
        <v>2.85</v>
      </c>
      <c r="I171" s="251">
        <f t="shared" si="7"/>
        <v>-4.0404040404040442E-2</v>
      </c>
    </row>
    <row r="172" spans="1:9">
      <c r="A172" s="248">
        <v>42064</v>
      </c>
      <c r="B172" s="249">
        <v>47.78</v>
      </c>
      <c r="C172" s="250">
        <f t="shared" si="8"/>
        <v>-5.7965299684542559E-2</v>
      </c>
      <c r="D172" s="248">
        <v>42064</v>
      </c>
      <c r="E172" s="249">
        <v>55.79</v>
      </c>
      <c r="F172" s="251">
        <f t="shared" si="6"/>
        <v>-3.6941135853616469E-2</v>
      </c>
      <c r="G172" s="248">
        <v>42064</v>
      </c>
      <c r="H172" s="249">
        <v>2.8</v>
      </c>
      <c r="I172" s="251">
        <f t="shared" si="7"/>
        <v>-1.7543859649122862E-2</v>
      </c>
    </row>
    <row r="173" spans="1:9">
      <c r="A173" s="248">
        <v>42095</v>
      </c>
      <c r="B173" s="249">
        <v>54.2</v>
      </c>
      <c r="C173" s="250">
        <f t="shared" si="8"/>
        <v>0.13436584344914193</v>
      </c>
      <c r="D173" s="248">
        <v>42095</v>
      </c>
      <c r="E173" s="249">
        <v>59.39</v>
      </c>
      <c r="F173" s="251">
        <f t="shared" si="6"/>
        <v>6.4527693134970532E-2</v>
      </c>
      <c r="G173" s="248">
        <v>42095</v>
      </c>
      <c r="H173" s="249">
        <v>2.58</v>
      </c>
      <c r="I173" s="251">
        <f t="shared" si="7"/>
        <v>-7.8571428571428514E-2</v>
      </c>
    </row>
    <row r="174" spans="1:9">
      <c r="A174" s="248">
        <v>42125</v>
      </c>
      <c r="B174" s="249">
        <v>59.26</v>
      </c>
      <c r="C174" s="250">
        <f t="shared" si="8"/>
        <v>9.335793357933575E-2</v>
      </c>
      <c r="D174" s="248">
        <v>42125</v>
      </c>
      <c r="E174" s="249">
        <v>64.56</v>
      </c>
      <c r="F174" s="251">
        <f t="shared" si="6"/>
        <v>8.7051692204074715E-2</v>
      </c>
      <c r="G174" s="248">
        <v>42125</v>
      </c>
      <c r="H174" s="249">
        <v>2.84</v>
      </c>
      <c r="I174" s="251">
        <f t="shared" si="7"/>
        <v>0.10077519379844957</v>
      </c>
    </row>
    <row r="175" spans="1:9">
      <c r="A175" s="248">
        <v>42156</v>
      </c>
      <c r="B175" s="249">
        <v>59.8</v>
      </c>
      <c r="C175" s="250">
        <f t="shared" si="8"/>
        <v>9.1123860951738411E-3</v>
      </c>
      <c r="D175" s="248">
        <v>42156</v>
      </c>
      <c r="E175" s="249">
        <v>62.35</v>
      </c>
      <c r="F175" s="251">
        <f t="shared" si="6"/>
        <v>-3.4231722428748501E-2</v>
      </c>
      <c r="G175" s="248">
        <v>42156</v>
      </c>
      <c r="H175" s="249">
        <v>2.77</v>
      </c>
      <c r="I175" s="251">
        <f t="shared" si="7"/>
        <v>-2.4647887323943629E-2</v>
      </c>
    </row>
    <row r="176" spans="1:9">
      <c r="A176" s="248">
        <v>42186</v>
      </c>
      <c r="B176" s="249">
        <v>51.16</v>
      </c>
      <c r="C176" s="250">
        <f t="shared" si="8"/>
        <v>-0.14448160535117061</v>
      </c>
      <c r="D176" s="248">
        <v>42186</v>
      </c>
      <c r="E176" s="249">
        <v>55.87</v>
      </c>
      <c r="F176" s="251">
        <f t="shared" si="6"/>
        <v>-0.10392943063352056</v>
      </c>
      <c r="G176" s="248">
        <v>42186</v>
      </c>
      <c r="H176" s="249">
        <v>2.83</v>
      </c>
      <c r="I176" s="251">
        <f t="shared" si="7"/>
        <v>2.1660649819494671E-2</v>
      </c>
    </row>
    <row r="177" spans="1:9">
      <c r="A177" s="248">
        <v>42217</v>
      </c>
      <c r="B177" s="249">
        <v>42.86</v>
      </c>
      <c r="C177" s="250">
        <f t="shared" si="8"/>
        <v>-0.16223612197028925</v>
      </c>
      <c r="D177" s="248">
        <v>42217</v>
      </c>
      <c r="E177" s="249">
        <v>46.99</v>
      </c>
      <c r="F177" s="251">
        <f t="shared" si="6"/>
        <v>-0.1589403973509933</v>
      </c>
      <c r="G177" s="248">
        <v>42217</v>
      </c>
      <c r="H177" s="249">
        <v>2.76</v>
      </c>
      <c r="I177" s="251">
        <f t="shared" si="7"/>
        <v>-2.4734982332155542E-2</v>
      </c>
    </row>
    <row r="178" spans="1:9">
      <c r="A178" s="248">
        <v>42248</v>
      </c>
      <c r="B178" s="249">
        <v>45.48</v>
      </c>
      <c r="C178" s="250">
        <f t="shared" si="8"/>
        <v>6.1129258049463342E-2</v>
      </c>
      <c r="D178" s="248">
        <v>42248</v>
      </c>
      <c r="E178" s="249">
        <v>47.23</v>
      </c>
      <c r="F178" s="251">
        <f t="shared" si="6"/>
        <v>5.1074696743986792E-3</v>
      </c>
      <c r="G178" s="248">
        <v>42248</v>
      </c>
      <c r="H178" s="249">
        <v>2.65</v>
      </c>
      <c r="I178" s="251">
        <f t="shared" si="7"/>
        <v>-3.9855072463768071E-2</v>
      </c>
    </row>
    <row r="179" spans="1:9">
      <c r="A179" s="248">
        <v>42278</v>
      </c>
      <c r="B179" s="249">
        <v>46.2</v>
      </c>
      <c r="C179" s="250">
        <f t="shared" si="8"/>
        <v>1.5831134564644023E-2</v>
      </c>
      <c r="D179" s="248">
        <v>42278</v>
      </c>
      <c r="E179" s="249">
        <v>48.12</v>
      </c>
      <c r="F179" s="251">
        <f t="shared" si="6"/>
        <v>1.8843955113275523E-2</v>
      </c>
      <c r="G179" s="248">
        <v>42278</v>
      </c>
      <c r="H179" s="249">
        <v>2.3199999999999998</v>
      </c>
      <c r="I179" s="251">
        <f t="shared" si="7"/>
        <v>-0.12452830188679254</v>
      </c>
    </row>
    <row r="180" spans="1:9">
      <c r="A180" s="248">
        <v>42309</v>
      </c>
      <c r="B180" s="249">
        <v>42.65</v>
      </c>
      <c r="C180" s="250">
        <f t="shared" si="8"/>
        <v>-7.683982683982693E-2</v>
      </c>
      <c r="D180" s="248">
        <v>42309</v>
      </c>
      <c r="E180" s="249">
        <v>44.42</v>
      </c>
      <c r="F180" s="251">
        <f t="shared" si="6"/>
        <v>-7.6891105569409701E-2</v>
      </c>
      <c r="G180" s="248">
        <v>42309</v>
      </c>
      <c r="H180" s="249">
        <v>2.08</v>
      </c>
      <c r="I180" s="251">
        <f t="shared" si="7"/>
        <v>-0.10344827586206884</v>
      </c>
    </row>
    <row r="181" spans="1:9">
      <c r="A181" s="248">
        <v>42339</v>
      </c>
      <c r="B181" s="249">
        <v>37.24</v>
      </c>
      <c r="C181" s="250">
        <f t="shared" si="8"/>
        <v>-0.12684642438452509</v>
      </c>
      <c r="D181" s="248">
        <v>42339</v>
      </c>
      <c r="E181" s="249">
        <v>37.72</v>
      </c>
      <c r="F181" s="251">
        <f t="shared" si="6"/>
        <v>-0.15083295812696984</v>
      </c>
      <c r="G181" s="248">
        <v>42339</v>
      </c>
      <c r="H181" s="249">
        <v>1.92</v>
      </c>
      <c r="I181" s="251">
        <f t="shared" si="7"/>
        <v>-7.6923076923076983E-2</v>
      </c>
    </row>
    <row r="182" spans="1:9">
      <c r="A182" s="248">
        <v>42370</v>
      </c>
      <c r="B182" s="249">
        <v>31.7</v>
      </c>
      <c r="C182" s="250">
        <f t="shared" si="8"/>
        <v>-0.14876476906552105</v>
      </c>
      <c r="D182" s="248">
        <v>42370</v>
      </c>
      <c r="E182" s="249">
        <v>30.8</v>
      </c>
      <c r="F182" s="251">
        <f t="shared" si="6"/>
        <v>-0.18345705196182394</v>
      </c>
      <c r="G182" s="248">
        <v>42370</v>
      </c>
      <c r="H182" s="249">
        <v>2.27</v>
      </c>
      <c r="I182" s="251">
        <f t="shared" si="7"/>
        <v>0.18229166666666674</v>
      </c>
    </row>
    <row r="183" spans="1:9">
      <c r="A183" s="252">
        <v>42401</v>
      </c>
      <c r="B183" s="253">
        <v>30.35</v>
      </c>
      <c r="C183" s="254">
        <f t="shared" si="8"/>
        <v>-4.258675078864349E-2</v>
      </c>
      <c r="D183" s="252">
        <v>42401</v>
      </c>
      <c r="E183" s="253">
        <v>33.200000000000003</v>
      </c>
      <c r="F183" s="255">
        <f t="shared" si="6"/>
        <v>7.7922077922077948E-2</v>
      </c>
      <c r="G183" s="252">
        <v>42401</v>
      </c>
      <c r="H183" s="253">
        <v>1.96</v>
      </c>
      <c r="I183" s="255">
        <f t="shared" si="7"/>
        <v>-0.13656387665198244</v>
      </c>
    </row>
  </sheetData>
  <mergeCells count="3">
    <mergeCell ref="A1:C1"/>
    <mergeCell ref="D1:F1"/>
    <mergeCell ref="G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8"/>
  <dimension ref="A1:E20"/>
  <sheetViews>
    <sheetView workbookViewId="0">
      <selection activeCell="E24" sqref="E24"/>
    </sheetView>
  </sheetViews>
  <sheetFormatPr baseColWidth="10" defaultColWidth="10.83203125" defaultRowHeight="16"/>
  <cols>
    <col min="1" max="1" width="16.6640625" style="19" bestFit="1" customWidth="1"/>
    <col min="2" max="2" width="18.83203125" style="19" customWidth="1"/>
    <col min="3" max="16384" width="10.83203125" style="19"/>
  </cols>
  <sheetData>
    <row r="1" spans="1:3">
      <c r="A1" s="257" t="str">
        <f>IF(Units="Million","USD in Million","USD in Thousand ")</f>
        <v xml:space="preserve">USD in Thousand </v>
      </c>
      <c r="B1" s="258"/>
      <c r="C1" s="258"/>
    </row>
    <row r="2" spans="1:3" ht="17">
      <c r="A2" s="244" t="s">
        <v>198</v>
      </c>
      <c r="B2" s="259" t="s">
        <v>252</v>
      </c>
      <c r="C2" s="260" t="s">
        <v>270</v>
      </c>
    </row>
    <row r="3" spans="1:3">
      <c r="A3" s="444">
        <f>IF(EarliestYear&lt;&gt;"",EarliestYear,"")</f>
        <v>2006</v>
      </c>
      <c r="B3" s="442">
        <v>29881000</v>
      </c>
      <c r="C3" s="443"/>
    </row>
    <row r="4" spans="1:3">
      <c r="A4" s="444">
        <f t="shared" ref="A4:A12" si="0">IF(LatestYear&gt;A3,A3+1,"")</f>
        <v>2007</v>
      </c>
      <c r="B4" s="442">
        <v>11791000</v>
      </c>
      <c r="C4" s="443">
        <f>B4/B3-1</f>
        <v>-0.60540142565509858</v>
      </c>
    </row>
    <row r="5" spans="1:3">
      <c r="A5" s="444">
        <f t="shared" si="0"/>
        <v>2008</v>
      </c>
      <c r="B5" s="442">
        <v>19099000</v>
      </c>
      <c r="C5" s="443">
        <f t="shared" ref="C5:C13" si="1">B5/B4-1</f>
        <v>0.61979475871427359</v>
      </c>
    </row>
    <row r="6" spans="1:3">
      <c r="A6" s="444">
        <f t="shared" si="0"/>
        <v>2009</v>
      </c>
      <c r="B6" s="442">
        <v>10861000</v>
      </c>
      <c r="C6" s="443">
        <f t="shared" si="1"/>
        <v>-0.43133148332373428</v>
      </c>
    </row>
    <row r="7" spans="1:3">
      <c r="A7" s="444">
        <f t="shared" si="0"/>
        <v>2010</v>
      </c>
      <c r="B7" s="442">
        <v>9761000</v>
      </c>
      <c r="C7" s="443">
        <f t="shared" si="1"/>
        <v>-0.10127980848908935</v>
      </c>
    </row>
    <row r="8" spans="1:3">
      <c r="A8" s="444">
        <f t="shared" si="0"/>
        <v>2011</v>
      </c>
      <c r="B8" s="442">
        <v>13266000</v>
      </c>
      <c r="C8" s="443">
        <f t="shared" si="1"/>
        <v>0.35908206126421471</v>
      </c>
    </row>
    <row r="9" spans="1:3">
      <c r="A9" s="444">
        <f t="shared" si="0"/>
        <v>2012</v>
      </c>
      <c r="B9" s="442">
        <v>14172000</v>
      </c>
      <c r="C9" s="443">
        <f t="shared" si="1"/>
        <v>6.8294889190411601E-2</v>
      </c>
    </row>
    <row r="10" spans="1:3">
      <c r="A10" s="444">
        <f t="shared" si="0"/>
        <v>2013</v>
      </c>
      <c r="B10" s="442">
        <v>15537000</v>
      </c>
      <c r="C10" s="443">
        <f t="shared" si="1"/>
        <v>9.6316680779000796E-2</v>
      </c>
    </row>
    <row r="11" spans="1:3">
      <c r="A11" s="444">
        <f t="shared" si="0"/>
        <v>2014</v>
      </c>
      <c r="B11" s="442">
        <v>17085000</v>
      </c>
      <c r="C11" s="443">
        <f t="shared" si="1"/>
        <v>9.9633133809615693E-2</v>
      </c>
    </row>
    <row r="12" spans="1:3">
      <c r="A12" s="444">
        <f t="shared" si="0"/>
        <v>2015</v>
      </c>
      <c r="B12" s="442">
        <v>10050000</v>
      </c>
      <c r="C12" s="443">
        <f t="shared" si="1"/>
        <v>-0.41176470588235292</v>
      </c>
    </row>
    <row r="13" spans="1:3">
      <c r="A13" s="444" t="s">
        <v>401</v>
      </c>
      <c r="B13" s="442">
        <v>6400000</v>
      </c>
      <c r="C13" s="443">
        <f t="shared" si="1"/>
        <v>-0.36318407960199006</v>
      </c>
    </row>
    <row r="14" spans="1:3">
      <c r="A14" s="444" t="s">
        <v>400</v>
      </c>
      <c r="B14" s="442">
        <v>5500000</v>
      </c>
      <c r="C14" s="443">
        <f>B14/B12-1</f>
        <v>-0.45273631840796025</v>
      </c>
    </row>
    <row r="16" spans="1:3">
      <c r="B16" s="110"/>
    </row>
    <row r="20" spans="1:5">
      <c r="A20" s="519" t="s">
        <v>253</v>
      </c>
      <c r="B20" s="519"/>
      <c r="C20" s="519"/>
      <c r="D20" s="519"/>
      <c r="E20" s="519"/>
    </row>
  </sheetData>
  <mergeCells count="1">
    <mergeCell ref="A20:E2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1:AG188"/>
  <sheetViews>
    <sheetView topLeftCell="A104" workbookViewId="0">
      <selection activeCell="A52" sqref="A52:A53"/>
    </sheetView>
  </sheetViews>
  <sheetFormatPr baseColWidth="10" defaultColWidth="8.83203125" defaultRowHeight="16"/>
  <cols>
    <col min="1" max="1" width="41.1640625" style="274" bestFit="1" customWidth="1"/>
    <col min="2" max="2" width="16" style="274" bestFit="1" customWidth="1"/>
    <col min="3" max="3" width="32.83203125" style="274" bestFit="1" customWidth="1"/>
    <col min="4" max="4" width="32.5" style="274" bestFit="1" customWidth="1"/>
    <col min="5" max="7" width="15" style="274" bestFit="1" customWidth="1"/>
    <col min="8" max="8" width="15" style="274" customWidth="1"/>
    <col min="9" max="9" width="8.83203125" style="274"/>
    <col min="10" max="10" width="22.33203125" style="274" bestFit="1" customWidth="1"/>
    <col min="11" max="11" width="9" style="274" bestFit="1" customWidth="1"/>
    <col min="12" max="16384" width="8.83203125" style="274"/>
  </cols>
  <sheetData>
    <row r="1" spans="1:9" s="263" customFormat="1" ht="23">
      <c r="A1" s="520" t="str">
        <f>CorpName</f>
        <v>ConocoPhilips</v>
      </c>
      <c r="B1" s="520"/>
      <c r="C1" s="520"/>
      <c r="D1" s="520"/>
      <c r="E1" s="520"/>
      <c r="F1" s="520"/>
      <c r="G1" s="520"/>
      <c r="H1" s="261"/>
      <c r="I1" s="262"/>
    </row>
    <row r="2" spans="1:9" s="263" customFormat="1">
      <c r="A2" s="261"/>
      <c r="B2" s="261"/>
      <c r="C2" s="261"/>
      <c r="D2" s="261"/>
      <c r="E2" s="261"/>
      <c r="F2" s="261"/>
      <c r="G2" s="261"/>
      <c r="H2" s="261"/>
      <c r="I2" s="262"/>
    </row>
    <row r="3" spans="1:9" s="263" customFormat="1" ht="17" thickBot="1">
      <c r="A3" s="261"/>
      <c r="B3" s="261"/>
      <c r="C3" s="261"/>
      <c r="D3" s="261"/>
      <c r="E3" s="261"/>
      <c r="F3" s="261"/>
      <c r="G3" s="261"/>
      <c r="H3" s="261"/>
      <c r="I3" s="262"/>
    </row>
    <row r="4" spans="1:9" s="263" customFormat="1" ht="17" customHeight="1" thickBot="1">
      <c r="A4" s="527" t="s">
        <v>266</v>
      </c>
      <c r="B4" s="528"/>
      <c r="C4" s="264"/>
      <c r="D4" s="527" t="s">
        <v>393</v>
      </c>
      <c r="E4" s="528"/>
      <c r="F4" s="264"/>
      <c r="G4" s="264"/>
      <c r="H4" s="264"/>
    </row>
    <row r="5" spans="1:9" s="263" customFormat="1">
      <c r="A5" s="265" t="s">
        <v>199</v>
      </c>
      <c r="B5" s="266">
        <f>'Sales Growth - I'!G6</f>
        <v>8.0274130015890871E-2</v>
      </c>
      <c r="C5" s="264" t="str">
        <f ca="1">_xlfn.FORMULATEXT(B5)</f>
        <v>='Sales Growth - I'!G6</v>
      </c>
      <c r="D5" s="265" t="s">
        <v>395</v>
      </c>
      <c r="E5" s="438">
        <v>6400000</v>
      </c>
      <c r="G5" s="264"/>
      <c r="H5" s="264"/>
    </row>
    <row r="6" spans="1:9" s="263" customFormat="1">
      <c r="A6" s="265" t="s">
        <v>177</v>
      </c>
      <c r="B6" s="266">
        <f>'Ratio Analysis'!L21</f>
        <v>0.76398900921286572</v>
      </c>
      <c r="C6" s="264" t="str">
        <f t="shared" ref="C6:C11" ca="1" si="0">_xlfn.FORMULATEXT(B6)</f>
        <v>='Ratio Analysis'!L21</v>
      </c>
      <c r="D6" s="265" t="s">
        <v>396</v>
      </c>
      <c r="E6" s="266">
        <v>0.6986</v>
      </c>
      <c r="F6" s="264"/>
      <c r="G6" s="264"/>
      <c r="H6" s="264"/>
    </row>
    <row r="7" spans="1:9" s="263" customFormat="1">
      <c r="A7" s="265" t="s">
        <v>162</v>
      </c>
      <c r="B7" s="266">
        <f>'Ratio Analysis'!L23</f>
        <v>3.0806529820591563E-2</v>
      </c>
      <c r="C7" s="264" t="str">
        <f t="shared" ca="1" si="0"/>
        <v>='Ratio Analysis'!L23</v>
      </c>
      <c r="D7" s="265" t="s">
        <v>415</v>
      </c>
      <c r="E7" s="458">
        <f>B89</f>
        <v>23453000</v>
      </c>
      <c r="F7" s="264"/>
      <c r="G7" s="264"/>
      <c r="H7" s="264"/>
    </row>
    <row r="8" spans="1:9" s="263" customFormat="1">
      <c r="A8" s="265" t="s">
        <v>262</v>
      </c>
      <c r="B8" s="266">
        <f>'Ratio Analysis'!L76</f>
        <v>0.29458542104412477</v>
      </c>
      <c r="C8" s="264" t="str">
        <f t="shared" ca="1" si="0"/>
        <v>='Ratio Analysis'!L76</v>
      </c>
      <c r="D8" s="265"/>
      <c r="E8" s="266"/>
      <c r="F8" s="264"/>
      <c r="G8" s="264"/>
      <c r="H8" s="264"/>
    </row>
    <row r="9" spans="1:9" s="263" customFormat="1">
      <c r="A9" s="265" t="s">
        <v>263</v>
      </c>
      <c r="B9" s="266">
        <f>'Ratio Analysis'!L24</f>
        <v>0.11488605139809277</v>
      </c>
      <c r="C9" s="264" t="str">
        <f t="shared" ca="1" si="0"/>
        <v>='Ratio Analysis'!L24</v>
      </c>
      <c r="D9" s="265"/>
      <c r="E9" s="266"/>
      <c r="F9" s="264"/>
      <c r="G9" s="264"/>
      <c r="H9" s="264"/>
    </row>
    <row r="10" spans="1:9" s="263" customFormat="1">
      <c r="A10" s="267" t="s">
        <v>264</v>
      </c>
      <c r="B10" s="268">
        <f>'Ratio Analysis'!L26</f>
        <v>2.9739776951672861E-2</v>
      </c>
      <c r="C10" s="264" t="str">
        <f t="shared" ca="1" si="0"/>
        <v>='Ratio Analysis'!L26</v>
      </c>
      <c r="D10" s="267"/>
      <c r="E10" s="268"/>
      <c r="F10" s="264"/>
      <c r="G10" s="264"/>
      <c r="H10" s="264"/>
    </row>
    <row r="11" spans="1:9" s="263" customFormat="1">
      <c r="A11" s="265" t="s">
        <v>265</v>
      </c>
      <c r="B11" s="266">
        <f>'Ratio Analysis'!L31</f>
        <v>-1.8425731372232099E-3</v>
      </c>
      <c r="C11" s="264" t="str">
        <f t="shared" ca="1" si="0"/>
        <v>='Ratio Analysis'!L31</v>
      </c>
      <c r="D11" s="265"/>
      <c r="E11" s="266"/>
      <c r="F11" s="264"/>
      <c r="G11" s="264"/>
      <c r="H11" s="264"/>
    </row>
    <row r="12" spans="1:9" s="263" customFormat="1">
      <c r="A12" s="265" t="s">
        <v>124</v>
      </c>
      <c r="B12" s="266">
        <f>'Ratio Analysis'!L54</f>
        <v>0.39618731869042684</v>
      </c>
      <c r="C12" s="264" t="str">
        <f ca="1">_xlfn.FORMULATEXT(B12)</f>
        <v>='Ratio Analysis'!L54</v>
      </c>
      <c r="D12" s="265"/>
      <c r="E12" s="266"/>
      <c r="F12" s="264"/>
      <c r="G12" s="264"/>
      <c r="H12" s="264"/>
    </row>
    <row r="13" spans="1:9" s="263" customFormat="1" ht="17" thickBot="1">
      <c r="A13" s="269" t="s">
        <v>200</v>
      </c>
      <c r="B13" s="270"/>
      <c r="C13" s="264"/>
      <c r="D13" s="269"/>
      <c r="E13" s="270"/>
      <c r="F13" s="264"/>
      <c r="G13" s="264"/>
      <c r="H13" s="264"/>
    </row>
    <row r="14" spans="1:9" s="263" customFormat="1" ht="17" thickBot="1">
      <c r="A14" s="271"/>
      <c r="B14" s="272"/>
      <c r="C14" s="264"/>
      <c r="D14" s="264"/>
      <c r="E14" s="264"/>
      <c r="F14" s="264"/>
      <c r="G14" s="264"/>
      <c r="H14" s="264"/>
    </row>
    <row r="15" spans="1:9" s="263" customFormat="1" ht="17" thickBot="1">
      <c r="A15" s="527" t="s">
        <v>267</v>
      </c>
      <c r="B15" s="528"/>
      <c r="C15" s="264"/>
      <c r="D15" s="264"/>
      <c r="E15" s="264"/>
      <c r="F15" s="264"/>
      <c r="G15" s="264"/>
      <c r="H15" s="264"/>
    </row>
    <row r="16" spans="1:9" s="263" customFormat="1">
      <c r="A16" s="162" t="s">
        <v>23</v>
      </c>
      <c r="B16" s="266">
        <f>'Ratio Analysis'!$L$33</f>
        <v>7.6547599806044933E-2</v>
      </c>
      <c r="C16" s="264" t="str">
        <f ca="1">_xlfn.FORMULATEXT(B16)</f>
        <v>='Ratio Analysis'!$L$33</v>
      </c>
      <c r="D16" s="264"/>
      <c r="E16" s="264"/>
      <c r="F16" s="264"/>
      <c r="G16" s="264"/>
      <c r="H16" s="264"/>
    </row>
    <row r="17" spans="1:8" s="263" customFormat="1">
      <c r="A17" s="82" t="s">
        <v>26</v>
      </c>
      <c r="B17" s="266">
        <f>'Ratio Analysis'!$L$35</f>
        <v>0.14591886213027316</v>
      </c>
      <c r="C17" s="264" t="str">
        <f t="shared" ref="C17:C34" ca="1" si="1">_xlfn.FORMULATEXT(B17)</f>
        <v>='Ratio Analysis'!$L$35</v>
      </c>
      <c r="D17" s="264"/>
      <c r="E17" s="264"/>
      <c r="F17" s="264"/>
      <c r="G17" s="264"/>
      <c r="H17" s="264"/>
    </row>
    <row r="18" spans="1:8" s="263" customFormat="1">
      <c r="A18" s="82" t="s">
        <v>5</v>
      </c>
      <c r="B18" s="266">
        <f>'Ratio Analysis'!$L$36</f>
        <v>3.6334249232261195E-2</v>
      </c>
      <c r="C18" s="264" t="str">
        <f t="shared" ca="1" si="1"/>
        <v>='Ratio Analysis'!$L$36</v>
      </c>
      <c r="D18" s="264"/>
      <c r="E18" s="264"/>
      <c r="F18" s="264"/>
      <c r="G18" s="264"/>
      <c r="H18" s="264"/>
    </row>
    <row r="19" spans="1:8" s="263" customFormat="1">
      <c r="A19" s="82" t="s">
        <v>27</v>
      </c>
      <c r="B19" s="266">
        <f>'Ratio Analysis'!$L$37</f>
        <v>2.5311136253434622E-2</v>
      </c>
      <c r="C19" s="264" t="str">
        <f t="shared" ca="1" si="1"/>
        <v>='Ratio Analysis'!$L$37</v>
      </c>
      <c r="D19" s="264"/>
      <c r="E19" s="264"/>
      <c r="F19" s="264"/>
      <c r="G19" s="264"/>
      <c r="H19" s="264"/>
    </row>
    <row r="20" spans="1:8" s="263" customFormat="1">
      <c r="A20" s="82" t="s">
        <v>24</v>
      </c>
      <c r="B20" s="266">
        <f>'Ratio Analysis'!$L$38</f>
        <v>0</v>
      </c>
      <c r="C20" s="264" t="str">
        <f t="shared" ca="1" si="1"/>
        <v>='Ratio Analysis'!$L$38</v>
      </c>
      <c r="D20" s="264"/>
      <c r="E20" s="264"/>
      <c r="F20" s="264"/>
      <c r="G20" s="264"/>
      <c r="H20" s="264"/>
    </row>
    <row r="21" spans="1:8" s="263" customFormat="1">
      <c r="A21" s="82" t="s">
        <v>30</v>
      </c>
      <c r="B21" s="266">
        <f>'Ratio Analysis'!$L$39</f>
        <v>4.4240827541619527</v>
      </c>
      <c r="C21" s="264" t="str">
        <f t="shared" ca="1" si="1"/>
        <v>='Ratio Analysis'!$L$39</v>
      </c>
      <c r="D21" s="264"/>
      <c r="E21" s="264"/>
      <c r="F21" s="264"/>
      <c r="G21" s="264"/>
      <c r="H21" s="264"/>
    </row>
    <row r="22" spans="1:8" s="263" customFormat="1">
      <c r="A22" s="82" t="s">
        <v>31</v>
      </c>
      <c r="B22" s="266">
        <f>'Ratio Analysis'!$L$40</f>
        <v>0.51449301836196382</v>
      </c>
      <c r="C22" s="264" t="str">
        <f t="shared" ca="1" si="1"/>
        <v>='Ratio Analysis'!$L$40</v>
      </c>
      <c r="D22" s="264"/>
      <c r="E22" s="264"/>
      <c r="F22" s="264"/>
      <c r="G22" s="264"/>
      <c r="H22" s="264"/>
    </row>
    <row r="23" spans="1:8" s="263" customFormat="1">
      <c r="A23" s="82" t="s">
        <v>33</v>
      </c>
      <c r="B23" s="266">
        <f>'Ratio Analysis'!L41</f>
        <v>0.66235655406497496</v>
      </c>
      <c r="C23" s="264" t="str">
        <f t="shared" ca="1" si="1"/>
        <v>='Ratio Analysis'!L41</v>
      </c>
      <c r="D23" s="264"/>
      <c r="E23" s="264"/>
      <c r="F23" s="264"/>
      <c r="G23" s="264"/>
      <c r="H23" s="264"/>
    </row>
    <row r="24" spans="1:8" s="263" customFormat="1">
      <c r="A24" s="82" t="s">
        <v>8</v>
      </c>
      <c r="B24" s="266">
        <f>'Ratio Analysis'!L42</f>
        <v>0</v>
      </c>
      <c r="C24" s="264" t="str">
        <f t="shared" ca="1" si="1"/>
        <v>='Ratio Analysis'!L42</v>
      </c>
      <c r="D24" s="264"/>
      <c r="E24" s="264"/>
      <c r="F24" s="264"/>
      <c r="G24" s="264"/>
      <c r="H24" s="264"/>
    </row>
    <row r="25" spans="1:8" s="263" customFormat="1">
      <c r="A25" s="82" t="s">
        <v>9</v>
      </c>
      <c r="B25" s="266">
        <f>'Ratio Analysis'!L43</f>
        <v>0</v>
      </c>
      <c r="C25" s="264" t="str">
        <f t="shared" ca="1" si="1"/>
        <v>='Ratio Analysis'!L43</v>
      </c>
      <c r="D25" s="264"/>
      <c r="E25" s="264"/>
      <c r="F25" s="264"/>
      <c r="G25" s="264"/>
      <c r="H25" s="264"/>
    </row>
    <row r="26" spans="1:8" s="263" customFormat="1">
      <c r="A26" s="82" t="s">
        <v>10</v>
      </c>
      <c r="B26" s="266">
        <f>'Ratio Analysis'!L44</f>
        <v>5.6861160497818003E-2</v>
      </c>
      <c r="C26" s="264" t="str">
        <f t="shared" ca="1" si="1"/>
        <v>='Ratio Analysis'!L44</v>
      </c>
      <c r="D26" s="264"/>
      <c r="E26" s="264"/>
      <c r="F26" s="264"/>
      <c r="G26" s="264"/>
      <c r="H26" s="264"/>
    </row>
    <row r="27" spans="1:8" s="263" customFormat="1">
      <c r="A27" s="82" t="s">
        <v>12</v>
      </c>
      <c r="B27" s="266">
        <f>'Ratio Analysis'!L45</f>
        <v>0.15946339098108939</v>
      </c>
      <c r="C27" s="264" t="str">
        <f t="shared" ca="1" si="1"/>
        <v>='Ratio Analysis'!L45</v>
      </c>
      <c r="D27" s="264"/>
      <c r="E27" s="264"/>
      <c r="F27" s="264"/>
      <c r="G27" s="264"/>
      <c r="H27" s="264"/>
    </row>
    <row r="28" spans="1:8" s="263" customFormat="1">
      <c r="A28" s="82" t="s">
        <v>13</v>
      </c>
      <c r="B28" s="266">
        <f>'Ratio Analysis'!L46</f>
        <v>4.6128980119605624E-2</v>
      </c>
      <c r="C28" s="264" t="str">
        <f t="shared" ca="1" si="1"/>
        <v>='Ratio Analysis'!L46</v>
      </c>
      <c r="D28" s="264"/>
      <c r="E28" s="264"/>
      <c r="F28" s="264"/>
      <c r="G28" s="264"/>
      <c r="H28" s="264"/>
    </row>
    <row r="29" spans="1:8" s="263" customFormat="1">
      <c r="A29" s="82" t="s">
        <v>40</v>
      </c>
      <c r="B29" s="266">
        <f>'Ratio Analysis'!L47</f>
        <v>4.881202521415872E-2</v>
      </c>
      <c r="C29" s="264" t="str">
        <f t="shared" ca="1" si="1"/>
        <v>='Ratio Analysis'!L47</v>
      </c>
      <c r="D29" s="264"/>
      <c r="E29" s="264"/>
      <c r="F29" s="264"/>
      <c r="G29" s="264"/>
      <c r="H29" s="264"/>
    </row>
    <row r="30" spans="1:8" s="263" customFormat="1">
      <c r="A30" s="82" t="s">
        <v>41</v>
      </c>
      <c r="B30" s="266">
        <f>'Ratio Analysis'!L48</f>
        <v>4.4803620494585424E-2</v>
      </c>
      <c r="C30" s="264" t="str">
        <f t="shared" ca="1" si="1"/>
        <v>='Ratio Analysis'!L48</v>
      </c>
      <c r="D30" s="264"/>
      <c r="E30" s="264"/>
      <c r="F30" s="264"/>
      <c r="G30" s="264"/>
      <c r="H30" s="264"/>
    </row>
    <row r="31" spans="1:8" s="263" customFormat="1">
      <c r="A31" s="82" t="s">
        <v>15</v>
      </c>
      <c r="B31" s="266">
        <f>'Ratio Analysis'!$L$77</f>
        <v>0.24058307004226334</v>
      </c>
      <c r="C31" s="264" t="str">
        <f t="shared" ca="1" si="1"/>
        <v>='Ratio Analysis'!$L$77</v>
      </c>
      <c r="D31" s="264"/>
      <c r="E31" s="264"/>
      <c r="F31" s="264"/>
      <c r="G31" s="264"/>
      <c r="H31" s="264"/>
    </row>
    <row r="32" spans="1:8" s="263" customFormat="1">
      <c r="A32" s="82" t="s">
        <v>42</v>
      </c>
      <c r="B32" s="266">
        <f>'Ratio Analysis'!$L50</f>
        <v>0.35555196379505416</v>
      </c>
      <c r="C32" s="264" t="str">
        <f t="shared" ca="1" si="1"/>
        <v>='Ratio Analysis'!$L50</v>
      </c>
      <c r="D32" s="264"/>
      <c r="E32" s="264"/>
      <c r="F32" s="264"/>
      <c r="G32" s="264"/>
      <c r="H32" s="264"/>
    </row>
    <row r="33" spans="1:33" s="263" customFormat="1">
      <c r="A33" s="82" t="s">
        <v>43</v>
      </c>
      <c r="B33" s="266">
        <f>'Ratio Analysis'!$L51</f>
        <v>7.3896880556004532E-2</v>
      </c>
      <c r="C33" s="264" t="str">
        <f t="shared" ca="1" si="1"/>
        <v>='Ratio Analysis'!$L51</v>
      </c>
      <c r="D33" s="264"/>
      <c r="E33" s="264"/>
      <c r="F33" s="264"/>
      <c r="G33" s="264"/>
      <c r="H33" s="264"/>
    </row>
    <row r="34" spans="1:33" s="263" customFormat="1" ht="17" thickBot="1">
      <c r="A34" s="82" t="s">
        <v>44</v>
      </c>
      <c r="B34" s="266">
        <f>'Ratio Analysis'!$L52</f>
        <v>0.36877323420074348</v>
      </c>
      <c r="C34" s="264" t="str">
        <f t="shared" ca="1" si="1"/>
        <v>='Ratio Analysis'!$L52</v>
      </c>
      <c r="D34" s="264"/>
      <c r="E34" s="264"/>
      <c r="F34" s="264"/>
      <c r="G34" s="264"/>
      <c r="H34" s="264"/>
    </row>
    <row r="35" spans="1:33" ht="17" thickBot="1">
      <c r="A35" s="521" t="s">
        <v>260</v>
      </c>
      <c r="B35" s="522"/>
      <c r="C35" s="522"/>
      <c r="D35" s="522"/>
      <c r="E35" s="522"/>
      <c r="F35" s="522"/>
      <c r="G35" s="523"/>
      <c r="H35" s="273"/>
    </row>
    <row r="36" spans="1:33" s="277" customFormat="1">
      <c r="A36" s="345" t="s">
        <v>198</v>
      </c>
      <c r="B36" s="346">
        <f>IF(LatestYear&lt;&gt;"",LatestYear,"")</f>
        <v>2015</v>
      </c>
      <c r="C36" s="346">
        <f>B36+1</f>
        <v>2016</v>
      </c>
      <c r="D36" s="346">
        <f t="shared" ref="D36:G36" si="2">C36+1</f>
        <v>2017</v>
      </c>
      <c r="E36" s="346">
        <f t="shared" si="2"/>
        <v>2018</v>
      </c>
      <c r="F36" s="346">
        <f t="shared" si="2"/>
        <v>2019</v>
      </c>
      <c r="G36" s="347">
        <f t="shared" si="2"/>
        <v>2020</v>
      </c>
      <c r="H36" s="275"/>
      <c r="I36" s="276"/>
      <c r="J36" s="276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  <c r="AE36" s="276"/>
      <c r="AF36" s="276"/>
      <c r="AG36" s="276"/>
    </row>
    <row r="37" spans="1:33" s="263" customFormat="1">
      <c r="A37" s="81" t="s">
        <v>205</v>
      </c>
      <c r="B37" s="292">
        <f>'Historic Income Statement'!K2</f>
        <v>30935000</v>
      </c>
      <c r="C37" s="292">
        <f>B37*(1+$B$5)</f>
        <v>33418280.212041587</v>
      </c>
      <c r="D37" s="292">
        <f t="shared" ref="D37:G37" si="3">C37*(1+$B$5)</f>
        <v>36100903.582690485</v>
      </c>
      <c r="E37" s="292">
        <f t="shared" si="3"/>
        <v>38998872.210578524</v>
      </c>
      <c r="F37" s="292">
        <f t="shared" si="3"/>
        <v>42129472.74888362</v>
      </c>
      <c r="G37" s="292">
        <f t="shared" si="3"/>
        <v>45511379.521828435</v>
      </c>
      <c r="H37" s="278"/>
      <c r="I37" s="279"/>
      <c r="J37" s="279"/>
      <c r="K37" s="279"/>
      <c r="L37" s="279"/>
      <c r="M37" s="279"/>
      <c r="N37" s="279"/>
      <c r="O37" s="279"/>
      <c r="P37" s="279"/>
      <c r="Q37" s="279"/>
      <c r="R37" s="279"/>
      <c r="S37" s="279"/>
      <c r="T37" s="279"/>
      <c r="U37" s="279"/>
      <c r="V37" s="279"/>
      <c r="W37" s="279"/>
      <c r="X37" s="279"/>
      <c r="Y37" s="279"/>
      <c r="Z37" s="279"/>
      <c r="AA37" s="279"/>
      <c r="AB37" s="279"/>
      <c r="AC37" s="279"/>
      <c r="AD37" s="279"/>
      <c r="AE37" s="280"/>
      <c r="AF37" s="280"/>
      <c r="AG37" s="280"/>
    </row>
    <row r="38" spans="1:33" s="263" customFormat="1">
      <c r="A38" s="81" t="s">
        <v>67</v>
      </c>
      <c r="B38" s="292">
        <f>-$B$6*B37</f>
        <v>-23634000</v>
      </c>
      <c r="C38" s="292">
        <f>-E6*C37</f>
        <v>-23346010.556132253</v>
      </c>
      <c r="D38" s="292">
        <f t="shared" ref="D38:G38" si="4">-$B$6*D37</f>
        <v>-27580693.5598289</v>
      </c>
      <c r="E38" s="292">
        <f t="shared" si="4"/>
        <v>-29794709.74057905</v>
      </c>
      <c r="F38" s="292">
        <f t="shared" si="4"/>
        <v>-32186454.144080024</v>
      </c>
      <c r="G38" s="293">
        <f t="shared" si="4"/>
        <v>-34770193.74879241</v>
      </c>
      <c r="H38" s="278"/>
      <c r="I38" s="279"/>
      <c r="J38" s="281"/>
      <c r="K38" s="279"/>
      <c r="L38" s="279"/>
      <c r="M38" s="279"/>
      <c r="N38" s="279"/>
      <c r="O38" s="279"/>
      <c r="P38" s="279"/>
      <c r="Q38" s="279"/>
      <c r="R38" s="279"/>
      <c r="S38" s="279"/>
      <c r="T38" s="279"/>
      <c r="U38" s="279"/>
      <c r="V38" s="279"/>
      <c r="W38" s="279"/>
      <c r="X38" s="279"/>
      <c r="Y38" s="279"/>
      <c r="Z38" s="279"/>
      <c r="AA38" s="279"/>
      <c r="AB38" s="279"/>
      <c r="AC38" s="279"/>
      <c r="AD38" s="279"/>
      <c r="AE38" s="280"/>
      <c r="AF38" s="280"/>
      <c r="AG38" s="280"/>
    </row>
    <row r="39" spans="1:33" s="263" customFormat="1">
      <c r="A39" s="81" t="s">
        <v>65</v>
      </c>
      <c r="B39" s="292">
        <f>SUM(B37:B38)</f>
        <v>7301000</v>
      </c>
      <c r="C39" s="292">
        <f t="shared" ref="C39:G39" si="5">SUM(C37:C38)</f>
        <v>10072269.655909333</v>
      </c>
      <c r="D39" s="292">
        <f t="shared" si="5"/>
        <v>8520210.022861585</v>
      </c>
      <c r="E39" s="292">
        <f t="shared" si="5"/>
        <v>9204162.4699994735</v>
      </c>
      <c r="F39" s="292">
        <f t="shared" si="5"/>
        <v>9943018.6048035957</v>
      </c>
      <c r="G39" s="293">
        <f t="shared" si="5"/>
        <v>10741185.773036025</v>
      </c>
      <c r="H39" s="278"/>
      <c r="I39" s="279"/>
      <c r="J39" s="282"/>
      <c r="K39" s="279"/>
      <c r="L39" s="279"/>
      <c r="M39" s="279"/>
      <c r="N39" s="279"/>
      <c r="O39" s="279"/>
      <c r="P39" s="279"/>
      <c r="Q39" s="279"/>
      <c r="R39" s="279"/>
      <c r="S39" s="279"/>
      <c r="T39" s="279"/>
      <c r="U39" s="279"/>
      <c r="V39" s="279"/>
      <c r="W39" s="279"/>
      <c r="X39" s="279"/>
      <c r="Y39" s="279"/>
      <c r="Z39" s="279"/>
      <c r="AA39" s="279"/>
      <c r="AB39" s="279"/>
      <c r="AC39" s="279"/>
      <c r="AD39" s="279"/>
      <c r="AE39" s="280"/>
      <c r="AF39" s="280"/>
      <c r="AG39" s="280"/>
    </row>
    <row r="40" spans="1:33" s="263" customFormat="1">
      <c r="A40" s="82" t="s">
        <v>68</v>
      </c>
      <c r="B40" s="292"/>
      <c r="C40" s="292"/>
      <c r="D40" s="292"/>
      <c r="E40" s="292"/>
      <c r="F40" s="292"/>
      <c r="G40" s="293"/>
      <c r="H40" s="278"/>
      <c r="I40" s="279"/>
      <c r="J40" s="282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79"/>
      <c r="AA40" s="279"/>
      <c r="AB40" s="279"/>
      <c r="AC40" s="279"/>
      <c r="AD40" s="279"/>
      <c r="AE40" s="280"/>
      <c r="AF40" s="280"/>
      <c r="AG40" s="280"/>
    </row>
    <row r="41" spans="1:33" s="263" customFormat="1">
      <c r="A41" s="86" t="s">
        <v>164</v>
      </c>
      <c r="B41" s="292">
        <f>-$B$7*B37</f>
        <v>-953000</v>
      </c>
      <c r="C41" s="292">
        <f t="shared" ref="C41:G41" si="6">-$B$7*C37</f>
        <v>-1029501.245905144</v>
      </c>
      <c r="D41" s="292">
        <f t="shared" si="6"/>
        <v>-1112143.5627704551</v>
      </c>
      <c r="E41" s="292">
        <f t="shared" si="6"/>
        <v>-1201419.9197246269</v>
      </c>
      <c r="F41" s="292">
        <f t="shared" si="6"/>
        <v>-1297862.8585642828</v>
      </c>
      <c r="G41" s="293">
        <f t="shared" si="6"/>
        <v>-1402047.6704154678</v>
      </c>
      <c r="H41" s="278"/>
      <c r="I41" s="279"/>
      <c r="J41" s="282"/>
      <c r="K41" s="279"/>
      <c r="L41" s="279"/>
      <c r="M41" s="279"/>
      <c r="N41" s="279"/>
      <c r="O41" s="279"/>
      <c r="P41" s="279"/>
      <c r="Q41" s="279"/>
      <c r="R41" s="279"/>
      <c r="S41" s="279"/>
      <c r="T41" s="279"/>
      <c r="U41" s="279"/>
      <c r="V41" s="279"/>
      <c r="W41" s="279"/>
      <c r="X41" s="279"/>
      <c r="Y41" s="279"/>
      <c r="Z41" s="279"/>
      <c r="AA41" s="279"/>
      <c r="AB41" s="279"/>
      <c r="AC41" s="279"/>
      <c r="AD41" s="279"/>
      <c r="AE41" s="280"/>
      <c r="AF41" s="280"/>
      <c r="AG41" s="280"/>
    </row>
    <row r="42" spans="1:33" s="263" customFormat="1">
      <c r="A42" s="86" t="s">
        <v>165</v>
      </c>
      <c r="B42" s="292">
        <f>-$B$8*B37</f>
        <v>-9113000</v>
      </c>
      <c r="C42" s="292">
        <f t="shared" ref="C42:G42" si="7">-$B$8*C37</f>
        <v>-9844538.1468348149</v>
      </c>
      <c r="D42" s="292">
        <f t="shared" si="7"/>
        <v>-10634799.881980229</v>
      </c>
      <c r="E42" s="292">
        <f t="shared" si="7"/>
        <v>-11488499.190399291</v>
      </c>
      <c r="F42" s="292">
        <f t="shared" si="7"/>
        <v>-12410728.468096862</v>
      </c>
      <c r="G42" s="293">
        <f t="shared" si="7"/>
        <v>-13406988.898736788</v>
      </c>
      <c r="H42" s="278"/>
      <c r="I42" s="279"/>
      <c r="J42" s="282"/>
      <c r="K42" s="279"/>
      <c r="L42" s="279"/>
      <c r="M42" s="279"/>
      <c r="N42" s="279"/>
      <c r="O42" s="279"/>
      <c r="P42" s="279"/>
      <c r="Q42" s="279"/>
      <c r="R42" s="279"/>
      <c r="S42" s="279"/>
      <c r="T42" s="279"/>
      <c r="U42" s="279"/>
      <c r="V42" s="279"/>
      <c r="W42" s="279"/>
      <c r="X42" s="279"/>
      <c r="Y42" s="279"/>
      <c r="Z42" s="279"/>
      <c r="AA42" s="279"/>
      <c r="AB42" s="279"/>
      <c r="AC42" s="279"/>
      <c r="AD42" s="279"/>
      <c r="AE42" s="280"/>
      <c r="AF42" s="280"/>
      <c r="AG42" s="280"/>
    </row>
    <row r="43" spans="1:33" s="263" customFormat="1">
      <c r="A43" s="86" t="s">
        <v>166</v>
      </c>
      <c r="B43" s="292">
        <f>-$B$9*B37</f>
        <v>-3554000</v>
      </c>
      <c r="C43" s="292">
        <f t="shared" ref="C43:G43" si="8">-$B$9*C37</f>
        <v>-3839294.2580764764</v>
      </c>
      <c r="D43" s="292">
        <f t="shared" si="8"/>
        <v>-4147490.2645185706</v>
      </c>
      <c r="E43" s="292">
        <f t="shared" si="8"/>
        <v>-4480426.437252176</v>
      </c>
      <c r="F43" s="292">
        <f t="shared" si="8"/>
        <v>-4840088.7716027927</v>
      </c>
      <c r="G43" s="293">
        <f t="shared" si="8"/>
        <v>-5228622.6869428884</v>
      </c>
      <c r="H43" s="278"/>
      <c r="I43" s="279"/>
      <c r="J43" s="282"/>
      <c r="K43" s="279"/>
      <c r="L43" s="279"/>
      <c r="M43" s="279"/>
      <c r="N43" s="279"/>
      <c r="O43" s="279"/>
      <c r="P43" s="279"/>
      <c r="Q43" s="279"/>
      <c r="R43" s="279"/>
      <c r="S43" s="279"/>
      <c r="T43" s="279"/>
      <c r="U43" s="279"/>
      <c r="V43" s="279"/>
      <c r="W43" s="279"/>
      <c r="X43" s="279"/>
      <c r="Y43" s="279"/>
      <c r="Z43" s="279"/>
      <c r="AA43" s="279"/>
      <c r="AB43" s="279"/>
      <c r="AC43" s="279"/>
      <c r="AD43" s="279"/>
      <c r="AE43" s="280"/>
      <c r="AF43" s="280"/>
      <c r="AG43" s="280"/>
    </row>
    <row r="44" spans="1:33" s="263" customFormat="1">
      <c r="A44" s="77" t="s">
        <v>73</v>
      </c>
      <c r="B44" s="292">
        <f>SUM(B39:B43)</f>
        <v>-6319000</v>
      </c>
      <c r="C44" s="292">
        <f t="shared" ref="C44:G44" si="9">SUM(C39:C43)</f>
        <v>-4641063.9949071016</v>
      </c>
      <c r="D44" s="292">
        <f t="shared" si="9"/>
        <v>-7374223.6864076704</v>
      </c>
      <c r="E44" s="292">
        <f t="shared" si="9"/>
        <v>-7966183.0773766199</v>
      </c>
      <c r="F44" s="292">
        <f t="shared" si="9"/>
        <v>-8605661.4934603423</v>
      </c>
      <c r="G44" s="293">
        <f t="shared" si="9"/>
        <v>-9296473.4830591194</v>
      </c>
      <c r="H44" s="278"/>
      <c r="I44" s="279"/>
      <c r="J44" s="282"/>
      <c r="K44" s="279"/>
      <c r="L44" s="279"/>
      <c r="M44" s="279"/>
      <c r="N44" s="279"/>
      <c r="O44" s="279"/>
      <c r="P44" s="279"/>
      <c r="Q44" s="279"/>
      <c r="R44" s="279"/>
      <c r="S44" s="279"/>
      <c r="T44" s="279"/>
      <c r="U44" s="279"/>
      <c r="V44" s="279"/>
      <c r="W44" s="279"/>
      <c r="X44" s="279"/>
      <c r="Y44" s="279"/>
      <c r="Z44" s="279"/>
      <c r="AA44" s="279"/>
      <c r="AB44" s="279"/>
      <c r="AC44" s="279"/>
      <c r="AD44" s="279"/>
      <c r="AE44" s="280"/>
      <c r="AF44" s="280"/>
      <c r="AG44" s="280"/>
    </row>
    <row r="45" spans="1:33" s="263" customFormat="1">
      <c r="A45" s="77" t="s">
        <v>259</v>
      </c>
      <c r="B45" s="292">
        <f>-$B$10*B37</f>
        <v>-920000</v>
      </c>
      <c r="C45" s="292">
        <f t="shared" ref="C45:G45" si="10">-$B$10*C37</f>
        <v>-993852.1996146196</v>
      </c>
      <c r="D45" s="292">
        <f t="shared" si="10"/>
        <v>-1073632.8203030627</v>
      </c>
      <c r="E45" s="292">
        <f t="shared" si="10"/>
        <v>-1159817.7609093983</v>
      </c>
      <c r="F45" s="292">
        <f t="shared" si="10"/>
        <v>-1252921.122643379</v>
      </c>
      <c r="G45" s="293">
        <f t="shared" si="10"/>
        <v>-1353498.2757421096</v>
      </c>
      <c r="H45" s="278"/>
      <c r="I45" s="279"/>
      <c r="J45" s="282"/>
      <c r="K45" s="279"/>
      <c r="L45" s="279"/>
      <c r="M45" s="279"/>
      <c r="N45" s="279"/>
      <c r="O45" s="279"/>
      <c r="P45" s="279"/>
      <c r="Q45" s="279"/>
      <c r="R45" s="279"/>
      <c r="S45" s="279"/>
      <c r="T45" s="279"/>
      <c r="U45" s="279"/>
      <c r="V45" s="279"/>
      <c r="W45" s="279"/>
      <c r="X45" s="279"/>
      <c r="Y45" s="279"/>
      <c r="Z45" s="279"/>
      <c r="AA45" s="279"/>
      <c r="AB45" s="279"/>
      <c r="AC45" s="279"/>
      <c r="AD45" s="279"/>
      <c r="AE45" s="280"/>
      <c r="AF45" s="280"/>
      <c r="AG45" s="280"/>
    </row>
    <row r="46" spans="1:33" s="263" customFormat="1">
      <c r="A46" s="77" t="s">
        <v>72</v>
      </c>
      <c r="B46" s="292">
        <f>SUM(B44:B45)</f>
        <v>-7239000</v>
      </c>
      <c r="C46" s="292">
        <f t="shared" ref="C46:G46" si="11">SUM(C44:C45)</f>
        <v>-5634916.1945217215</v>
      </c>
      <c r="D46" s="292">
        <f t="shared" si="11"/>
        <v>-8447856.5067107324</v>
      </c>
      <c r="E46" s="292">
        <f t="shared" si="11"/>
        <v>-9126000.838286018</v>
      </c>
      <c r="F46" s="292">
        <f t="shared" si="11"/>
        <v>-9858582.6161037218</v>
      </c>
      <c r="G46" s="293">
        <f t="shared" si="11"/>
        <v>-10649971.758801229</v>
      </c>
      <c r="H46" s="278"/>
      <c r="I46" s="279"/>
      <c r="J46" s="279"/>
      <c r="K46" s="279"/>
      <c r="L46" s="279"/>
      <c r="M46" s="279"/>
      <c r="N46" s="279"/>
      <c r="O46" s="279"/>
      <c r="P46" s="279"/>
      <c r="Q46" s="279"/>
      <c r="R46" s="279"/>
      <c r="S46" s="279"/>
      <c r="T46" s="279"/>
      <c r="U46" s="279"/>
      <c r="V46" s="279"/>
      <c r="W46" s="279"/>
      <c r="X46" s="279"/>
      <c r="Y46" s="279"/>
      <c r="Z46" s="279"/>
      <c r="AA46" s="279"/>
      <c r="AB46" s="279"/>
      <c r="AC46" s="279"/>
      <c r="AD46" s="279"/>
      <c r="AE46" s="280"/>
      <c r="AF46" s="280"/>
      <c r="AG46" s="280"/>
    </row>
    <row r="47" spans="1:33" s="263" customFormat="1">
      <c r="A47" s="86" t="s">
        <v>58</v>
      </c>
      <c r="B47" s="292">
        <f>$B$12*B46</f>
        <v>-2868000</v>
      </c>
      <c r="C47" s="292">
        <f t="shared" ref="C47:G47" si="12">$B$12*C46</f>
        <v>-2232482.3381528244</v>
      </c>
      <c r="D47" s="292">
        <f t="shared" si="12"/>
        <v>-3346933.6180752008</v>
      </c>
      <c r="E47" s="292">
        <f t="shared" si="12"/>
        <v>-3615605.8024871252</v>
      </c>
      <c r="F47" s="292">
        <f t="shared" si="12"/>
        <v>-3905845.412762187</v>
      </c>
      <c r="G47" s="293">
        <f t="shared" si="12"/>
        <v>-4219383.7552482281</v>
      </c>
      <c r="H47" s="278"/>
      <c r="I47" s="279"/>
      <c r="J47" s="282"/>
      <c r="K47" s="279"/>
      <c r="L47" s="279"/>
      <c r="M47" s="279"/>
      <c r="N47" s="279"/>
      <c r="O47" s="279"/>
      <c r="P47" s="279"/>
      <c r="Q47" s="279"/>
      <c r="R47" s="279"/>
      <c r="S47" s="279"/>
      <c r="T47" s="279"/>
      <c r="U47" s="279"/>
      <c r="V47" s="279"/>
      <c r="W47" s="279"/>
      <c r="X47" s="279"/>
      <c r="Y47" s="279"/>
      <c r="Z47" s="279"/>
      <c r="AA47" s="279"/>
      <c r="AB47" s="279"/>
      <c r="AC47" s="279"/>
      <c r="AD47" s="279"/>
      <c r="AE47" s="280"/>
      <c r="AF47" s="280"/>
      <c r="AG47" s="280"/>
    </row>
    <row r="48" spans="1:33" s="263" customFormat="1">
      <c r="A48" s="81" t="s">
        <v>71</v>
      </c>
      <c r="B48" s="292">
        <f>B46-B47</f>
        <v>-4371000</v>
      </c>
      <c r="C48" s="292">
        <f t="shared" ref="C48:G48" si="13">C46-C47</f>
        <v>-3402433.856368897</v>
      </c>
      <c r="D48" s="292">
        <f t="shared" si="13"/>
        <v>-5100922.8886355311</v>
      </c>
      <c r="E48" s="292">
        <f t="shared" si="13"/>
        <v>-5510395.0357988924</v>
      </c>
      <c r="F48" s="292">
        <f t="shared" si="13"/>
        <v>-5952737.2033415344</v>
      </c>
      <c r="G48" s="293">
        <f t="shared" si="13"/>
        <v>-6430588.0035530012</v>
      </c>
      <c r="H48" s="278"/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/>
      <c r="W48" s="279"/>
      <c r="X48" s="279"/>
      <c r="Y48" s="279"/>
      <c r="Z48" s="279"/>
      <c r="AA48" s="279"/>
      <c r="AB48" s="279"/>
      <c r="AC48" s="279"/>
      <c r="AD48" s="279"/>
      <c r="AE48" s="280"/>
      <c r="AF48" s="280"/>
      <c r="AG48" s="280"/>
    </row>
    <row r="49" spans="1:33" s="263" customFormat="1">
      <c r="A49" s="82" t="s">
        <v>163</v>
      </c>
      <c r="B49" s="292">
        <f>$B$11*B37</f>
        <v>-57000</v>
      </c>
      <c r="C49" s="292">
        <f t="shared" ref="C49:G49" si="14">$B$11*C37</f>
        <v>-61575.625410905785</v>
      </c>
      <c r="D49" s="292">
        <f t="shared" si="14"/>
        <v>-66518.555170950625</v>
      </c>
      <c r="E49" s="292">
        <f t="shared" si="14"/>
        <v>-71858.274317212723</v>
      </c>
      <c r="F49" s="292">
        <f t="shared" si="14"/>
        <v>-77626.634772470221</v>
      </c>
      <c r="G49" s="293">
        <f t="shared" si="14"/>
        <v>-83858.045344891565</v>
      </c>
      <c r="H49" s="278"/>
      <c r="I49" s="279"/>
      <c r="J49" s="279"/>
      <c r="K49" s="279"/>
      <c r="L49" s="279"/>
      <c r="M49" s="279"/>
      <c r="N49" s="279"/>
      <c r="O49" s="279"/>
      <c r="P49" s="279"/>
      <c r="Q49" s="279"/>
      <c r="R49" s="279"/>
      <c r="S49" s="279"/>
      <c r="T49" s="279"/>
      <c r="U49" s="279"/>
      <c r="V49" s="279"/>
      <c r="W49" s="279"/>
      <c r="X49" s="279"/>
      <c r="Y49" s="279"/>
      <c r="Z49" s="279"/>
      <c r="AA49" s="279"/>
      <c r="AB49" s="279"/>
      <c r="AC49" s="279"/>
      <c r="AD49" s="279"/>
      <c r="AE49" s="280"/>
      <c r="AF49" s="280"/>
      <c r="AG49" s="280"/>
    </row>
    <row r="50" spans="1:33" s="263" customFormat="1">
      <c r="A50" s="82" t="s">
        <v>59</v>
      </c>
      <c r="B50" s="292">
        <v>0</v>
      </c>
      <c r="C50" s="292">
        <v>0</v>
      </c>
      <c r="D50" s="292">
        <v>0</v>
      </c>
      <c r="E50" s="292">
        <v>0</v>
      </c>
      <c r="F50" s="292">
        <v>0</v>
      </c>
      <c r="G50" s="293">
        <v>0</v>
      </c>
      <c r="H50" s="278"/>
      <c r="I50" s="279"/>
      <c r="J50" s="279"/>
      <c r="K50" s="279"/>
      <c r="L50" s="279"/>
      <c r="M50" s="279"/>
      <c r="N50" s="279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80"/>
      <c r="AF50" s="280"/>
      <c r="AG50" s="280"/>
    </row>
    <row r="51" spans="1:33" s="263" customFormat="1">
      <c r="A51" s="294" t="s">
        <v>60</v>
      </c>
      <c r="B51" s="295">
        <f>SUM(B48:B49)</f>
        <v>-4428000</v>
      </c>
      <c r="C51" s="295">
        <f t="shared" ref="C51:G51" si="15">SUM(C48:C49)</f>
        <v>-3464009.4817798026</v>
      </c>
      <c r="D51" s="295">
        <f t="shared" si="15"/>
        <v>-5167441.4438064815</v>
      </c>
      <c r="E51" s="295">
        <f t="shared" si="15"/>
        <v>-5582253.3101161048</v>
      </c>
      <c r="F51" s="295">
        <f t="shared" si="15"/>
        <v>-6030363.8381140046</v>
      </c>
      <c r="G51" s="296">
        <f t="shared" si="15"/>
        <v>-6514446.0488978932</v>
      </c>
      <c r="H51" s="199"/>
      <c r="I51" s="279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79"/>
      <c r="AA51" s="279"/>
      <c r="AB51" s="279"/>
      <c r="AC51" s="279"/>
      <c r="AD51" s="279"/>
      <c r="AE51" s="280"/>
      <c r="AF51" s="280"/>
      <c r="AG51" s="280"/>
    </row>
    <row r="52" spans="1:33" s="263" customFormat="1">
      <c r="A52" s="294"/>
      <c r="B52" s="297"/>
      <c r="C52" s="297"/>
      <c r="D52" s="297"/>
      <c r="E52" s="297"/>
      <c r="F52" s="297"/>
      <c r="G52" s="298"/>
      <c r="H52" s="283"/>
      <c r="I52" s="279"/>
      <c r="J52" s="279"/>
      <c r="K52" s="279"/>
      <c r="L52" s="279"/>
      <c r="M52" s="279"/>
      <c r="N52" s="279"/>
      <c r="O52" s="279"/>
      <c r="P52" s="279"/>
      <c r="Q52" s="279"/>
      <c r="R52" s="279"/>
      <c r="S52" s="279"/>
      <c r="T52" s="279"/>
      <c r="U52" s="279"/>
      <c r="V52" s="279"/>
      <c r="W52" s="279"/>
      <c r="X52" s="279"/>
      <c r="Y52" s="279"/>
      <c r="Z52" s="279"/>
      <c r="AA52" s="279"/>
      <c r="AB52" s="279"/>
      <c r="AC52" s="279"/>
      <c r="AD52" s="279"/>
      <c r="AE52" s="280"/>
      <c r="AF52" s="280"/>
      <c r="AG52" s="280"/>
    </row>
    <row r="53" spans="1:33" s="263" customFormat="1" ht="17" thickBot="1">
      <c r="A53" s="269"/>
      <c r="B53" s="299"/>
      <c r="C53" s="299"/>
      <c r="D53" s="299"/>
      <c r="E53" s="299"/>
      <c r="F53" s="299"/>
      <c r="G53" s="300"/>
      <c r="H53" s="283"/>
      <c r="I53" s="279"/>
      <c r="J53" s="279"/>
      <c r="K53" s="279"/>
      <c r="L53" s="279"/>
      <c r="M53" s="279"/>
      <c r="N53" s="279"/>
      <c r="O53" s="279"/>
      <c r="P53" s="279"/>
      <c r="Q53" s="279"/>
      <c r="R53" s="279"/>
      <c r="S53" s="279"/>
      <c r="T53" s="279"/>
      <c r="U53" s="279"/>
      <c r="V53" s="279"/>
      <c r="W53" s="279"/>
      <c r="X53" s="279"/>
      <c r="Y53" s="279"/>
      <c r="Z53" s="279"/>
      <c r="AA53" s="279"/>
      <c r="AB53" s="279"/>
      <c r="AC53" s="279"/>
      <c r="AD53" s="279"/>
      <c r="AE53" s="280"/>
      <c r="AF53" s="280"/>
      <c r="AG53" s="280"/>
    </row>
    <row r="54" spans="1:33" s="263" customFormat="1" ht="17" thickBot="1">
      <c r="A54" s="265"/>
      <c r="B54" s="301"/>
      <c r="C54" s="301"/>
      <c r="D54" s="301"/>
      <c r="E54" s="301"/>
      <c r="F54" s="301"/>
      <c r="G54" s="302"/>
      <c r="H54" s="283"/>
      <c r="I54" s="279"/>
      <c r="J54" s="279"/>
      <c r="K54" s="279"/>
      <c r="L54" s="279"/>
      <c r="M54" s="279"/>
      <c r="N54" s="279"/>
      <c r="O54" s="279"/>
      <c r="P54" s="279"/>
      <c r="Q54" s="279"/>
      <c r="R54" s="279"/>
      <c r="S54" s="279"/>
      <c r="T54" s="279"/>
      <c r="U54" s="279"/>
      <c r="V54" s="279"/>
      <c r="W54" s="279"/>
      <c r="X54" s="279"/>
      <c r="Y54" s="279"/>
      <c r="Z54" s="279"/>
      <c r="AA54" s="279"/>
      <c r="AB54" s="279"/>
      <c r="AC54" s="279"/>
      <c r="AD54" s="279"/>
      <c r="AE54" s="280"/>
      <c r="AF54" s="280"/>
      <c r="AG54" s="280"/>
    </row>
    <row r="55" spans="1:33" s="263" customFormat="1" ht="16" customHeight="1">
      <c r="A55" s="524" t="s">
        <v>261</v>
      </c>
      <c r="B55" s="525"/>
      <c r="C55" s="525"/>
      <c r="D55" s="525"/>
      <c r="E55" s="525"/>
      <c r="F55" s="525"/>
      <c r="G55" s="526"/>
      <c r="H55" s="284"/>
      <c r="I55" s="279"/>
      <c r="J55" s="279"/>
      <c r="K55" s="279"/>
      <c r="L55" s="279"/>
      <c r="M55" s="279"/>
      <c r="N55" s="279"/>
      <c r="O55" s="279"/>
      <c r="P55" s="279"/>
      <c r="Q55" s="279"/>
      <c r="R55" s="279"/>
      <c r="S55" s="279"/>
      <c r="T55" s="279"/>
      <c r="U55" s="279"/>
      <c r="V55" s="279"/>
      <c r="W55" s="279"/>
      <c r="X55" s="279"/>
      <c r="Y55" s="279"/>
      <c r="Z55" s="279"/>
      <c r="AA55" s="279"/>
      <c r="AB55" s="279"/>
      <c r="AC55" s="279"/>
      <c r="AD55" s="279"/>
      <c r="AE55" s="280"/>
      <c r="AF55" s="280"/>
      <c r="AG55" s="280"/>
    </row>
    <row r="56" spans="1:33" s="263" customFormat="1">
      <c r="A56" s="348" t="s">
        <v>198</v>
      </c>
      <c r="B56" s="349">
        <f>IF(LatestYear&lt;&gt;"",LatestYear,"")</f>
        <v>2015</v>
      </c>
      <c r="C56" s="349">
        <f>B56+1</f>
        <v>2016</v>
      </c>
      <c r="D56" s="349">
        <f t="shared" ref="D56:G56" si="16">C56+1</f>
        <v>2017</v>
      </c>
      <c r="E56" s="349">
        <f t="shared" si="16"/>
        <v>2018</v>
      </c>
      <c r="F56" s="349">
        <f t="shared" si="16"/>
        <v>2019</v>
      </c>
      <c r="G56" s="350">
        <f t="shared" si="16"/>
        <v>2020</v>
      </c>
      <c r="H56" s="275"/>
      <c r="I56" s="279"/>
      <c r="J56" s="279"/>
      <c r="K56" s="279"/>
      <c r="L56" s="279"/>
      <c r="M56" s="279"/>
      <c r="N56" s="279"/>
      <c r="O56" s="279"/>
      <c r="P56" s="279"/>
      <c r="Q56" s="279"/>
      <c r="R56" s="279"/>
      <c r="S56" s="279"/>
      <c r="T56" s="279"/>
      <c r="U56" s="279"/>
      <c r="V56" s="279"/>
      <c r="W56" s="279"/>
      <c r="X56" s="279"/>
      <c r="Y56" s="279"/>
      <c r="Z56" s="279"/>
      <c r="AA56" s="279"/>
      <c r="AB56" s="279"/>
      <c r="AC56" s="279"/>
      <c r="AD56" s="279"/>
      <c r="AE56" s="280"/>
      <c r="AF56" s="280"/>
      <c r="AG56" s="280"/>
    </row>
    <row r="57" spans="1:33" s="263" customFormat="1">
      <c r="A57" s="90" t="s">
        <v>21</v>
      </c>
      <c r="B57" s="303"/>
      <c r="C57" s="303"/>
      <c r="D57" s="303"/>
      <c r="E57" s="303"/>
      <c r="F57" s="303"/>
      <c r="G57" s="304"/>
      <c r="H57" s="283"/>
      <c r="I57" s="285"/>
      <c r="J57" s="285"/>
      <c r="K57" s="285"/>
      <c r="L57" s="285"/>
      <c r="M57" s="279"/>
      <c r="N57" s="279"/>
      <c r="O57" s="279"/>
      <c r="P57" s="279"/>
      <c r="Q57" s="279"/>
      <c r="R57" s="279"/>
      <c r="S57" s="279"/>
      <c r="T57" s="279"/>
      <c r="U57" s="279"/>
      <c r="V57" s="279"/>
      <c r="W57" s="279"/>
      <c r="X57" s="279"/>
      <c r="Y57" s="279"/>
      <c r="Z57" s="279"/>
      <c r="AA57" s="279"/>
      <c r="AB57" s="279"/>
      <c r="AC57" s="279"/>
      <c r="AD57" s="279"/>
      <c r="AE57" s="280"/>
      <c r="AF57" s="280"/>
      <c r="AG57" s="280"/>
    </row>
    <row r="58" spans="1:33" s="263" customFormat="1">
      <c r="A58" s="92" t="s">
        <v>22</v>
      </c>
      <c r="B58" s="303"/>
      <c r="C58" s="303"/>
      <c r="D58" s="303"/>
      <c r="E58" s="303"/>
      <c r="F58" s="303"/>
      <c r="G58" s="304"/>
      <c r="H58" s="283"/>
      <c r="I58" s="285"/>
      <c r="J58" s="285"/>
      <c r="K58" s="285"/>
      <c r="L58" s="285"/>
      <c r="M58" s="279"/>
      <c r="N58" s="279"/>
      <c r="O58" s="279"/>
      <c r="P58" s="279"/>
      <c r="Q58" s="279"/>
      <c r="R58" s="279"/>
      <c r="S58" s="279"/>
      <c r="T58" s="279"/>
      <c r="U58" s="279"/>
      <c r="V58" s="279"/>
      <c r="W58" s="279"/>
      <c r="X58" s="279"/>
      <c r="Y58" s="279"/>
      <c r="Z58" s="279"/>
      <c r="AA58" s="279"/>
      <c r="AB58" s="279"/>
      <c r="AC58" s="279"/>
      <c r="AD58" s="279"/>
      <c r="AE58" s="280"/>
      <c r="AF58" s="280"/>
      <c r="AG58" s="280"/>
    </row>
    <row r="59" spans="1:33" s="263" customFormat="1">
      <c r="A59" s="93" t="s">
        <v>23</v>
      </c>
      <c r="B59" s="303"/>
      <c r="C59" s="303"/>
      <c r="D59" s="303"/>
      <c r="E59" s="303"/>
      <c r="F59" s="303"/>
      <c r="G59" s="304"/>
      <c r="H59" s="283"/>
      <c r="I59" s="285"/>
      <c r="J59" s="285"/>
      <c r="K59" s="285"/>
      <c r="L59" s="285"/>
      <c r="M59" s="279"/>
      <c r="N59" s="279"/>
      <c r="O59" s="279"/>
      <c r="P59" s="279"/>
      <c r="Q59" s="279"/>
      <c r="R59" s="279"/>
      <c r="S59" s="279"/>
      <c r="T59" s="279"/>
      <c r="U59" s="279"/>
      <c r="V59" s="279"/>
      <c r="W59" s="279"/>
      <c r="X59" s="279"/>
      <c r="Y59" s="279"/>
      <c r="Z59" s="279"/>
      <c r="AA59" s="279"/>
      <c r="AB59" s="279"/>
      <c r="AC59" s="279"/>
      <c r="AD59" s="279"/>
      <c r="AE59" s="280"/>
      <c r="AF59" s="280"/>
      <c r="AG59" s="280"/>
    </row>
    <row r="60" spans="1:33" s="263" customFormat="1">
      <c r="A60" s="72" t="s">
        <v>0</v>
      </c>
      <c r="B60" s="292">
        <f>'Ratio Analysis'!$L$33*B37</f>
        <v>2368000</v>
      </c>
      <c r="C60" s="292">
        <f>'Ratio Analysis'!$L$33*C37</f>
        <v>2558089.1398776299</v>
      </c>
      <c r="D60" s="292">
        <f>'Ratio Analysis'!$L$33*D37</f>
        <v>2763437.5200844049</v>
      </c>
      <c r="E60" s="292">
        <f>'Ratio Analysis'!$L$33*E37</f>
        <v>2985270.0628624517</v>
      </c>
      <c r="F60" s="292">
        <f>'Ratio Analysis'!$L$33*F37</f>
        <v>3224910.0200212193</v>
      </c>
      <c r="G60" s="293">
        <f>'Ratio Analysis'!$L$33*G37</f>
        <v>3483786.8662579516</v>
      </c>
      <c r="H60" s="278"/>
      <c r="I60" s="285"/>
      <c r="J60" s="285"/>
      <c r="K60" s="285"/>
      <c r="L60" s="285"/>
      <c r="M60" s="279"/>
      <c r="N60" s="279"/>
      <c r="O60" s="279"/>
      <c r="P60" s="279"/>
      <c r="Q60" s="279"/>
      <c r="R60" s="279"/>
      <c r="S60" s="279"/>
      <c r="T60" s="279"/>
      <c r="U60" s="279"/>
      <c r="V60" s="279"/>
      <c r="W60" s="279"/>
      <c r="X60" s="279"/>
      <c r="Y60" s="279"/>
      <c r="Z60" s="279"/>
      <c r="AA60" s="279"/>
      <c r="AB60" s="279"/>
      <c r="AC60" s="279"/>
      <c r="AD60" s="279"/>
      <c r="AE60" s="280"/>
      <c r="AF60" s="280"/>
      <c r="AG60" s="280"/>
    </row>
    <row r="61" spans="1:33" s="263" customFormat="1">
      <c r="A61" s="72" t="s">
        <v>1</v>
      </c>
      <c r="B61" s="292">
        <f>'Ratio Analysis'!$L$34*B37</f>
        <v>0</v>
      </c>
      <c r="C61" s="292">
        <f>'Ratio Analysis'!$L$34*C37</f>
        <v>0</v>
      </c>
      <c r="D61" s="292">
        <f>'Ratio Analysis'!$L$34*D37</f>
        <v>0</v>
      </c>
      <c r="E61" s="292">
        <f>'Ratio Analysis'!$L$34*E37</f>
        <v>0</v>
      </c>
      <c r="F61" s="292">
        <f>'Ratio Analysis'!$L$34*F37</f>
        <v>0</v>
      </c>
      <c r="G61" s="293">
        <f>'Ratio Analysis'!$L$34*G37</f>
        <v>0</v>
      </c>
      <c r="H61" s="278"/>
      <c r="I61" s="285"/>
      <c r="J61" s="285"/>
      <c r="K61" s="285"/>
      <c r="L61" s="285"/>
      <c r="M61" s="279"/>
      <c r="N61" s="279"/>
      <c r="O61" s="279"/>
      <c r="P61" s="279"/>
      <c r="Q61" s="279"/>
      <c r="R61" s="279"/>
      <c r="S61" s="279"/>
      <c r="T61" s="279"/>
      <c r="U61" s="279"/>
      <c r="V61" s="279"/>
      <c r="W61" s="279"/>
      <c r="X61" s="279"/>
      <c r="Y61" s="279"/>
      <c r="Z61" s="279"/>
      <c r="AA61" s="279"/>
      <c r="AB61" s="279"/>
      <c r="AC61" s="279"/>
      <c r="AD61" s="279"/>
      <c r="AE61" s="280"/>
      <c r="AF61" s="280"/>
      <c r="AG61" s="280"/>
    </row>
    <row r="62" spans="1:33" s="263" customFormat="1">
      <c r="A62" s="74" t="s">
        <v>25</v>
      </c>
      <c r="B62" s="292">
        <f>SUM(B60:B61)</f>
        <v>2368000</v>
      </c>
      <c r="C62" s="292">
        <f t="shared" ref="C62:G62" si="17">SUM(C60:C61)</f>
        <v>2558089.1398776299</v>
      </c>
      <c r="D62" s="292">
        <f t="shared" si="17"/>
        <v>2763437.5200844049</v>
      </c>
      <c r="E62" s="292">
        <f t="shared" si="17"/>
        <v>2985270.0628624517</v>
      </c>
      <c r="F62" s="292">
        <f t="shared" si="17"/>
        <v>3224910.0200212193</v>
      </c>
      <c r="G62" s="293">
        <f t="shared" si="17"/>
        <v>3483786.8662579516</v>
      </c>
      <c r="H62" s="278"/>
      <c r="I62" s="285"/>
      <c r="J62" s="285"/>
      <c r="K62" s="285"/>
      <c r="L62" s="285"/>
      <c r="M62" s="279"/>
      <c r="N62" s="279"/>
      <c r="O62" s="279"/>
      <c r="P62" s="279"/>
      <c r="Q62" s="279"/>
      <c r="R62" s="279"/>
      <c r="S62" s="279"/>
      <c r="T62" s="279"/>
      <c r="U62" s="279"/>
      <c r="V62" s="279"/>
      <c r="W62" s="279"/>
      <c r="X62" s="279"/>
      <c r="Y62" s="279"/>
      <c r="Z62" s="279"/>
      <c r="AA62" s="279"/>
      <c r="AB62" s="279"/>
      <c r="AC62" s="279"/>
      <c r="AD62" s="279"/>
      <c r="AE62" s="280"/>
      <c r="AF62" s="280"/>
      <c r="AG62" s="280"/>
    </row>
    <row r="63" spans="1:33" s="263" customFormat="1">
      <c r="A63" s="75" t="s">
        <v>26</v>
      </c>
      <c r="B63" s="292">
        <f>'Ratio Analysis'!$L$35*B37</f>
        <v>4514000</v>
      </c>
      <c r="C63" s="292">
        <f>'Ratio Analysis'!$L$35*C37</f>
        <v>4876357.4228917323</v>
      </c>
      <c r="D63" s="292">
        <f>'Ratio Analysis'!$L$35*D37</f>
        <v>5267802.7726608971</v>
      </c>
      <c r="E63" s="292">
        <f>'Ratio Analysis'!$L$35*E37</f>
        <v>5690671.057331549</v>
      </c>
      <c r="F63" s="292">
        <f>'Ratio Analysis'!$L$35*F37</f>
        <v>6147484.7256654492</v>
      </c>
      <c r="G63" s="293">
        <f>'Ratio Analysis'!$L$35*G37</f>
        <v>6640968.7138042208</v>
      </c>
      <c r="H63" s="278"/>
      <c r="I63" s="285"/>
      <c r="J63" s="285"/>
      <c r="K63" s="285"/>
      <c r="L63" s="285"/>
      <c r="M63" s="279"/>
      <c r="N63" s="279"/>
      <c r="O63" s="279"/>
      <c r="P63" s="279"/>
      <c r="Q63" s="279"/>
      <c r="R63" s="279"/>
      <c r="S63" s="279"/>
      <c r="T63" s="279"/>
      <c r="U63" s="279"/>
      <c r="V63" s="279"/>
      <c r="W63" s="279"/>
      <c r="X63" s="279"/>
      <c r="Y63" s="279"/>
      <c r="Z63" s="279"/>
      <c r="AA63" s="279"/>
      <c r="AB63" s="279"/>
      <c r="AC63" s="279"/>
      <c r="AD63" s="279"/>
      <c r="AE63" s="280"/>
      <c r="AF63" s="280"/>
      <c r="AG63" s="280"/>
    </row>
    <row r="64" spans="1:33" s="263" customFormat="1">
      <c r="A64" s="75" t="s">
        <v>5</v>
      </c>
      <c r="B64" s="292">
        <f>'Ratio Analysis'!$L$36*B37</f>
        <v>1124000</v>
      </c>
      <c r="C64" s="292">
        <f>'Ratio Analysis'!$L$36*C37</f>
        <v>1214228.1221378616</v>
      </c>
      <c r="D64" s="292">
        <f>'Ratio Analysis'!$L$36*D37</f>
        <v>1311699.2282833073</v>
      </c>
      <c r="E64" s="292">
        <f>'Ratio Analysis'!$L$36*E37</f>
        <v>1416994.7426762653</v>
      </c>
      <c r="F64" s="292">
        <f>'Ratio Analysis'!$L$36*F37</f>
        <v>1530742.7628816937</v>
      </c>
      <c r="G64" s="293">
        <f>'Ratio Analysis'!$L$36*G37</f>
        <v>1653621.8064501428</v>
      </c>
      <c r="H64" s="278"/>
      <c r="I64" s="285"/>
      <c r="J64" s="285"/>
      <c r="K64" s="285"/>
      <c r="L64" s="285"/>
      <c r="M64" s="279"/>
      <c r="N64" s="279"/>
      <c r="O64" s="279"/>
      <c r="P64" s="279"/>
      <c r="Q64" s="279"/>
      <c r="R64" s="279"/>
      <c r="S64" s="279"/>
      <c r="T64" s="279"/>
      <c r="U64" s="279"/>
      <c r="V64" s="279"/>
      <c r="W64" s="279"/>
      <c r="X64" s="279"/>
      <c r="Y64" s="279"/>
      <c r="Z64" s="279"/>
      <c r="AA64" s="279"/>
      <c r="AB64" s="279"/>
      <c r="AC64" s="279"/>
      <c r="AD64" s="279"/>
      <c r="AE64" s="280"/>
      <c r="AF64" s="280"/>
      <c r="AG64" s="280"/>
    </row>
    <row r="65" spans="1:33" s="263" customFormat="1">
      <c r="A65" s="75" t="s">
        <v>27</v>
      </c>
      <c r="B65" s="292">
        <f>'Ratio Analysis'!$L$37*B37</f>
        <v>783000</v>
      </c>
      <c r="C65" s="292">
        <f>'Ratio Analysis'!$L$37*C37</f>
        <v>845854.6438024427</v>
      </c>
      <c r="D65" s="292">
        <f>'Ratio Analysis'!$L$37*D37</f>
        <v>913754.88945358491</v>
      </c>
      <c r="E65" s="292">
        <f>'Ratio Analysis'!$L$37*E37</f>
        <v>987105.76825223805</v>
      </c>
      <c r="F65" s="292">
        <f>'Ratio Analysis'!$L$37*F37</f>
        <v>1066344.8250323541</v>
      </c>
      <c r="G65" s="293">
        <f>'Ratio Analysis'!$L$37*G37</f>
        <v>1151944.7281587739</v>
      </c>
      <c r="H65" s="278"/>
      <c r="I65" s="285"/>
      <c r="J65" s="285"/>
      <c r="K65" s="285"/>
      <c r="L65" s="285"/>
      <c r="M65" s="279"/>
      <c r="N65" s="279"/>
      <c r="O65" s="279"/>
      <c r="P65" s="279"/>
      <c r="Q65" s="279"/>
      <c r="R65" s="279"/>
      <c r="S65" s="279"/>
      <c r="T65" s="279"/>
      <c r="U65" s="279"/>
      <c r="V65" s="279"/>
      <c r="W65" s="279"/>
      <c r="X65" s="279"/>
      <c r="Y65" s="279"/>
      <c r="Z65" s="279"/>
      <c r="AA65" s="279"/>
      <c r="AB65" s="279"/>
      <c r="AC65" s="279"/>
      <c r="AD65" s="279"/>
      <c r="AE65" s="280"/>
      <c r="AF65" s="280"/>
      <c r="AG65" s="280"/>
    </row>
    <row r="66" spans="1:33" s="263" customFormat="1">
      <c r="A66" s="75" t="s">
        <v>24</v>
      </c>
      <c r="B66" s="292">
        <f>$B$20*B37</f>
        <v>0</v>
      </c>
      <c r="C66" s="292">
        <f t="shared" ref="C66:G66" si="18">$B$20*C37</f>
        <v>0</v>
      </c>
      <c r="D66" s="292">
        <f t="shared" si="18"/>
        <v>0</v>
      </c>
      <c r="E66" s="292">
        <f t="shared" si="18"/>
        <v>0</v>
      </c>
      <c r="F66" s="292">
        <f t="shared" si="18"/>
        <v>0</v>
      </c>
      <c r="G66" s="292">
        <f t="shared" si="18"/>
        <v>0</v>
      </c>
      <c r="H66" s="278"/>
      <c r="I66" s="285"/>
      <c r="J66" s="285"/>
      <c r="K66" s="285"/>
      <c r="L66" s="285"/>
      <c r="M66" s="279"/>
      <c r="N66" s="279"/>
      <c r="O66" s="279"/>
      <c r="P66" s="279"/>
      <c r="Q66" s="279"/>
      <c r="R66" s="279"/>
      <c r="S66" s="279"/>
      <c r="T66" s="279"/>
      <c r="U66" s="279"/>
      <c r="V66" s="279"/>
      <c r="W66" s="279"/>
      <c r="X66" s="279"/>
      <c r="Y66" s="279"/>
      <c r="Z66" s="279"/>
      <c r="AA66" s="279"/>
      <c r="AB66" s="279"/>
      <c r="AC66" s="279"/>
      <c r="AD66" s="279"/>
      <c r="AE66" s="280"/>
      <c r="AF66" s="280"/>
      <c r="AG66" s="280"/>
    </row>
    <row r="67" spans="1:33" s="263" customFormat="1">
      <c r="A67" s="77" t="s">
        <v>7</v>
      </c>
      <c r="B67" s="295">
        <f>SUM(B62:B66)</f>
        <v>8789000</v>
      </c>
      <c r="C67" s="295">
        <f t="shared" ref="C67:G67" si="19">SUM(C62:C66)</f>
        <v>9494529.3287096675</v>
      </c>
      <c r="D67" s="295">
        <f t="shared" si="19"/>
        <v>10256694.410482192</v>
      </c>
      <c r="E67" s="295">
        <f t="shared" si="19"/>
        <v>11080041.631122505</v>
      </c>
      <c r="F67" s="295">
        <f t="shared" si="19"/>
        <v>11969482.333600717</v>
      </c>
      <c r="G67" s="296">
        <f t="shared" si="19"/>
        <v>12930322.114671091</v>
      </c>
      <c r="H67" s="199"/>
      <c r="I67" s="285"/>
      <c r="J67" s="285"/>
      <c r="K67" s="285"/>
      <c r="L67" s="285"/>
      <c r="M67" s="279"/>
      <c r="N67" s="279"/>
      <c r="O67" s="279"/>
      <c r="P67" s="279"/>
      <c r="Q67" s="279"/>
      <c r="R67" s="279"/>
      <c r="S67" s="279"/>
      <c r="T67" s="279"/>
      <c r="U67" s="279"/>
      <c r="V67" s="279"/>
      <c r="W67" s="279"/>
      <c r="X67" s="279"/>
      <c r="Y67" s="279"/>
      <c r="Z67" s="279"/>
      <c r="AA67" s="279"/>
      <c r="AB67" s="279"/>
      <c r="AC67" s="279"/>
      <c r="AD67" s="279"/>
      <c r="AE67" s="280"/>
      <c r="AF67" s="280"/>
      <c r="AG67" s="280"/>
    </row>
    <row r="68" spans="1:33" s="263" customFormat="1">
      <c r="A68" s="77" t="s">
        <v>28</v>
      </c>
      <c r="B68" s="292"/>
      <c r="C68" s="303"/>
      <c r="D68" s="303"/>
      <c r="E68" s="303"/>
      <c r="F68" s="303"/>
      <c r="G68" s="304"/>
      <c r="H68" s="283"/>
      <c r="I68" s="285"/>
      <c r="J68" s="285"/>
      <c r="K68" s="285"/>
      <c r="L68" s="285"/>
      <c r="M68" s="279"/>
      <c r="N68" s="279"/>
      <c r="O68" s="279"/>
      <c r="P68" s="279"/>
      <c r="Q68" s="279"/>
      <c r="R68" s="279"/>
      <c r="S68" s="279"/>
      <c r="T68" s="279"/>
      <c r="U68" s="279"/>
      <c r="V68" s="279"/>
      <c r="W68" s="279"/>
      <c r="X68" s="279"/>
      <c r="Y68" s="279"/>
      <c r="Z68" s="279"/>
      <c r="AA68" s="279"/>
      <c r="AB68" s="279"/>
      <c r="AC68" s="279"/>
      <c r="AD68" s="279"/>
      <c r="AE68" s="280"/>
      <c r="AF68" s="280"/>
      <c r="AG68" s="280"/>
    </row>
    <row r="69" spans="1:33" s="263" customFormat="1">
      <c r="A69" s="79" t="s">
        <v>29</v>
      </c>
      <c r="B69" s="292"/>
      <c r="C69" s="303"/>
      <c r="D69" s="303"/>
      <c r="E69" s="303"/>
      <c r="F69" s="303"/>
      <c r="G69" s="304"/>
      <c r="H69" s="283"/>
      <c r="I69" s="285"/>
      <c r="J69" s="285"/>
      <c r="K69" s="285"/>
      <c r="L69" s="285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80"/>
      <c r="AF69" s="280"/>
      <c r="AG69" s="280"/>
    </row>
    <row r="70" spans="1:33" s="263" customFormat="1">
      <c r="A70" s="76" t="s">
        <v>30</v>
      </c>
      <c r="B70" s="292">
        <f>'Ratio Analysis'!$L$39*B37</f>
        <v>136859000</v>
      </c>
      <c r="C70" s="292">
        <f>'Ratio Analysis'!$L$39*C37</f>
        <v>147845237.15984482</v>
      </c>
      <c r="D70" s="292">
        <f>'Ratio Analysis'!$L$39*D37</f>
        <v>159713384.94984442</v>
      </c>
      <c r="E70" s="292">
        <f>'Ratio Analysis'!$L$39*E37</f>
        <v>172534237.97858629</v>
      </c>
      <c r="F70" s="292">
        <f>'Ratio Analysis'!$L$39*F37</f>
        <v>186384273.83027199</v>
      </c>
      <c r="G70" s="293">
        <f>'Ratio Analysis'!$L$39*G37</f>
        <v>201346109.26064065</v>
      </c>
      <c r="H70" s="278"/>
      <c r="I70" s="285"/>
      <c r="J70" s="285"/>
      <c r="K70" s="285"/>
      <c r="L70" s="285"/>
      <c r="M70" s="279"/>
      <c r="N70" s="279"/>
      <c r="O70" s="279"/>
      <c r="P70" s="279"/>
      <c r="Q70" s="279"/>
      <c r="R70" s="279"/>
      <c r="S70" s="279"/>
      <c r="T70" s="279"/>
      <c r="U70" s="279"/>
      <c r="V70" s="279"/>
      <c r="W70" s="279"/>
      <c r="X70" s="279"/>
      <c r="Y70" s="279"/>
      <c r="Z70" s="279"/>
      <c r="AA70" s="279"/>
      <c r="AB70" s="279"/>
      <c r="AC70" s="279"/>
      <c r="AD70" s="279"/>
      <c r="AE70" s="280"/>
      <c r="AF70" s="280"/>
      <c r="AG70" s="280"/>
    </row>
    <row r="71" spans="1:33" s="263" customFormat="1">
      <c r="A71" s="76" t="s">
        <v>31</v>
      </c>
      <c r="B71" s="292">
        <f>'Ratio Analysis'!$L$40*B70</f>
        <v>70413000</v>
      </c>
      <c r="C71" s="292">
        <f>'Ratio Analysis'!$L$40*C70</f>
        <v>76065342.316808939</v>
      </c>
      <c r="D71" s="292">
        <f>'Ratio Analysis'!$L$40*D70</f>
        <v>82171421.495651707</v>
      </c>
      <c r="E71" s="292">
        <f>'Ratio Analysis'!$L$40*E70</f>
        <v>88767660.868384227</v>
      </c>
      <c r="F71" s="292">
        <f>'Ratio Analysis'!$L$40*F70</f>
        <v>95893407.618139416</v>
      </c>
      <c r="G71" s="293">
        <f>'Ratio Analysis'!$L$40*G70</f>
        <v>103591167.48894477</v>
      </c>
      <c r="H71" s="278"/>
      <c r="I71" s="285"/>
      <c r="J71" s="285"/>
      <c r="K71" s="285"/>
      <c r="L71" s="285"/>
      <c r="M71" s="279"/>
      <c r="N71" s="279"/>
      <c r="O71" s="279"/>
      <c r="P71" s="279"/>
      <c r="Q71" s="279"/>
      <c r="R71" s="279"/>
      <c r="S71" s="279"/>
      <c r="T71" s="279"/>
      <c r="U71" s="279"/>
      <c r="V71" s="279"/>
      <c r="W71" s="279"/>
      <c r="X71" s="279"/>
      <c r="Y71" s="279"/>
      <c r="Z71" s="279"/>
      <c r="AA71" s="279"/>
      <c r="AB71" s="279"/>
      <c r="AC71" s="279"/>
      <c r="AD71" s="279"/>
      <c r="AE71" s="280"/>
      <c r="AF71" s="280"/>
      <c r="AG71" s="280"/>
    </row>
    <row r="72" spans="1:33" s="263" customFormat="1">
      <c r="A72" s="80" t="s">
        <v>32</v>
      </c>
      <c r="B72" s="292">
        <f>B70-B71</f>
        <v>66446000</v>
      </c>
      <c r="C72" s="292">
        <f t="shared" ref="C72:G72" si="20">C70-C71</f>
        <v>71779894.843035877</v>
      </c>
      <c r="D72" s="292">
        <f t="shared" si="20"/>
        <v>77541963.454192713</v>
      </c>
      <c r="E72" s="292">
        <f t="shared" si="20"/>
        <v>83766577.110202059</v>
      </c>
      <c r="F72" s="292">
        <f t="shared" si="20"/>
        <v>90490866.212132573</v>
      </c>
      <c r="G72" s="293">
        <f t="shared" si="20"/>
        <v>97754941.771695882</v>
      </c>
      <c r="H72" s="278"/>
      <c r="I72" s="285"/>
      <c r="J72" s="285"/>
      <c r="K72" s="285"/>
      <c r="L72" s="285"/>
      <c r="M72" s="279"/>
      <c r="N72" s="279"/>
      <c r="O72" s="279"/>
      <c r="P72" s="279"/>
      <c r="Q72" s="279"/>
      <c r="R72" s="279"/>
      <c r="S72" s="279"/>
      <c r="T72" s="279"/>
      <c r="U72" s="279"/>
      <c r="V72" s="279"/>
      <c r="W72" s="279"/>
      <c r="X72" s="279"/>
      <c r="Y72" s="279"/>
      <c r="Z72" s="279"/>
      <c r="AA72" s="279"/>
      <c r="AB72" s="279"/>
      <c r="AC72" s="279"/>
      <c r="AD72" s="279"/>
      <c r="AE72" s="280"/>
      <c r="AF72" s="280"/>
      <c r="AG72" s="280"/>
    </row>
    <row r="73" spans="1:33" s="263" customFormat="1">
      <c r="A73" s="75" t="s">
        <v>33</v>
      </c>
      <c r="B73" s="292">
        <f>'Ratio Analysis'!$L$41*B37</f>
        <v>20490000</v>
      </c>
      <c r="C73" s="292">
        <f>'Ratio Analysis'!$L$41*C37</f>
        <v>22134816.924025606</v>
      </c>
      <c r="D73" s="292">
        <f>'Ratio Analysis'!$L$41*D37</f>
        <v>23911670.095662776</v>
      </c>
      <c r="E73" s="292">
        <f>'Ratio Analysis'!$L$41*E37</f>
        <v>25831158.609819103</v>
      </c>
      <c r="F73" s="292">
        <f>'Ratio Analysis'!$L$41*F37</f>
        <v>27904732.394524824</v>
      </c>
      <c r="G73" s="293">
        <f>'Ratio Analysis'!$L$41*G37</f>
        <v>30144760.510821551</v>
      </c>
      <c r="H73" s="278"/>
      <c r="I73" s="285"/>
      <c r="J73" s="285"/>
      <c r="K73" s="285"/>
      <c r="L73" s="285"/>
      <c r="M73" s="279"/>
      <c r="N73" s="279"/>
      <c r="O73" s="279"/>
      <c r="P73" s="279"/>
      <c r="Q73" s="279"/>
      <c r="R73" s="279"/>
      <c r="S73" s="279"/>
      <c r="T73" s="279"/>
      <c r="U73" s="279"/>
      <c r="V73" s="279"/>
      <c r="W73" s="279"/>
      <c r="X73" s="279"/>
      <c r="Y73" s="279"/>
      <c r="Z73" s="279"/>
      <c r="AA73" s="279"/>
      <c r="AB73" s="279"/>
      <c r="AC73" s="279"/>
      <c r="AD73" s="279"/>
      <c r="AE73" s="280"/>
      <c r="AF73" s="280"/>
      <c r="AG73" s="280"/>
    </row>
    <row r="74" spans="1:33" s="263" customFormat="1">
      <c r="A74" s="79" t="s">
        <v>8</v>
      </c>
      <c r="B74" s="292">
        <f>'Ratio Analysis'!$L$42</f>
        <v>0</v>
      </c>
      <c r="C74" s="292">
        <f>'Ratio Analysis'!$L$42</f>
        <v>0</v>
      </c>
      <c r="D74" s="292">
        <f>'Ratio Analysis'!$L$42</f>
        <v>0</v>
      </c>
      <c r="E74" s="292">
        <f>'Ratio Analysis'!$L$42</f>
        <v>0</v>
      </c>
      <c r="F74" s="292">
        <f>'Ratio Analysis'!$L$42</f>
        <v>0</v>
      </c>
      <c r="G74" s="293">
        <f>'Ratio Analysis'!$L$42</f>
        <v>0</v>
      </c>
      <c r="H74" s="278"/>
      <c r="I74" s="285"/>
      <c r="J74" s="285"/>
      <c r="K74" s="285"/>
      <c r="L74" s="285"/>
      <c r="M74" s="279"/>
      <c r="N74" s="279"/>
      <c r="O74" s="279"/>
      <c r="P74" s="279"/>
      <c r="Q74" s="279"/>
      <c r="R74" s="279"/>
      <c r="S74" s="279"/>
      <c r="T74" s="279"/>
      <c r="U74" s="279"/>
      <c r="V74" s="279"/>
      <c r="W74" s="279"/>
      <c r="X74" s="279"/>
      <c r="Y74" s="279"/>
      <c r="Z74" s="279"/>
      <c r="AA74" s="279"/>
      <c r="AB74" s="279"/>
      <c r="AC74" s="279"/>
      <c r="AD74" s="279"/>
      <c r="AE74" s="280"/>
      <c r="AF74" s="280"/>
      <c r="AG74" s="280"/>
    </row>
    <row r="75" spans="1:33" s="263" customFormat="1">
      <c r="A75" s="79" t="s">
        <v>9</v>
      </c>
      <c r="B75" s="292">
        <f>'Ratio Analysis'!$L$43</f>
        <v>0</v>
      </c>
      <c r="C75" s="292">
        <f>'Ratio Analysis'!$L$43</f>
        <v>0</v>
      </c>
      <c r="D75" s="292">
        <f>'Ratio Analysis'!$L$43</f>
        <v>0</v>
      </c>
      <c r="E75" s="292">
        <f>'Ratio Analysis'!$L$43</f>
        <v>0</v>
      </c>
      <c r="F75" s="292">
        <f>'Ratio Analysis'!$L$43</f>
        <v>0</v>
      </c>
      <c r="G75" s="293">
        <f>'Ratio Analysis'!$L$43</f>
        <v>0</v>
      </c>
      <c r="H75" s="278"/>
      <c r="I75" s="285"/>
      <c r="J75" s="285"/>
      <c r="K75" s="285"/>
      <c r="L75" s="285"/>
      <c r="M75" s="279"/>
      <c r="N75" s="279"/>
      <c r="O75" s="279"/>
      <c r="P75" s="279"/>
      <c r="Q75" s="279"/>
      <c r="R75" s="279"/>
      <c r="S75" s="279"/>
      <c r="T75" s="279"/>
      <c r="U75" s="279"/>
      <c r="V75" s="279"/>
      <c r="W75" s="279"/>
      <c r="X75" s="279"/>
      <c r="Y75" s="279"/>
      <c r="Z75" s="279"/>
      <c r="AA75" s="279"/>
      <c r="AB75" s="279"/>
      <c r="AC75" s="279"/>
      <c r="AD75" s="279"/>
      <c r="AE75" s="280"/>
      <c r="AF75" s="280"/>
      <c r="AG75" s="280"/>
    </row>
    <row r="76" spans="1:33" s="263" customFormat="1">
      <c r="A76" s="79" t="s">
        <v>10</v>
      </c>
      <c r="B76" s="305">
        <f>'Ratio Analysis'!$L$44*B37</f>
        <v>1759000</v>
      </c>
      <c r="C76" s="305">
        <f>'Ratio Analysis'!$L$44*C37</f>
        <v>1900202.1946979521</v>
      </c>
      <c r="D76" s="305">
        <f>'Ratio Analysis'!$L$44*D37</f>
        <v>2052739.2727316166</v>
      </c>
      <c r="E76" s="305">
        <f>'Ratio Analysis'!$L$44*E37</f>
        <v>2217521.1319995997</v>
      </c>
      <c r="F76" s="305">
        <f>'Ratio Analysis'!$L$44*F37</f>
        <v>2395530.7116627214</v>
      </c>
      <c r="G76" s="306">
        <f>'Ratio Analysis'!$L$44*G37</f>
        <v>2587829.855467794</v>
      </c>
      <c r="H76" s="286"/>
      <c r="I76" s="285"/>
      <c r="J76" s="285"/>
      <c r="K76" s="285"/>
      <c r="L76" s="285"/>
      <c r="M76" s="279"/>
      <c r="N76" s="279"/>
      <c r="O76" s="279"/>
      <c r="P76" s="279"/>
      <c r="Q76" s="279"/>
      <c r="R76" s="279"/>
      <c r="S76" s="279"/>
      <c r="T76" s="279"/>
      <c r="U76" s="279"/>
      <c r="V76" s="279"/>
      <c r="W76" s="279"/>
      <c r="X76" s="279"/>
      <c r="Y76" s="279"/>
      <c r="Z76" s="279"/>
      <c r="AA76" s="279"/>
      <c r="AB76" s="279"/>
      <c r="AC76" s="279"/>
      <c r="AD76" s="279"/>
      <c r="AE76" s="280"/>
      <c r="AF76" s="280"/>
      <c r="AG76" s="280"/>
    </row>
    <row r="77" spans="1:33" s="263" customFormat="1">
      <c r="A77" s="77" t="s">
        <v>34</v>
      </c>
      <c r="B77" s="307">
        <f>SUM(B72:B76)</f>
        <v>88695000</v>
      </c>
      <c r="C77" s="307">
        <f t="shared" ref="C77:G77" si="21">SUM(C72:C76)</f>
        <v>95814913.961759433</v>
      </c>
      <c r="D77" s="307">
        <f t="shared" si="21"/>
        <v>103506372.8225871</v>
      </c>
      <c r="E77" s="307">
        <f t="shared" si="21"/>
        <v>111815256.85202076</v>
      </c>
      <c r="F77" s="307">
        <f t="shared" si="21"/>
        <v>120791129.31832013</v>
      </c>
      <c r="G77" s="308">
        <f t="shared" si="21"/>
        <v>130487532.13798523</v>
      </c>
      <c r="H77" s="287"/>
      <c r="I77" s="285"/>
      <c r="J77" s="285"/>
      <c r="K77" s="285"/>
      <c r="L77" s="285"/>
      <c r="M77" s="279"/>
      <c r="N77" s="279"/>
      <c r="O77" s="279"/>
      <c r="P77" s="279"/>
      <c r="Q77" s="279"/>
      <c r="R77" s="279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80"/>
      <c r="AF77" s="280"/>
      <c r="AG77" s="280"/>
    </row>
    <row r="78" spans="1:33" s="263" customFormat="1">
      <c r="A78" s="81" t="s">
        <v>11</v>
      </c>
      <c r="B78" s="307">
        <f>B77+B67</f>
        <v>97484000</v>
      </c>
      <c r="C78" s="307">
        <f t="shared" ref="C78:G78" si="22">C77+C67</f>
        <v>105309443.2904691</v>
      </c>
      <c r="D78" s="307">
        <f t="shared" si="22"/>
        <v>113763067.2330693</v>
      </c>
      <c r="E78" s="307">
        <f t="shared" si="22"/>
        <v>122895298.48314326</v>
      </c>
      <c r="F78" s="307">
        <f t="shared" si="22"/>
        <v>132760611.65192084</v>
      </c>
      <c r="G78" s="308">
        <f t="shared" si="22"/>
        <v>143417854.25265631</v>
      </c>
      <c r="H78" s="287"/>
      <c r="I78" s="285"/>
      <c r="J78" s="288"/>
      <c r="K78" s="288"/>
      <c r="L78" s="288"/>
      <c r="M78" s="280"/>
      <c r="N78" s="280"/>
      <c r="O78" s="280"/>
      <c r="P78" s="280"/>
      <c r="Q78" s="280"/>
      <c r="R78" s="280"/>
      <c r="S78" s="280"/>
      <c r="T78" s="280"/>
      <c r="U78" s="280"/>
      <c r="V78" s="280"/>
      <c r="W78" s="280"/>
      <c r="X78" s="280"/>
      <c r="Y78" s="280"/>
      <c r="Z78" s="280"/>
      <c r="AA78" s="280"/>
      <c r="AB78" s="280"/>
      <c r="AC78" s="280"/>
      <c r="AD78" s="280"/>
      <c r="AE78" s="280"/>
      <c r="AF78" s="280"/>
      <c r="AG78" s="280"/>
    </row>
    <row r="79" spans="1:33" s="263" customFormat="1">
      <c r="A79" s="82"/>
      <c r="B79" s="309"/>
      <c r="C79" s="309"/>
      <c r="D79" s="309"/>
      <c r="E79" s="309"/>
      <c r="F79" s="309"/>
      <c r="G79" s="310"/>
      <c r="H79" s="288"/>
      <c r="I79" s="285"/>
      <c r="J79" s="288"/>
      <c r="K79" s="288"/>
      <c r="L79" s="288"/>
      <c r="M79" s="280"/>
      <c r="N79" s="280"/>
      <c r="O79" s="280"/>
      <c r="P79" s="280"/>
      <c r="Q79" s="280"/>
      <c r="R79" s="280"/>
      <c r="S79" s="280"/>
      <c r="T79" s="280"/>
      <c r="U79" s="280"/>
      <c r="V79" s="280"/>
      <c r="W79" s="280"/>
      <c r="X79" s="280"/>
      <c r="Y79" s="280"/>
      <c r="Z79" s="280"/>
      <c r="AA79" s="280"/>
      <c r="AB79" s="280"/>
      <c r="AC79" s="280"/>
      <c r="AD79" s="280"/>
      <c r="AE79" s="280"/>
      <c r="AF79" s="280"/>
      <c r="AG79" s="280"/>
    </row>
    <row r="80" spans="1:33" s="263" customFormat="1">
      <c r="A80" s="81" t="s">
        <v>35</v>
      </c>
      <c r="B80" s="309"/>
      <c r="C80" s="309"/>
      <c r="D80" s="309"/>
      <c r="E80" s="309"/>
      <c r="F80" s="309"/>
      <c r="G80" s="310"/>
      <c r="H80" s="288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  <c r="W80" s="280"/>
      <c r="X80" s="280"/>
    </row>
    <row r="81" spans="1:24" s="263" customFormat="1">
      <c r="A81" s="77" t="s">
        <v>36</v>
      </c>
      <c r="B81" s="309"/>
      <c r="C81" s="309"/>
      <c r="D81" s="309"/>
      <c r="E81" s="309"/>
      <c r="F81" s="309"/>
      <c r="G81" s="310"/>
      <c r="H81" s="288"/>
      <c r="I81" s="280"/>
      <c r="J81" s="280"/>
      <c r="K81" s="280"/>
      <c r="L81" s="280"/>
      <c r="M81" s="280"/>
      <c r="N81" s="280"/>
      <c r="O81" s="280"/>
      <c r="P81" s="280"/>
      <c r="Q81" s="280"/>
      <c r="R81" s="280"/>
      <c r="S81" s="280"/>
      <c r="T81" s="280"/>
      <c r="U81" s="280"/>
      <c r="V81" s="280"/>
      <c r="W81" s="280"/>
      <c r="X81" s="280"/>
    </row>
    <row r="82" spans="1:24" s="263" customFormat="1">
      <c r="A82" s="75" t="s">
        <v>38</v>
      </c>
      <c r="B82" s="309"/>
      <c r="C82" s="309"/>
      <c r="D82" s="309"/>
      <c r="E82" s="309"/>
      <c r="F82" s="309"/>
      <c r="G82" s="310"/>
      <c r="H82" s="288"/>
      <c r="I82" s="280"/>
      <c r="J82" s="280"/>
      <c r="K82" s="280"/>
      <c r="L82" s="280"/>
      <c r="M82" s="280"/>
      <c r="N82" s="280"/>
      <c r="O82" s="280"/>
      <c r="P82" s="280"/>
      <c r="Q82" s="280"/>
      <c r="R82" s="280"/>
      <c r="S82" s="280"/>
      <c r="T82" s="280"/>
      <c r="U82" s="280"/>
      <c r="V82" s="280"/>
      <c r="W82" s="280"/>
      <c r="X82" s="280"/>
    </row>
    <row r="83" spans="1:24" s="263" customFormat="1">
      <c r="A83" s="83" t="s">
        <v>12</v>
      </c>
      <c r="B83" s="305">
        <f>'Ratio Analysis'!$L$45*B37</f>
        <v>4933000</v>
      </c>
      <c r="C83" s="305">
        <f>'Ratio Analysis'!$L$45*C37</f>
        <v>5328992.2833683901</v>
      </c>
      <c r="D83" s="305">
        <f>'Ratio Analysis'!$L$45*D37</f>
        <v>5756772.5027771834</v>
      </c>
      <c r="E83" s="305">
        <f>'Ratio Analysis'!$L$45*E37</f>
        <v>6218892.4071370251</v>
      </c>
      <c r="F83" s="305">
        <f>'Ratio Analysis'!$L$45*F37</f>
        <v>6718108.5847823797</v>
      </c>
      <c r="G83" s="306">
        <f>'Ratio Analysis'!$L$45*G37</f>
        <v>7257398.9067780729</v>
      </c>
      <c r="H83" s="286"/>
      <c r="I83" s="280"/>
      <c r="J83" s="280"/>
      <c r="K83" s="280"/>
      <c r="L83" s="280"/>
      <c r="M83" s="280"/>
      <c r="N83" s="280"/>
      <c r="O83" s="280"/>
      <c r="P83" s="280"/>
      <c r="Q83" s="280"/>
      <c r="R83" s="280"/>
      <c r="S83" s="280"/>
      <c r="T83" s="280"/>
      <c r="U83" s="280"/>
      <c r="V83" s="280"/>
      <c r="W83" s="280"/>
      <c r="X83" s="280"/>
    </row>
    <row r="84" spans="1:24" s="263" customFormat="1">
      <c r="A84" s="83" t="s">
        <v>13</v>
      </c>
      <c r="B84" s="305">
        <f>'Ratio Analysis'!$L$46*B37</f>
        <v>1427000</v>
      </c>
      <c r="C84" s="305">
        <f>'Ratio Analysis'!$L$46*C37</f>
        <v>1541551.1835326764</v>
      </c>
      <c r="D84" s="305">
        <f>'Ratio Analysis'!$L$46*D37</f>
        <v>1665297.8636657288</v>
      </c>
      <c r="E84" s="305">
        <f>'Ratio Analysis'!$L$46*E37</f>
        <v>1798978.200888817</v>
      </c>
      <c r="F84" s="305">
        <f>'Ratio Analysis'!$L$46*F37</f>
        <v>1943389.6108827195</v>
      </c>
      <c r="G84" s="306">
        <f>'Ratio Analysis'!$L$46*G37</f>
        <v>2099393.5211782502</v>
      </c>
      <c r="H84" s="286"/>
      <c r="I84" s="280"/>
      <c r="J84" s="280"/>
      <c r="K84" s="280"/>
      <c r="L84" s="280"/>
      <c r="M84" s="280"/>
      <c r="N84" s="280"/>
      <c r="O84" s="280"/>
      <c r="P84" s="280"/>
      <c r="Q84" s="280"/>
      <c r="R84" s="280"/>
      <c r="S84" s="280"/>
      <c r="T84" s="280"/>
      <c r="U84" s="280"/>
      <c r="V84" s="280"/>
      <c r="W84" s="280"/>
      <c r="X84" s="280"/>
    </row>
    <row r="85" spans="1:24" s="263" customFormat="1">
      <c r="A85" s="83" t="s">
        <v>40</v>
      </c>
      <c r="B85" s="305">
        <f>'Ratio Analysis'!$L$47*B37</f>
        <v>1510000</v>
      </c>
      <c r="C85" s="305">
        <f>'Ratio Analysis'!$L$47*C37</f>
        <v>1631213.9363239955</v>
      </c>
      <c r="D85" s="305">
        <f>'Ratio Analysis'!$L$47*D37</f>
        <v>1762158.2159322009</v>
      </c>
      <c r="E85" s="305">
        <f>'Ratio Analysis'!$L$47*E37</f>
        <v>1903613.9336665128</v>
      </c>
      <c r="F85" s="305">
        <f>'Ratio Analysis'!$L$47*F37</f>
        <v>2056424.88607772</v>
      </c>
      <c r="G85" s="306">
        <f>'Ratio Analysis'!$L$47*G37</f>
        <v>2221502.6047506365</v>
      </c>
      <c r="H85" s="286"/>
      <c r="I85" s="280"/>
      <c r="J85" s="280"/>
      <c r="K85" s="280"/>
      <c r="L85" s="280"/>
      <c r="M85" s="280"/>
      <c r="N85" s="280"/>
      <c r="O85" s="280"/>
      <c r="P85" s="280"/>
      <c r="Q85" s="280"/>
      <c r="R85" s="280"/>
      <c r="S85" s="280"/>
      <c r="T85" s="280"/>
      <c r="U85" s="280"/>
      <c r="V85" s="280"/>
      <c r="W85" s="280"/>
      <c r="X85" s="280"/>
    </row>
    <row r="86" spans="1:24" s="263" customFormat="1">
      <c r="A86" s="83" t="s">
        <v>41</v>
      </c>
      <c r="B86" s="305">
        <f>'Ratio Analysis'!$L$48*B37</f>
        <v>1386000</v>
      </c>
      <c r="C86" s="305">
        <f>'Ratio Analysis'!$L$48*C37</f>
        <v>1497259.944202025</v>
      </c>
      <c r="D86" s="305">
        <f>'Ratio Analysis'!$L$48*D37</f>
        <v>1617451.1836304837</v>
      </c>
      <c r="E86" s="305">
        <f>'Ratio Analysis'!$L$48*E37</f>
        <v>1747290.6702395938</v>
      </c>
      <c r="F86" s="305">
        <f>'Ratio Analysis'!$L$48*F37</f>
        <v>1887552.9086779603</v>
      </c>
      <c r="G86" s="306">
        <f>'Ratio Analysis'!$L$48*G37</f>
        <v>2039074.5762810479</v>
      </c>
      <c r="H86" s="286"/>
      <c r="I86" s="280"/>
      <c r="J86" s="280"/>
      <c r="K86" s="280"/>
      <c r="L86" s="280"/>
      <c r="M86" s="280"/>
      <c r="N86" s="280"/>
      <c r="O86" s="280"/>
      <c r="P86" s="280"/>
      <c r="Q86" s="280"/>
      <c r="R86" s="280"/>
      <c r="S86" s="280"/>
      <c r="T86" s="280"/>
      <c r="U86" s="280"/>
      <c r="V86" s="280"/>
      <c r="W86" s="280"/>
      <c r="X86" s="280"/>
    </row>
    <row r="87" spans="1:24" s="263" customFormat="1">
      <c r="A87" s="77" t="s">
        <v>14</v>
      </c>
      <c r="B87" s="307">
        <f>SUM(B83:B86)</f>
        <v>9256000</v>
      </c>
      <c r="C87" s="307">
        <f t="shared" ref="C87:G87" si="23">SUM(C83:C86)</f>
        <v>9999017.3474270869</v>
      </c>
      <c r="D87" s="307">
        <f t="shared" si="23"/>
        <v>10801679.766005596</v>
      </c>
      <c r="E87" s="307">
        <f t="shared" si="23"/>
        <v>11668775.211931949</v>
      </c>
      <c r="F87" s="307">
        <f t="shared" si="23"/>
        <v>12605475.990420779</v>
      </c>
      <c r="G87" s="308">
        <f t="shared" si="23"/>
        <v>13617369.608988009</v>
      </c>
      <c r="H87" s="287"/>
      <c r="I87" s="280"/>
      <c r="J87" s="280"/>
      <c r="K87" s="280"/>
      <c r="L87" s="280"/>
      <c r="M87" s="280"/>
      <c r="N87" s="280"/>
      <c r="O87" s="280"/>
      <c r="P87" s="280"/>
      <c r="Q87" s="280"/>
      <c r="R87" s="280"/>
      <c r="S87" s="280"/>
      <c r="T87" s="280"/>
      <c r="U87" s="280"/>
      <c r="V87" s="280"/>
      <c r="W87" s="280"/>
      <c r="X87" s="280"/>
    </row>
    <row r="88" spans="1:24" s="263" customFormat="1">
      <c r="A88" s="75" t="s">
        <v>39</v>
      </c>
      <c r="B88" s="305"/>
      <c r="C88" s="28"/>
      <c r="D88" s="28"/>
      <c r="E88" s="28"/>
      <c r="F88" s="28"/>
      <c r="G88" s="311"/>
      <c r="H88" s="289"/>
      <c r="I88" s="280"/>
      <c r="J88" s="280"/>
      <c r="K88" s="280"/>
      <c r="L88" s="280"/>
      <c r="M88" s="280"/>
      <c r="N88" s="280"/>
      <c r="O88" s="280"/>
      <c r="P88" s="280"/>
      <c r="Q88" s="280"/>
      <c r="R88" s="280"/>
      <c r="S88" s="280"/>
      <c r="T88" s="280"/>
      <c r="U88" s="280"/>
      <c r="V88" s="280"/>
      <c r="W88" s="280"/>
      <c r="X88" s="280"/>
    </row>
    <row r="89" spans="1:24" s="263" customFormat="1">
      <c r="A89" s="83" t="s">
        <v>414</v>
      </c>
      <c r="B89" s="305">
        <f>B78*'Ratio Analysis'!$L$77</f>
        <v>23453000</v>
      </c>
      <c r="C89" s="305">
        <f>B89</f>
        <v>23453000</v>
      </c>
      <c r="D89" s="305">
        <f>D78*'Ratio Analysis'!$L$77</f>
        <v>27369467.972356226</v>
      </c>
      <c r="E89" s="305">
        <f>E78*'Ratio Analysis'!$L$77</f>
        <v>29566528.202834915</v>
      </c>
      <c r="F89" s="305">
        <f>F78*'Ratio Analysis'!$L$77</f>
        <v>31939955.531907793</v>
      </c>
      <c r="G89" s="306">
        <f>G78*'Ratio Analysis'!$L$77</f>
        <v>34503907.674977928</v>
      </c>
      <c r="H89" s="286"/>
      <c r="I89" s="280"/>
      <c r="J89" s="280"/>
      <c r="K89" s="280"/>
      <c r="L89" s="280"/>
      <c r="M89" s="280"/>
      <c r="N89" s="280"/>
      <c r="O89" s="280"/>
      <c r="P89" s="280"/>
      <c r="Q89" s="280"/>
      <c r="R89" s="280"/>
      <c r="S89" s="280"/>
      <c r="T89" s="280"/>
      <c r="U89" s="280"/>
      <c r="V89" s="280"/>
      <c r="W89" s="280"/>
      <c r="X89" s="280"/>
    </row>
    <row r="90" spans="1:24">
      <c r="A90" s="83" t="s">
        <v>42</v>
      </c>
      <c r="B90" s="305">
        <f>'Ratio Analysis'!$L$50*B37</f>
        <v>10999000</v>
      </c>
      <c r="C90" s="305">
        <f>'Ratio Analysis'!$L$50*C37</f>
        <v>11881935.156044785</v>
      </c>
      <c r="D90" s="305">
        <f>'Ratio Analysis'!$L$50*D37</f>
        <v>12835747.163601508</v>
      </c>
      <c r="E90" s="305">
        <f>'Ratio Analysis'!$L$50*E37</f>
        <v>13866125.600263558</v>
      </c>
      <c r="F90" s="305">
        <f>'Ratio Analysis'!$L$50*F37</f>
        <v>14979216.76951579</v>
      </c>
      <c r="G90" s="306">
        <f>'Ratio Analysis'!$L$50*G37</f>
        <v>16181660.364008114</v>
      </c>
      <c r="H90" s="286"/>
    </row>
    <row r="91" spans="1:24">
      <c r="A91" s="83" t="s">
        <v>43</v>
      </c>
      <c r="B91" s="305">
        <f>'Ratio Analysis'!$L$51*B37</f>
        <v>2286000</v>
      </c>
      <c r="C91" s="305">
        <f>'Ratio Analysis'!$L$51*C37</f>
        <v>2469506.661216327</v>
      </c>
      <c r="D91" s="305">
        <f>'Ratio Analysis'!$L$51*D37</f>
        <v>2667744.160013915</v>
      </c>
      <c r="E91" s="305">
        <f>'Ratio Analysis'!$L$51*E37</f>
        <v>2881895.0015640054</v>
      </c>
      <c r="F91" s="305">
        <f>'Ratio Analysis'!$L$51*F37</f>
        <v>3113236.6156117008</v>
      </c>
      <c r="G91" s="306">
        <f>'Ratio Analysis'!$L$51*G37</f>
        <v>3363148.9764635465</v>
      </c>
      <c r="H91" s="286"/>
    </row>
    <row r="92" spans="1:24">
      <c r="A92" s="83" t="s">
        <v>44</v>
      </c>
      <c r="B92" s="305">
        <f>'Ratio Analysis'!$L$52*B37</f>
        <v>11408000</v>
      </c>
      <c r="C92" s="305">
        <f>'Ratio Analysis'!$L$52*C37</f>
        <v>12323767.275221284</v>
      </c>
      <c r="D92" s="305">
        <f>'Ratio Analysis'!$L$52*D37</f>
        <v>13313046.971757978</v>
      </c>
      <c r="E92" s="305">
        <f>'Ratio Analysis'!$L$52*E37</f>
        <v>14381740.235276541</v>
      </c>
      <c r="F92" s="305">
        <f>'Ratio Analysis'!$L$52*F37</f>
        <v>15536221.9207779</v>
      </c>
      <c r="G92" s="306">
        <f>'Ratio Analysis'!$L$52*G37</f>
        <v>16783378.619202159</v>
      </c>
      <c r="H92" s="286"/>
    </row>
    <row r="93" spans="1:24">
      <c r="A93" s="75" t="s">
        <v>45</v>
      </c>
      <c r="B93" s="307">
        <f>SUM(B89:B92)</f>
        <v>48146000</v>
      </c>
      <c r="C93" s="307">
        <f t="shared" ref="C93:G93" si="24">SUM(C89:C92)</f>
        <v>50128209.092482388</v>
      </c>
      <c r="D93" s="307">
        <f t="shared" si="24"/>
        <v>56186006.267729625</v>
      </c>
      <c r="E93" s="307">
        <f t="shared" si="24"/>
        <v>60696289.039939016</v>
      </c>
      <c r="F93" s="307">
        <f t="shared" si="24"/>
        <v>65568630.837813184</v>
      </c>
      <c r="G93" s="308">
        <f t="shared" si="24"/>
        <v>70832095.63465175</v>
      </c>
      <c r="H93" s="287"/>
    </row>
    <row r="94" spans="1:24">
      <c r="A94" s="77" t="s">
        <v>161</v>
      </c>
      <c r="B94" s="307">
        <f>B93+B87</f>
        <v>57402000</v>
      </c>
      <c r="C94" s="307">
        <f t="shared" ref="C94:G94" si="25">C93+C87</f>
        <v>60127226.439909473</v>
      </c>
      <c r="D94" s="307">
        <f t="shared" si="25"/>
        <v>66987686.033735223</v>
      </c>
      <c r="E94" s="307">
        <f t="shared" si="25"/>
        <v>72365064.25187096</v>
      </c>
      <c r="F94" s="307">
        <f t="shared" si="25"/>
        <v>78174106.828233957</v>
      </c>
      <c r="G94" s="308">
        <f t="shared" si="25"/>
        <v>84449465.243639767</v>
      </c>
      <c r="H94" s="287"/>
    </row>
    <row r="95" spans="1:24">
      <c r="A95" s="77" t="s">
        <v>37</v>
      </c>
      <c r="B95" s="305"/>
      <c r="C95" s="28"/>
      <c r="D95" s="28"/>
      <c r="E95" s="28"/>
      <c r="F95" s="28"/>
      <c r="G95" s="311"/>
      <c r="H95" s="289"/>
    </row>
    <row r="96" spans="1:24">
      <c r="A96" s="79" t="s">
        <v>16</v>
      </c>
      <c r="B96" s="305">
        <f>'Historic Balance Sheet'!$K$43</f>
        <v>18000</v>
      </c>
      <c r="C96" s="305">
        <f>'Historic Balance Sheet'!$K$43</f>
        <v>18000</v>
      </c>
      <c r="D96" s="305">
        <f>'Historic Balance Sheet'!$K$43</f>
        <v>18000</v>
      </c>
      <c r="E96" s="305">
        <f>'Historic Balance Sheet'!$K$43</f>
        <v>18000</v>
      </c>
      <c r="F96" s="305">
        <f>'Historic Balance Sheet'!$K$43</f>
        <v>18000</v>
      </c>
      <c r="G96" s="306">
        <f>'Historic Balance Sheet'!$K$43</f>
        <v>18000</v>
      </c>
      <c r="H96" s="286"/>
      <c r="M96" s="290"/>
    </row>
    <row r="97" spans="1:13">
      <c r="A97" s="79" t="s">
        <v>47</v>
      </c>
      <c r="B97" s="305">
        <f>'Historic Balance Sheet'!$K$44</f>
        <v>46357000</v>
      </c>
      <c r="C97" s="305">
        <f>'Historic Balance Sheet'!$K$44</f>
        <v>46357000</v>
      </c>
      <c r="D97" s="305">
        <f>'Historic Balance Sheet'!$K$44</f>
        <v>46357000</v>
      </c>
      <c r="E97" s="305">
        <f>'Historic Balance Sheet'!$K$44</f>
        <v>46357000</v>
      </c>
      <c r="F97" s="305">
        <f>'Historic Balance Sheet'!$K$44</f>
        <v>46357000</v>
      </c>
      <c r="G97" s="306">
        <f>'Historic Balance Sheet'!$K$44</f>
        <v>46357000</v>
      </c>
      <c r="H97" s="286"/>
      <c r="M97" s="290"/>
    </row>
    <row r="98" spans="1:13">
      <c r="A98" s="79" t="s">
        <v>19</v>
      </c>
      <c r="B98" s="305">
        <f>'Historic Balance Sheet'!$K$45</f>
        <v>36414000</v>
      </c>
      <c r="C98" s="305">
        <f>'Historic Balance Sheet'!$K$45</f>
        <v>36414000</v>
      </c>
      <c r="D98" s="305">
        <f>'Historic Balance Sheet'!$K$45</f>
        <v>36414000</v>
      </c>
      <c r="E98" s="305">
        <f>'Historic Balance Sheet'!$K$45</f>
        <v>36414000</v>
      </c>
      <c r="F98" s="305">
        <f>'Historic Balance Sheet'!$K$45</f>
        <v>36414000</v>
      </c>
      <c r="G98" s="306">
        <f>'Historic Balance Sheet'!$K$45</f>
        <v>36414000</v>
      </c>
      <c r="H98" s="286"/>
      <c r="M98" s="290"/>
    </row>
    <row r="99" spans="1:13">
      <c r="A99" s="79" t="s">
        <v>17</v>
      </c>
      <c r="B99" s="305">
        <f>'Historic Balance Sheet'!$K$46</f>
        <v>-36780000</v>
      </c>
      <c r="C99" s="305">
        <f>-((C94+C96+C97+C98+C100+C102)-C78)</f>
        <v>-31679783.149440363</v>
      </c>
      <c r="D99" s="305">
        <f t="shared" ref="D99:G99" si="26">-((D94+D96+D97+D98+D100+D102)-D78)</f>
        <v>-30086618.800665915</v>
      </c>
      <c r="E99" s="305">
        <f t="shared" si="26"/>
        <v>-26331765.768727705</v>
      </c>
      <c r="F99" s="305">
        <f t="shared" si="26"/>
        <v>-22275495.176313117</v>
      </c>
      <c r="G99" s="306">
        <f t="shared" si="26"/>
        <v>-17893610.990983456</v>
      </c>
      <c r="H99" s="286"/>
      <c r="M99" s="290"/>
    </row>
    <row r="100" spans="1:13">
      <c r="A100" s="79" t="s">
        <v>18</v>
      </c>
      <c r="B100" s="305">
        <f>'Historic Balance Sheet'!$K$47</f>
        <v>-6247000</v>
      </c>
      <c r="C100" s="305">
        <f>'Historic Balance Sheet'!$K$47</f>
        <v>-6247000</v>
      </c>
      <c r="D100" s="305">
        <f>'Historic Balance Sheet'!$K$47</f>
        <v>-6247000</v>
      </c>
      <c r="E100" s="305">
        <f>'Historic Balance Sheet'!$K$47</f>
        <v>-6247000</v>
      </c>
      <c r="F100" s="305">
        <f>'Historic Balance Sheet'!$K$47</f>
        <v>-6247000</v>
      </c>
      <c r="G100" s="306">
        <f>'Historic Balance Sheet'!$K$47</f>
        <v>-6247000</v>
      </c>
      <c r="H100" s="286"/>
      <c r="M100" s="290"/>
    </row>
    <row r="101" spans="1:13">
      <c r="A101" s="75" t="s">
        <v>20</v>
      </c>
      <c r="B101" s="307">
        <f>SUM(B96:B100)</f>
        <v>39762000</v>
      </c>
      <c r="C101" s="307">
        <f t="shared" ref="C101:G101" si="27">SUM(C96:C100)</f>
        <v>44862216.850559637</v>
      </c>
      <c r="D101" s="307">
        <f t="shared" si="27"/>
        <v>46455381.199334085</v>
      </c>
      <c r="E101" s="307">
        <f t="shared" si="27"/>
        <v>50210234.231272295</v>
      </c>
      <c r="F101" s="307">
        <f t="shared" si="27"/>
        <v>54266504.823686883</v>
      </c>
      <c r="G101" s="308">
        <f t="shared" si="27"/>
        <v>58648389.009016544</v>
      </c>
      <c r="H101" s="287"/>
    </row>
    <row r="102" spans="1:13">
      <c r="A102" s="86" t="s">
        <v>48</v>
      </c>
      <c r="B102" s="305">
        <f>'Historic Balance Sheet'!$K$49</f>
        <v>320000</v>
      </c>
      <c r="C102" s="305">
        <f>'Historic Balance Sheet'!$K$49</f>
        <v>320000</v>
      </c>
      <c r="D102" s="305">
        <f>'Historic Balance Sheet'!$K$49</f>
        <v>320000</v>
      </c>
      <c r="E102" s="305">
        <f>'Historic Balance Sheet'!$K$49</f>
        <v>320000</v>
      </c>
      <c r="F102" s="305">
        <f>'Historic Balance Sheet'!$K$49</f>
        <v>320000</v>
      </c>
      <c r="G102" s="306">
        <f>'Historic Balance Sheet'!$K$49</f>
        <v>320000</v>
      </c>
      <c r="H102" s="286"/>
    </row>
    <row r="103" spans="1:13">
      <c r="A103" s="77" t="s">
        <v>46</v>
      </c>
      <c r="B103" s="305">
        <f>B101+B102</f>
        <v>40082000</v>
      </c>
      <c r="C103" s="305">
        <f t="shared" ref="C103:G103" si="28">C101+C102</f>
        <v>45182216.850559637</v>
      </c>
      <c r="D103" s="305">
        <f t="shared" si="28"/>
        <v>46775381.199334085</v>
      </c>
      <c r="E103" s="305">
        <f t="shared" si="28"/>
        <v>50530234.231272295</v>
      </c>
      <c r="F103" s="305">
        <f t="shared" si="28"/>
        <v>54586504.823686883</v>
      </c>
      <c r="G103" s="306">
        <f t="shared" si="28"/>
        <v>58968389.009016544</v>
      </c>
      <c r="H103" s="286"/>
    </row>
    <row r="104" spans="1:13" ht="17" thickBot="1">
      <c r="A104" s="87" t="s">
        <v>49</v>
      </c>
      <c r="B104" s="312">
        <f>B103+B94</f>
        <v>97484000</v>
      </c>
      <c r="C104" s="312">
        <f t="shared" ref="C104:G104" si="29">C103+C94</f>
        <v>105309443.29046911</v>
      </c>
      <c r="D104" s="312">
        <f t="shared" si="29"/>
        <v>113763067.2330693</v>
      </c>
      <c r="E104" s="312">
        <f t="shared" si="29"/>
        <v>122895298.48314326</v>
      </c>
      <c r="F104" s="312">
        <f t="shared" si="29"/>
        <v>132760611.65192084</v>
      </c>
      <c r="G104" s="313">
        <f t="shared" si="29"/>
        <v>143417854.25265631</v>
      </c>
      <c r="H104" s="287"/>
    </row>
    <row r="105" spans="1:13" ht="17" thickBot="1">
      <c r="A105" s="19"/>
      <c r="B105" s="19"/>
      <c r="C105" s="19"/>
      <c r="D105" s="19"/>
      <c r="E105" s="19"/>
      <c r="F105" s="19"/>
      <c r="G105" s="19"/>
    </row>
    <row r="106" spans="1:13">
      <c r="A106" s="351" t="s">
        <v>198</v>
      </c>
      <c r="B106" s="352">
        <f>IF(LatestYear&lt;&gt;"",LatestYear,"")</f>
        <v>2015</v>
      </c>
      <c r="C106" s="352">
        <f>B106+1</f>
        <v>2016</v>
      </c>
      <c r="D106" s="352">
        <f t="shared" ref="D106" si="30">C106+1</f>
        <v>2017</v>
      </c>
      <c r="E106" s="352">
        <f t="shared" ref="E106" si="31">D106+1</f>
        <v>2018</v>
      </c>
      <c r="F106" s="352">
        <f t="shared" ref="F106" si="32">E106+1</f>
        <v>2019</v>
      </c>
      <c r="G106" s="353">
        <f t="shared" ref="G106" si="33">F106+1</f>
        <v>2020</v>
      </c>
      <c r="H106" s="275"/>
    </row>
    <row r="107" spans="1:13">
      <c r="A107" s="117" t="s">
        <v>296</v>
      </c>
      <c r="B107" s="314">
        <f>B48</f>
        <v>-4371000</v>
      </c>
      <c r="C107" s="314">
        <f t="shared" ref="C107:G107" si="34">C48</f>
        <v>-3402433.856368897</v>
      </c>
      <c r="D107" s="314">
        <f t="shared" si="34"/>
        <v>-5100922.8886355311</v>
      </c>
      <c r="E107" s="314">
        <f t="shared" si="34"/>
        <v>-5510395.0357988924</v>
      </c>
      <c r="F107" s="314">
        <f t="shared" si="34"/>
        <v>-5952737.2033415344</v>
      </c>
      <c r="G107" s="315">
        <f t="shared" si="34"/>
        <v>-6430588.0035530012</v>
      </c>
      <c r="H107" s="291"/>
    </row>
    <row r="108" spans="1:13">
      <c r="A108" s="117" t="s">
        <v>297</v>
      </c>
      <c r="B108" s="314">
        <f>-B42</f>
        <v>9113000</v>
      </c>
      <c r="C108" s="314">
        <f t="shared" ref="C108:G108" si="35">-C42</f>
        <v>9844538.1468348149</v>
      </c>
      <c r="D108" s="314">
        <f t="shared" si="35"/>
        <v>10634799.881980229</v>
      </c>
      <c r="E108" s="314">
        <f t="shared" si="35"/>
        <v>11488499.190399291</v>
      </c>
      <c r="F108" s="314">
        <f t="shared" si="35"/>
        <v>12410728.468096862</v>
      </c>
      <c r="G108" s="315">
        <f t="shared" si="35"/>
        <v>13406988.898736788</v>
      </c>
      <c r="H108" s="291"/>
    </row>
    <row r="109" spans="1:13">
      <c r="A109" s="117" t="s">
        <v>397</v>
      </c>
      <c r="B109" s="314">
        <f>'Cash Flow Statements'!K7</f>
        <v>483000</v>
      </c>
      <c r="C109" s="314">
        <f>B109</f>
        <v>483000</v>
      </c>
      <c r="D109" s="314">
        <f t="shared" ref="D109:G109" si="36">C109</f>
        <v>483000</v>
      </c>
      <c r="E109" s="314">
        <f t="shared" si="36"/>
        <v>483000</v>
      </c>
      <c r="F109" s="314">
        <f t="shared" si="36"/>
        <v>483000</v>
      </c>
      <c r="G109" s="315">
        <f t="shared" si="36"/>
        <v>483000</v>
      </c>
      <c r="H109" s="291"/>
    </row>
    <row r="110" spans="1:13">
      <c r="A110" s="117" t="s">
        <v>298</v>
      </c>
      <c r="B110" s="314">
        <f>(B111-B112)-(('Historic Balance Sheet'!J8+'Historic Balance Sheet'!J11+'Historic Balance Sheet'!J12+'Historic Balance Sheet'!J13)-('Historic Balance Sheet'!J30+'Historic Balance Sheet'!J32+'Historic Balance Sheet'!J33))</f>
        <v>-59000</v>
      </c>
      <c r="C110" s="314">
        <f>(C111-C112)-(B111-B112)</f>
        <v>-113025.97506237496</v>
      </c>
      <c r="D110" s="314">
        <f t="shared" ref="D110:G110" si="37">(D111-D112)-(C111-C112)</f>
        <v>-122099.0368797034</v>
      </c>
      <c r="E110" s="314">
        <f t="shared" si="37"/>
        <v>-131900.43084100075</v>
      </c>
      <c r="F110" s="314">
        <f t="shared" si="37"/>
        <v>-142488.62317548413</v>
      </c>
      <c r="G110" s="315">
        <f t="shared" si="37"/>
        <v>-153926.77343805693</v>
      </c>
      <c r="H110" s="291"/>
    </row>
    <row r="111" spans="1:13">
      <c r="A111" s="316" t="s">
        <v>22</v>
      </c>
      <c r="B111" s="314">
        <f>B63+B64+B65+B66</f>
        <v>6421000</v>
      </c>
      <c r="C111" s="314">
        <f t="shared" ref="C111:G111" si="38">C63+C64+C65+C66</f>
        <v>6936440.1888320362</v>
      </c>
      <c r="D111" s="314">
        <f t="shared" si="38"/>
        <v>7493256.8903977899</v>
      </c>
      <c r="E111" s="314">
        <f t="shared" si="38"/>
        <v>8094771.5682600522</v>
      </c>
      <c r="F111" s="314">
        <f t="shared" si="38"/>
        <v>8744572.313579496</v>
      </c>
      <c r="G111" s="315">
        <f t="shared" si="38"/>
        <v>9446535.2484131381</v>
      </c>
      <c r="H111" s="291"/>
    </row>
    <row r="112" spans="1:13">
      <c r="A112" s="316" t="s">
        <v>299</v>
      </c>
      <c r="B112" s="314">
        <f>B83+B85+B86</f>
        <v>7829000</v>
      </c>
      <c r="C112" s="314">
        <f t="shared" ref="C112:G112" si="39">C83+C85+C86</f>
        <v>8457466.1638944112</v>
      </c>
      <c r="D112" s="314">
        <f t="shared" si="39"/>
        <v>9136381.9023398682</v>
      </c>
      <c r="E112" s="314">
        <f t="shared" si="39"/>
        <v>9869797.0110431314</v>
      </c>
      <c r="F112" s="314">
        <f t="shared" si="39"/>
        <v>10662086.379538059</v>
      </c>
      <c r="G112" s="315">
        <f t="shared" si="39"/>
        <v>11517976.087809758</v>
      </c>
      <c r="H112" s="291"/>
    </row>
    <row r="113" spans="1:8">
      <c r="A113" s="317" t="s">
        <v>398</v>
      </c>
      <c r="B113" s="318">
        <v>2406000</v>
      </c>
      <c r="C113" s="318">
        <v>0</v>
      </c>
      <c r="D113" s="318">
        <v>0</v>
      </c>
      <c r="E113" s="318">
        <v>0</v>
      </c>
      <c r="F113" s="318">
        <v>0</v>
      </c>
      <c r="G113" s="441">
        <v>0</v>
      </c>
      <c r="H113" s="291"/>
    </row>
    <row r="114" spans="1:8">
      <c r="A114" s="117" t="s">
        <v>399</v>
      </c>
      <c r="B114" s="314">
        <f>'Cash Flow Statements'!K24</f>
        <v>-10050000</v>
      </c>
      <c r="C114" s="314">
        <f>-'Capex Reduction'!$B$13</f>
        <v>-6400000</v>
      </c>
      <c r="D114" s="314">
        <f>-'Capex Reduction'!B14</f>
        <v>-5500000</v>
      </c>
      <c r="E114" s="314">
        <f>-'Capex Reduction'!$B$13</f>
        <v>-6400000</v>
      </c>
      <c r="F114" s="314">
        <f>-'Capex Reduction'!$B$13</f>
        <v>-6400000</v>
      </c>
      <c r="G114" s="315">
        <f>-'Capex Reduction'!$B$13</f>
        <v>-6400000</v>
      </c>
      <c r="H114" s="291"/>
    </row>
    <row r="115" spans="1:8" ht="17" thickBot="1">
      <c r="A115" s="118" t="s">
        <v>121</v>
      </c>
      <c r="B115" s="319">
        <f>SUM(B107,B108,B110,B114,B113,B109)</f>
        <v>-2478000</v>
      </c>
      <c r="C115" s="319">
        <f t="shared" ref="C115:G115" si="40">SUM(C107,C108,C110,C114)</f>
        <v>-70921.684596457519</v>
      </c>
      <c r="D115" s="319">
        <f t="shared" si="40"/>
        <v>-88222.043535005301</v>
      </c>
      <c r="E115" s="319">
        <f t="shared" si="40"/>
        <v>-553796.27624060214</v>
      </c>
      <c r="F115" s="319">
        <f t="shared" si="40"/>
        <v>-84497.358420156874</v>
      </c>
      <c r="G115" s="320">
        <f t="shared" si="40"/>
        <v>422474.12174572982</v>
      </c>
      <c r="H115" s="291"/>
    </row>
    <row r="116" spans="1:8">
      <c r="A116" s="19"/>
      <c r="B116" s="19"/>
      <c r="C116" s="19"/>
      <c r="D116" s="19"/>
      <c r="E116" s="19"/>
      <c r="F116" s="19"/>
      <c r="G116" s="19"/>
    </row>
    <row r="117" spans="1:8" ht="17" thickBot="1">
      <c r="A117" s="19"/>
      <c r="B117" s="110"/>
      <c r="C117" s="19"/>
      <c r="D117" s="321"/>
      <c r="E117" s="19"/>
      <c r="F117" s="19"/>
      <c r="G117" s="19"/>
    </row>
    <row r="118" spans="1:8">
      <c r="A118" s="129" t="s">
        <v>303</v>
      </c>
      <c r="B118" s="322">
        <v>0.06</v>
      </c>
      <c r="C118" s="323"/>
      <c r="D118" s="323"/>
      <c r="E118" s="323"/>
      <c r="F118" s="323"/>
      <c r="G118" s="122"/>
      <c r="H118" s="289"/>
    </row>
    <row r="119" spans="1:8">
      <c r="A119" s="117" t="s">
        <v>79</v>
      </c>
      <c r="B119" s="324">
        <v>7.8899999999999998E-2</v>
      </c>
      <c r="C119" s="30"/>
      <c r="D119" s="30"/>
      <c r="E119" s="30"/>
      <c r="F119" s="30"/>
      <c r="G119" s="216"/>
      <c r="H119" s="289"/>
    </row>
    <row r="120" spans="1:8">
      <c r="A120" s="354" t="s">
        <v>198</v>
      </c>
      <c r="B120" s="349">
        <f>IF(LatestYear&lt;&gt;"",LatestYear,"")</f>
        <v>2015</v>
      </c>
      <c r="C120" s="355">
        <f>B120+1</f>
        <v>2016</v>
      </c>
      <c r="D120" s="349">
        <f t="shared" ref="D120" si="41">C120+1</f>
        <v>2017</v>
      </c>
      <c r="E120" s="349">
        <f t="shared" ref="E120" si="42">D120+1</f>
        <v>2018</v>
      </c>
      <c r="F120" s="356">
        <f t="shared" ref="F120" si="43">E120+1</f>
        <v>2019</v>
      </c>
      <c r="G120" s="357">
        <f t="shared" ref="G120" si="44">F120+1</f>
        <v>2020</v>
      </c>
      <c r="H120" s="275"/>
    </row>
    <row r="121" spans="1:8">
      <c r="A121" s="117" t="s">
        <v>121</v>
      </c>
      <c r="B121" s="325">
        <f>B115</f>
        <v>-2478000</v>
      </c>
      <c r="C121" s="314">
        <f t="shared" ref="C121:G121" si="45">C115</f>
        <v>-70921.684596457519</v>
      </c>
      <c r="D121" s="325">
        <f t="shared" si="45"/>
        <v>-88222.043535005301</v>
      </c>
      <c r="E121" s="325">
        <f t="shared" si="45"/>
        <v>-553796.27624060214</v>
      </c>
      <c r="F121" s="314">
        <f t="shared" si="45"/>
        <v>-84497.358420156874</v>
      </c>
      <c r="G121" s="315">
        <f t="shared" si="45"/>
        <v>422474.12174572982</v>
      </c>
      <c r="H121" s="291"/>
    </row>
    <row r="122" spans="1:8">
      <c r="A122" s="117" t="s">
        <v>302</v>
      </c>
      <c r="B122" s="28"/>
      <c r="C122" s="314"/>
      <c r="D122" s="325"/>
      <c r="E122" s="325"/>
      <c r="F122" s="314"/>
      <c r="G122" s="315">
        <f>G121*(1+B118)/(B119-B118)</f>
        <v>23694315.822776381</v>
      </c>
      <c r="H122" s="291"/>
    </row>
    <row r="123" spans="1:8">
      <c r="A123" s="326"/>
      <c r="B123" s="327">
        <f>B121+B122</f>
        <v>-2478000</v>
      </c>
      <c r="C123" s="328">
        <f t="shared" ref="C123:G123" si="46">C121+C122</f>
        <v>-70921.684596457519</v>
      </c>
      <c r="D123" s="327">
        <f t="shared" si="46"/>
        <v>-88222.043535005301</v>
      </c>
      <c r="E123" s="327">
        <f t="shared" si="46"/>
        <v>-553796.27624060214</v>
      </c>
      <c r="F123" s="328">
        <f t="shared" si="46"/>
        <v>-84497.358420156874</v>
      </c>
      <c r="G123" s="329">
        <f t="shared" si="46"/>
        <v>24116789.944522113</v>
      </c>
      <c r="H123" s="291"/>
    </row>
    <row r="124" spans="1:8">
      <c r="A124" s="117"/>
      <c r="B124" s="30"/>
      <c r="C124" s="30"/>
      <c r="D124" s="30"/>
      <c r="E124" s="30"/>
      <c r="F124" s="30"/>
      <c r="G124" s="216"/>
      <c r="H124" s="289"/>
    </row>
    <row r="125" spans="1:8" ht="17" thickBot="1">
      <c r="A125" s="117"/>
      <c r="B125" s="30"/>
      <c r="C125" s="30"/>
      <c r="D125" s="30"/>
      <c r="E125" s="30"/>
      <c r="F125" s="30"/>
      <c r="G125" s="216"/>
      <c r="H125" s="289"/>
    </row>
    <row r="126" spans="1:8">
      <c r="A126" s="129" t="s">
        <v>373</v>
      </c>
      <c r="B126" s="330">
        <f>NPV(B119,B123:G123)</f>
        <v>12396394.841938429</v>
      </c>
      <c r="C126" s="30"/>
      <c r="D126" s="30"/>
      <c r="E126" s="30"/>
      <c r="F126" s="30"/>
      <c r="G126" s="216"/>
      <c r="H126" s="289"/>
    </row>
    <row r="127" spans="1:8">
      <c r="A127" s="117" t="s">
        <v>374</v>
      </c>
      <c r="B127" s="331">
        <f>C62</f>
        <v>2558089.1398776299</v>
      </c>
      <c r="C127" s="30"/>
      <c r="D127" s="30"/>
      <c r="E127" s="30"/>
      <c r="F127" s="30"/>
      <c r="G127" s="216"/>
      <c r="H127" s="289"/>
    </row>
    <row r="128" spans="1:8">
      <c r="A128" s="117" t="s">
        <v>375</v>
      </c>
      <c r="B128" s="331">
        <f>B127+B126</f>
        <v>14954483.981816059</v>
      </c>
      <c r="C128" s="30"/>
      <c r="D128" s="30"/>
      <c r="E128" s="30"/>
      <c r="F128" s="30"/>
      <c r="G128" s="216"/>
      <c r="H128" s="289"/>
    </row>
    <row r="129" spans="1:8">
      <c r="A129" s="332" t="s">
        <v>376</v>
      </c>
      <c r="B129" s="331">
        <f>-SUM(C89,C84)</f>
        <v>-24994551.183532678</v>
      </c>
      <c r="C129" s="30"/>
      <c r="D129" s="30"/>
      <c r="E129" s="30"/>
      <c r="F129" s="30"/>
      <c r="G129" s="216"/>
      <c r="H129" s="289"/>
    </row>
    <row r="130" spans="1:8">
      <c r="A130" s="117" t="s">
        <v>377</v>
      </c>
      <c r="B130" s="331">
        <f>B128-B129</f>
        <v>39949035.165348738</v>
      </c>
      <c r="C130" s="30"/>
      <c r="D130" s="30"/>
      <c r="E130" s="30"/>
      <c r="F130" s="30"/>
      <c r="G130" s="216"/>
      <c r="H130" s="289"/>
    </row>
    <row r="131" spans="1:8">
      <c r="A131" s="117"/>
      <c r="B131" s="216"/>
      <c r="C131" s="30"/>
      <c r="D131" s="30"/>
      <c r="E131" s="30"/>
      <c r="F131" s="30"/>
      <c r="G131" s="216"/>
      <c r="H131" s="289"/>
    </row>
    <row r="132" spans="1:8" ht="17" thickBot="1">
      <c r="A132" s="333" t="s">
        <v>378</v>
      </c>
      <c r="B132" s="334">
        <f>'Historic Income Statement'!K36</f>
        <v>1241919</v>
      </c>
      <c r="C132" s="30"/>
      <c r="D132" s="30"/>
      <c r="E132" s="30"/>
      <c r="F132" s="30"/>
      <c r="G132" s="216"/>
      <c r="H132" s="289"/>
    </row>
    <row r="133" spans="1:8" ht="17" thickBot="1">
      <c r="A133" s="117"/>
      <c r="B133" s="335"/>
      <c r="C133" s="30"/>
      <c r="D133" s="30"/>
      <c r="E133" s="30"/>
      <c r="F133" s="30"/>
      <c r="G133" s="216"/>
      <c r="H133" s="289"/>
    </row>
    <row r="134" spans="1:8">
      <c r="A134" s="336" t="s">
        <v>379</v>
      </c>
      <c r="B134" s="337">
        <f>B130/B132</f>
        <v>32.167182533924304</v>
      </c>
      <c r="C134" s="30"/>
      <c r="D134" s="30"/>
      <c r="E134" s="30"/>
      <c r="F134" s="30"/>
      <c r="G134" s="216"/>
      <c r="H134" s="289"/>
    </row>
    <row r="135" spans="1:8">
      <c r="A135" s="338"/>
      <c r="B135" s="339"/>
      <c r="C135" s="30"/>
      <c r="D135" s="30"/>
      <c r="E135" s="30"/>
      <c r="F135" s="30"/>
      <c r="G135" s="216"/>
      <c r="H135" s="289"/>
    </row>
    <row r="136" spans="1:8">
      <c r="A136" s="340" t="s">
        <v>380</v>
      </c>
      <c r="B136" s="341">
        <f>34.12</f>
        <v>34.119999999999997</v>
      </c>
      <c r="C136" s="30"/>
      <c r="D136" s="30"/>
      <c r="E136" s="30"/>
      <c r="F136" s="30"/>
      <c r="G136" s="216"/>
      <c r="H136" s="289"/>
    </row>
    <row r="137" spans="1:8">
      <c r="A137" s="338"/>
      <c r="B137" s="342"/>
      <c r="C137" s="30"/>
      <c r="D137" s="30"/>
      <c r="E137" s="30"/>
      <c r="F137" s="30"/>
      <c r="G137" s="216"/>
      <c r="H137" s="289"/>
    </row>
    <row r="138" spans="1:8" ht="17" thickBot="1">
      <c r="A138" s="343" t="s">
        <v>381</v>
      </c>
      <c r="B138" s="344" t="str">
        <f>IF(B134&gt;B136*1.1,"Undervalued",IF(B134&lt;B136/1.1,"Overvalued","Fairly Valued"))</f>
        <v>Fairly Valued</v>
      </c>
      <c r="C138" s="217"/>
      <c r="D138" s="217"/>
      <c r="E138" s="217"/>
      <c r="F138" s="217"/>
      <c r="G138" s="119"/>
      <c r="H138" s="289"/>
    </row>
    <row r="139" spans="1:8">
      <c r="A139" s="19"/>
      <c r="B139" s="19"/>
      <c r="C139" s="19"/>
      <c r="D139" s="19"/>
      <c r="E139" s="19"/>
      <c r="F139" s="19"/>
      <c r="G139" s="19"/>
    </row>
    <row r="140" spans="1:8">
      <c r="A140" s="19"/>
      <c r="B140" s="19"/>
      <c r="C140" s="19"/>
      <c r="D140" s="19"/>
      <c r="E140" s="19"/>
      <c r="F140" s="19"/>
      <c r="G140" s="19"/>
    </row>
    <row r="141" spans="1:8">
      <c r="B141" s="19"/>
      <c r="C141" s="19"/>
      <c r="D141" s="19"/>
      <c r="E141" s="19"/>
      <c r="F141" s="19"/>
      <c r="G141" s="19"/>
    </row>
    <row r="142" spans="1:8">
      <c r="A142" s="19" t="s">
        <v>416</v>
      </c>
      <c r="B142" s="19"/>
      <c r="C142" s="19"/>
      <c r="D142" s="19"/>
      <c r="E142" s="19"/>
      <c r="F142" s="19"/>
      <c r="G142" s="19"/>
    </row>
    <row r="143" spans="1:8">
      <c r="A143" s="264" t="s">
        <v>394</v>
      </c>
      <c r="B143" s="19"/>
      <c r="C143" s="19"/>
      <c r="D143" s="19"/>
      <c r="E143" s="19"/>
      <c r="F143" s="19"/>
      <c r="G143" s="19"/>
    </row>
    <row r="144" spans="1:8">
      <c r="A144" s="19"/>
      <c r="B144" s="19"/>
      <c r="C144" s="19"/>
      <c r="D144" s="19"/>
      <c r="E144" s="19"/>
      <c r="F144" s="19"/>
      <c r="G144" s="19"/>
    </row>
    <row r="145" spans="1:8">
      <c r="A145" s="19"/>
      <c r="B145" s="19"/>
      <c r="C145" s="19"/>
      <c r="D145" s="19"/>
      <c r="E145" s="19"/>
      <c r="F145" s="19"/>
      <c r="G145" s="19"/>
    </row>
    <row r="146" spans="1:8">
      <c r="A146" s="19"/>
      <c r="B146" s="19"/>
      <c r="C146" s="19"/>
      <c r="D146" s="19"/>
      <c r="E146" s="19"/>
      <c r="F146" s="19"/>
      <c r="G146" s="19"/>
    </row>
    <row r="147" spans="1:8">
      <c r="A147" s="19"/>
      <c r="B147" s="19"/>
      <c r="C147" s="19"/>
      <c r="D147" s="19"/>
      <c r="E147" s="19"/>
      <c r="F147" s="19"/>
      <c r="G147" s="19"/>
    </row>
    <row r="148" spans="1:8">
      <c r="A148" s="19"/>
      <c r="B148" s="180"/>
      <c r="C148" s="321"/>
      <c r="D148" s="321"/>
      <c r="E148" s="321"/>
      <c r="F148" s="321"/>
      <c r="G148" s="321"/>
      <c r="H148" s="321"/>
    </row>
    <row r="149" spans="1:8">
      <c r="A149" s="19"/>
      <c r="B149" s="440"/>
      <c r="C149" s="439"/>
      <c r="D149" s="439"/>
      <c r="E149" s="439"/>
      <c r="F149" s="439"/>
      <c r="G149" s="439"/>
      <c r="H149" s="465"/>
    </row>
    <row r="150" spans="1:8">
      <c r="A150" s="19"/>
      <c r="B150" s="440"/>
      <c r="C150" s="439"/>
      <c r="D150" s="439"/>
      <c r="E150" s="439"/>
      <c r="F150" s="439"/>
      <c r="G150" s="439"/>
      <c r="H150" s="465"/>
    </row>
    <row r="151" spans="1:8">
      <c r="A151" s="19"/>
      <c r="B151" s="440"/>
      <c r="C151" s="439"/>
      <c r="D151" s="439"/>
      <c r="E151" s="439"/>
      <c r="F151" s="439"/>
      <c r="G151" s="439"/>
      <c r="H151" s="465"/>
    </row>
    <row r="152" spans="1:8">
      <c r="A152" s="19"/>
      <c r="B152" s="440"/>
      <c r="C152" s="439"/>
      <c r="D152" s="439"/>
      <c r="E152" s="439"/>
      <c r="F152" s="439"/>
      <c r="G152" s="439"/>
      <c r="H152" s="465"/>
    </row>
    <row r="153" spans="1:8">
      <c r="A153" s="19"/>
      <c r="B153" s="440"/>
      <c r="C153" s="439"/>
      <c r="D153" s="439"/>
      <c r="E153" s="439"/>
      <c r="F153" s="439"/>
      <c r="G153" s="439"/>
      <c r="H153" s="465"/>
    </row>
    <row r="154" spans="1:8">
      <c r="A154" s="19"/>
      <c r="B154" s="440"/>
      <c r="C154" s="439"/>
      <c r="D154" s="439"/>
      <c r="E154" s="439"/>
      <c r="F154" s="439"/>
      <c r="G154" s="439"/>
      <c r="H154" s="465"/>
    </row>
    <row r="155" spans="1:8">
      <c r="A155" s="19"/>
      <c r="B155" s="440"/>
      <c r="C155" s="439"/>
      <c r="D155" s="439"/>
      <c r="E155" s="439"/>
      <c r="F155" s="439"/>
      <c r="G155" s="439"/>
      <c r="H155" s="465"/>
    </row>
    <row r="156" spans="1:8">
      <c r="A156" s="19"/>
      <c r="B156" s="440"/>
      <c r="C156" s="439"/>
      <c r="D156" s="439"/>
      <c r="E156" s="439"/>
      <c r="F156" s="439"/>
      <c r="G156" s="439"/>
      <c r="H156" s="465"/>
    </row>
    <row r="157" spans="1:8">
      <c r="A157" s="19"/>
      <c r="B157" s="440"/>
      <c r="C157" s="439"/>
      <c r="D157" s="439"/>
      <c r="E157" s="439"/>
      <c r="F157" s="439"/>
      <c r="G157" s="439"/>
      <c r="H157" s="465"/>
    </row>
    <row r="158" spans="1:8">
      <c r="A158" s="19"/>
      <c r="B158" s="440"/>
      <c r="C158" s="439"/>
      <c r="D158" s="439"/>
      <c r="E158" s="439"/>
      <c r="F158" s="439"/>
      <c r="G158" s="439"/>
      <c r="H158" s="465"/>
    </row>
    <row r="159" spans="1:8">
      <c r="A159" s="19"/>
      <c r="B159" s="19"/>
      <c r="C159" s="19"/>
      <c r="D159" s="19"/>
      <c r="E159" s="19"/>
      <c r="F159" s="19"/>
      <c r="G159" s="19"/>
    </row>
    <row r="160" spans="1:8">
      <c r="A160" s="19"/>
      <c r="B160" s="19"/>
      <c r="C160" s="19"/>
      <c r="D160" s="19"/>
      <c r="E160" s="19"/>
      <c r="F160" s="19"/>
      <c r="G160" s="19"/>
    </row>
    <row r="161" spans="1:7">
      <c r="A161" s="19"/>
      <c r="B161" s="19"/>
      <c r="C161" s="19"/>
      <c r="D161" s="19"/>
      <c r="E161" s="19"/>
      <c r="F161" s="19"/>
      <c r="G161" s="19"/>
    </row>
    <row r="162" spans="1:7">
      <c r="A162" s="19"/>
      <c r="B162" s="19"/>
      <c r="C162" s="19"/>
      <c r="D162" s="19"/>
      <c r="E162" s="19"/>
      <c r="F162" s="19"/>
      <c r="G162" s="19"/>
    </row>
    <row r="163" spans="1:7">
      <c r="A163" s="19"/>
      <c r="B163" s="19"/>
      <c r="C163" s="19"/>
      <c r="D163" s="19"/>
      <c r="E163" s="19"/>
      <c r="F163" s="19"/>
      <c r="G163" s="19"/>
    </row>
    <row r="164" spans="1:7">
      <c r="A164" s="19"/>
      <c r="B164" s="19"/>
      <c r="C164" s="19"/>
      <c r="D164" s="19"/>
      <c r="E164" s="19"/>
      <c r="F164" s="19"/>
      <c r="G164" s="19"/>
    </row>
    <row r="165" spans="1:7">
      <c r="A165" s="19"/>
      <c r="B165" s="19"/>
      <c r="C165" s="19"/>
      <c r="D165" s="19"/>
      <c r="E165" s="19"/>
      <c r="F165" s="19"/>
      <c r="G165" s="19"/>
    </row>
    <row r="166" spans="1:7">
      <c r="A166" s="19"/>
      <c r="B166" s="19"/>
      <c r="C166" s="19"/>
      <c r="D166" s="19"/>
      <c r="E166" s="19"/>
      <c r="F166" s="19"/>
      <c r="G166" s="19"/>
    </row>
    <row r="167" spans="1:7">
      <c r="A167" s="19"/>
      <c r="B167" s="19"/>
      <c r="C167" s="19"/>
      <c r="D167" s="19"/>
      <c r="E167" s="19"/>
      <c r="F167" s="19"/>
      <c r="G167" s="19"/>
    </row>
    <row r="168" spans="1:7">
      <c r="A168" s="19"/>
      <c r="B168" s="19"/>
      <c r="C168" s="19"/>
      <c r="D168" s="19"/>
      <c r="E168" s="19"/>
      <c r="F168" s="19"/>
      <c r="G168" s="19"/>
    </row>
    <row r="169" spans="1:7">
      <c r="A169" s="19"/>
      <c r="B169" s="19"/>
      <c r="C169" s="19"/>
      <c r="D169" s="19"/>
      <c r="E169" s="19"/>
      <c r="F169" s="19"/>
      <c r="G169" s="19"/>
    </row>
    <row r="170" spans="1:7">
      <c r="A170" s="19"/>
      <c r="B170" s="19"/>
      <c r="C170" s="19"/>
      <c r="D170" s="19"/>
      <c r="E170" s="19"/>
      <c r="F170" s="19"/>
      <c r="G170" s="19"/>
    </row>
    <row r="171" spans="1:7">
      <c r="A171" s="19"/>
      <c r="B171" s="19"/>
      <c r="C171" s="19"/>
      <c r="D171" s="19"/>
      <c r="E171" s="19"/>
      <c r="F171" s="19"/>
      <c r="G171" s="19"/>
    </row>
    <row r="172" spans="1:7">
      <c r="A172" s="19"/>
      <c r="B172" s="19"/>
      <c r="C172" s="19"/>
      <c r="D172" s="19"/>
      <c r="E172" s="19"/>
      <c r="F172" s="19"/>
      <c r="G172" s="19"/>
    </row>
    <row r="173" spans="1:7">
      <c r="A173" s="19"/>
      <c r="B173" s="19"/>
      <c r="C173" s="19"/>
      <c r="D173" s="19"/>
      <c r="E173" s="19"/>
      <c r="F173" s="19"/>
      <c r="G173" s="19"/>
    </row>
    <row r="174" spans="1:7">
      <c r="A174" s="19"/>
      <c r="B174" s="19"/>
      <c r="C174" s="19"/>
      <c r="D174" s="19"/>
      <c r="E174" s="19"/>
      <c r="F174" s="19"/>
      <c r="G174" s="19"/>
    </row>
    <row r="175" spans="1:7">
      <c r="A175" s="19"/>
      <c r="B175" s="19"/>
      <c r="C175" s="19"/>
      <c r="D175" s="19"/>
      <c r="E175" s="19"/>
      <c r="F175" s="19"/>
      <c r="G175" s="19"/>
    </row>
    <row r="176" spans="1:7">
      <c r="A176" s="19"/>
      <c r="B176" s="19"/>
      <c r="C176" s="19"/>
      <c r="D176" s="19"/>
      <c r="E176" s="19"/>
      <c r="F176" s="19"/>
      <c r="G176" s="19"/>
    </row>
    <row r="177" spans="1:7">
      <c r="A177" s="19"/>
      <c r="B177" s="19"/>
      <c r="C177" s="19"/>
      <c r="D177" s="19"/>
      <c r="E177" s="19"/>
      <c r="F177" s="19"/>
      <c r="G177" s="19"/>
    </row>
    <row r="178" spans="1:7">
      <c r="A178" s="19"/>
      <c r="B178" s="19"/>
      <c r="C178" s="19"/>
      <c r="D178" s="19"/>
      <c r="E178" s="19"/>
      <c r="F178" s="19"/>
      <c r="G178" s="19"/>
    </row>
    <row r="179" spans="1:7">
      <c r="A179" s="19"/>
      <c r="B179" s="19"/>
      <c r="C179" s="19"/>
      <c r="D179" s="19"/>
      <c r="E179" s="19"/>
      <c r="F179" s="19"/>
      <c r="G179" s="19"/>
    </row>
    <row r="180" spans="1:7">
      <c r="A180" s="19"/>
      <c r="B180" s="19"/>
      <c r="C180" s="19"/>
      <c r="D180" s="19"/>
      <c r="E180" s="19"/>
      <c r="F180" s="19"/>
      <c r="G180" s="19"/>
    </row>
    <row r="181" spans="1:7">
      <c r="A181" s="19"/>
      <c r="B181" s="19"/>
      <c r="C181" s="19"/>
      <c r="D181" s="19"/>
      <c r="E181" s="19"/>
      <c r="F181" s="19"/>
      <c r="G181" s="19"/>
    </row>
    <row r="182" spans="1:7">
      <c r="A182" s="19"/>
      <c r="B182" s="19"/>
      <c r="C182" s="19"/>
      <c r="D182" s="19"/>
      <c r="E182" s="19"/>
      <c r="F182" s="19"/>
      <c r="G182" s="19"/>
    </row>
    <row r="183" spans="1:7">
      <c r="A183" s="19"/>
      <c r="B183" s="19"/>
      <c r="C183" s="19"/>
      <c r="D183" s="19"/>
      <c r="E183" s="19"/>
      <c r="F183" s="19"/>
      <c r="G183" s="19"/>
    </row>
    <row r="184" spans="1:7">
      <c r="A184" s="19"/>
      <c r="B184" s="19"/>
      <c r="C184" s="19"/>
      <c r="D184" s="19"/>
      <c r="E184" s="19"/>
      <c r="F184" s="19"/>
      <c r="G184" s="19"/>
    </row>
    <row r="185" spans="1:7">
      <c r="A185" s="19"/>
      <c r="B185" s="19"/>
      <c r="C185" s="19"/>
      <c r="D185" s="19"/>
      <c r="E185" s="19"/>
      <c r="F185" s="19"/>
      <c r="G185" s="19"/>
    </row>
    <row r="186" spans="1:7">
      <c r="A186" s="19"/>
      <c r="B186" s="19"/>
      <c r="C186" s="19"/>
      <c r="D186" s="19"/>
      <c r="E186" s="19"/>
      <c r="F186" s="19"/>
      <c r="G186" s="19"/>
    </row>
    <row r="187" spans="1:7">
      <c r="A187" s="19"/>
      <c r="B187" s="19"/>
      <c r="C187" s="19"/>
      <c r="D187" s="19"/>
      <c r="E187" s="19"/>
      <c r="F187" s="19"/>
      <c r="G187" s="19"/>
    </row>
    <row r="188" spans="1:7">
      <c r="A188" s="19"/>
      <c r="B188" s="19"/>
      <c r="C188" s="19"/>
      <c r="D188" s="19"/>
      <c r="E188" s="19"/>
      <c r="F188" s="19"/>
      <c r="G188" s="19"/>
    </row>
  </sheetData>
  <mergeCells count="6">
    <mergeCell ref="A1:G1"/>
    <mergeCell ref="A35:G35"/>
    <mergeCell ref="A55:G55"/>
    <mergeCell ref="A4:B4"/>
    <mergeCell ref="A15:B15"/>
    <mergeCell ref="D4:E4"/>
  </mergeCells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S1010"/>
  <sheetViews>
    <sheetView workbookViewId="0">
      <selection activeCell="C2" sqref="C2:D2"/>
    </sheetView>
  </sheetViews>
  <sheetFormatPr baseColWidth="10" defaultColWidth="10.83203125" defaultRowHeight="16"/>
  <cols>
    <col min="1" max="1" width="11.1640625" style="359" bestFit="1" customWidth="1"/>
    <col min="2" max="2" width="16.5" style="359" bestFit="1" customWidth="1"/>
    <col min="3" max="3" width="14.5" style="359" bestFit="1" customWidth="1"/>
    <col min="4" max="5" width="11.1640625" style="359" bestFit="1" customWidth="1"/>
    <col min="6" max="6" width="13" style="359" bestFit="1" customWidth="1"/>
    <col min="7" max="7" width="12.6640625" style="359" bestFit="1" customWidth="1"/>
    <col min="8" max="8" width="12.83203125" style="359" bestFit="1" customWidth="1"/>
    <col min="9" max="10" width="18.33203125" style="359" customWidth="1"/>
    <col min="11" max="16384" width="10.83203125" style="359"/>
  </cols>
  <sheetData>
    <row r="1" spans="1:19" s="362" customFormat="1" ht="17" thickBot="1">
      <c r="A1" s="532" t="s">
        <v>168</v>
      </c>
      <c r="B1" s="533"/>
      <c r="C1" s="466">
        <f>252*3</f>
        <v>756</v>
      </c>
      <c r="D1" s="358">
        <f>C1+3</f>
        <v>759</v>
      </c>
      <c r="E1" s="359"/>
      <c r="F1" s="359"/>
      <c r="G1" s="359"/>
      <c r="H1" s="359"/>
      <c r="I1" s="360"/>
      <c r="J1" s="361"/>
    </row>
    <row r="2" spans="1:19" s="362" customFormat="1" ht="17" thickTop="1">
      <c r="A2" s="369"/>
      <c r="B2" s="377"/>
      <c r="C2" s="529" t="str">
        <f>CorpName</f>
        <v>ConocoPhilips</v>
      </c>
      <c r="D2" s="530"/>
      <c r="E2" s="531" t="s">
        <v>203</v>
      </c>
      <c r="F2" s="531"/>
      <c r="G2" s="381"/>
      <c r="H2" s="383"/>
      <c r="J2" s="360"/>
      <c r="K2" s="5"/>
    </row>
    <row r="3" spans="1:19" s="365" customFormat="1" ht="17" thickBot="1">
      <c r="A3" s="374" t="s">
        <v>204</v>
      </c>
      <c r="B3" s="378" t="s">
        <v>169</v>
      </c>
      <c r="C3" s="378" t="s">
        <v>201</v>
      </c>
      <c r="D3" s="378" t="s">
        <v>202</v>
      </c>
      <c r="E3" s="378" t="s">
        <v>170</v>
      </c>
      <c r="F3" s="378" t="s">
        <v>171</v>
      </c>
      <c r="G3" s="382" t="s">
        <v>208</v>
      </c>
      <c r="H3" s="382" t="s">
        <v>209</v>
      </c>
      <c r="I3" s="364"/>
    </row>
    <row r="4" spans="1:19" s="362" customFormat="1" ht="17" thickTop="1">
      <c r="A4" s="375">
        <v>42369</v>
      </c>
      <c r="B4" s="379">
        <v>1</v>
      </c>
      <c r="C4" s="28">
        <v>46.329067999999999</v>
      </c>
      <c r="D4" s="379">
        <f t="shared" ref="D4:D67" si="0">LN(C4/C5)</f>
        <v>1.9294837526074638E-3</v>
      </c>
      <c r="E4" s="39">
        <v>2043.9399410000001</v>
      </c>
      <c r="F4" s="379">
        <f t="shared" ref="F4:F67" si="1">LN(E4/E5)</f>
        <v>-9.4564850357659186E-3</v>
      </c>
      <c r="G4" s="379">
        <f t="shared" ref="G4:G67" si="2">IF(B4&lt;$D$1+1,D4,0)</f>
        <v>1.9294837526074638E-3</v>
      </c>
      <c r="H4" s="379">
        <f t="shared" ref="H4:H67" si="3">IF(B4&lt;$D$1+1,F4,0)</f>
        <v>-9.4564850357659186E-3</v>
      </c>
      <c r="I4" s="366"/>
      <c r="J4" s="367"/>
    </row>
    <row r="5" spans="1:19" s="362" customFormat="1">
      <c r="A5" s="375">
        <v>42368</v>
      </c>
      <c r="B5" s="379">
        <v>2</v>
      </c>
      <c r="C5" s="28">
        <v>46.239763000000004</v>
      </c>
      <c r="D5" s="379">
        <f t="shared" si="0"/>
        <v>-2.4797340637348165E-2</v>
      </c>
      <c r="E5" s="39">
        <v>2063.360107</v>
      </c>
      <c r="F5" s="379">
        <f t="shared" si="1"/>
        <v>-7.2433987852541376E-3</v>
      </c>
      <c r="G5" s="379">
        <f t="shared" si="2"/>
        <v>-2.4797340637348165E-2</v>
      </c>
      <c r="H5" s="379">
        <f t="shared" si="3"/>
        <v>-7.2433987852541376E-3</v>
      </c>
      <c r="I5" s="366"/>
      <c r="J5" s="368"/>
      <c r="K5" s="369"/>
    </row>
    <row r="6" spans="1:19" s="362" customFormat="1" ht="17" thickBot="1">
      <c r="A6" s="375">
        <v>42367</v>
      </c>
      <c r="B6" s="379">
        <f t="shared" ref="B6:B69" si="4">B5+1</f>
        <v>3</v>
      </c>
      <c r="C6" s="28">
        <v>47.400720999999997</v>
      </c>
      <c r="D6" s="379">
        <f t="shared" si="0"/>
        <v>1.2215855944077283E-2</v>
      </c>
      <c r="E6" s="39">
        <v>2078.360107</v>
      </c>
      <c r="F6" s="379">
        <f t="shared" si="1"/>
        <v>1.0573663970038498E-2</v>
      </c>
      <c r="G6" s="379">
        <f t="shared" si="2"/>
        <v>1.2215855944077283E-2</v>
      </c>
      <c r="H6" s="379">
        <f t="shared" si="3"/>
        <v>1.0573663970038498E-2</v>
      </c>
      <c r="I6" s="366"/>
      <c r="J6" s="370"/>
      <c r="K6" s="363"/>
      <c r="L6" s="5"/>
      <c r="N6" s="5"/>
      <c r="S6" s="5"/>
    </row>
    <row r="7" spans="1:19" s="362" customFormat="1" ht="18" thickTop="1" thickBot="1">
      <c r="A7" s="375">
        <v>42366</v>
      </c>
      <c r="B7" s="379">
        <f t="shared" si="4"/>
        <v>4</v>
      </c>
      <c r="C7" s="28">
        <v>46.825203000000002</v>
      </c>
      <c r="D7" s="379">
        <f t="shared" si="0"/>
        <v>-2.9235774680582187E-2</v>
      </c>
      <c r="E7" s="39">
        <v>2056.5</v>
      </c>
      <c r="F7" s="379">
        <f t="shared" si="1"/>
        <v>-2.1809363425864849E-3</v>
      </c>
      <c r="G7" s="379">
        <f t="shared" si="2"/>
        <v>-2.9235774680582187E-2</v>
      </c>
      <c r="H7" s="379">
        <f t="shared" si="3"/>
        <v>-2.1809363425864849E-3</v>
      </c>
      <c r="I7" s="371"/>
      <c r="J7" s="384" t="s">
        <v>387</v>
      </c>
      <c r="K7" s="385">
        <f>SLOPE(G4:G1009,H4:H1009)</f>
        <v>1.1300223278825339</v>
      </c>
      <c r="L7" s="372"/>
      <c r="N7" s="5"/>
      <c r="S7" s="5"/>
    </row>
    <row r="8" spans="1:19" s="362" customFormat="1" ht="17" thickTop="1">
      <c r="A8" s="375">
        <v>42362</v>
      </c>
      <c r="B8" s="379">
        <f t="shared" si="4"/>
        <v>5</v>
      </c>
      <c r="C8" s="28">
        <v>48.214382000000001</v>
      </c>
      <c r="D8" s="379">
        <f t="shared" si="0"/>
        <v>-9.0145734671359494E-3</v>
      </c>
      <c r="E8" s="39">
        <v>2060.98999</v>
      </c>
      <c r="F8" s="379">
        <f t="shared" si="1"/>
        <v>-1.5999154873061849E-3</v>
      </c>
      <c r="G8" s="379">
        <f t="shared" si="2"/>
        <v>-9.0145734671359494E-3</v>
      </c>
      <c r="H8" s="379">
        <f t="shared" si="3"/>
        <v>-1.5999154873061849E-3</v>
      </c>
      <c r="I8" s="366"/>
      <c r="J8" s="5"/>
      <c r="K8" s="5"/>
      <c r="L8" s="5"/>
      <c r="N8" s="5"/>
      <c r="S8" s="5"/>
    </row>
    <row r="9" spans="1:19" s="362" customFormat="1">
      <c r="A9" s="375">
        <v>42361</v>
      </c>
      <c r="B9" s="379">
        <f t="shared" si="4"/>
        <v>6</v>
      </c>
      <c r="C9" s="28">
        <v>48.650979</v>
      </c>
      <c r="D9" s="379">
        <f t="shared" si="0"/>
        <v>5.7722444001947017E-2</v>
      </c>
      <c r="E9" s="39">
        <v>2064.290039</v>
      </c>
      <c r="F9" s="379">
        <f t="shared" si="1"/>
        <v>1.2341596351676601E-2</v>
      </c>
      <c r="G9" s="379">
        <f t="shared" si="2"/>
        <v>5.7722444001947017E-2</v>
      </c>
      <c r="H9" s="379">
        <f t="shared" si="3"/>
        <v>1.2341596351676601E-2</v>
      </c>
      <c r="I9" s="366"/>
      <c r="J9" s="5"/>
      <c r="K9" s="5"/>
      <c r="L9" s="5"/>
      <c r="N9" s="5"/>
      <c r="S9" s="5"/>
    </row>
    <row r="10" spans="1:19" s="362" customFormat="1">
      <c r="A10" s="375">
        <v>42360</v>
      </c>
      <c r="B10" s="379">
        <f t="shared" si="4"/>
        <v>7</v>
      </c>
      <c r="C10" s="28">
        <v>45.922238</v>
      </c>
      <c r="D10" s="379">
        <f t="shared" si="0"/>
        <v>2.5827674782674927E-2</v>
      </c>
      <c r="E10" s="39">
        <v>2038.969971</v>
      </c>
      <c r="F10" s="379">
        <f t="shared" si="1"/>
        <v>8.7780959420341153E-3</v>
      </c>
      <c r="G10" s="379">
        <f t="shared" si="2"/>
        <v>2.5827674782674927E-2</v>
      </c>
      <c r="H10" s="379">
        <f t="shared" si="3"/>
        <v>8.7780959420341153E-3</v>
      </c>
      <c r="I10" s="366"/>
      <c r="J10" s="5"/>
      <c r="K10" s="5"/>
      <c r="L10" s="5"/>
      <c r="N10" s="5"/>
      <c r="S10" s="5"/>
    </row>
    <row r="11" spans="1:19" s="362" customFormat="1">
      <c r="A11" s="375">
        <v>42359</v>
      </c>
      <c r="B11" s="379">
        <f t="shared" si="4"/>
        <v>8</v>
      </c>
      <c r="C11" s="28">
        <v>44.751359000000001</v>
      </c>
      <c r="D11" s="379">
        <f t="shared" si="0"/>
        <v>-1.8236300787195708E-2</v>
      </c>
      <c r="E11" s="39">
        <v>2021.150024</v>
      </c>
      <c r="F11" s="379">
        <f t="shared" si="1"/>
        <v>7.7483064365918945E-3</v>
      </c>
      <c r="G11" s="379">
        <f t="shared" si="2"/>
        <v>-1.8236300787195708E-2</v>
      </c>
      <c r="H11" s="379">
        <f t="shared" si="3"/>
        <v>7.7483064365918945E-3</v>
      </c>
      <c r="I11" s="366"/>
      <c r="J11" s="5"/>
      <c r="K11" s="5"/>
      <c r="P11" s="5"/>
    </row>
    <row r="12" spans="1:19" s="362" customFormat="1">
      <c r="A12" s="375">
        <v>42356</v>
      </c>
      <c r="B12" s="379">
        <f t="shared" si="4"/>
        <v>9</v>
      </c>
      <c r="C12" s="28">
        <v>45.574945</v>
      </c>
      <c r="D12" s="379">
        <f t="shared" si="0"/>
        <v>-2.8968831558581737E-2</v>
      </c>
      <c r="E12" s="39">
        <v>2005.5500489999999</v>
      </c>
      <c r="F12" s="379">
        <f t="shared" si="1"/>
        <v>-1.7957495093582236E-2</v>
      </c>
      <c r="G12" s="379">
        <f t="shared" si="2"/>
        <v>-2.8968831558581737E-2</v>
      </c>
      <c r="H12" s="379">
        <f t="shared" si="3"/>
        <v>-1.7957495093582236E-2</v>
      </c>
      <c r="I12" s="366"/>
      <c r="J12" s="5"/>
      <c r="K12" s="5"/>
      <c r="P12" s="5"/>
    </row>
    <row r="13" spans="1:19" s="362" customFormat="1">
      <c r="A13" s="375">
        <v>42355</v>
      </c>
      <c r="B13" s="379">
        <f t="shared" si="4"/>
        <v>10</v>
      </c>
      <c r="C13" s="28">
        <v>46.914507</v>
      </c>
      <c r="D13" s="379">
        <f t="shared" si="0"/>
        <v>-4.2850391032362295E-2</v>
      </c>
      <c r="E13" s="39">
        <v>2041.8900149999999</v>
      </c>
      <c r="F13" s="379">
        <f t="shared" si="1"/>
        <v>-1.5154776290347281E-2</v>
      </c>
      <c r="G13" s="379">
        <f t="shared" si="2"/>
        <v>-4.2850391032362295E-2</v>
      </c>
      <c r="H13" s="379">
        <f t="shared" si="3"/>
        <v>-1.5154776290347281E-2</v>
      </c>
      <c r="I13" s="366"/>
      <c r="J13" s="5"/>
      <c r="K13" s="5"/>
      <c r="P13" s="5"/>
    </row>
    <row r="14" spans="1:19" s="362" customFormat="1">
      <c r="A14" s="375">
        <v>42354</v>
      </c>
      <c r="B14" s="379">
        <f t="shared" si="4"/>
        <v>11</v>
      </c>
      <c r="C14" s="28">
        <v>48.968505</v>
      </c>
      <c r="D14" s="379">
        <f t="shared" si="0"/>
        <v>-2.4223039334084994E-2</v>
      </c>
      <c r="E14" s="39">
        <v>2073.070068</v>
      </c>
      <c r="F14" s="379">
        <f t="shared" si="1"/>
        <v>1.4410635565352437E-2</v>
      </c>
      <c r="G14" s="379">
        <f t="shared" si="2"/>
        <v>-2.4223039334084994E-2</v>
      </c>
      <c r="H14" s="379">
        <f t="shared" si="3"/>
        <v>1.4410635565352437E-2</v>
      </c>
      <c r="I14" s="366"/>
      <c r="J14" s="5"/>
      <c r="K14" s="5"/>
      <c r="P14" s="5"/>
    </row>
    <row r="15" spans="1:19" s="362" customFormat="1">
      <c r="A15" s="375">
        <v>42353</v>
      </c>
      <c r="B15" s="379">
        <f t="shared" si="4"/>
        <v>12</v>
      </c>
      <c r="C15" s="28">
        <v>50.169153999999999</v>
      </c>
      <c r="D15" s="379">
        <f t="shared" si="0"/>
        <v>2.0582249027421291E-2</v>
      </c>
      <c r="E15" s="39">
        <v>2043.410034</v>
      </c>
      <c r="F15" s="379">
        <f t="shared" si="1"/>
        <v>1.0562580218900188E-2</v>
      </c>
      <c r="G15" s="379">
        <f t="shared" si="2"/>
        <v>2.0582249027421291E-2</v>
      </c>
      <c r="H15" s="379">
        <f t="shared" si="3"/>
        <v>1.0562580218900188E-2</v>
      </c>
      <c r="I15" s="366"/>
      <c r="J15" s="5"/>
      <c r="K15" s="5"/>
      <c r="P15" s="5"/>
    </row>
    <row r="16" spans="1:19" s="362" customFormat="1">
      <c r="A16" s="375">
        <v>42352</v>
      </c>
      <c r="B16" s="379">
        <f t="shared" si="4"/>
        <v>13</v>
      </c>
      <c r="C16" s="28">
        <v>49.147114000000002</v>
      </c>
      <c r="D16" s="379">
        <f t="shared" si="0"/>
        <v>2.8672811772745485E-2</v>
      </c>
      <c r="E16" s="39">
        <v>2021.9399410000001</v>
      </c>
      <c r="F16" s="379">
        <f t="shared" si="1"/>
        <v>4.7442879213808178E-3</v>
      </c>
      <c r="G16" s="379">
        <f t="shared" si="2"/>
        <v>2.8672811772745485E-2</v>
      </c>
      <c r="H16" s="379">
        <f t="shared" si="3"/>
        <v>4.7442879213808178E-3</v>
      </c>
      <c r="I16" s="366"/>
      <c r="J16" s="5"/>
      <c r="K16" s="5"/>
      <c r="P16" s="5"/>
    </row>
    <row r="17" spans="1:19" s="362" customFormat="1">
      <c r="A17" s="375">
        <v>42349</v>
      </c>
      <c r="B17" s="379">
        <f t="shared" si="4"/>
        <v>14</v>
      </c>
      <c r="C17" s="28">
        <v>47.757939</v>
      </c>
      <c r="D17" s="379">
        <f t="shared" si="0"/>
        <v>-2.2394362970932474E-2</v>
      </c>
      <c r="E17" s="39">
        <v>2012.369995</v>
      </c>
      <c r="F17" s="379">
        <f t="shared" si="1"/>
        <v>-1.961386758563884E-2</v>
      </c>
      <c r="G17" s="379">
        <f t="shared" si="2"/>
        <v>-2.2394362970932474E-2</v>
      </c>
      <c r="H17" s="379">
        <f t="shared" si="3"/>
        <v>-1.961386758563884E-2</v>
      </c>
      <c r="I17" s="366"/>
      <c r="P17" s="5"/>
    </row>
    <row r="18" spans="1:19" s="362" customFormat="1">
      <c r="A18" s="375">
        <v>42348</v>
      </c>
      <c r="B18" s="379">
        <f t="shared" si="4"/>
        <v>15</v>
      </c>
      <c r="C18" s="28">
        <v>48.839512999999997</v>
      </c>
      <c r="D18" s="379">
        <f t="shared" si="0"/>
        <v>1.5355010697548884E-2</v>
      </c>
      <c r="E18" s="39">
        <v>2052.2299800000001</v>
      </c>
      <c r="F18" s="379">
        <f t="shared" si="1"/>
        <v>2.2488564074157492E-3</v>
      </c>
      <c r="G18" s="379">
        <f t="shared" si="2"/>
        <v>1.5355010697548884E-2</v>
      </c>
      <c r="H18" s="379">
        <f t="shared" si="3"/>
        <v>2.2488564074157492E-3</v>
      </c>
      <c r="I18" s="366"/>
      <c r="J18" s="5"/>
      <c r="K18" s="373"/>
      <c r="M18" s="5"/>
    </row>
    <row r="19" spans="1:19" s="362" customFormat="1">
      <c r="A19" s="375">
        <v>42347</v>
      </c>
      <c r="B19" s="379">
        <f t="shared" si="4"/>
        <v>16</v>
      </c>
      <c r="C19" s="28">
        <v>48.095309999999998</v>
      </c>
      <c r="D19" s="379">
        <f t="shared" si="0"/>
        <v>3.5135133872710405E-3</v>
      </c>
      <c r="E19" s="39">
        <v>2047.619995</v>
      </c>
      <c r="F19" s="379">
        <f t="shared" si="1"/>
        <v>-7.769086475925991E-3</v>
      </c>
      <c r="G19" s="379">
        <f t="shared" si="2"/>
        <v>3.5135133872710405E-3</v>
      </c>
      <c r="H19" s="379">
        <f t="shared" si="3"/>
        <v>-7.769086475925991E-3</v>
      </c>
      <c r="I19" s="366"/>
      <c r="J19" s="5"/>
      <c r="K19" s="5"/>
      <c r="P19" s="5"/>
    </row>
    <row r="20" spans="1:19" s="362" customFormat="1">
      <c r="A20" s="375">
        <v>42346</v>
      </c>
      <c r="B20" s="379">
        <f t="shared" si="4"/>
        <v>17</v>
      </c>
      <c r="C20" s="28">
        <v>47.926622999999999</v>
      </c>
      <c r="D20" s="379">
        <f t="shared" si="0"/>
        <v>-1.4184675253032809E-2</v>
      </c>
      <c r="E20" s="39">
        <v>2063.5900879999999</v>
      </c>
      <c r="F20" s="379">
        <f t="shared" si="1"/>
        <v>-6.5110523995720879E-3</v>
      </c>
      <c r="G20" s="379">
        <f t="shared" si="2"/>
        <v>-1.4184675253032809E-2</v>
      </c>
      <c r="H20" s="379">
        <f t="shared" si="3"/>
        <v>-6.5110523995720879E-3</v>
      </c>
      <c r="I20" s="366"/>
      <c r="J20" s="5"/>
      <c r="K20" s="5"/>
      <c r="P20" s="5"/>
    </row>
    <row r="21" spans="1:19" s="362" customFormat="1">
      <c r="A21" s="375">
        <v>42345</v>
      </c>
      <c r="B21" s="379">
        <f t="shared" si="4"/>
        <v>18</v>
      </c>
      <c r="C21" s="28">
        <v>48.611291000000001</v>
      </c>
      <c r="D21" s="379">
        <f t="shared" si="0"/>
        <v>-4.3927940480785466E-2</v>
      </c>
      <c r="E21" s="39">
        <v>2077.070068</v>
      </c>
      <c r="F21" s="379">
        <f t="shared" si="1"/>
        <v>-7.0140439391970736E-3</v>
      </c>
      <c r="G21" s="379">
        <f t="shared" si="2"/>
        <v>-4.3927940480785466E-2</v>
      </c>
      <c r="H21" s="379">
        <f t="shared" si="3"/>
        <v>-7.0140439391970736E-3</v>
      </c>
      <c r="I21" s="366"/>
      <c r="J21" s="5"/>
      <c r="K21" s="373"/>
      <c r="P21" s="5"/>
    </row>
    <row r="22" spans="1:19" s="362" customFormat="1">
      <c r="A22" s="375">
        <v>42342</v>
      </c>
      <c r="B22" s="379">
        <f t="shared" si="4"/>
        <v>19</v>
      </c>
      <c r="C22" s="28">
        <v>50.794280999999998</v>
      </c>
      <c r="D22" s="379">
        <f t="shared" si="0"/>
        <v>-8.171286186755394E-3</v>
      </c>
      <c r="E22" s="39">
        <v>2091.6899410000001</v>
      </c>
      <c r="F22" s="379">
        <f t="shared" si="1"/>
        <v>2.0317856261110587E-2</v>
      </c>
      <c r="G22" s="379">
        <f t="shared" si="2"/>
        <v>-8.171286186755394E-3</v>
      </c>
      <c r="H22" s="379">
        <f t="shared" si="3"/>
        <v>2.0317856261110587E-2</v>
      </c>
      <c r="I22" s="366"/>
      <c r="J22" s="5"/>
      <c r="K22" s="5"/>
      <c r="P22" s="5"/>
    </row>
    <row r="23" spans="1:19" s="362" customFormat="1">
      <c r="A23" s="375">
        <v>42341</v>
      </c>
      <c r="B23" s="379">
        <f t="shared" si="4"/>
        <v>20</v>
      </c>
      <c r="C23" s="28">
        <v>51.211036</v>
      </c>
      <c r="D23" s="379">
        <f t="shared" si="0"/>
        <v>-1.8049636351931474E-2</v>
      </c>
      <c r="E23" s="39">
        <v>2049.6201169999999</v>
      </c>
      <c r="F23" s="379">
        <f t="shared" si="1"/>
        <v>-1.4477826648337327E-2</v>
      </c>
      <c r="G23" s="379">
        <f t="shared" si="2"/>
        <v>-1.8049636351931474E-2</v>
      </c>
      <c r="H23" s="379">
        <f t="shared" si="3"/>
        <v>-1.4477826648337327E-2</v>
      </c>
      <c r="I23" s="366"/>
      <c r="J23" s="5"/>
      <c r="K23" s="5"/>
      <c r="P23" s="5"/>
    </row>
    <row r="24" spans="1:19" s="362" customFormat="1">
      <c r="A24" s="375">
        <v>42340</v>
      </c>
      <c r="B24" s="379">
        <f t="shared" si="4"/>
        <v>21</v>
      </c>
      <c r="C24" s="28">
        <v>52.143768999999999</v>
      </c>
      <c r="D24" s="379">
        <f t="shared" si="0"/>
        <v>-3.8451929256996205E-2</v>
      </c>
      <c r="E24" s="39">
        <v>2079.51001</v>
      </c>
      <c r="F24" s="379">
        <f t="shared" si="1"/>
        <v>-1.1056592615916112E-2</v>
      </c>
      <c r="G24" s="379">
        <f t="shared" si="2"/>
        <v>-3.8451929256996205E-2</v>
      </c>
      <c r="H24" s="379">
        <f t="shared" si="3"/>
        <v>-1.1056592615916112E-2</v>
      </c>
      <c r="I24" s="366"/>
      <c r="J24" s="5"/>
      <c r="K24" s="5"/>
      <c r="P24" s="5"/>
    </row>
    <row r="25" spans="1:19" s="362" customFormat="1">
      <c r="A25" s="375">
        <v>42339</v>
      </c>
      <c r="B25" s="379">
        <f t="shared" si="4"/>
        <v>22</v>
      </c>
      <c r="C25" s="28">
        <v>54.187845000000003</v>
      </c>
      <c r="D25" s="379">
        <f t="shared" si="0"/>
        <v>1.0307490761926805E-2</v>
      </c>
      <c r="E25" s="39">
        <v>2102.6298830000001</v>
      </c>
      <c r="F25" s="379">
        <f t="shared" si="1"/>
        <v>1.0623939088487118E-2</v>
      </c>
      <c r="G25" s="379">
        <f t="shared" si="2"/>
        <v>1.0307490761926805E-2</v>
      </c>
      <c r="H25" s="379">
        <f t="shared" si="3"/>
        <v>1.0623939088487118E-2</v>
      </c>
      <c r="I25" s="366"/>
      <c r="J25" s="5"/>
      <c r="K25" s="5"/>
      <c r="P25" s="5"/>
    </row>
    <row r="26" spans="1:19" s="362" customFormat="1">
      <c r="A26" s="375">
        <v>42338</v>
      </c>
      <c r="B26" s="379">
        <f t="shared" si="4"/>
        <v>23</v>
      </c>
      <c r="C26" s="28">
        <v>53.632173000000002</v>
      </c>
      <c r="D26" s="379">
        <f t="shared" si="0"/>
        <v>1.0601778965562607E-2</v>
      </c>
      <c r="E26" s="39">
        <v>2080.4099120000001</v>
      </c>
      <c r="F26" s="379">
        <f t="shared" si="1"/>
        <v>-4.6517999903487525E-3</v>
      </c>
      <c r="G26" s="379">
        <f t="shared" si="2"/>
        <v>1.0601778965562607E-2</v>
      </c>
      <c r="H26" s="379">
        <f t="shared" si="3"/>
        <v>-4.6517999903487525E-3</v>
      </c>
      <c r="I26" s="366"/>
      <c r="P26" s="5"/>
    </row>
    <row r="27" spans="1:19" s="362" customFormat="1">
      <c r="A27" s="375">
        <v>42335</v>
      </c>
      <c r="B27" s="379">
        <f t="shared" si="4"/>
        <v>24</v>
      </c>
      <c r="C27" s="28">
        <v>53.066580000000002</v>
      </c>
      <c r="D27" s="379">
        <f t="shared" si="0"/>
        <v>-1.6688711615730656E-2</v>
      </c>
      <c r="E27" s="39">
        <v>2090.110107</v>
      </c>
      <c r="F27" s="379">
        <f t="shared" si="1"/>
        <v>5.934414473988609E-4</v>
      </c>
      <c r="G27" s="379">
        <f t="shared" si="2"/>
        <v>-1.6688711615730656E-2</v>
      </c>
      <c r="H27" s="379">
        <f t="shared" si="3"/>
        <v>5.934414473988609E-4</v>
      </c>
      <c r="I27" s="366"/>
      <c r="L27" s="5"/>
      <c r="N27" s="5"/>
      <c r="S27" s="5"/>
    </row>
    <row r="28" spans="1:19" s="362" customFormat="1">
      <c r="A28" s="375">
        <v>42333</v>
      </c>
      <c r="B28" s="379">
        <f t="shared" si="4"/>
        <v>25</v>
      </c>
      <c r="C28" s="28">
        <v>53.959623999999998</v>
      </c>
      <c r="D28" s="379">
        <f t="shared" si="0"/>
        <v>-1.7138040657977756E-2</v>
      </c>
      <c r="E28" s="39">
        <v>2088.8701169999999</v>
      </c>
      <c r="F28" s="379">
        <f t="shared" si="1"/>
        <v>-1.2914090666574113E-4</v>
      </c>
      <c r="G28" s="379">
        <f t="shared" si="2"/>
        <v>-1.7138040657977756E-2</v>
      </c>
      <c r="H28" s="379">
        <f t="shared" si="3"/>
        <v>-1.2914090666574113E-4</v>
      </c>
      <c r="I28" s="366"/>
      <c r="J28" s="366"/>
      <c r="L28" s="5"/>
      <c r="N28" s="5"/>
      <c r="S28" s="5"/>
    </row>
    <row r="29" spans="1:19" s="362" customFormat="1">
      <c r="A29" s="375">
        <v>42332</v>
      </c>
      <c r="B29" s="379">
        <f t="shared" si="4"/>
        <v>26</v>
      </c>
      <c r="C29" s="28">
        <v>54.892355999999999</v>
      </c>
      <c r="D29" s="379">
        <f t="shared" si="0"/>
        <v>3.7573498576744996E-2</v>
      </c>
      <c r="E29" s="39">
        <v>2089.139893</v>
      </c>
      <c r="F29" s="379">
        <f t="shared" si="1"/>
        <v>1.2212500944798874E-3</v>
      </c>
      <c r="G29" s="379">
        <f t="shared" si="2"/>
        <v>3.7573498576744996E-2</v>
      </c>
      <c r="H29" s="379">
        <f t="shared" si="3"/>
        <v>1.2212500944798874E-3</v>
      </c>
      <c r="I29" s="366"/>
      <c r="J29" s="366"/>
      <c r="L29" s="5"/>
      <c r="N29" s="5"/>
      <c r="S29" s="5"/>
    </row>
    <row r="30" spans="1:19" s="362" customFormat="1">
      <c r="A30" s="375">
        <v>42331</v>
      </c>
      <c r="B30" s="379">
        <f t="shared" si="4"/>
        <v>27</v>
      </c>
      <c r="C30" s="28">
        <v>52.868124999999999</v>
      </c>
      <c r="D30" s="379">
        <f t="shared" si="0"/>
        <v>6.5907143786963661E-3</v>
      </c>
      <c r="E30" s="39">
        <v>2086.5900879999999</v>
      </c>
      <c r="F30" s="379">
        <f t="shared" si="1"/>
        <v>-1.2356238490984315E-3</v>
      </c>
      <c r="G30" s="379">
        <f t="shared" si="2"/>
        <v>6.5907143786963661E-3</v>
      </c>
      <c r="H30" s="379">
        <f t="shared" si="3"/>
        <v>-1.2356238490984315E-3</v>
      </c>
      <c r="I30" s="366"/>
      <c r="J30" s="366"/>
      <c r="L30" s="5"/>
      <c r="N30" s="5"/>
      <c r="S30" s="5"/>
    </row>
    <row r="31" spans="1:19" s="362" customFormat="1">
      <c r="A31" s="375">
        <v>42328</v>
      </c>
      <c r="B31" s="379">
        <f t="shared" si="4"/>
        <v>28</v>
      </c>
      <c r="C31" s="28">
        <v>52.520831999999999</v>
      </c>
      <c r="D31" s="379">
        <f t="shared" si="0"/>
        <v>-1.1832256165185521E-2</v>
      </c>
      <c r="E31" s="39">
        <v>2089.169922</v>
      </c>
      <c r="F31" s="379">
        <f t="shared" si="1"/>
        <v>3.8029554525950086E-3</v>
      </c>
      <c r="G31" s="379">
        <f t="shared" si="2"/>
        <v>-1.1832256165185521E-2</v>
      </c>
      <c r="H31" s="379">
        <f t="shared" si="3"/>
        <v>3.8029554525950086E-3</v>
      </c>
      <c r="I31" s="366"/>
      <c r="J31" s="366"/>
      <c r="L31" s="5"/>
      <c r="N31" s="5"/>
      <c r="S31" s="5"/>
    </row>
    <row r="32" spans="1:19" s="362" customFormat="1">
      <c r="A32" s="375">
        <v>42327</v>
      </c>
      <c r="B32" s="379">
        <f t="shared" si="4"/>
        <v>29</v>
      </c>
      <c r="C32" s="28">
        <v>53.145963000000002</v>
      </c>
      <c r="D32" s="379">
        <f t="shared" si="0"/>
        <v>-1.7031102405206312E-2</v>
      </c>
      <c r="E32" s="39">
        <v>2081.23999</v>
      </c>
      <c r="F32" s="379">
        <f t="shared" si="1"/>
        <v>-1.1237403815994775E-3</v>
      </c>
      <c r="G32" s="379">
        <f t="shared" si="2"/>
        <v>-1.7031102405206312E-2</v>
      </c>
      <c r="H32" s="379">
        <f t="shared" si="3"/>
        <v>-1.1237403815994775E-3</v>
      </c>
      <c r="I32" s="366"/>
      <c r="J32" s="366"/>
      <c r="L32" s="5"/>
      <c r="N32" s="5"/>
      <c r="S32" s="5"/>
    </row>
    <row r="33" spans="1:19" s="362" customFormat="1">
      <c r="A33" s="375">
        <v>42326</v>
      </c>
      <c r="B33" s="379">
        <f t="shared" si="4"/>
        <v>30</v>
      </c>
      <c r="C33" s="28">
        <v>54.058849000000002</v>
      </c>
      <c r="D33" s="379">
        <f t="shared" si="0"/>
        <v>1.0703139413557447E-2</v>
      </c>
      <c r="E33" s="39">
        <v>2083.580078</v>
      </c>
      <c r="F33" s="379">
        <f t="shared" si="1"/>
        <v>1.6033230015307577E-2</v>
      </c>
      <c r="G33" s="379">
        <f t="shared" si="2"/>
        <v>1.0703139413557447E-2</v>
      </c>
      <c r="H33" s="379">
        <f t="shared" si="3"/>
        <v>1.6033230015307577E-2</v>
      </c>
      <c r="I33" s="366"/>
      <c r="J33" s="366"/>
      <c r="L33" s="5"/>
      <c r="N33" s="5"/>
      <c r="S33" s="5"/>
    </row>
    <row r="34" spans="1:19" s="362" customFormat="1">
      <c r="A34" s="375">
        <v>42325</v>
      </c>
      <c r="B34" s="379">
        <f t="shared" si="4"/>
        <v>31</v>
      </c>
      <c r="C34" s="28">
        <v>53.483334999999997</v>
      </c>
      <c r="D34" s="379">
        <f t="shared" si="0"/>
        <v>-8.6820023984311347E-3</v>
      </c>
      <c r="E34" s="39">
        <v>2050.4399410000001</v>
      </c>
      <c r="F34" s="379">
        <f t="shared" si="1"/>
        <v>-1.3402770185119402E-3</v>
      </c>
      <c r="G34" s="379">
        <f t="shared" si="2"/>
        <v>-8.6820023984311347E-3</v>
      </c>
      <c r="H34" s="379">
        <f t="shared" si="3"/>
        <v>-1.3402770185119402E-3</v>
      </c>
      <c r="I34" s="366"/>
      <c r="J34" s="366"/>
      <c r="L34" s="5"/>
      <c r="N34" s="5"/>
      <c r="S34" s="5"/>
    </row>
    <row r="35" spans="1:19" s="362" customFormat="1">
      <c r="A35" s="375">
        <v>42324</v>
      </c>
      <c r="B35" s="379">
        <f t="shared" si="4"/>
        <v>32</v>
      </c>
      <c r="C35" s="28">
        <v>53.949699000000003</v>
      </c>
      <c r="D35" s="379">
        <f t="shared" si="0"/>
        <v>4.7843344053386173E-2</v>
      </c>
      <c r="E35" s="39">
        <v>2053.1899410000001</v>
      </c>
      <c r="F35" s="379">
        <f t="shared" si="1"/>
        <v>1.4793302627265626E-2</v>
      </c>
      <c r="G35" s="379">
        <f t="shared" si="2"/>
        <v>4.7843344053386173E-2</v>
      </c>
      <c r="H35" s="379">
        <f t="shared" si="3"/>
        <v>1.4793302627265626E-2</v>
      </c>
      <c r="I35" s="366"/>
      <c r="J35" s="366"/>
      <c r="L35" s="5"/>
      <c r="N35" s="5"/>
      <c r="S35" s="5"/>
    </row>
    <row r="36" spans="1:19" s="362" customFormat="1">
      <c r="A36" s="375">
        <v>42321</v>
      </c>
      <c r="B36" s="379">
        <f t="shared" si="4"/>
        <v>33</v>
      </c>
      <c r="C36" s="28">
        <v>51.429336999999997</v>
      </c>
      <c r="D36" s="379">
        <f t="shared" si="0"/>
        <v>-2.6974822010109693E-3</v>
      </c>
      <c r="E36" s="39">
        <v>2023.040039</v>
      </c>
      <c r="F36" s="379">
        <f t="shared" si="1"/>
        <v>-1.1270640608151911E-2</v>
      </c>
      <c r="G36" s="379">
        <f t="shared" si="2"/>
        <v>-2.6974822010109693E-3</v>
      </c>
      <c r="H36" s="379">
        <f t="shared" si="3"/>
        <v>-1.1270640608151911E-2</v>
      </c>
      <c r="I36" s="366"/>
      <c r="J36" s="366"/>
    </row>
    <row r="37" spans="1:19" s="362" customFormat="1">
      <c r="A37" s="375">
        <v>42320</v>
      </c>
      <c r="B37" s="379">
        <f t="shared" si="4"/>
        <v>34</v>
      </c>
      <c r="C37" s="28">
        <v>51.568254000000003</v>
      </c>
      <c r="D37" s="379">
        <f t="shared" si="0"/>
        <v>-2.7892855067004632E-2</v>
      </c>
      <c r="E37" s="39">
        <v>2045.969971</v>
      </c>
      <c r="F37" s="379">
        <f t="shared" si="1"/>
        <v>-1.4089163191530417E-2</v>
      </c>
      <c r="G37" s="379">
        <f t="shared" si="2"/>
        <v>-2.7892855067004632E-2</v>
      </c>
      <c r="H37" s="379">
        <f t="shared" si="3"/>
        <v>-1.4089163191530417E-2</v>
      </c>
      <c r="I37" s="366"/>
      <c r="J37" s="366"/>
    </row>
    <row r="38" spans="1:19" s="362" customFormat="1">
      <c r="A38" s="375">
        <v>42319</v>
      </c>
      <c r="B38" s="379">
        <f t="shared" si="4"/>
        <v>35</v>
      </c>
      <c r="C38" s="28">
        <v>53.026888</v>
      </c>
      <c r="D38" s="379">
        <f t="shared" si="0"/>
        <v>-2.2389736492885084E-2</v>
      </c>
      <c r="E38" s="39">
        <v>2075</v>
      </c>
      <c r="F38" s="379">
        <f t="shared" si="1"/>
        <v>-3.2333074641793741E-3</v>
      </c>
      <c r="G38" s="379">
        <f t="shared" si="2"/>
        <v>-2.2389736492885084E-2</v>
      </c>
      <c r="H38" s="379">
        <f t="shared" si="3"/>
        <v>-3.2333074641793741E-3</v>
      </c>
      <c r="I38" s="366"/>
      <c r="J38" s="366"/>
    </row>
    <row r="39" spans="1:19" s="362" customFormat="1">
      <c r="A39" s="375">
        <v>42318</v>
      </c>
      <c r="B39" s="379">
        <f t="shared" si="4"/>
        <v>36</v>
      </c>
      <c r="C39" s="28">
        <v>54.227536999999998</v>
      </c>
      <c r="D39" s="379">
        <f t="shared" si="0"/>
        <v>1.8304184408857548E-4</v>
      </c>
      <c r="E39" s="39">
        <v>2081.719971</v>
      </c>
      <c r="F39" s="379">
        <f t="shared" si="1"/>
        <v>1.5094553561973928E-3</v>
      </c>
      <c r="G39" s="379">
        <f t="shared" si="2"/>
        <v>1.8304184408857548E-4</v>
      </c>
      <c r="H39" s="379">
        <f t="shared" si="3"/>
        <v>1.5094553561973928E-3</v>
      </c>
      <c r="I39" s="366"/>
      <c r="J39" s="366"/>
    </row>
    <row r="40" spans="1:19" s="362" customFormat="1">
      <c r="A40" s="375">
        <v>42317</v>
      </c>
      <c r="B40" s="379">
        <f t="shared" si="4"/>
        <v>37</v>
      </c>
      <c r="C40" s="28">
        <v>54.217612000000003</v>
      </c>
      <c r="D40" s="379">
        <f t="shared" si="0"/>
        <v>-2.046989917557453E-2</v>
      </c>
      <c r="E40" s="39">
        <v>2078.580078</v>
      </c>
      <c r="F40" s="379">
        <f t="shared" si="1"/>
        <v>-9.871290634763304E-3</v>
      </c>
      <c r="G40" s="379">
        <f t="shared" si="2"/>
        <v>-2.046989917557453E-2</v>
      </c>
      <c r="H40" s="379">
        <f t="shared" si="3"/>
        <v>-9.871290634763304E-3</v>
      </c>
      <c r="I40" s="366"/>
      <c r="J40" s="366"/>
    </row>
    <row r="41" spans="1:19" s="362" customFormat="1">
      <c r="A41" s="375">
        <v>42314</v>
      </c>
      <c r="B41" s="379">
        <f t="shared" si="4"/>
        <v>38</v>
      </c>
      <c r="C41" s="28">
        <v>55.338878000000001</v>
      </c>
      <c r="D41" s="379">
        <f t="shared" si="0"/>
        <v>-9.1031146619483787E-3</v>
      </c>
      <c r="E41" s="39">
        <v>2099.1999510000001</v>
      </c>
      <c r="F41" s="379">
        <f t="shared" si="1"/>
        <v>-3.4768203303673869E-4</v>
      </c>
      <c r="G41" s="379">
        <f t="shared" si="2"/>
        <v>-9.1031146619483787E-3</v>
      </c>
      <c r="H41" s="379">
        <f t="shared" si="3"/>
        <v>-3.4768203303673869E-4</v>
      </c>
      <c r="I41" s="366"/>
      <c r="J41" s="366"/>
    </row>
    <row r="42" spans="1:19" s="362" customFormat="1">
      <c r="A42" s="375">
        <v>42313</v>
      </c>
      <c r="B42" s="379">
        <f t="shared" si="4"/>
        <v>39</v>
      </c>
      <c r="C42" s="28">
        <v>55.844934000000002</v>
      </c>
      <c r="D42" s="379">
        <f t="shared" si="0"/>
        <v>-1.0655449240758337E-3</v>
      </c>
      <c r="E42" s="39">
        <v>2099.929932</v>
      </c>
      <c r="F42" s="379">
        <f t="shared" si="1"/>
        <v>-1.1327897786013324E-3</v>
      </c>
      <c r="G42" s="379">
        <f t="shared" si="2"/>
        <v>-1.0655449240758337E-3</v>
      </c>
      <c r="H42" s="379">
        <f t="shared" si="3"/>
        <v>-1.1327897786013324E-3</v>
      </c>
      <c r="I42" s="366"/>
      <c r="J42" s="366"/>
    </row>
    <row r="43" spans="1:19" s="362" customFormat="1">
      <c r="A43" s="375">
        <v>42312</v>
      </c>
      <c r="B43" s="379">
        <f t="shared" si="4"/>
        <v>40</v>
      </c>
      <c r="C43" s="28">
        <v>55.904471000000001</v>
      </c>
      <c r="D43" s="379">
        <f t="shared" si="0"/>
        <v>-6.8984061186555855E-3</v>
      </c>
      <c r="E43" s="39">
        <v>2102.3100589999999</v>
      </c>
      <c r="F43" s="379">
        <f t="shared" si="1"/>
        <v>-3.5516667167835828E-3</v>
      </c>
      <c r="G43" s="379">
        <f t="shared" si="2"/>
        <v>-6.8984061186555855E-3</v>
      </c>
      <c r="H43" s="379">
        <f t="shared" si="3"/>
        <v>-3.5516667167835828E-3</v>
      </c>
      <c r="I43" s="366"/>
      <c r="J43" s="366"/>
    </row>
    <row r="44" spans="1:19" s="362" customFormat="1">
      <c r="A44" s="375">
        <v>42311</v>
      </c>
      <c r="B44" s="379">
        <f t="shared" si="4"/>
        <v>41</v>
      </c>
      <c r="C44" s="28">
        <v>56.291455999999997</v>
      </c>
      <c r="D44" s="379">
        <f t="shared" si="0"/>
        <v>3.206151572427525E-2</v>
      </c>
      <c r="E44" s="39">
        <v>2109.790039</v>
      </c>
      <c r="F44" s="379">
        <f t="shared" si="1"/>
        <v>2.7243528137560241E-3</v>
      </c>
      <c r="G44" s="379">
        <f t="shared" si="2"/>
        <v>3.206151572427525E-2</v>
      </c>
      <c r="H44" s="379">
        <f t="shared" si="3"/>
        <v>2.7243528137560241E-3</v>
      </c>
      <c r="I44" s="366"/>
      <c r="J44" s="366"/>
    </row>
    <row r="45" spans="1:19" s="362" customFormat="1">
      <c r="A45" s="375">
        <v>42310</v>
      </c>
      <c r="B45" s="379">
        <f t="shared" si="4"/>
        <v>42</v>
      </c>
      <c r="C45" s="28">
        <v>54.515292000000002</v>
      </c>
      <c r="D45" s="379">
        <f t="shared" si="0"/>
        <v>2.9367690280073775E-2</v>
      </c>
      <c r="E45" s="39">
        <v>2104.0500489999999</v>
      </c>
      <c r="F45" s="379">
        <f t="shared" si="1"/>
        <v>1.1803876623389281E-2</v>
      </c>
      <c r="G45" s="379">
        <f t="shared" si="2"/>
        <v>2.9367690280073775E-2</v>
      </c>
      <c r="H45" s="379">
        <f t="shared" si="3"/>
        <v>1.1803876623389281E-2</v>
      </c>
      <c r="I45" s="366"/>
      <c r="J45" s="366"/>
    </row>
    <row r="46" spans="1:19" s="362" customFormat="1">
      <c r="A46" s="375">
        <v>42307</v>
      </c>
      <c r="B46" s="379">
        <f t="shared" si="4"/>
        <v>43</v>
      </c>
      <c r="C46" s="28">
        <v>52.937584000000001</v>
      </c>
      <c r="D46" s="379">
        <f t="shared" si="0"/>
        <v>-5.0481588895203832E-3</v>
      </c>
      <c r="E46" s="39">
        <v>2079.360107</v>
      </c>
      <c r="F46" s="379">
        <f t="shared" si="1"/>
        <v>-4.8214818389651134E-3</v>
      </c>
      <c r="G46" s="379">
        <f t="shared" si="2"/>
        <v>-5.0481588895203832E-3</v>
      </c>
      <c r="H46" s="379">
        <f t="shared" si="3"/>
        <v>-4.8214818389651134E-3</v>
      </c>
      <c r="I46" s="366"/>
      <c r="J46" s="366"/>
    </row>
    <row r="47" spans="1:19" s="362" customFormat="1">
      <c r="A47" s="375">
        <v>42306</v>
      </c>
      <c r="B47" s="379">
        <f t="shared" si="4"/>
        <v>44</v>
      </c>
      <c r="C47" s="28">
        <v>53.205497000000001</v>
      </c>
      <c r="D47" s="379">
        <f t="shared" si="0"/>
        <v>5.235604730416064E-3</v>
      </c>
      <c r="E47" s="39">
        <v>2089.4099120000001</v>
      </c>
      <c r="F47" s="379">
        <f t="shared" si="1"/>
        <v>-4.4987559745411469E-4</v>
      </c>
      <c r="G47" s="379">
        <f t="shared" si="2"/>
        <v>5.235604730416064E-3</v>
      </c>
      <c r="H47" s="379">
        <f t="shared" si="3"/>
        <v>-4.4987559745411469E-4</v>
      </c>
      <c r="I47" s="366"/>
      <c r="J47" s="366"/>
    </row>
    <row r="48" spans="1:19" s="362" customFormat="1">
      <c r="A48" s="375">
        <v>42305</v>
      </c>
      <c r="B48" s="379">
        <f t="shared" si="4"/>
        <v>45</v>
      </c>
      <c r="C48" s="28">
        <v>52.927661999999998</v>
      </c>
      <c r="D48" s="379">
        <f t="shared" si="0"/>
        <v>3.1422201235857851E-2</v>
      </c>
      <c r="E48" s="39">
        <v>2090.3500979999999</v>
      </c>
      <c r="F48" s="379">
        <f t="shared" si="1"/>
        <v>1.1770488448379798E-2</v>
      </c>
      <c r="G48" s="379">
        <f t="shared" si="2"/>
        <v>3.1422201235857851E-2</v>
      </c>
      <c r="H48" s="379">
        <f t="shared" si="3"/>
        <v>1.1770488448379798E-2</v>
      </c>
      <c r="I48" s="366"/>
      <c r="J48" s="366"/>
    </row>
    <row r="49" spans="1:12" s="362" customFormat="1">
      <c r="A49" s="375">
        <v>42304</v>
      </c>
      <c r="B49" s="379">
        <f t="shared" si="4"/>
        <v>46</v>
      </c>
      <c r="C49" s="28">
        <v>51.290416</v>
      </c>
      <c r="D49" s="379">
        <f t="shared" si="0"/>
        <v>-2.4083776516761551E-2</v>
      </c>
      <c r="E49" s="39">
        <v>2065.889893</v>
      </c>
      <c r="F49" s="379">
        <f t="shared" si="1"/>
        <v>-2.5573858343901608E-3</v>
      </c>
      <c r="G49" s="379">
        <f t="shared" si="2"/>
        <v>-2.4083776516761551E-2</v>
      </c>
      <c r="H49" s="379">
        <f t="shared" si="3"/>
        <v>-2.5573858343901608E-3</v>
      </c>
      <c r="I49" s="366"/>
      <c r="J49" s="366"/>
    </row>
    <row r="50" spans="1:12" s="362" customFormat="1">
      <c r="A50" s="375">
        <v>42303</v>
      </c>
      <c r="B50" s="379">
        <f t="shared" si="4"/>
        <v>47</v>
      </c>
      <c r="C50" s="28">
        <v>52.540678</v>
      </c>
      <c r="D50" s="379">
        <f t="shared" si="0"/>
        <v>-3.0868932674618189E-2</v>
      </c>
      <c r="E50" s="39">
        <v>2071.179932</v>
      </c>
      <c r="F50" s="379">
        <f t="shared" si="1"/>
        <v>-1.9149326619372631E-3</v>
      </c>
      <c r="G50" s="379">
        <f t="shared" si="2"/>
        <v>-3.0868932674618189E-2</v>
      </c>
      <c r="H50" s="379">
        <f t="shared" si="3"/>
        <v>-1.9149326619372631E-3</v>
      </c>
      <c r="I50" s="366"/>
      <c r="J50" s="366"/>
    </row>
    <row r="51" spans="1:12" s="362" customFormat="1">
      <c r="A51" s="375">
        <v>42300</v>
      </c>
      <c r="B51" s="379">
        <f t="shared" si="4"/>
        <v>48</v>
      </c>
      <c r="C51" s="28">
        <v>54.187845000000003</v>
      </c>
      <c r="D51" s="379">
        <f t="shared" si="0"/>
        <v>5.4946230831698416E-4</v>
      </c>
      <c r="E51" s="39">
        <v>2075.1499020000001</v>
      </c>
      <c r="F51" s="379">
        <f t="shared" si="1"/>
        <v>1.0969953689202727E-2</v>
      </c>
      <c r="G51" s="379">
        <f t="shared" si="2"/>
        <v>5.4946230831698416E-4</v>
      </c>
      <c r="H51" s="379">
        <f t="shared" si="3"/>
        <v>1.0969953689202727E-2</v>
      </c>
      <c r="I51" s="366"/>
      <c r="J51" s="366"/>
    </row>
    <row r="52" spans="1:12" s="362" customFormat="1">
      <c r="A52" s="375">
        <v>42299</v>
      </c>
      <c r="B52" s="379">
        <f t="shared" si="4"/>
        <v>49</v>
      </c>
      <c r="C52" s="28">
        <v>54.158079000000001</v>
      </c>
      <c r="D52" s="379">
        <f t="shared" si="0"/>
        <v>2.994181530892371E-2</v>
      </c>
      <c r="E52" s="39">
        <v>2052.51001</v>
      </c>
      <c r="F52" s="379">
        <f t="shared" si="1"/>
        <v>1.6490847328002923E-2</v>
      </c>
      <c r="G52" s="379">
        <f t="shared" si="2"/>
        <v>2.994181530892371E-2</v>
      </c>
      <c r="H52" s="379">
        <f t="shared" si="3"/>
        <v>1.6490847328002923E-2</v>
      </c>
      <c r="I52" s="366"/>
      <c r="J52" s="366"/>
    </row>
    <row r="53" spans="1:12" s="362" customFormat="1">
      <c r="A53" s="375">
        <v>42298</v>
      </c>
      <c r="B53" s="379">
        <f t="shared" si="4"/>
        <v>50</v>
      </c>
      <c r="C53" s="28">
        <v>52.560524000000001</v>
      </c>
      <c r="D53" s="379">
        <f t="shared" si="0"/>
        <v>-1.070330922063399E-2</v>
      </c>
      <c r="E53" s="39">
        <v>2018.9399410000001</v>
      </c>
      <c r="F53" s="379">
        <f t="shared" si="1"/>
        <v>-5.8424493431773871E-3</v>
      </c>
      <c r="G53" s="379">
        <f t="shared" si="2"/>
        <v>-1.070330922063399E-2</v>
      </c>
      <c r="H53" s="379">
        <f t="shared" si="3"/>
        <v>-5.8424493431773871E-3</v>
      </c>
      <c r="I53" s="366"/>
      <c r="J53" s="366"/>
    </row>
    <row r="54" spans="1:12" s="362" customFormat="1">
      <c r="A54" s="375">
        <v>42297</v>
      </c>
      <c r="B54" s="379">
        <f t="shared" si="4"/>
        <v>51</v>
      </c>
      <c r="C54" s="28">
        <v>53.126117000000001</v>
      </c>
      <c r="D54" s="379">
        <f t="shared" si="0"/>
        <v>-2.7976804045689984E-3</v>
      </c>
      <c r="E54" s="39">
        <v>2030.7700199999999</v>
      </c>
      <c r="F54" s="379">
        <f t="shared" si="1"/>
        <v>-1.4221007367133545E-3</v>
      </c>
      <c r="G54" s="379">
        <f t="shared" si="2"/>
        <v>-2.7976804045689984E-3</v>
      </c>
      <c r="H54" s="379">
        <f t="shared" si="3"/>
        <v>-1.4221007367133545E-3</v>
      </c>
      <c r="I54" s="366"/>
      <c r="J54" s="5"/>
      <c r="K54" s="5"/>
    </row>
    <row r="55" spans="1:12" s="362" customFormat="1">
      <c r="A55" s="375">
        <v>42296</v>
      </c>
      <c r="B55" s="379">
        <f t="shared" si="4"/>
        <v>52</v>
      </c>
      <c r="C55" s="28">
        <v>53.274954999999999</v>
      </c>
      <c r="D55" s="379">
        <f t="shared" si="0"/>
        <v>-2.8279534276184178E-2</v>
      </c>
      <c r="E55" s="39">
        <v>2033.660034</v>
      </c>
      <c r="F55" s="379">
        <f t="shared" si="1"/>
        <v>2.7050902843496526E-4</v>
      </c>
      <c r="G55" s="379">
        <f t="shared" si="2"/>
        <v>-2.8279534276184178E-2</v>
      </c>
      <c r="H55" s="379">
        <f t="shared" si="3"/>
        <v>2.7050902843496526E-4</v>
      </c>
      <c r="I55" s="366"/>
      <c r="J55" s="5"/>
      <c r="K55" s="5"/>
    </row>
    <row r="56" spans="1:12" s="362" customFormat="1">
      <c r="A56" s="375">
        <v>42293</v>
      </c>
      <c r="B56" s="379">
        <f t="shared" si="4"/>
        <v>53</v>
      </c>
      <c r="C56" s="28">
        <v>54.803051000000004</v>
      </c>
      <c r="D56" s="379">
        <f t="shared" si="0"/>
        <v>0</v>
      </c>
      <c r="E56" s="39">
        <v>2033.1099850000001</v>
      </c>
      <c r="F56" s="379">
        <f t="shared" si="1"/>
        <v>4.5600613744872197E-3</v>
      </c>
      <c r="G56" s="379">
        <f t="shared" si="2"/>
        <v>0</v>
      </c>
      <c r="H56" s="379">
        <f t="shared" si="3"/>
        <v>4.5600613744872197E-3</v>
      </c>
      <c r="I56" s="366"/>
      <c r="J56" s="5"/>
      <c r="K56" s="5"/>
    </row>
    <row r="57" spans="1:12" s="362" customFormat="1">
      <c r="A57" s="375">
        <v>42292</v>
      </c>
      <c r="B57" s="379">
        <f t="shared" si="4"/>
        <v>54</v>
      </c>
      <c r="C57" s="28">
        <v>54.803051000000004</v>
      </c>
      <c r="D57" s="379">
        <f t="shared" si="0"/>
        <v>9.277001295150987E-3</v>
      </c>
      <c r="E57" s="39">
        <v>2023.8599850000001</v>
      </c>
      <c r="F57" s="379">
        <f t="shared" si="1"/>
        <v>1.474355129517228E-2</v>
      </c>
      <c r="G57" s="379">
        <f t="shared" si="2"/>
        <v>9.277001295150987E-3</v>
      </c>
      <c r="H57" s="379">
        <f t="shared" si="3"/>
        <v>1.474355129517228E-2</v>
      </c>
      <c r="I57" s="366"/>
      <c r="J57" s="5"/>
      <c r="K57" s="5"/>
    </row>
    <row r="58" spans="1:12" s="362" customFormat="1">
      <c r="A58" s="375">
        <v>42291</v>
      </c>
      <c r="B58" s="379">
        <f t="shared" si="4"/>
        <v>55</v>
      </c>
      <c r="C58" s="28">
        <v>54.296993999999998</v>
      </c>
      <c r="D58" s="379">
        <f t="shared" si="0"/>
        <v>7.6018182473978355E-3</v>
      </c>
      <c r="E58" s="39">
        <v>1994.23999</v>
      </c>
      <c r="F58" s="379">
        <f t="shared" si="1"/>
        <v>-4.7274308267142729E-3</v>
      </c>
      <c r="G58" s="379">
        <f t="shared" si="2"/>
        <v>7.6018182473978355E-3</v>
      </c>
      <c r="H58" s="379">
        <f t="shared" si="3"/>
        <v>-4.7274308267142729E-3</v>
      </c>
      <c r="I58" s="366"/>
      <c r="J58" s="5"/>
      <c r="K58" s="5"/>
    </row>
    <row r="59" spans="1:12" s="362" customFormat="1">
      <c r="A59" s="375">
        <v>42290</v>
      </c>
      <c r="B59" s="379">
        <f t="shared" si="4"/>
        <v>56</v>
      </c>
      <c r="C59" s="28">
        <v>53.885803000000003</v>
      </c>
      <c r="D59" s="379">
        <f t="shared" si="0"/>
        <v>-4.1700562208532082E-3</v>
      </c>
      <c r="E59" s="39">
        <v>2003.6899410000001</v>
      </c>
      <c r="F59" s="379">
        <f t="shared" si="1"/>
        <v>-6.8488239238575872E-3</v>
      </c>
      <c r="G59" s="379">
        <f t="shared" si="2"/>
        <v>-4.1700562208532082E-3</v>
      </c>
      <c r="H59" s="379">
        <f t="shared" si="3"/>
        <v>-6.8488239238575872E-3</v>
      </c>
      <c r="I59" s="366"/>
      <c r="J59" s="5"/>
      <c r="K59" s="5"/>
    </row>
    <row r="60" spans="1:12" s="362" customFormat="1">
      <c r="A60" s="375">
        <v>42289</v>
      </c>
      <c r="B60" s="379">
        <f t="shared" si="4"/>
        <v>57</v>
      </c>
      <c r="C60" s="28">
        <v>54.110979</v>
      </c>
      <c r="D60" s="379">
        <f t="shared" si="0"/>
        <v>-1.4905514578073365E-2</v>
      </c>
      <c r="E60" s="39">
        <v>2017.459961</v>
      </c>
      <c r="F60" s="379">
        <f t="shared" si="1"/>
        <v>1.2746643338301428E-3</v>
      </c>
      <c r="G60" s="379">
        <f t="shared" si="2"/>
        <v>-1.4905514578073365E-2</v>
      </c>
      <c r="H60" s="379">
        <f t="shared" si="3"/>
        <v>1.2746643338301428E-3</v>
      </c>
      <c r="I60" s="366"/>
      <c r="J60" s="5"/>
      <c r="K60" s="5"/>
    </row>
    <row r="61" spans="1:12" s="362" customFormat="1">
      <c r="A61" s="375">
        <v>42286</v>
      </c>
      <c r="B61" s="379">
        <f t="shared" si="4"/>
        <v>58</v>
      </c>
      <c r="C61" s="28">
        <v>54.923572</v>
      </c>
      <c r="D61" s="379">
        <f t="shared" si="0"/>
        <v>-3.2034312474188225E-3</v>
      </c>
      <c r="E61" s="39">
        <v>2014.8900149999999</v>
      </c>
      <c r="F61" s="379">
        <f t="shared" si="1"/>
        <v>7.2484859143041565E-4</v>
      </c>
      <c r="G61" s="379">
        <f t="shared" si="2"/>
        <v>-3.2034312474188225E-3</v>
      </c>
      <c r="H61" s="379">
        <f t="shared" si="3"/>
        <v>7.2484859143041565E-4</v>
      </c>
      <c r="I61" s="366"/>
      <c r="J61" s="5"/>
      <c r="K61" s="5"/>
    </row>
    <row r="62" spans="1:12" s="362" customFormat="1">
      <c r="A62" s="375">
        <v>42285</v>
      </c>
      <c r="B62" s="379">
        <f t="shared" si="4"/>
        <v>59</v>
      </c>
      <c r="C62" s="28">
        <v>55.099798</v>
      </c>
      <c r="D62" s="379">
        <f t="shared" si="0"/>
        <v>1.8108945825492211E-2</v>
      </c>
      <c r="E62" s="39">
        <v>2013.4300539999999</v>
      </c>
      <c r="F62" s="379">
        <f t="shared" si="1"/>
        <v>8.7797803155266266E-3</v>
      </c>
      <c r="G62" s="379">
        <f t="shared" si="2"/>
        <v>1.8108945825492211E-2</v>
      </c>
      <c r="H62" s="379">
        <f t="shared" si="3"/>
        <v>8.7797803155266266E-3</v>
      </c>
      <c r="I62" s="366"/>
      <c r="J62" s="5"/>
      <c r="K62" s="5"/>
    </row>
    <row r="63" spans="1:12" s="362" customFormat="1">
      <c r="A63" s="375">
        <v>42284</v>
      </c>
      <c r="B63" s="379">
        <f t="shared" si="4"/>
        <v>60</v>
      </c>
      <c r="C63" s="28">
        <v>54.110979</v>
      </c>
      <c r="D63" s="379">
        <f t="shared" si="0"/>
        <v>2.3548810225306272E-3</v>
      </c>
      <c r="E63" s="39">
        <v>1995.829956</v>
      </c>
      <c r="F63" s="379">
        <f t="shared" si="1"/>
        <v>8.0035198025308167E-3</v>
      </c>
      <c r="G63" s="379">
        <f t="shared" si="2"/>
        <v>2.3548810225306272E-3</v>
      </c>
      <c r="H63" s="379">
        <f t="shared" si="3"/>
        <v>8.0035198025308167E-3</v>
      </c>
      <c r="I63" s="366"/>
      <c r="J63" s="5"/>
      <c r="K63" s="5"/>
    </row>
    <row r="64" spans="1:12" s="362" customFormat="1">
      <c r="A64" s="375">
        <v>42283</v>
      </c>
      <c r="B64" s="379">
        <f t="shared" si="4"/>
        <v>61</v>
      </c>
      <c r="C64" s="28">
        <v>53.983704000000003</v>
      </c>
      <c r="D64" s="379">
        <f t="shared" si="0"/>
        <v>3.9960914031600216E-2</v>
      </c>
      <c r="E64" s="39">
        <v>1979.920044</v>
      </c>
      <c r="F64" s="379">
        <f t="shared" si="1"/>
        <v>-3.5946894030197459E-3</v>
      </c>
      <c r="G64" s="379">
        <f t="shared" si="2"/>
        <v>3.9960914031600216E-2</v>
      </c>
      <c r="H64" s="379">
        <f t="shared" si="3"/>
        <v>-3.5946894030197459E-3</v>
      </c>
      <c r="I64" s="5"/>
      <c r="J64" s="5"/>
      <c r="K64" s="5"/>
      <c r="L64" s="5"/>
    </row>
    <row r="65" spans="1:12" s="362" customFormat="1" ht="18" customHeight="1">
      <c r="A65" s="375">
        <v>42282</v>
      </c>
      <c r="B65" s="379">
        <f t="shared" si="4"/>
        <v>62</v>
      </c>
      <c r="C65" s="28">
        <v>51.869</v>
      </c>
      <c r="D65" s="379">
        <f t="shared" si="0"/>
        <v>3.4370295697540763E-2</v>
      </c>
      <c r="E65" s="39">
        <v>1987.0500489999999</v>
      </c>
      <c r="F65" s="379">
        <f t="shared" si="1"/>
        <v>1.8124593785162658E-2</v>
      </c>
      <c r="G65" s="379">
        <f t="shared" si="2"/>
        <v>3.4370295697540763E-2</v>
      </c>
      <c r="H65" s="379">
        <f t="shared" si="3"/>
        <v>1.8124593785162658E-2</v>
      </c>
      <c r="I65" s="5"/>
      <c r="J65" s="5"/>
      <c r="K65" s="5"/>
      <c r="L65" s="5"/>
    </row>
    <row r="66" spans="1:12" s="362" customFormat="1" ht="18" customHeight="1">
      <c r="A66" s="375">
        <v>42279</v>
      </c>
      <c r="B66" s="379">
        <f t="shared" si="4"/>
        <v>63</v>
      </c>
      <c r="C66" s="28">
        <v>50.116536000000004</v>
      </c>
      <c r="D66" s="379">
        <f t="shared" si="0"/>
        <v>6.1015371349249753E-2</v>
      </c>
      <c r="E66" s="39">
        <v>1951.3599850000001</v>
      </c>
      <c r="F66" s="379">
        <f t="shared" si="1"/>
        <v>1.4213792986497257E-2</v>
      </c>
      <c r="G66" s="379">
        <f t="shared" si="2"/>
        <v>6.1015371349249753E-2</v>
      </c>
      <c r="H66" s="379">
        <f t="shared" si="3"/>
        <v>1.4213792986497257E-2</v>
      </c>
      <c r="I66" s="5"/>
      <c r="J66" s="5"/>
      <c r="K66" s="5"/>
      <c r="L66" s="5"/>
    </row>
    <row r="67" spans="1:12" s="362" customFormat="1" ht="18" customHeight="1">
      <c r="A67" s="375">
        <v>42278</v>
      </c>
      <c r="B67" s="379">
        <f t="shared" si="4"/>
        <v>64</v>
      </c>
      <c r="C67" s="28">
        <v>47.150077000000003</v>
      </c>
      <c r="D67" s="379">
        <f t="shared" si="0"/>
        <v>4.1614928284328051E-3</v>
      </c>
      <c r="E67" s="39">
        <v>1923.8199460000001</v>
      </c>
      <c r="F67" s="379">
        <f t="shared" si="1"/>
        <v>1.9719386827028343E-3</v>
      </c>
      <c r="G67" s="379">
        <f t="shared" si="2"/>
        <v>4.1614928284328051E-3</v>
      </c>
      <c r="H67" s="379">
        <f t="shared" si="3"/>
        <v>1.9719386827028343E-3</v>
      </c>
      <c r="I67" s="5"/>
      <c r="J67" s="5"/>
      <c r="K67" s="5"/>
      <c r="L67" s="5"/>
    </row>
    <row r="68" spans="1:12" s="362" customFormat="1" ht="18" customHeight="1">
      <c r="A68" s="375">
        <v>42277</v>
      </c>
      <c r="B68" s="379">
        <f t="shared" si="4"/>
        <v>65</v>
      </c>
      <c r="C68" s="28">
        <v>46.954270000000001</v>
      </c>
      <c r="D68" s="379">
        <f t="shared" ref="D68:D131" si="5">LN(C68/C69)</f>
        <v>2.9410763405853219E-2</v>
      </c>
      <c r="E68" s="39">
        <v>1920.030029</v>
      </c>
      <c r="F68" s="379">
        <f t="shared" ref="F68:F131" si="6">LN(E68/E69)</f>
        <v>1.8895898353574289E-2</v>
      </c>
      <c r="G68" s="379">
        <f t="shared" ref="G68:G131" si="7">IF(B68&lt;$D$1+1,D68,0)</f>
        <v>2.9410763405853219E-2</v>
      </c>
      <c r="H68" s="379">
        <f t="shared" ref="H68:H131" si="8">IF(B68&lt;$D$1+1,F68,0)</f>
        <v>1.8895898353574289E-2</v>
      </c>
      <c r="I68" s="5"/>
      <c r="J68" s="5"/>
      <c r="K68" s="5"/>
      <c r="L68" s="5"/>
    </row>
    <row r="69" spans="1:12" s="362" customFormat="1" ht="18" customHeight="1">
      <c r="A69" s="375">
        <v>42276</v>
      </c>
      <c r="B69" s="379">
        <f t="shared" si="4"/>
        <v>66</v>
      </c>
      <c r="C69" s="28">
        <v>45.593418999999997</v>
      </c>
      <c r="D69" s="379">
        <f t="shared" si="5"/>
        <v>1.5581392270008182E-2</v>
      </c>
      <c r="E69" s="39">
        <v>1884.089966</v>
      </c>
      <c r="F69" s="379">
        <f t="shared" si="6"/>
        <v>1.2320937592521393E-3</v>
      </c>
      <c r="G69" s="379">
        <f t="shared" si="7"/>
        <v>1.5581392270008182E-2</v>
      </c>
      <c r="H69" s="379">
        <f t="shared" si="8"/>
        <v>1.2320937592521393E-3</v>
      </c>
      <c r="I69" s="5"/>
      <c r="J69" s="5"/>
      <c r="K69" s="5"/>
      <c r="L69" s="5"/>
    </row>
    <row r="70" spans="1:12" s="362" customFormat="1" ht="18" customHeight="1">
      <c r="A70" s="375">
        <v>42275</v>
      </c>
      <c r="B70" s="379">
        <f t="shared" ref="B70:B133" si="9">B69+1</f>
        <v>67</v>
      </c>
      <c r="C70" s="28">
        <v>44.888516000000003</v>
      </c>
      <c r="D70" s="379">
        <f t="shared" si="5"/>
        <v>-2.8806830361250403E-2</v>
      </c>
      <c r="E70" s="39">
        <v>1881.7700199999999</v>
      </c>
      <c r="F70" s="379">
        <f t="shared" si="6"/>
        <v>-2.6001211006746214E-2</v>
      </c>
      <c r="G70" s="379">
        <f t="shared" si="7"/>
        <v>-2.8806830361250403E-2</v>
      </c>
      <c r="H70" s="379">
        <f t="shared" si="8"/>
        <v>-2.6001211006746214E-2</v>
      </c>
      <c r="I70" s="5"/>
      <c r="J70" s="5"/>
      <c r="K70" s="5"/>
      <c r="L70" s="5"/>
    </row>
    <row r="71" spans="1:12" s="362" customFormat="1" ht="18" customHeight="1">
      <c r="A71" s="375">
        <v>42272</v>
      </c>
      <c r="B71" s="379">
        <f t="shared" si="9"/>
        <v>68</v>
      </c>
      <c r="C71" s="28">
        <v>46.200417000000002</v>
      </c>
      <c r="D71" s="379">
        <f t="shared" si="5"/>
        <v>-1.200644206831588E-2</v>
      </c>
      <c r="E71" s="39">
        <v>1931.339966</v>
      </c>
      <c r="F71" s="379">
        <f t="shared" si="6"/>
        <v>-4.6590158688575067E-4</v>
      </c>
      <c r="G71" s="379">
        <f t="shared" si="7"/>
        <v>-1.200644206831588E-2</v>
      </c>
      <c r="H71" s="379">
        <f t="shared" si="8"/>
        <v>-4.6590158688575067E-4</v>
      </c>
      <c r="I71" s="5"/>
      <c r="J71" s="5"/>
      <c r="K71" s="5"/>
      <c r="L71" s="5"/>
    </row>
    <row r="72" spans="1:12" s="362" customFormat="1" ht="18" customHeight="1">
      <c r="A72" s="375">
        <v>42271</v>
      </c>
      <c r="B72" s="379">
        <f t="shared" si="9"/>
        <v>69</v>
      </c>
      <c r="C72" s="28">
        <v>46.758462999999999</v>
      </c>
      <c r="D72" s="379">
        <f t="shared" si="5"/>
        <v>-2.0916565174326929E-3</v>
      </c>
      <c r="E72" s="39">
        <v>1932.23999</v>
      </c>
      <c r="F72" s="379">
        <f t="shared" si="6"/>
        <v>-3.3686521134926087E-3</v>
      </c>
      <c r="G72" s="379">
        <f t="shared" si="7"/>
        <v>-2.0916565174326929E-3</v>
      </c>
      <c r="H72" s="379">
        <f t="shared" si="8"/>
        <v>-3.3686521134926087E-3</v>
      </c>
      <c r="I72" s="5"/>
      <c r="J72" s="5"/>
      <c r="K72" s="5"/>
      <c r="L72" s="5"/>
    </row>
    <row r="73" spans="1:12" s="362" customFormat="1" ht="18" customHeight="1">
      <c r="A73" s="375">
        <v>42270</v>
      </c>
      <c r="B73" s="379">
        <f t="shared" si="9"/>
        <v>70</v>
      </c>
      <c r="C73" s="28">
        <v>46.856368000000003</v>
      </c>
      <c r="D73" s="379">
        <f t="shared" si="5"/>
        <v>-1.5754851195069162E-2</v>
      </c>
      <c r="E73" s="39">
        <v>1938.76001</v>
      </c>
      <c r="F73" s="379">
        <f t="shared" si="6"/>
        <v>-2.0507439880633901E-3</v>
      </c>
      <c r="G73" s="379">
        <f t="shared" si="7"/>
        <v>-1.5754851195069162E-2</v>
      </c>
      <c r="H73" s="379">
        <f t="shared" si="8"/>
        <v>-2.0507439880633901E-3</v>
      </c>
      <c r="I73" s="5"/>
      <c r="J73" s="5"/>
      <c r="K73" s="5"/>
      <c r="L73" s="5"/>
    </row>
    <row r="74" spans="1:12" s="362" customFormat="1" ht="18" customHeight="1">
      <c r="A74" s="375">
        <v>42269</v>
      </c>
      <c r="B74" s="379">
        <f t="shared" si="9"/>
        <v>71</v>
      </c>
      <c r="C74" s="28">
        <v>47.600428999999998</v>
      </c>
      <c r="D74" s="379">
        <f t="shared" si="5"/>
        <v>-2.6702521411003191E-3</v>
      </c>
      <c r="E74" s="39">
        <v>1942.73999</v>
      </c>
      <c r="F74" s="379">
        <f t="shared" si="6"/>
        <v>-1.2394930290949867E-2</v>
      </c>
      <c r="G74" s="379">
        <f t="shared" si="7"/>
        <v>-2.6702521411003191E-3</v>
      </c>
      <c r="H74" s="379">
        <f t="shared" si="8"/>
        <v>-1.2394930290949867E-2</v>
      </c>
      <c r="I74" s="5"/>
      <c r="J74" s="5"/>
      <c r="K74" s="5"/>
      <c r="L74" s="5"/>
    </row>
    <row r="75" spans="1:12" s="362" customFormat="1" ht="18" customHeight="1">
      <c r="A75" s="375">
        <v>42268</v>
      </c>
      <c r="B75" s="379">
        <f t="shared" si="9"/>
        <v>72</v>
      </c>
      <c r="C75" s="28">
        <v>47.727704000000003</v>
      </c>
      <c r="D75" s="379">
        <f t="shared" si="5"/>
        <v>8.0321583486907024E-3</v>
      </c>
      <c r="E75" s="39">
        <v>1966.969971</v>
      </c>
      <c r="F75" s="379">
        <f t="shared" si="6"/>
        <v>4.5553923362219801E-3</v>
      </c>
      <c r="G75" s="379">
        <f t="shared" si="7"/>
        <v>8.0321583486907024E-3</v>
      </c>
      <c r="H75" s="379">
        <f t="shared" si="8"/>
        <v>4.5553923362219801E-3</v>
      </c>
      <c r="I75" s="5"/>
      <c r="J75" s="5"/>
      <c r="K75" s="5"/>
      <c r="L75" s="5"/>
    </row>
    <row r="76" spans="1:12" s="362" customFormat="1" ht="18" customHeight="1">
      <c r="A76" s="375">
        <v>42265</v>
      </c>
      <c r="B76" s="379">
        <f t="shared" si="9"/>
        <v>73</v>
      </c>
      <c r="C76" s="28">
        <v>47.345883000000001</v>
      </c>
      <c r="D76" s="379">
        <f t="shared" si="5"/>
        <v>-3.5946629683540336E-2</v>
      </c>
      <c r="E76" s="39">
        <v>1958.030029</v>
      </c>
      <c r="F76" s="379">
        <f t="shared" si="6"/>
        <v>-1.6296231019642143E-2</v>
      </c>
      <c r="G76" s="379">
        <f t="shared" si="7"/>
        <v>-3.5946629683540336E-2</v>
      </c>
      <c r="H76" s="379">
        <f t="shared" si="8"/>
        <v>-1.6296231019642143E-2</v>
      </c>
      <c r="I76" s="5"/>
      <c r="J76" s="5"/>
      <c r="K76" s="5"/>
      <c r="L76" s="5"/>
    </row>
    <row r="77" spans="1:12" s="362" customFormat="1" ht="18" customHeight="1">
      <c r="A77" s="375">
        <v>42264</v>
      </c>
      <c r="B77" s="379">
        <f t="shared" si="9"/>
        <v>74</v>
      </c>
      <c r="C77" s="28">
        <v>49.078766999999999</v>
      </c>
      <c r="D77" s="379">
        <f t="shared" si="5"/>
        <v>1.3253212040918628E-2</v>
      </c>
      <c r="E77" s="39">
        <v>1990.1999510000001</v>
      </c>
      <c r="F77" s="379">
        <f t="shared" si="6"/>
        <v>-2.5643447325231369E-3</v>
      </c>
      <c r="G77" s="379">
        <f t="shared" si="7"/>
        <v>1.3253212040918628E-2</v>
      </c>
      <c r="H77" s="379">
        <f t="shared" si="8"/>
        <v>-2.5643447325231369E-3</v>
      </c>
      <c r="I77" s="5"/>
      <c r="J77" s="5"/>
      <c r="K77" s="5"/>
      <c r="L77" s="5"/>
    </row>
    <row r="78" spans="1:12" s="362" customFormat="1" ht="18" customHeight="1">
      <c r="A78" s="375">
        <v>42263</v>
      </c>
      <c r="B78" s="379">
        <f t="shared" si="9"/>
        <v>75</v>
      </c>
      <c r="C78" s="28">
        <v>48.432606999999997</v>
      </c>
      <c r="D78" s="379">
        <f t="shared" si="5"/>
        <v>4.5279108620381273E-2</v>
      </c>
      <c r="E78" s="39">
        <v>1995.3100589999999</v>
      </c>
      <c r="F78" s="379">
        <f t="shared" si="6"/>
        <v>8.6677408281392605E-3</v>
      </c>
      <c r="G78" s="379">
        <f t="shared" si="7"/>
        <v>4.5279108620381273E-2</v>
      </c>
      <c r="H78" s="379">
        <f t="shared" si="8"/>
        <v>8.6677408281392605E-3</v>
      </c>
      <c r="I78" s="5"/>
      <c r="J78" s="5"/>
      <c r="K78" s="5"/>
      <c r="L78" s="5"/>
    </row>
    <row r="79" spans="1:12" s="362" customFormat="1" ht="18" customHeight="1">
      <c r="A79" s="375">
        <v>42262</v>
      </c>
      <c r="B79" s="379">
        <f t="shared" si="9"/>
        <v>76</v>
      </c>
      <c r="C79" s="28">
        <v>46.288528999999997</v>
      </c>
      <c r="D79" s="379">
        <f t="shared" si="5"/>
        <v>1.0845353344296108E-2</v>
      </c>
      <c r="E79" s="39">
        <v>1978.089966</v>
      </c>
      <c r="F79" s="379">
        <f t="shared" si="6"/>
        <v>1.2749687874278685E-2</v>
      </c>
      <c r="G79" s="379">
        <f t="shared" si="7"/>
        <v>1.0845353344296108E-2</v>
      </c>
      <c r="H79" s="379">
        <f t="shared" si="8"/>
        <v>1.2749687874278685E-2</v>
      </c>
      <c r="I79" s="5"/>
      <c r="J79" s="5"/>
      <c r="K79" s="5"/>
      <c r="L79" s="5"/>
    </row>
    <row r="80" spans="1:12" s="362" customFormat="1" ht="18" customHeight="1">
      <c r="A80" s="375">
        <v>42261</v>
      </c>
      <c r="B80" s="379">
        <f t="shared" si="9"/>
        <v>77</v>
      </c>
      <c r="C80" s="28">
        <v>45.789225999999999</v>
      </c>
      <c r="D80" s="379">
        <f t="shared" si="5"/>
        <v>-1.2536027239775357E-2</v>
      </c>
      <c r="E80" s="39">
        <v>1953.030029</v>
      </c>
      <c r="F80" s="379">
        <f t="shared" si="6"/>
        <v>-4.0980414626955409E-3</v>
      </c>
      <c r="G80" s="379">
        <f t="shared" si="7"/>
        <v>-1.2536027239775357E-2</v>
      </c>
      <c r="H80" s="379">
        <f t="shared" si="8"/>
        <v>-4.0980414626955409E-3</v>
      </c>
      <c r="I80" s="5"/>
      <c r="J80" s="5"/>
      <c r="K80" s="5"/>
      <c r="L80" s="5"/>
    </row>
    <row r="81" spans="1:12" s="362" customFormat="1" ht="18" customHeight="1">
      <c r="A81" s="375">
        <v>42258</v>
      </c>
      <c r="B81" s="379">
        <f t="shared" si="9"/>
        <v>78</v>
      </c>
      <c r="C81" s="28">
        <v>46.366853999999996</v>
      </c>
      <c r="D81" s="379">
        <f t="shared" si="5"/>
        <v>-2.2341445879883012E-2</v>
      </c>
      <c r="E81" s="39">
        <v>1961.0500489999999</v>
      </c>
      <c r="F81" s="379">
        <f t="shared" si="6"/>
        <v>4.4770065646443351E-3</v>
      </c>
      <c r="G81" s="379">
        <f t="shared" si="7"/>
        <v>-2.2341445879883012E-2</v>
      </c>
      <c r="H81" s="379">
        <f t="shared" si="8"/>
        <v>4.4770065646443351E-3</v>
      </c>
      <c r="I81" s="5"/>
      <c r="J81" s="5"/>
      <c r="K81" s="5"/>
      <c r="L81" s="5"/>
    </row>
    <row r="82" spans="1:12" s="362" customFormat="1" ht="18" customHeight="1">
      <c r="A82" s="375">
        <v>42257</v>
      </c>
      <c r="B82" s="379">
        <f t="shared" si="9"/>
        <v>79</v>
      </c>
      <c r="C82" s="28">
        <v>47.414414999999998</v>
      </c>
      <c r="D82" s="379">
        <f t="shared" si="5"/>
        <v>1.2048374689805455E-2</v>
      </c>
      <c r="E82" s="39">
        <v>1952.290039</v>
      </c>
      <c r="F82" s="379">
        <f t="shared" si="6"/>
        <v>5.2640754451046302E-3</v>
      </c>
      <c r="G82" s="379">
        <f t="shared" si="7"/>
        <v>1.2048374689805455E-2</v>
      </c>
      <c r="H82" s="379">
        <f t="shared" si="8"/>
        <v>5.2640754451046302E-3</v>
      </c>
      <c r="I82" s="5"/>
      <c r="J82" s="5"/>
      <c r="K82" s="5"/>
      <c r="L82" s="5"/>
    </row>
    <row r="83" spans="1:12" s="362" customFormat="1" ht="18" customHeight="1">
      <c r="A83" s="375">
        <v>42256</v>
      </c>
      <c r="B83" s="379">
        <f t="shared" si="9"/>
        <v>80</v>
      </c>
      <c r="C83" s="28">
        <v>46.846575999999999</v>
      </c>
      <c r="D83" s="379">
        <f t="shared" si="5"/>
        <v>-1.2667614796375262E-2</v>
      </c>
      <c r="E83" s="39">
        <v>1942.040039</v>
      </c>
      <c r="F83" s="379">
        <f t="shared" si="6"/>
        <v>-1.3995035710028114E-2</v>
      </c>
      <c r="G83" s="379">
        <f t="shared" si="7"/>
        <v>-1.2667614796375262E-2</v>
      </c>
      <c r="H83" s="379">
        <f t="shared" si="8"/>
        <v>-1.3995035710028114E-2</v>
      </c>
      <c r="I83" s="5"/>
      <c r="J83" s="5"/>
      <c r="K83" s="5"/>
      <c r="L83" s="5"/>
    </row>
    <row r="84" spans="1:12" s="362" customFormat="1" ht="18" customHeight="1">
      <c r="A84" s="375">
        <v>42255</v>
      </c>
      <c r="B84" s="379">
        <f t="shared" si="9"/>
        <v>81</v>
      </c>
      <c r="C84" s="28">
        <v>47.443784999999998</v>
      </c>
      <c r="D84" s="379">
        <f t="shared" si="5"/>
        <v>2.6344788795882007E-2</v>
      </c>
      <c r="E84" s="39">
        <v>1969.410034</v>
      </c>
      <c r="F84" s="379">
        <f t="shared" si="6"/>
        <v>2.477363695127497E-2</v>
      </c>
      <c r="G84" s="379">
        <f t="shared" si="7"/>
        <v>2.6344788795882007E-2</v>
      </c>
      <c r="H84" s="379">
        <f t="shared" si="8"/>
        <v>2.477363695127497E-2</v>
      </c>
      <c r="I84" s="5"/>
      <c r="J84" s="5"/>
      <c r="K84" s="5"/>
      <c r="L84" s="5"/>
    </row>
    <row r="85" spans="1:12" s="362" customFormat="1" ht="18" customHeight="1">
      <c r="A85" s="375">
        <v>42251</v>
      </c>
      <c r="B85" s="379">
        <f t="shared" si="9"/>
        <v>82</v>
      </c>
      <c r="C85" s="28">
        <v>46.210208999999999</v>
      </c>
      <c r="D85" s="379">
        <f t="shared" si="5"/>
        <v>-2.055009919638456E-2</v>
      </c>
      <c r="E85" s="39">
        <v>1921.219971</v>
      </c>
      <c r="F85" s="379">
        <f t="shared" si="6"/>
        <v>-1.5448308659813455E-2</v>
      </c>
      <c r="G85" s="379">
        <f t="shared" si="7"/>
        <v>-2.055009919638456E-2</v>
      </c>
      <c r="H85" s="379">
        <f t="shared" si="8"/>
        <v>-1.5448308659813455E-2</v>
      </c>
      <c r="I85" s="5"/>
      <c r="J85" s="5"/>
      <c r="K85" s="5"/>
      <c r="L85" s="5"/>
    </row>
    <row r="86" spans="1:12" s="362" customFormat="1" ht="18" customHeight="1">
      <c r="A86" s="375">
        <v>42250</v>
      </c>
      <c r="B86" s="379">
        <f t="shared" si="9"/>
        <v>83</v>
      </c>
      <c r="C86" s="28">
        <v>47.169657999999998</v>
      </c>
      <c r="D86" s="379">
        <f t="shared" si="5"/>
        <v>-2.0748474802926735E-4</v>
      </c>
      <c r="E86" s="39">
        <v>1951.130005</v>
      </c>
      <c r="F86" s="379">
        <f t="shared" si="6"/>
        <v>1.1641159398742432E-3</v>
      </c>
      <c r="G86" s="379">
        <f t="shared" si="7"/>
        <v>-2.0748474802926735E-4</v>
      </c>
      <c r="H86" s="379">
        <f t="shared" si="8"/>
        <v>1.1641159398742432E-3</v>
      </c>
      <c r="I86" s="5"/>
      <c r="J86" s="5"/>
      <c r="K86" s="5"/>
      <c r="L86" s="5"/>
    </row>
    <row r="87" spans="1:12" s="362" customFormat="1" ht="18" customHeight="1">
      <c r="A87" s="375">
        <v>42249</v>
      </c>
      <c r="B87" s="379">
        <f t="shared" si="9"/>
        <v>84</v>
      </c>
      <c r="C87" s="28">
        <v>47.179445999999999</v>
      </c>
      <c r="D87" s="379">
        <f t="shared" si="5"/>
        <v>9.1724185598593671E-3</v>
      </c>
      <c r="E87" s="39">
        <v>1948.8599850000001</v>
      </c>
      <c r="F87" s="379">
        <f t="shared" si="6"/>
        <v>1.8127671026470109E-2</v>
      </c>
      <c r="G87" s="379">
        <f t="shared" si="7"/>
        <v>9.1724185598593671E-3</v>
      </c>
      <c r="H87" s="379">
        <f t="shared" si="8"/>
        <v>1.8127671026470109E-2</v>
      </c>
      <c r="I87" s="5"/>
      <c r="J87" s="359"/>
      <c r="K87" s="359"/>
      <c r="L87" s="5"/>
    </row>
    <row r="88" spans="1:12" s="362" customFormat="1" ht="18" customHeight="1">
      <c r="A88" s="375">
        <v>42248</v>
      </c>
      <c r="B88" s="379">
        <f t="shared" si="9"/>
        <v>85</v>
      </c>
      <c r="C88" s="28">
        <v>46.748674999999999</v>
      </c>
      <c r="D88" s="379">
        <f t="shared" si="5"/>
        <v>-2.889780501790333E-2</v>
      </c>
      <c r="E88" s="39">
        <v>1913.849976</v>
      </c>
      <c r="F88" s="379">
        <f t="shared" si="6"/>
        <v>-3.0022649772647417E-2</v>
      </c>
      <c r="G88" s="379">
        <f t="shared" si="7"/>
        <v>-2.889780501790333E-2</v>
      </c>
      <c r="H88" s="379">
        <f t="shared" si="8"/>
        <v>-3.0022649772647417E-2</v>
      </c>
      <c r="I88" s="5"/>
      <c r="J88" s="359"/>
      <c r="K88" s="359"/>
      <c r="L88" s="5"/>
    </row>
    <row r="89" spans="1:12" s="362" customFormat="1" ht="18" customHeight="1">
      <c r="A89" s="375">
        <v>42247</v>
      </c>
      <c r="B89" s="379">
        <f t="shared" si="9"/>
        <v>86</v>
      </c>
      <c r="C89" s="28">
        <v>48.119318</v>
      </c>
      <c r="D89" s="379">
        <f t="shared" si="5"/>
        <v>4.8566415250182515E-2</v>
      </c>
      <c r="E89" s="39">
        <v>1972.1800539999999</v>
      </c>
      <c r="F89" s="379">
        <f t="shared" si="6"/>
        <v>-8.4270784584924117E-3</v>
      </c>
      <c r="G89" s="379">
        <f t="shared" si="7"/>
        <v>4.8566415250182515E-2</v>
      </c>
      <c r="H89" s="379">
        <f t="shared" si="8"/>
        <v>-8.4270784584924117E-3</v>
      </c>
      <c r="I89" s="5"/>
      <c r="J89" s="359"/>
      <c r="K89" s="359"/>
      <c r="L89" s="5"/>
    </row>
    <row r="90" spans="1:12" s="362" customFormat="1" ht="18" customHeight="1">
      <c r="A90" s="375">
        <v>42244</v>
      </c>
      <c r="B90" s="379">
        <f t="shared" si="9"/>
        <v>87</v>
      </c>
      <c r="C90" s="28">
        <v>45.838177000000002</v>
      </c>
      <c r="D90" s="379">
        <f t="shared" si="5"/>
        <v>2.0499190289080902E-2</v>
      </c>
      <c r="E90" s="39">
        <v>1988.869995</v>
      </c>
      <c r="F90" s="379">
        <f t="shared" si="6"/>
        <v>6.0855118835607827E-4</v>
      </c>
      <c r="G90" s="379">
        <f t="shared" si="7"/>
        <v>2.0499190289080902E-2</v>
      </c>
      <c r="H90" s="379">
        <f t="shared" si="8"/>
        <v>6.0855118835607827E-4</v>
      </c>
      <c r="I90" s="5"/>
      <c r="J90" s="359"/>
      <c r="K90" s="359"/>
      <c r="L90" s="5"/>
    </row>
    <row r="91" spans="1:12" s="362" customFormat="1" ht="18" customHeight="1">
      <c r="A91" s="375">
        <v>42243</v>
      </c>
      <c r="B91" s="379">
        <f t="shared" si="9"/>
        <v>88</v>
      </c>
      <c r="C91" s="28">
        <v>44.908096999999998</v>
      </c>
      <c r="D91" s="379">
        <f t="shared" si="5"/>
        <v>5.5121448427499581E-2</v>
      </c>
      <c r="E91" s="39">
        <v>1987.660034</v>
      </c>
      <c r="F91" s="379">
        <f t="shared" si="6"/>
        <v>2.4007254278508312E-2</v>
      </c>
      <c r="G91" s="379">
        <f t="shared" si="7"/>
        <v>5.5121448427499581E-2</v>
      </c>
      <c r="H91" s="379">
        <f t="shared" si="8"/>
        <v>2.4007254278508312E-2</v>
      </c>
      <c r="I91" s="5"/>
      <c r="J91" s="359"/>
      <c r="K91" s="359"/>
      <c r="L91" s="5"/>
    </row>
    <row r="92" spans="1:12" s="362" customFormat="1" ht="18" customHeight="1">
      <c r="A92" s="375">
        <v>42242</v>
      </c>
      <c r="B92" s="379">
        <f t="shared" si="9"/>
        <v>89</v>
      </c>
      <c r="C92" s="28">
        <v>42.499684999999999</v>
      </c>
      <c r="D92" s="379">
        <f t="shared" si="5"/>
        <v>2.8506642036160136E-2</v>
      </c>
      <c r="E92" s="39">
        <v>1940.51001</v>
      </c>
      <c r="F92" s="379">
        <f t="shared" si="6"/>
        <v>3.8291299743553803E-2</v>
      </c>
      <c r="G92" s="379">
        <f t="shared" si="7"/>
        <v>2.8506642036160136E-2</v>
      </c>
      <c r="H92" s="379">
        <f t="shared" si="8"/>
        <v>3.8291299743553803E-2</v>
      </c>
      <c r="I92" s="5"/>
      <c r="J92" s="359"/>
      <c r="K92" s="359"/>
      <c r="L92" s="5"/>
    </row>
    <row r="93" spans="1:12" s="362" customFormat="1" ht="18" customHeight="1">
      <c r="A93" s="375">
        <v>42241</v>
      </c>
      <c r="B93" s="379">
        <f t="shared" si="9"/>
        <v>90</v>
      </c>
      <c r="C93" s="28">
        <v>41.305267000000001</v>
      </c>
      <c r="D93" s="379">
        <f t="shared" si="5"/>
        <v>-1.7387702557681163E-2</v>
      </c>
      <c r="E93" s="39">
        <v>1867.6099850000001</v>
      </c>
      <c r="F93" s="379">
        <f t="shared" si="6"/>
        <v>-1.3614249963910554E-2</v>
      </c>
      <c r="G93" s="379">
        <f t="shared" si="7"/>
        <v>-1.7387702557681163E-2</v>
      </c>
      <c r="H93" s="379">
        <f t="shared" si="8"/>
        <v>-1.3614249963910554E-2</v>
      </c>
      <c r="I93" s="5"/>
      <c r="J93" s="359"/>
      <c r="K93" s="359"/>
      <c r="L93" s="5"/>
    </row>
    <row r="94" spans="1:12" s="362" customFormat="1" ht="18" customHeight="1">
      <c r="A94" s="375">
        <v>42240</v>
      </c>
      <c r="B94" s="379">
        <f t="shared" si="9"/>
        <v>91</v>
      </c>
      <c r="C94" s="28">
        <v>42.029750999999997</v>
      </c>
      <c r="D94" s="379">
        <f t="shared" si="5"/>
        <v>-5.5720925126844935E-2</v>
      </c>
      <c r="E94" s="39">
        <v>1893.209961</v>
      </c>
      <c r="F94" s="379">
        <f t="shared" si="6"/>
        <v>-4.0211444491884053E-2</v>
      </c>
      <c r="G94" s="379">
        <f t="shared" si="7"/>
        <v>-5.5720925126844935E-2</v>
      </c>
      <c r="H94" s="379">
        <f t="shared" si="8"/>
        <v>-4.0211444491884053E-2</v>
      </c>
      <c r="I94" s="5"/>
      <c r="J94" s="359"/>
      <c r="K94" s="359"/>
      <c r="L94" s="5"/>
    </row>
    <row r="95" spans="1:12">
      <c r="A95" s="375">
        <v>42237</v>
      </c>
      <c r="B95" s="379">
        <f t="shared" si="9"/>
        <v>92</v>
      </c>
      <c r="C95" s="28">
        <v>44.438164</v>
      </c>
      <c r="D95" s="379">
        <f t="shared" si="5"/>
        <v>-3.4855784657559119E-2</v>
      </c>
      <c r="E95" s="39">
        <v>1970.8900149999999</v>
      </c>
      <c r="F95" s="379">
        <f t="shared" si="6"/>
        <v>-3.236924211323932E-2</v>
      </c>
      <c r="G95" s="379">
        <f t="shared" si="7"/>
        <v>-3.4855784657559119E-2</v>
      </c>
      <c r="H95" s="379">
        <f t="shared" si="8"/>
        <v>-3.236924211323932E-2</v>
      </c>
      <c r="I95" s="5"/>
      <c r="L95" s="5"/>
    </row>
    <row r="96" spans="1:12">
      <c r="A96" s="375">
        <v>42236</v>
      </c>
      <c r="B96" s="379">
        <f t="shared" si="9"/>
        <v>93</v>
      </c>
      <c r="C96" s="28">
        <v>46.014401999999997</v>
      </c>
      <c r="D96" s="379">
        <f t="shared" si="5"/>
        <v>-1.4364436379994076E-2</v>
      </c>
      <c r="E96" s="39">
        <v>2035.7299800000001</v>
      </c>
      <c r="F96" s="379">
        <f t="shared" si="6"/>
        <v>-2.1325960481545045E-2</v>
      </c>
      <c r="G96" s="379">
        <f t="shared" si="7"/>
        <v>-1.4364436379994076E-2</v>
      </c>
      <c r="H96" s="379">
        <f t="shared" si="8"/>
        <v>-2.1325960481545045E-2</v>
      </c>
      <c r="I96" s="5"/>
      <c r="L96" s="5"/>
    </row>
    <row r="97" spans="1:11">
      <c r="A97" s="375">
        <v>42235</v>
      </c>
      <c r="B97" s="379">
        <f t="shared" si="9"/>
        <v>94</v>
      </c>
      <c r="C97" s="28">
        <v>46.680143000000001</v>
      </c>
      <c r="D97" s="379">
        <f t="shared" si="5"/>
        <v>-3.7662592647056001E-2</v>
      </c>
      <c r="E97" s="39">
        <v>2079.610107</v>
      </c>
      <c r="F97" s="379">
        <f t="shared" si="6"/>
        <v>-8.2891366720709101E-3</v>
      </c>
      <c r="G97" s="379">
        <f t="shared" si="7"/>
        <v>-3.7662592647056001E-2</v>
      </c>
      <c r="H97" s="379">
        <f t="shared" si="8"/>
        <v>-8.2891366720709101E-3</v>
      </c>
    </row>
    <row r="98" spans="1:11">
      <c r="A98" s="375">
        <v>42234</v>
      </c>
      <c r="B98" s="379">
        <f t="shared" si="9"/>
        <v>95</v>
      </c>
      <c r="C98" s="28">
        <v>48.471764999999998</v>
      </c>
      <c r="D98" s="379">
        <f t="shared" si="5"/>
        <v>-1.0094597361255404E-3</v>
      </c>
      <c r="E98" s="39">
        <v>2096.919922</v>
      </c>
      <c r="F98" s="379">
        <f t="shared" si="6"/>
        <v>-2.628982682793983E-3</v>
      </c>
      <c r="G98" s="379">
        <f t="shared" si="7"/>
        <v>-1.0094597361255404E-3</v>
      </c>
      <c r="H98" s="379">
        <f t="shared" si="8"/>
        <v>-2.628982682793983E-3</v>
      </c>
    </row>
    <row r="99" spans="1:11">
      <c r="A99" s="375">
        <v>42233</v>
      </c>
      <c r="B99" s="379">
        <f t="shared" si="9"/>
        <v>96</v>
      </c>
      <c r="C99" s="28">
        <v>48.520719999999997</v>
      </c>
      <c r="D99" s="379">
        <f t="shared" si="5"/>
        <v>-4.2283100212273037E-3</v>
      </c>
      <c r="E99" s="39">
        <v>2102.4399410000001</v>
      </c>
      <c r="F99" s="379">
        <f t="shared" si="6"/>
        <v>5.1978915460573353E-3</v>
      </c>
      <c r="G99" s="379">
        <f t="shared" si="7"/>
        <v>-4.2283100212273037E-3</v>
      </c>
      <c r="H99" s="379">
        <f t="shared" si="8"/>
        <v>5.1978915460573353E-3</v>
      </c>
    </row>
    <row r="100" spans="1:11">
      <c r="A100" s="375">
        <v>42230</v>
      </c>
      <c r="B100" s="379">
        <f t="shared" si="9"/>
        <v>97</v>
      </c>
      <c r="C100" s="28">
        <v>48.726315</v>
      </c>
      <c r="D100" s="379">
        <f t="shared" si="5"/>
        <v>-6.6085775788525536E-3</v>
      </c>
      <c r="E100" s="39">
        <v>2091.540039</v>
      </c>
      <c r="F100" s="379">
        <f t="shared" si="6"/>
        <v>3.904332041982352E-3</v>
      </c>
      <c r="G100" s="379">
        <f t="shared" si="7"/>
        <v>-6.6085775788525536E-3</v>
      </c>
      <c r="H100" s="379">
        <f t="shared" si="8"/>
        <v>3.904332041982352E-3</v>
      </c>
    </row>
    <row r="101" spans="1:11">
      <c r="A101" s="375">
        <v>42229</v>
      </c>
      <c r="B101" s="379">
        <f t="shared" si="9"/>
        <v>98</v>
      </c>
      <c r="C101" s="28">
        <v>49.049393000000002</v>
      </c>
      <c r="D101" s="379">
        <f t="shared" si="5"/>
        <v>-2.8337258319968497E-2</v>
      </c>
      <c r="E101" s="39">
        <v>2083.389893</v>
      </c>
      <c r="F101" s="379">
        <f t="shared" si="6"/>
        <v>-1.2760257482792195E-3</v>
      </c>
      <c r="G101" s="379">
        <f t="shared" si="7"/>
        <v>-2.8337258319968497E-2</v>
      </c>
      <c r="H101" s="379">
        <f t="shared" si="8"/>
        <v>-1.2760257482792195E-3</v>
      </c>
    </row>
    <row r="102" spans="1:11">
      <c r="A102" s="375">
        <v>42228</v>
      </c>
      <c r="B102" s="379">
        <f t="shared" si="9"/>
        <v>99</v>
      </c>
      <c r="C102" s="28">
        <v>50.459198999999998</v>
      </c>
      <c r="D102" s="379">
        <f t="shared" si="5"/>
        <v>2.2367029321146249E-2</v>
      </c>
      <c r="E102" s="39">
        <v>2086.0500489999999</v>
      </c>
      <c r="F102" s="379">
        <f t="shared" si="6"/>
        <v>9.4960389304633061E-4</v>
      </c>
      <c r="G102" s="379">
        <f t="shared" si="7"/>
        <v>2.2367029321146249E-2</v>
      </c>
      <c r="H102" s="379">
        <f t="shared" si="8"/>
        <v>9.4960389304633061E-4</v>
      </c>
    </row>
    <row r="103" spans="1:11">
      <c r="A103" s="375">
        <v>42227</v>
      </c>
      <c r="B103" s="379">
        <f t="shared" si="9"/>
        <v>100</v>
      </c>
      <c r="C103" s="28">
        <v>49.343105000000001</v>
      </c>
      <c r="D103" s="379">
        <f t="shared" si="5"/>
        <v>3.9761692918321313E-3</v>
      </c>
      <c r="E103" s="39">
        <v>2084.070068</v>
      </c>
      <c r="F103" s="379">
        <f t="shared" si="6"/>
        <v>-9.6030650234122886E-3</v>
      </c>
      <c r="G103" s="379">
        <f t="shared" si="7"/>
        <v>3.9761692918321313E-3</v>
      </c>
      <c r="H103" s="379">
        <f t="shared" si="8"/>
        <v>-9.6030650234122886E-3</v>
      </c>
    </row>
    <row r="104" spans="1:11">
      <c r="A104" s="375">
        <v>42226</v>
      </c>
      <c r="B104" s="379">
        <f t="shared" si="9"/>
        <v>101</v>
      </c>
      <c r="C104" s="28">
        <v>49.147297999999999</v>
      </c>
      <c r="D104" s="379">
        <f t="shared" si="5"/>
        <v>2.7465386170560539E-2</v>
      </c>
      <c r="E104" s="39">
        <v>2104.179932</v>
      </c>
      <c r="F104" s="379">
        <f t="shared" si="6"/>
        <v>1.2726835975794628E-2</v>
      </c>
      <c r="G104" s="379">
        <f t="shared" si="7"/>
        <v>2.7465386170560539E-2</v>
      </c>
      <c r="H104" s="379">
        <f t="shared" si="8"/>
        <v>1.2726835975794628E-2</v>
      </c>
    </row>
    <row r="105" spans="1:11">
      <c r="A105" s="375">
        <v>42223</v>
      </c>
      <c r="B105" s="379">
        <f t="shared" si="9"/>
        <v>102</v>
      </c>
      <c r="C105" s="28">
        <v>47.815817000000003</v>
      </c>
      <c r="D105" s="379">
        <f t="shared" si="5"/>
        <v>-2.9057715013440091E-2</v>
      </c>
      <c r="E105" s="39">
        <v>2077.570068</v>
      </c>
      <c r="F105" s="379">
        <f t="shared" si="6"/>
        <v>-2.8790232242949477E-3</v>
      </c>
      <c r="G105" s="379">
        <f t="shared" si="7"/>
        <v>-2.9057715013440091E-2</v>
      </c>
      <c r="H105" s="379">
        <f t="shared" si="8"/>
        <v>-2.8790232242949477E-3</v>
      </c>
      <c r="J105" s="5"/>
      <c r="K105" s="5"/>
    </row>
    <row r="106" spans="1:11">
      <c r="A106" s="375">
        <v>42222</v>
      </c>
      <c r="B106" s="379">
        <f t="shared" si="9"/>
        <v>103</v>
      </c>
      <c r="C106" s="28">
        <v>49.225619000000002</v>
      </c>
      <c r="D106" s="379">
        <f t="shared" si="5"/>
        <v>2.3341108551615294E-2</v>
      </c>
      <c r="E106" s="39">
        <v>2083.5600589999999</v>
      </c>
      <c r="F106" s="379">
        <f t="shared" si="6"/>
        <v>-7.7831957796706099E-3</v>
      </c>
      <c r="G106" s="379">
        <f t="shared" si="7"/>
        <v>2.3341108551615294E-2</v>
      </c>
      <c r="H106" s="379">
        <f t="shared" si="8"/>
        <v>-7.7831957796706099E-3</v>
      </c>
      <c r="J106" s="5"/>
      <c r="K106" s="5"/>
    </row>
    <row r="107" spans="1:11">
      <c r="A107" s="375">
        <v>42221</v>
      </c>
      <c r="B107" s="379">
        <f t="shared" si="9"/>
        <v>104</v>
      </c>
      <c r="C107" s="28">
        <v>48.089944000000003</v>
      </c>
      <c r="D107" s="379">
        <f t="shared" si="5"/>
        <v>-1.5153348962158452E-2</v>
      </c>
      <c r="E107" s="39">
        <v>2099.8400879999999</v>
      </c>
      <c r="F107" s="379">
        <f t="shared" si="6"/>
        <v>3.1098384092550632E-3</v>
      </c>
      <c r="G107" s="379">
        <f t="shared" si="7"/>
        <v>-1.5153348962158452E-2</v>
      </c>
      <c r="H107" s="379">
        <f t="shared" si="8"/>
        <v>3.1098384092550632E-3</v>
      </c>
    </row>
    <row r="108" spans="1:11">
      <c r="A108" s="375">
        <v>42220</v>
      </c>
      <c r="B108" s="379">
        <f t="shared" si="9"/>
        <v>105</v>
      </c>
      <c r="C108" s="28">
        <v>48.824216999999997</v>
      </c>
      <c r="D108" s="379">
        <f t="shared" si="5"/>
        <v>3.2135041608671745E-3</v>
      </c>
      <c r="E108" s="39">
        <v>2093.320068</v>
      </c>
      <c r="F108" s="379">
        <f t="shared" si="6"/>
        <v>-2.2522393088201631E-3</v>
      </c>
      <c r="G108" s="379">
        <f t="shared" si="7"/>
        <v>3.2135041608671745E-3</v>
      </c>
      <c r="H108" s="379">
        <f t="shared" si="8"/>
        <v>-2.2522393088201631E-3</v>
      </c>
    </row>
    <row r="109" spans="1:11">
      <c r="A109" s="375">
        <v>42219</v>
      </c>
      <c r="B109" s="379">
        <f t="shared" si="9"/>
        <v>106</v>
      </c>
      <c r="C109" s="28">
        <v>48.667572</v>
      </c>
      <c r="D109" s="379">
        <f t="shared" si="5"/>
        <v>-1.2593894311543008E-2</v>
      </c>
      <c r="E109" s="39">
        <v>2098.040039</v>
      </c>
      <c r="F109" s="379">
        <f t="shared" si="6"/>
        <v>-2.7606940266825457E-3</v>
      </c>
      <c r="G109" s="379">
        <f t="shared" si="7"/>
        <v>-1.2593894311543008E-2</v>
      </c>
      <c r="H109" s="379">
        <f t="shared" si="8"/>
        <v>-2.7606940266825457E-3</v>
      </c>
    </row>
    <row r="110" spans="1:11">
      <c r="A110" s="375">
        <v>42216</v>
      </c>
      <c r="B110" s="379">
        <f t="shared" si="9"/>
        <v>107</v>
      </c>
      <c r="C110" s="28">
        <v>49.284362000000002</v>
      </c>
      <c r="D110" s="379">
        <f t="shared" si="5"/>
        <v>-3.3788965340931072E-2</v>
      </c>
      <c r="E110" s="39">
        <v>2103.8400879999999</v>
      </c>
      <c r="F110" s="379">
        <f t="shared" si="6"/>
        <v>-2.2741038379837917E-3</v>
      </c>
      <c r="G110" s="379">
        <f t="shared" si="7"/>
        <v>-3.3788965340931072E-2</v>
      </c>
      <c r="H110" s="379">
        <f t="shared" si="8"/>
        <v>-2.2741038379837917E-3</v>
      </c>
    </row>
    <row r="111" spans="1:11">
      <c r="A111" s="375">
        <v>42215</v>
      </c>
      <c r="B111" s="379">
        <f t="shared" si="9"/>
        <v>108</v>
      </c>
      <c r="C111" s="28">
        <v>50.978082999999998</v>
      </c>
      <c r="D111" s="379">
        <f t="shared" si="5"/>
        <v>-1.5814415038071412E-2</v>
      </c>
      <c r="E111" s="39">
        <v>2108.6298830000001</v>
      </c>
      <c r="F111" s="379">
        <f t="shared" si="6"/>
        <v>2.8367163378208414E-5</v>
      </c>
      <c r="G111" s="379">
        <f t="shared" si="7"/>
        <v>-1.5814415038071412E-2</v>
      </c>
      <c r="H111" s="379">
        <f t="shared" si="8"/>
        <v>2.8367163378208414E-5</v>
      </c>
    </row>
    <row r="112" spans="1:11">
      <c r="A112" s="375">
        <v>42214</v>
      </c>
      <c r="B112" s="379">
        <f t="shared" si="9"/>
        <v>109</v>
      </c>
      <c r="C112" s="28">
        <v>51.790680000000002</v>
      </c>
      <c r="D112" s="379">
        <f t="shared" si="5"/>
        <v>1.2554859514169691E-2</v>
      </c>
      <c r="E112" s="39">
        <v>2108.570068</v>
      </c>
      <c r="F112" s="379">
        <f t="shared" si="6"/>
        <v>7.2921427569481731E-3</v>
      </c>
      <c r="G112" s="379">
        <f t="shared" si="7"/>
        <v>1.2554859514169691E-2</v>
      </c>
      <c r="H112" s="379">
        <f t="shared" si="8"/>
        <v>7.2921427569481731E-3</v>
      </c>
    </row>
    <row r="113" spans="1:12">
      <c r="A113" s="375">
        <v>42213</v>
      </c>
      <c r="B113" s="379">
        <f t="shared" si="9"/>
        <v>110</v>
      </c>
      <c r="C113" s="28">
        <v>51.14452</v>
      </c>
      <c r="D113" s="379">
        <f t="shared" si="5"/>
        <v>3.0909244576400995E-2</v>
      </c>
      <c r="E113" s="39">
        <v>2093.25</v>
      </c>
      <c r="F113" s="379">
        <f t="shared" si="6"/>
        <v>1.2310073597852267E-2</v>
      </c>
      <c r="G113" s="379">
        <f t="shared" si="7"/>
        <v>3.0909244576400995E-2</v>
      </c>
      <c r="H113" s="379">
        <f t="shared" si="8"/>
        <v>1.2310073597852267E-2</v>
      </c>
    </row>
    <row r="114" spans="1:12">
      <c r="A114" s="375">
        <v>42212</v>
      </c>
      <c r="B114" s="379">
        <f t="shared" si="9"/>
        <v>111</v>
      </c>
      <c r="C114" s="28">
        <v>49.587862999999999</v>
      </c>
      <c r="D114" s="379">
        <f t="shared" si="5"/>
        <v>-2.8033721546826734E-2</v>
      </c>
      <c r="E114" s="39">
        <v>2067.639893</v>
      </c>
      <c r="F114" s="379">
        <f t="shared" si="6"/>
        <v>-5.7917546957350231E-3</v>
      </c>
      <c r="G114" s="379">
        <f t="shared" si="7"/>
        <v>-2.8033721546826734E-2</v>
      </c>
      <c r="H114" s="379">
        <f t="shared" si="8"/>
        <v>-5.7917546957350231E-3</v>
      </c>
    </row>
    <row r="115" spans="1:12">
      <c r="A115" s="375">
        <v>42209</v>
      </c>
      <c r="B115" s="379">
        <f t="shared" si="9"/>
        <v>112</v>
      </c>
      <c r="C115" s="28">
        <v>50.997664</v>
      </c>
      <c r="D115" s="379">
        <f t="shared" si="5"/>
        <v>-3.6751536941336781E-2</v>
      </c>
      <c r="E115" s="39">
        <v>2079.6499020000001</v>
      </c>
      <c r="F115" s="379">
        <f t="shared" si="6"/>
        <v>-1.0761020698430391E-2</v>
      </c>
      <c r="G115" s="379">
        <f t="shared" si="7"/>
        <v>-3.6751536941336781E-2</v>
      </c>
      <c r="H115" s="379">
        <f t="shared" si="8"/>
        <v>-1.0761020698430391E-2</v>
      </c>
      <c r="I115" s="5"/>
      <c r="L115" s="5"/>
    </row>
    <row r="116" spans="1:12">
      <c r="A116" s="375">
        <v>42208</v>
      </c>
      <c r="B116" s="379">
        <f t="shared" si="9"/>
        <v>113</v>
      </c>
      <c r="C116" s="28">
        <v>52.906773000000001</v>
      </c>
      <c r="D116" s="379">
        <f t="shared" si="5"/>
        <v>-1.9243710617145953E-2</v>
      </c>
      <c r="E116" s="39">
        <v>2102.1499020000001</v>
      </c>
      <c r="F116" s="379">
        <f t="shared" si="6"/>
        <v>-5.6922102123075392E-3</v>
      </c>
      <c r="G116" s="379">
        <f t="shared" si="7"/>
        <v>-1.9243710617145953E-2</v>
      </c>
      <c r="H116" s="379">
        <f t="shared" si="8"/>
        <v>-5.6922102123075392E-3</v>
      </c>
      <c r="I116" s="5"/>
      <c r="L116" s="5"/>
    </row>
    <row r="117" spans="1:12">
      <c r="A117" s="375">
        <v>42207</v>
      </c>
      <c r="B117" s="379">
        <f t="shared" si="9"/>
        <v>114</v>
      </c>
      <c r="C117" s="28">
        <v>53.934755000000003</v>
      </c>
      <c r="D117" s="379">
        <f t="shared" si="5"/>
        <v>-1.1752268913260618E-2</v>
      </c>
      <c r="E117" s="39">
        <v>2114.1499020000001</v>
      </c>
      <c r="F117" s="379">
        <f t="shared" si="6"/>
        <v>-2.3905652122773076E-3</v>
      </c>
      <c r="G117" s="379">
        <f t="shared" si="7"/>
        <v>-1.1752268913260618E-2</v>
      </c>
      <c r="H117" s="379">
        <f t="shared" si="8"/>
        <v>-2.3905652122773076E-3</v>
      </c>
    </row>
    <row r="118" spans="1:12">
      <c r="A118" s="375">
        <v>42206</v>
      </c>
      <c r="B118" s="379">
        <f t="shared" si="9"/>
        <v>115</v>
      </c>
      <c r="C118" s="28">
        <v>54.57235</v>
      </c>
      <c r="D118" s="379">
        <f t="shared" si="5"/>
        <v>-1.415136614113976E-3</v>
      </c>
      <c r="E118" s="39">
        <v>2119.209961</v>
      </c>
      <c r="F118" s="379">
        <f t="shared" si="6"/>
        <v>-4.2707960737403163E-3</v>
      </c>
      <c r="G118" s="379">
        <f t="shared" si="7"/>
        <v>-1.415136614113976E-3</v>
      </c>
      <c r="H118" s="379">
        <f t="shared" si="8"/>
        <v>-4.2707960737403163E-3</v>
      </c>
    </row>
    <row r="119" spans="1:12">
      <c r="A119" s="375">
        <v>42205</v>
      </c>
      <c r="B119" s="379">
        <f t="shared" si="9"/>
        <v>116</v>
      </c>
      <c r="C119" s="28">
        <v>54.649631999999997</v>
      </c>
      <c r="D119" s="379">
        <f t="shared" si="5"/>
        <v>-1.107509729055324E-2</v>
      </c>
      <c r="E119" s="39">
        <v>2128.280029</v>
      </c>
      <c r="F119" s="379">
        <f t="shared" si="6"/>
        <v>7.7093628613465076E-4</v>
      </c>
      <c r="G119" s="379">
        <f t="shared" si="7"/>
        <v>-1.107509729055324E-2</v>
      </c>
      <c r="H119" s="379">
        <f t="shared" si="8"/>
        <v>7.7093628613465076E-4</v>
      </c>
    </row>
    <row r="120" spans="1:12">
      <c r="A120" s="375">
        <v>42202</v>
      </c>
      <c r="B120" s="379">
        <f t="shared" si="9"/>
        <v>117</v>
      </c>
      <c r="C120" s="28">
        <v>55.258246</v>
      </c>
      <c r="D120" s="379">
        <f t="shared" si="5"/>
        <v>-1.3026672493001818E-2</v>
      </c>
      <c r="E120" s="39">
        <v>2126.639893</v>
      </c>
      <c r="F120" s="379">
        <f t="shared" si="6"/>
        <v>1.1055718522485251E-3</v>
      </c>
      <c r="G120" s="379">
        <f t="shared" si="7"/>
        <v>-1.3026672493001818E-2</v>
      </c>
      <c r="H120" s="379">
        <f t="shared" si="8"/>
        <v>1.1055718522485251E-3</v>
      </c>
    </row>
    <row r="121" spans="1:12">
      <c r="A121" s="375">
        <v>42201</v>
      </c>
      <c r="B121" s="379">
        <f t="shared" si="9"/>
        <v>118</v>
      </c>
      <c r="C121" s="28">
        <v>55.982785999999997</v>
      </c>
      <c r="D121" s="379">
        <f t="shared" si="5"/>
        <v>-8.077691225359793E-3</v>
      </c>
      <c r="E121" s="39">
        <v>2124.290039</v>
      </c>
      <c r="F121" s="379">
        <f t="shared" si="6"/>
        <v>7.9827335781697557E-3</v>
      </c>
      <c r="G121" s="379">
        <f t="shared" si="7"/>
        <v>-8.077691225359793E-3</v>
      </c>
      <c r="H121" s="379">
        <f t="shared" si="8"/>
        <v>7.9827335781697557E-3</v>
      </c>
    </row>
    <row r="122" spans="1:12">
      <c r="A122" s="375">
        <v>42200</v>
      </c>
      <c r="B122" s="379">
        <f t="shared" si="9"/>
        <v>119</v>
      </c>
      <c r="C122" s="28">
        <v>56.436829000000003</v>
      </c>
      <c r="D122" s="379">
        <f t="shared" si="5"/>
        <v>-1.8822106341147626E-2</v>
      </c>
      <c r="E122" s="39">
        <v>2107.3999020000001</v>
      </c>
      <c r="F122" s="379">
        <f t="shared" si="6"/>
        <v>-7.35256382355035E-4</v>
      </c>
      <c r="G122" s="379">
        <f t="shared" si="7"/>
        <v>-1.8822106341147626E-2</v>
      </c>
      <c r="H122" s="379">
        <f t="shared" si="8"/>
        <v>-7.35256382355035E-4</v>
      </c>
    </row>
    <row r="123" spans="1:12">
      <c r="A123" s="375">
        <v>42199</v>
      </c>
      <c r="B123" s="379">
        <f t="shared" si="9"/>
        <v>120</v>
      </c>
      <c r="C123" s="28">
        <v>57.509149000000001</v>
      </c>
      <c r="D123" s="379">
        <f t="shared" si="5"/>
        <v>1.0130071800349631E-2</v>
      </c>
      <c r="E123" s="39">
        <v>2108.9499510000001</v>
      </c>
      <c r="F123" s="379">
        <f t="shared" si="6"/>
        <v>4.4432729912807552E-3</v>
      </c>
      <c r="G123" s="379">
        <f t="shared" si="7"/>
        <v>1.0130071800349631E-2</v>
      </c>
      <c r="H123" s="379">
        <f t="shared" si="8"/>
        <v>4.4432729912807552E-3</v>
      </c>
    </row>
    <row r="124" spans="1:12">
      <c r="A124" s="375">
        <v>42198</v>
      </c>
      <c r="B124" s="379">
        <f t="shared" si="9"/>
        <v>121</v>
      </c>
      <c r="C124" s="28">
        <v>56.929518000000002</v>
      </c>
      <c r="D124" s="379">
        <f t="shared" si="5"/>
        <v>-3.3881346175778011E-3</v>
      </c>
      <c r="E124" s="39">
        <v>2099.6000979999999</v>
      </c>
      <c r="F124" s="379">
        <f t="shared" si="6"/>
        <v>1.1005268761367724E-2</v>
      </c>
      <c r="G124" s="379">
        <f t="shared" si="7"/>
        <v>-3.3881346175778011E-3</v>
      </c>
      <c r="H124" s="379">
        <f t="shared" si="8"/>
        <v>1.1005268761367724E-2</v>
      </c>
    </row>
    <row r="125" spans="1:12">
      <c r="A125" s="375">
        <v>42195</v>
      </c>
      <c r="B125" s="379">
        <f t="shared" si="9"/>
        <v>122</v>
      </c>
      <c r="C125" s="28">
        <v>57.122729999999997</v>
      </c>
      <c r="D125" s="379">
        <f t="shared" si="5"/>
        <v>7.8099485529600473E-3</v>
      </c>
      <c r="E125" s="39">
        <v>2076.6201169999999</v>
      </c>
      <c r="F125" s="379">
        <f t="shared" si="6"/>
        <v>1.2262986096672604E-2</v>
      </c>
      <c r="G125" s="379">
        <f t="shared" si="7"/>
        <v>7.8099485529600473E-3</v>
      </c>
      <c r="H125" s="379">
        <f t="shared" si="8"/>
        <v>1.2262986096672604E-2</v>
      </c>
    </row>
    <row r="126" spans="1:12">
      <c r="A126" s="375">
        <v>42194</v>
      </c>
      <c r="B126" s="379">
        <f t="shared" si="9"/>
        <v>123</v>
      </c>
      <c r="C126" s="28">
        <v>56.678342000000001</v>
      </c>
      <c r="D126" s="379">
        <f t="shared" si="5"/>
        <v>5.2977550113725673E-3</v>
      </c>
      <c r="E126" s="39">
        <v>2051.3100589999999</v>
      </c>
      <c r="F126" s="379">
        <f t="shared" si="6"/>
        <v>2.259647701629263E-3</v>
      </c>
      <c r="G126" s="379">
        <f t="shared" si="7"/>
        <v>5.2977550113725673E-3</v>
      </c>
      <c r="H126" s="379">
        <f t="shared" si="8"/>
        <v>2.259647701629263E-3</v>
      </c>
    </row>
    <row r="127" spans="1:12">
      <c r="A127" s="375">
        <v>42193</v>
      </c>
      <c r="B127" s="379">
        <f t="shared" si="9"/>
        <v>124</v>
      </c>
      <c r="C127" s="28">
        <v>56.378867999999997</v>
      </c>
      <c r="D127" s="379">
        <f t="shared" si="5"/>
        <v>-2.1863447452531253E-2</v>
      </c>
      <c r="E127" s="39">
        <v>2046.6800539999999</v>
      </c>
      <c r="F127" s="379">
        <f t="shared" si="6"/>
        <v>-1.6792964823456991E-2</v>
      </c>
      <c r="G127" s="379">
        <f t="shared" si="7"/>
        <v>-2.1863447452531253E-2</v>
      </c>
      <c r="H127" s="379">
        <f t="shared" si="8"/>
        <v>-1.6792964823456991E-2</v>
      </c>
    </row>
    <row r="128" spans="1:12">
      <c r="A128" s="375">
        <v>42192</v>
      </c>
      <c r="B128" s="379">
        <f t="shared" si="9"/>
        <v>125</v>
      </c>
      <c r="C128" s="28">
        <v>57.625078000000002</v>
      </c>
      <c r="D128" s="379">
        <f t="shared" si="5"/>
        <v>9.9402821537007222E-3</v>
      </c>
      <c r="E128" s="39">
        <v>2081.3400879999999</v>
      </c>
      <c r="F128" s="379">
        <f t="shared" si="6"/>
        <v>6.0625605331265549E-3</v>
      </c>
      <c r="G128" s="379">
        <f t="shared" si="7"/>
        <v>9.9402821537007222E-3</v>
      </c>
      <c r="H128" s="379">
        <f t="shared" si="8"/>
        <v>6.0625605331265549E-3</v>
      </c>
    </row>
    <row r="129" spans="1:8">
      <c r="A129" s="375">
        <v>42191</v>
      </c>
      <c r="B129" s="379">
        <f t="shared" si="9"/>
        <v>126</v>
      </c>
      <c r="C129" s="28">
        <v>57.055106000000002</v>
      </c>
      <c r="D129" s="379">
        <f t="shared" si="5"/>
        <v>-2.4419999415751265E-2</v>
      </c>
      <c r="E129" s="39">
        <v>2068.76001</v>
      </c>
      <c r="F129" s="379">
        <f t="shared" si="6"/>
        <v>-3.8692324426552824E-3</v>
      </c>
      <c r="G129" s="379">
        <f t="shared" si="7"/>
        <v>-2.4419999415751265E-2</v>
      </c>
      <c r="H129" s="379">
        <f t="shared" si="8"/>
        <v>-3.8692324426552824E-3</v>
      </c>
    </row>
    <row r="130" spans="1:8">
      <c r="A130" s="375">
        <v>42187</v>
      </c>
      <c r="B130" s="379">
        <f t="shared" si="9"/>
        <v>127</v>
      </c>
      <c r="C130" s="28">
        <v>58.465542999999997</v>
      </c>
      <c r="D130" s="379">
        <f t="shared" si="5"/>
        <v>8.1294845054913217E-3</v>
      </c>
      <c r="E130" s="39">
        <v>2076.780029</v>
      </c>
      <c r="F130" s="379">
        <f t="shared" si="6"/>
        <v>-3.0807039266700365E-4</v>
      </c>
      <c r="G130" s="379">
        <f t="shared" si="7"/>
        <v>8.1294845054913217E-3</v>
      </c>
      <c r="H130" s="379">
        <f t="shared" si="8"/>
        <v>-3.0807039266700365E-4</v>
      </c>
    </row>
    <row r="131" spans="1:8">
      <c r="A131" s="375">
        <v>42186</v>
      </c>
      <c r="B131" s="379">
        <f t="shared" si="9"/>
        <v>128</v>
      </c>
      <c r="C131" s="28">
        <v>57.992175000000003</v>
      </c>
      <c r="D131" s="379">
        <f t="shared" si="5"/>
        <v>-2.272827723373862E-2</v>
      </c>
      <c r="E131" s="39">
        <v>2077.419922</v>
      </c>
      <c r="F131" s="379">
        <f t="shared" si="6"/>
        <v>6.9120966992928731E-3</v>
      </c>
      <c r="G131" s="379">
        <f t="shared" si="7"/>
        <v>-2.272827723373862E-2</v>
      </c>
      <c r="H131" s="379">
        <f t="shared" si="8"/>
        <v>6.9120966992928731E-3</v>
      </c>
    </row>
    <row r="132" spans="1:8">
      <c r="A132" s="375">
        <v>42185</v>
      </c>
      <c r="B132" s="379">
        <f t="shared" si="9"/>
        <v>129</v>
      </c>
      <c r="C132" s="28">
        <v>59.325330000000001</v>
      </c>
      <c r="D132" s="379">
        <f t="shared" ref="D132:D195" si="10">LN(C132/C133)</f>
        <v>6.5349320300898232E-3</v>
      </c>
      <c r="E132" s="39">
        <v>2063.110107</v>
      </c>
      <c r="F132" s="379">
        <f t="shared" ref="F132:F195" si="11">LN(E132/E133)</f>
        <v>2.6549619429538794E-3</v>
      </c>
      <c r="G132" s="379">
        <f t="shared" ref="G132:G195" si="12">IF(B132&lt;$D$1+1,D132,0)</f>
        <v>6.5349320300898232E-3</v>
      </c>
      <c r="H132" s="379">
        <f t="shared" ref="H132:H195" si="13">IF(B132&lt;$D$1+1,F132,0)</f>
        <v>2.6549619429538794E-3</v>
      </c>
    </row>
    <row r="133" spans="1:8">
      <c r="A133" s="375">
        <v>42184</v>
      </c>
      <c r="B133" s="379">
        <f t="shared" si="9"/>
        <v>130</v>
      </c>
      <c r="C133" s="28">
        <v>58.938907</v>
      </c>
      <c r="D133" s="379">
        <f t="shared" si="10"/>
        <v>-1.8995648294991833E-2</v>
      </c>
      <c r="E133" s="39">
        <v>2057.639893</v>
      </c>
      <c r="F133" s="379">
        <f t="shared" si="11"/>
        <v>-2.1086969192055022E-2</v>
      </c>
      <c r="G133" s="379">
        <f t="shared" si="12"/>
        <v>-1.8995648294991833E-2</v>
      </c>
      <c r="H133" s="379">
        <f t="shared" si="13"/>
        <v>-2.1086969192055022E-2</v>
      </c>
    </row>
    <row r="134" spans="1:8">
      <c r="A134" s="375">
        <v>42181</v>
      </c>
      <c r="B134" s="379">
        <f t="shared" ref="B134:B197" si="14">B133+1</f>
        <v>131</v>
      </c>
      <c r="C134" s="28">
        <v>60.069191000000004</v>
      </c>
      <c r="D134" s="379">
        <f t="shared" si="10"/>
        <v>-6.4310131377979976E-4</v>
      </c>
      <c r="E134" s="39">
        <v>2101.48999</v>
      </c>
      <c r="F134" s="379">
        <f t="shared" si="11"/>
        <v>-3.9015604969013028E-4</v>
      </c>
      <c r="G134" s="379">
        <f t="shared" si="12"/>
        <v>-6.4310131377979976E-4</v>
      </c>
      <c r="H134" s="379">
        <f t="shared" si="13"/>
        <v>-3.9015604969013028E-4</v>
      </c>
    </row>
    <row r="135" spans="1:8">
      <c r="A135" s="375">
        <v>42180</v>
      </c>
      <c r="B135" s="379">
        <f t="shared" si="14"/>
        <v>132</v>
      </c>
      <c r="C135" s="28">
        <v>60.107833999999997</v>
      </c>
      <c r="D135" s="379">
        <f t="shared" si="10"/>
        <v>-9.756183344508975E-3</v>
      </c>
      <c r="E135" s="39">
        <v>2102.3100589999999</v>
      </c>
      <c r="F135" s="379">
        <f t="shared" si="11"/>
        <v>-2.9780039040750291E-3</v>
      </c>
      <c r="G135" s="379">
        <f t="shared" si="12"/>
        <v>-9.756183344508975E-3</v>
      </c>
      <c r="H135" s="379">
        <f t="shared" si="13"/>
        <v>-2.9780039040750291E-3</v>
      </c>
    </row>
    <row r="136" spans="1:8">
      <c r="A136" s="375">
        <v>42179</v>
      </c>
      <c r="B136" s="379">
        <f t="shared" si="14"/>
        <v>133</v>
      </c>
      <c r="C136" s="28">
        <v>60.697127000000002</v>
      </c>
      <c r="D136" s="379">
        <f t="shared" si="10"/>
        <v>-5.3967874999544937E-3</v>
      </c>
      <c r="E136" s="39">
        <v>2108.580078</v>
      </c>
      <c r="F136" s="379">
        <f t="shared" si="11"/>
        <v>-7.3804656966740398E-3</v>
      </c>
      <c r="G136" s="379">
        <f t="shared" si="12"/>
        <v>-5.3967874999544937E-3</v>
      </c>
      <c r="H136" s="379">
        <f t="shared" si="13"/>
        <v>-7.3804656966740398E-3</v>
      </c>
    </row>
    <row r="137" spans="1:8">
      <c r="A137" s="375">
        <v>42178</v>
      </c>
      <c r="B137" s="379">
        <f t="shared" si="14"/>
        <v>134</v>
      </c>
      <c r="C137" s="28">
        <v>61.025582</v>
      </c>
      <c r="D137" s="379">
        <f t="shared" si="10"/>
        <v>9.3837104192662189E-3</v>
      </c>
      <c r="E137" s="39">
        <v>2124.1999510000001</v>
      </c>
      <c r="F137" s="379">
        <f t="shared" si="11"/>
        <v>6.356661823521784E-4</v>
      </c>
      <c r="G137" s="379">
        <f t="shared" si="12"/>
        <v>9.3837104192662189E-3</v>
      </c>
      <c r="H137" s="379">
        <f t="shared" si="13"/>
        <v>6.356661823521784E-4</v>
      </c>
    </row>
    <row r="138" spans="1:8">
      <c r="A138" s="375">
        <v>42177</v>
      </c>
      <c r="B138" s="379">
        <f t="shared" si="14"/>
        <v>135</v>
      </c>
      <c r="C138" s="28">
        <v>60.455613999999997</v>
      </c>
      <c r="D138" s="379">
        <f t="shared" si="10"/>
        <v>3.6821117133695376E-3</v>
      </c>
      <c r="E138" s="39">
        <v>2122.8500979999999</v>
      </c>
      <c r="F138" s="379">
        <f t="shared" si="11"/>
        <v>6.0763682545493542E-3</v>
      </c>
      <c r="G138" s="379">
        <f t="shared" si="12"/>
        <v>3.6821117133695376E-3</v>
      </c>
      <c r="H138" s="379">
        <f t="shared" si="13"/>
        <v>6.0763682545493542E-3</v>
      </c>
    </row>
    <row r="139" spans="1:8">
      <c r="A139" s="375">
        <v>42174</v>
      </c>
      <c r="B139" s="379">
        <f t="shared" si="14"/>
        <v>136</v>
      </c>
      <c r="C139" s="28">
        <v>60.233418999999998</v>
      </c>
      <c r="D139" s="379">
        <f t="shared" si="10"/>
        <v>-9.2593439275579573E-3</v>
      </c>
      <c r="E139" s="39">
        <v>2109.98999</v>
      </c>
      <c r="F139" s="379">
        <f t="shared" si="11"/>
        <v>-5.3176152385387195E-3</v>
      </c>
      <c r="G139" s="379">
        <f t="shared" si="12"/>
        <v>-9.2593439275579573E-3</v>
      </c>
      <c r="H139" s="379">
        <f t="shared" si="13"/>
        <v>-5.3176152385387195E-3</v>
      </c>
    </row>
    <row r="140" spans="1:8">
      <c r="A140" s="375">
        <v>42173</v>
      </c>
      <c r="B140" s="379">
        <f t="shared" si="14"/>
        <v>137</v>
      </c>
      <c r="C140" s="28">
        <v>60.793731000000001</v>
      </c>
      <c r="D140" s="379">
        <f t="shared" si="10"/>
        <v>-2.5392887203418073E-3</v>
      </c>
      <c r="E140" s="39">
        <v>2121.23999</v>
      </c>
      <c r="F140" s="379">
        <f t="shared" si="11"/>
        <v>9.8540001369309162E-3</v>
      </c>
      <c r="G140" s="379">
        <f t="shared" si="12"/>
        <v>-2.5392887203418073E-3</v>
      </c>
      <c r="H140" s="379">
        <f t="shared" si="13"/>
        <v>9.8540001369309162E-3</v>
      </c>
    </row>
    <row r="141" spans="1:8">
      <c r="A141" s="375">
        <v>42172</v>
      </c>
      <c r="B141" s="379">
        <f t="shared" si="14"/>
        <v>138</v>
      </c>
      <c r="C141" s="28">
        <v>60.948300000000003</v>
      </c>
      <c r="D141" s="379">
        <f t="shared" si="10"/>
        <v>-5.3746555093146069E-3</v>
      </c>
      <c r="E141" s="39">
        <v>2100.4399410000001</v>
      </c>
      <c r="F141" s="379">
        <f t="shared" si="11"/>
        <v>1.9776842314756056E-3</v>
      </c>
      <c r="G141" s="379">
        <f t="shared" si="12"/>
        <v>-5.3746555093146069E-3</v>
      </c>
      <c r="H141" s="379">
        <f t="shared" si="13"/>
        <v>1.9776842314756056E-3</v>
      </c>
    </row>
    <row r="142" spans="1:8">
      <c r="A142" s="375">
        <v>42171</v>
      </c>
      <c r="B142" s="379">
        <f t="shared" si="14"/>
        <v>139</v>
      </c>
      <c r="C142" s="28">
        <v>61.276758000000001</v>
      </c>
      <c r="D142" s="379">
        <f t="shared" si="10"/>
        <v>2.5256603255873868E-3</v>
      </c>
      <c r="E142" s="39">
        <v>2096.290039</v>
      </c>
      <c r="F142" s="379">
        <f t="shared" si="11"/>
        <v>5.6737303135299989E-3</v>
      </c>
      <c r="G142" s="379">
        <f t="shared" si="12"/>
        <v>2.5256603255873868E-3</v>
      </c>
      <c r="H142" s="379">
        <f t="shared" si="13"/>
        <v>5.6737303135299989E-3</v>
      </c>
    </row>
    <row r="143" spans="1:8">
      <c r="A143" s="375">
        <v>42170</v>
      </c>
      <c r="B143" s="379">
        <f t="shared" si="14"/>
        <v>140</v>
      </c>
      <c r="C143" s="28">
        <v>61.122188999999999</v>
      </c>
      <c r="D143" s="379">
        <f t="shared" si="10"/>
        <v>-3.7860616520293427E-3</v>
      </c>
      <c r="E143" s="39">
        <v>2084.429932</v>
      </c>
      <c r="F143" s="379">
        <f t="shared" si="11"/>
        <v>-4.6332892479042445E-3</v>
      </c>
      <c r="G143" s="379">
        <f t="shared" si="12"/>
        <v>-3.7860616520293427E-3</v>
      </c>
      <c r="H143" s="379">
        <f t="shared" si="13"/>
        <v>-4.6332892479042445E-3</v>
      </c>
    </row>
    <row r="144" spans="1:8">
      <c r="A144" s="375">
        <v>42167</v>
      </c>
      <c r="B144" s="379">
        <f t="shared" si="14"/>
        <v>141</v>
      </c>
      <c r="C144" s="28">
        <v>61.354039999999998</v>
      </c>
      <c r="D144" s="379">
        <f t="shared" si="10"/>
        <v>-8.1543549799241912E-3</v>
      </c>
      <c r="E144" s="39">
        <v>2094.110107</v>
      </c>
      <c r="F144" s="379">
        <f t="shared" si="11"/>
        <v>-7.0188746545117725E-3</v>
      </c>
      <c r="G144" s="379">
        <f t="shared" si="12"/>
        <v>-8.1543549799241912E-3</v>
      </c>
      <c r="H144" s="379">
        <f t="shared" si="13"/>
        <v>-7.0188746545117725E-3</v>
      </c>
    </row>
    <row r="145" spans="1:8">
      <c r="A145" s="375">
        <v>42166</v>
      </c>
      <c r="B145" s="379">
        <f t="shared" si="14"/>
        <v>142</v>
      </c>
      <c r="C145" s="28">
        <v>61.856388000000003</v>
      </c>
      <c r="D145" s="379">
        <f t="shared" si="10"/>
        <v>1.5621272104190224E-4</v>
      </c>
      <c r="E145" s="39">
        <v>2108.860107</v>
      </c>
      <c r="F145" s="379">
        <f t="shared" si="11"/>
        <v>1.7371166381222091E-3</v>
      </c>
      <c r="G145" s="379">
        <f t="shared" si="12"/>
        <v>1.5621272104190224E-4</v>
      </c>
      <c r="H145" s="379">
        <f t="shared" si="13"/>
        <v>1.7371166381222091E-3</v>
      </c>
    </row>
    <row r="146" spans="1:8">
      <c r="A146" s="375">
        <v>42165</v>
      </c>
      <c r="B146" s="379">
        <f t="shared" si="14"/>
        <v>143</v>
      </c>
      <c r="C146" s="28">
        <v>61.846725999999997</v>
      </c>
      <c r="D146" s="379">
        <f t="shared" si="10"/>
        <v>1.5108813548816609E-2</v>
      </c>
      <c r="E146" s="39">
        <v>2105.1999510000001</v>
      </c>
      <c r="F146" s="379">
        <f t="shared" si="11"/>
        <v>1.1970491836123859E-2</v>
      </c>
      <c r="G146" s="379">
        <f t="shared" si="12"/>
        <v>1.5108813548816609E-2</v>
      </c>
      <c r="H146" s="379">
        <f t="shared" si="13"/>
        <v>1.1970491836123859E-2</v>
      </c>
    </row>
    <row r="147" spans="1:8">
      <c r="A147" s="375">
        <v>42164</v>
      </c>
      <c r="B147" s="379">
        <f t="shared" si="14"/>
        <v>144</v>
      </c>
      <c r="C147" s="28">
        <v>60.919319000000002</v>
      </c>
      <c r="D147" s="379">
        <f t="shared" si="10"/>
        <v>-5.8502699634923475E-3</v>
      </c>
      <c r="E147" s="39">
        <v>2080.1499020000001</v>
      </c>
      <c r="F147" s="379">
        <f t="shared" si="11"/>
        <v>4.1826549652815233E-4</v>
      </c>
      <c r="G147" s="379">
        <f t="shared" si="12"/>
        <v>-5.8502699634923475E-3</v>
      </c>
      <c r="H147" s="379">
        <f t="shared" si="13"/>
        <v>4.1826549652815233E-4</v>
      </c>
    </row>
    <row r="148" spans="1:8">
      <c r="A148" s="375">
        <v>42163</v>
      </c>
      <c r="B148" s="379">
        <f t="shared" si="14"/>
        <v>145</v>
      </c>
      <c r="C148" s="28">
        <v>61.276758000000001</v>
      </c>
      <c r="D148" s="379">
        <f t="shared" si="10"/>
        <v>6.1674774579657176E-3</v>
      </c>
      <c r="E148" s="39">
        <v>2079.280029</v>
      </c>
      <c r="F148" s="379">
        <f t="shared" si="11"/>
        <v>-6.4955604213555807E-3</v>
      </c>
      <c r="G148" s="379">
        <f t="shared" si="12"/>
        <v>6.1674774579657176E-3</v>
      </c>
      <c r="H148" s="379">
        <f t="shared" si="13"/>
        <v>-6.4955604213555807E-3</v>
      </c>
    </row>
    <row r="149" spans="1:8">
      <c r="A149" s="375">
        <v>42160</v>
      </c>
      <c r="B149" s="379">
        <f t="shared" si="14"/>
        <v>146</v>
      </c>
      <c r="C149" s="28">
        <v>60.899997999999997</v>
      </c>
      <c r="D149" s="379">
        <f t="shared" si="10"/>
        <v>6.3473344119938406E-4</v>
      </c>
      <c r="E149" s="39">
        <v>2092.830078</v>
      </c>
      <c r="F149" s="379">
        <f t="shared" si="11"/>
        <v>-1.4372153446468713E-3</v>
      </c>
      <c r="G149" s="379">
        <f t="shared" si="12"/>
        <v>6.3473344119938406E-4</v>
      </c>
      <c r="H149" s="379">
        <f t="shared" si="13"/>
        <v>-1.4372153446468713E-3</v>
      </c>
    </row>
    <row r="150" spans="1:8">
      <c r="A150" s="375">
        <v>42159</v>
      </c>
      <c r="B150" s="379">
        <f t="shared" si="14"/>
        <v>147</v>
      </c>
      <c r="C150" s="28">
        <v>60.861355000000003</v>
      </c>
      <c r="D150" s="379">
        <f t="shared" si="10"/>
        <v>-1.2618437948089707E-2</v>
      </c>
      <c r="E150" s="39">
        <v>2095.8400879999999</v>
      </c>
      <c r="F150" s="379">
        <f t="shared" si="11"/>
        <v>-8.6605619929224897E-3</v>
      </c>
      <c r="G150" s="379">
        <f t="shared" si="12"/>
        <v>-1.2618437948089707E-2</v>
      </c>
      <c r="H150" s="379">
        <f t="shared" si="13"/>
        <v>-8.6605619929224897E-3</v>
      </c>
    </row>
    <row r="151" spans="1:8">
      <c r="A151" s="375">
        <v>42158</v>
      </c>
      <c r="B151" s="379">
        <f t="shared" si="14"/>
        <v>148</v>
      </c>
      <c r="C151" s="28">
        <v>61.634196000000003</v>
      </c>
      <c r="D151" s="379">
        <f t="shared" si="10"/>
        <v>-4.223055449840322E-3</v>
      </c>
      <c r="E151" s="39">
        <v>2114.070068</v>
      </c>
      <c r="F151" s="379">
        <f t="shared" si="11"/>
        <v>2.116629136818338E-3</v>
      </c>
      <c r="G151" s="379">
        <f t="shared" si="12"/>
        <v>-4.223055449840322E-3</v>
      </c>
      <c r="H151" s="379">
        <f t="shared" si="13"/>
        <v>2.116629136818338E-3</v>
      </c>
    </row>
    <row r="152" spans="1:8">
      <c r="A152" s="375">
        <v>42157</v>
      </c>
      <c r="B152" s="379">
        <f t="shared" si="14"/>
        <v>149</v>
      </c>
      <c r="C152" s="28">
        <v>61.895031000000003</v>
      </c>
      <c r="D152" s="379">
        <f t="shared" si="10"/>
        <v>7.2055207167492034E-3</v>
      </c>
      <c r="E152" s="39">
        <v>2109.6000979999999</v>
      </c>
      <c r="F152" s="379">
        <f t="shared" si="11"/>
        <v>-1.0091047804279632E-3</v>
      </c>
      <c r="G152" s="379">
        <f t="shared" si="12"/>
        <v>7.2055207167492034E-3</v>
      </c>
      <c r="H152" s="379">
        <f t="shared" si="13"/>
        <v>-1.0091047804279632E-3</v>
      </c>
    </row>
    <row r="153" spans="1:8">
      <c r="A153" s="375">
        <v>42156</v>
      </c>
      <c r="B153" s="379">
        <f t="shared" si="14"/>
        <v>150</v>
      </c>
      <c r="C153" s="28">
        <v>61.450648000000001</v>
      </c>
      <c r="D153" s="379">
        <f t="shared" si="10"/>
        <v>-1.0998390059304478E-3</v>
      </c>
      <c r="E153" s="39">
        <v>2111.7299800000001</v>
      </c>
      <c r="F153" s="379">
        <f t="shared" si="11"/>
        <v>2.0573430769848127E-3</v>
      </c>
      <c r="G153" s="379">
        <f t="shared" si="12"/>
        <v>-1.0998390059304478E-3</v>
      </c>
      <c r="H153" s="379">
        <f t="shared" si="13"/>
        <v>2.0573430769848127E-3</v>
      </c>
    </row>
    <row r="154" spans="1:8">
      <c r="A154" s="375">
        <v>42153</v>
      </c>
      <c r="B154" s="379">
        <f t="shared" si="14"/>
        <v>151</v>
      </c>
      <c r="C154" s="28">
        <v>61.518270999999999</v>
      </c>
      <c r="D154" s="379">
        <f t="shared" si="10"/>
        <v>-2.8226524756243851E-3</v>
      </c>
      <c r="E154" s="39">
        <v>2107.389893</v>
      </c>
      <c r="F154" s="379">
        <f t="shared" si="11"/>
        <v>-6.3385149544391154E-3</v>
      </c>
      <c r="G154" s="379">
        <f t="shared" si="12"/>
        <v>-2.8226524756243851E-3</v>
      </c>
      <c r="H154" s="379">
        <f t="shared" si="13"/>
        <v>-6.3385149544391154E-3</v>
      </c>
    </row>
    <row r="155" spans="1:8">
      <c r="A155" s="375">
        <v>42152</v>
      </c>
      <c r="B155" s="379">
        <f t="shared" si="14"/>
        <v>152</v>
      </c>
      <c r="C155" s="28">
        <v>61.692160999999999</v>
      </c>
      <c r="D155" s="379">
        <f t="shared" si="10"/>
        <v>6.2658054303271619E-4</v>
      </c>
      <c r="E155" s="39">
        <v>2120.790039</v>
      </c>
      <c r="F155" s="379">
        <f t="shared" si="11"/>
        <v>-1.2675637262110088E-3</v>
      </c>
      <c r="G155" s="379">
        <f t="shared" si="12"/>
        <v>6.2658054303271619E-4</v>
      </c>
      <c r="H155" s="379">
        <f t="shared" si="13"/>
        <v>-1.2675637262110088E-3</v>
      </c>
    </row>
    <row r="156" spans="1:8">
      <c r="A156" s="375">
        <v>42151</v>
      </c>
      <c r="B156" s="379">
        <f t="shared" si="14"/>
        <v>153</v>
      </c>
      <c r="C156" s="28">
        <v>61.653517999999998</v>
      </c>
      <c r="D156" s="379">
        <f t="shared" si="10"/>
        <v>-3.1333123961613328E-4</v>
      </c>
      <c r="E156" s="39">
        <v>2123.4799800000001</v>
      </c>
      <c r="F156" s="379">
        <f t="shared" si="11"/>
        <v>9.1209187900458677E-3</v>
      </c>
      <c r="G156" s="379">
        <f t="shared" si="12"/>
        <v>-3.1333123961613328E-4</v>
      </c>
      <c r="H156" s="379">
        <f t="shared" si="13"/>
        <v>9.1209187900458677E-3</v>
      </c>
    </row>
    <row r="157" spans="1:8">
      <c r="A157" s="375">
        <v>42150</v>
      </c>
      <c r="B157" s="379">
        <f t="shared" si="14"/>
        <v>154</v>
      </c>
      <c r="C157" s="28">
        <v>61.672839000000003</v>
      </c>
      <c r="D157" s="379">
        <f t="shared" si="10"/>
        <v>-1.9698216079472725E-2</v>
      </c>
      <c r="E157" s="39">
        <v>2104.1999510000001</v>
      </c>
      <c r="F157" s="379">
        <f t="shared" si="11"/>
        <v>-1.0335205180265266E-2</v>
      </c>
      <c r="G157" s="379">
        <f t="shared" si="12"/>
        <v>-1.9698216079472725E-2</v>
      </c>
      <c r="H157" s="379">
        <f t="shared" si="13"/>
        <v>-1.0335205180265266E-2</v>
      </c>
    </row>
    <row r="158" spans="1:8">
      <c r="A158" s="375">
        <v>42146</v>
      </c>
      <c r="B158" s="379">
        <f t="shared" si="14"/>
        <v>155</v>
      </c>
      <c r="C158" s="28">
        <v>62.899728000000003</v>
      </c>
      <c r="D158" s="379">
        <f t="shared" si="10"/>
        <v>-7.1926394163486923E-3</v>
      </c>
      <c r="E158" s="39">
        <v>2126.0600589999999</v>
      </c>
      <c r="F158" s="379">
        <f t="shared" si="11"/>
        <v>-2.2363847897467698E-3</v>
      </c>
      <c r="G158" s="379">
        <f t="shared" si="12"/>
        <v>-7.1926394163486923E-3</v>
      </c>
      <c r="H158" s="379">
        <f t="shared" si="13"/>
        <v>-2.2363847897467698E-3</v>
      </c>
    </row>
    <row r="159" spans="1:8">
      <c r="A159" s="375">
        <v>42145</v>
      </c>
      <c r="B159" s="379">
        <f t="shared" si="14"/>
        <v>156</v>
      </c>
      <c r="C159" s="28">
        <v>63.353774000000001</v>
      </c>
      <c r="D159" s="379">
        <f t="shared" si="10"/>
        <v>1.2273911639426125E-2</v>
      </c>
      <c r="E159" s="39">
        <v>2130.820068</v>
      </c>
      <c r="F159" s="379">
        <f t="shared" si="11"/>
        <v>2.3351455783891246E-3</v>
      </c>
      <c r="G159" s="379">
        <f t="shared" si="12"/>
        <v>1.2273911639426125E-2</v>
      </c>
      <c r="H159" s="379">
        <f t="shared" si="13"/>
        <v>2.3351455783891246E-3</v>
      </c>
    </row>
    <row r="160" spans="1:8">
      <c r="A160" s="375">
        <v>42144</v>
      </c>
      <c r="B160" s="379">
        <f t="shared" si="14"/>
        <v>157</v>
      </c>
      <c r="C160" s="28">
        <v>62.580928</v>
      </c>
      <c r="D160" s="379">
        <f t="shared" si="10"/>
        <v>6.0384796227905763E-3</v>
      </c>
      <c r="E160" s="39">
        <v>2125.8500979999999</v>
      </c>
      <c r="F160" s="379">
        <f t="shared" si="11"/>
        <v>-9.3094923034876148E-4</v>
      </c>
      <c r="G160" s="379">
        <f t="shared" si="12"/>
        <v>6.0384796227905763E-3</v>
      </c>
      <c r="H160" s="379">
        <f t="shared" si="13"/>
        <v>-9.3094923034876148E-4</v>
      </c>
    </row>
    <row r="161" spans="1:8">
      <c r="A161" s="375">
        <v>42143</v>
      </c>
      <c r="B161" s="379">
        <f t="shared" si="14"/>
        <v>158</v>
      </c>
      <c r="C161" s="28">
        <v>62.204172999999997</v>
      </c>
      <c r="D161" s="379">
        <f t="shared" si="10"/>
        <v>-1.4028867493696631E-2</v>
      </c>
      <c r="E161" s="39">
        <v>2127.830078</v>
      </c>
      <c r="F161" s="379">
        <f t="shared" si="11"/>
        <v>-6.4358157586455564E-4</v>
      </c>
      <c r="G161" s="379">
        <f t="shared" si="12"/>
        <v>-1.4028867493696631E-2</v>
      </c>
      <c r="H161" s="379">
        <f t="shared" si="13"/>
        <v>-6.4358157586455564E-4</v>
      </c>
    </row>
    <row r="162" spans="1:8">
      <c r="A162" s="375">
        <v>42142</v>
      </c>
      <c r="B162" s="379">
        <f t="shared" si="14"/>
        <v>159</v>
      </c>
      <c r="C162" s="28">
        <v>63.082977</v>
      </c>
      <c r="D162" s="379">
        <f t="shared" si="10"/>
        <v>4.2488579191174419E-3</v>
      </c>
      <c r="E162" s="39">
        <v>2129.1999510000001</v>
      </c>
      <c r="F162" s="379">
        <f t="shared" si="11"/>
        <v>3.0433126126717365E-3</v>
      </c>
      <c r="G162" s="379">
        <f t="shared" si="12"/>
        <v>4.2488579191174419E-3</v>
      </c>
      <c r="H162" s="379">
        <f t="shared" si="13"/>
        <v>3.0433126126717365E-3</v>
      </c>
    </row>
    <row r="163" spans="1:8">
      <c r="A163" s="375">
        <v>42139</v>
      </c>
      <c r="B163" s="379">
        <f t="shared" si="14"/>
        <v>160</v>
      </c>
      <c r="C163" s="28">
        <v>62.815514999999998</v>
      </c>
      <c r="D163" s="379">
        <f t="shared" si="10"/>
        <v>5.1837913477106338E-3</v>
      </c>
      <c r="E163" s="39">
        <v>2122.7299800000001</v>
      </c>
      <c r="F163" s="379">
        <f t="shared" si="11"/>
        <v>7.6811844498031457E-4</v>
      </c>
      <c r="G163" s="379">
        <f t="shared" si="12"/>
        <v>5.1837913477106338E-3</v>
      </c>
      <c r="H163" s="379">
        <f t="shared" si="13"/>
        <v>7.6811844498031457E-4</v>
      </c>
    </row>
    <row r="164" spans="1:8">
      <c r="A164" s="375">
        <v>42138</v>
      </c>
      <c r="B164" s="379">
        <f t="shared" si="14"/>
        <v>161</v>
      </c>
      <c r="C164" s="28">
        <v>62.490735000000001</v>
      </c>
      <c r="D164" s="379">
        <f t="shared" si="10"/>
        <v>4.5865314042475955E-4</v>
      </c>
      <c r="E164" s="39">
        <v>2121.1000979999999</v>
      </c>
      <c r="F164" s="379">
        <f t="shared" si="11"/>
        <v>1.0721604647198088E-2</v>
      </c>
      <c r="G164" s="379">
        <f t="shared" si="12"/>
        <v>4.5865314042475955E-4</v>
      </c>
      <c r="H164" s="379">
        <f t="shared" si="13"/>
        <v>1.0721604647198088E-2</v>
      </c>
    </row>
    <row r="165" spans="1:8">
      <c r="A165" s="375">
        <v>42137</v>
      </c>
      <c r="B165" s="379">
        <f t="shared" si="14"/>
        <v>162</v>
      </c>
      <c r="C165" s="28">
        <v>62.46208</v>
      </c>
      <c r="D165" s="379">
        <f t="shared" si="10"/>
        <v>-1.5294510525199392E-4</v>
      </c>
      <c r="E165" s="39">
        <v>2098.4799800000001</v>
      </c>
      <c r="F165" s="379">
        <f t="shared" si="11"/>
        <v>-3.0500142470446046E-4</v>
      </c>
      <c r="G165" s="379">
        <f t="shared" si="12"/>
        <v>-1.5294510525199392E-4</v>
      </c>
      <c r="H165" s="379">
        <f t="shared" si="13"/>
        <v>-3.0500142470446046E-4</v>
      </c>
    </row>
    <row r="166" spans="1:8">
      <c r="A166" s="375">
        <v>42136</v>
      </c>
      <c r="B166" s="379">
        <f t="shared" si="14"/>
        <v>163</v>
      </c>
      <c r="C166" s="28">
        <v>62.471634000000002</v>
      </c>
      <c r="D166" s="379">
        <f t="shared" si="10"/>
        <v>1.836582264116846E-3</v>
      </c>
      <c r="E166" s="39">
        <v>2099.1201169999999</v>
      </c>
      <c r="F166" s="379">
        <f t="shared" si="11"/>
        <v>-2.9539964693172764E-3</v>
      </c>
      <c r="G166" s="379">
        <f t="shared" si="12"/>
        <v>1.836582264116846E-3</v>
      </c>
      <c r="H166" s="379">
        <f t="shared" si="13"/>
        <v>-2.9539964693172764E-3</v>
      </c>
    </row>
    <row r="167" spans="1:8">
      <c r="A167" s="375">
        <v>42135</v>
      </c>
      <c r="B167" s="379">
        <f t="shared" si="14"/>
        <v>164</v>
      </c>
      <c r="C167" s="28">
        <v>62.357005000000001</v>
      </c>
      <c r="D167" s="379">
        <f t="shared" si="10"/>
        <v>-2.8540995422554994E-2</v>
      </c>
      <c r="E167" s="39">
        <v>2105.330078</v>
      </c>
      <c r="F167" s="379">
        <f t="shared" si="11"/>
        <v>-5.1025566779002406E-3</v>
      </c>
      <c r="G167" s="379">
        <f t="shared" si="12"/>
        <v>-2.8540995422554994E-2</v>
      </c>
      <c r="H167" s="379">
        <f t="shared" si="13"/>
        <v>-5.1025566779002406E-3</v>
      </c>
    </row>
    <row r="168" spans="1:8">
      <c r="A168" s="375">
        <v>42132</v>
      </c>
      <c r="B168" s="379">
        <f t="shared" si="14"/>
        <v>165</v>
      </c>
      <c r="C168" s="28">
        <v>64.162377000000006</v>
      </c>
      <c r="D168" s="379">
        <f t="shared" si="10"/>
        <v>8.2218229689310866E-3</v>
      </c>
      <c r="E168" s="39">
        <v>2116.1000979999999</v>
      </c>
      <c r="F168" s="379">
        <f t="shared" si="11"/>
        <v>1.3368148149806192E-2</v>
      </c>
      <c r="G168" s="379">
        <f t="shared" si="12"/>
        <v>8.2218229689310866E-3</v>
      </c>
      <c r="H168" s="379">
        <f t="shared" si="13"/>
        <v>1.3368148149806192E-2</v>
      </c>
    </row>
    <row r="169" spans="1:8">
      <c r="A169" s="375">
        <v>42131</v>
      </c>
      <c r="B169" s="379">
        <f t="shared" si="14"/>
        <v>166</v>
      </c>
      <c r="C169" s="28">
        <v>63.637008000000002</v>
      </c>
      <c r="D169" s="379">
        <f t="shared" si="10"/>
        <v>-9.1147514427510797E-3</v>
      </c>
      <c r="E169" s="39">
        <v>2088</v>
      </c>
      <c r="F169" s="379">
        <f t="shared" si="11"/>
        <v>3.7667106347277534E-3</v>
      </c>
      <c r="G169" s="379">
        <f t="shared" si="12"/>
        <v>-9.1147514427510797E-3</v>
      </c>
      <c r="H169" s="379">
        <f t="shared" si="13"/>
        <v>3.7667106347277534E-3</v>
      </c>
    </row>
    <row r="170" spans="1:8">
      <c r="A170" s="375">
        <v>42130</v>
      </c>
      <c r="B170" s="379">
        <f t="shared" si="14"/>
        <v>167</v>
      </c>
      <c r="C170" s="28">
        <v>64.219695000000002</v>
      </c>
      <c r="D170" s="379">
        <f t="shared" si="10"/>
        <v>4.4642688575433472E-4</v>
      </c>
      <c r="E170" s="39">
        <v>2080.1499020000001</v>
      </c>
      <c r="F170" s="379">
        <f t="shared" si="11"/>
        <v>-4.46568133609649E-3</v>
      </c>
      <c r="G170" s="379">
        <f t="shared" si="12"/>
        <v>4.4642688575433472E-4</v>
      </c>
      <c r="H170" s="379">
        <f t="shared" si="13"/>
        <v>-4.46568133609649E-3</v>
      </c>
    </row>
    <row r="171" spans="1:8">
      <c r="A171" s="375">
        <v>42129</v>
      </c>
      <c r="B171" s="379">
        <f t="shared" si="14"/>
        <v>168</v>
      </c>
      <c r="C171" s="28">
        <v>64.191032000000007</v>
      </c>
      <c r="D171" s="379">
        <f t="shared" si="10"/>
        <v>2.682161091706812E-3</v>
      </c>
      <c r="E171" s="39">
        <v>2089.459961</v>
      </c>
      <c r="F171" s="379">
        <f t="shared" si="11"/>
        <v>-1.1908003217775753E-2</v>
      </c>
      <c r="G171" s="379">
        <f t="shared" si="12"/>
        <v>2.682161091706812E-3</v>
      </c>
      <c r="H171" s="379">
        <f t="shared" si="13"/>
        <v>-1.1908003217775753E-2</v>
      </c>
    </row>
    <row r="172" spans="1:8">
      <c r="A172" s="375">
        <v>42128</v>
      </c>
      <c r="B172" s="379">
        <f t="shared" si="14"/>
        <v>169</v>
      </c>
      <c r="C172" s="28">
        <v>64.019092000000001</v>
      </c>
      <c r="D172" s="379">
        <f t="shared" si="10"/>
        <v>-6.2473097501788543E-3</v>
      </c>
      <c r="E172" s="39">
        <v>2114.48999</v>
      </c>
      <c r="F172" s="379">
        <f t="shared" si="11"/>
        <v>2.9364330665656102E-3</v>
      </c>
      <c r="G172" s="379">
        <f t="shared" si="12"/>
        <v>-6.2473097501788543E-3</v>
      </c>
      <c r="H172" s="379">
        <f t="shared" si="13"/>
        <v>2.9364330665656102E-3</v>
      </c>
    </row>
    <row r="173" spans="1:8">
      <c r="A173" s="375">
        <v>42125</v>
      </c>
      <c r="B173" s="379">
        <f t="shared" si="14"/>
        <v>170</v>
      </c>
      <c r="C173" s="28">
        <v>64.420291000000006</v>
      </c>
      <c r="D173" s="379">
        <f t="shared" si="10"/>
        <v>-7.0921757614661515E-3</v>
      </c>
      <c r="E173" s="39">
        <v>2108.290039</v>
      </c>
      <c r="F173" s="379">
        <f t="shared" si="11"/>
        <v>1.0863776421427699E-2</v>
      </c>
      <c r="G173" s="379">
        <f t="shared" si="12"/>
        <v>-7.0921757614661515E-3</v>
      </c>
      <c r="H173" s="379">
        <f t="shared" si="13"/>
        <v>1.0863776421427699E-2</v>
      </c>
    </row>
    <row r="174" spans="1:8">
      <c r="A174" s="375">
        <v>42124</v>
      </c>
      <c r="B174" s="379">
        <f t="shared" si="14"/>
        <v>171</v>
      </c>
      <c r="C174" s="28">
        <v>64.878794999999997</v>
      </c>
      <c r="D174" s="379">
        <f t="shared" si="10"/>
        <v>-2.0591067555611607E-3</v>
      </c>
      <c r="E174" s="39">
        <v>2085.51001</v>
      </c>
      <c r="F174" s="379">
        <f t="shared" si="11"/>
        <v>-1.0180553084023857E-2</v>
      </c>
      <c r="G174" s="379">
        <f t="shared" si="12"/>
        <v>-2.0591067555611607E-3</v>
      </c>
      <c r="H174" s="379">
        <f t="shared" si="13"/>
        <v>-1.0180553084023857E-2</v>
      </c>
    </row>
    <row r="175" spans="1:8">
      <c r="A175" s="375">
        <v>42123</v>
      </c>
      <c r="B175" s="379">
        <f t="shared" si="14"/>
        <v>172</v>
      </c>
      <c r="C175" s="28">
        <v>65.012524999999997</v>
      </c>
      <c r="D175" s="379">
        <f t="shared" si="10"/>
        <v>4.7128126594134269E-3</v>
      </c>
      <c r="E175" s="39">
        <v>2106.8500979999999</v>
      </c>
      <c r="F175" s="379">
        <f t="shared" si="11"/>
        <v>-3.7473480752430819E-3</v>
      </c>
      <c r="G175" s="379">
        <f t="shared" si="12"/>
        <v>4.7128126594134269E-3</v>
      </c>
      <c r="H175" s="379">
        <f t="shared" si="13"/>
        <v>-3.7473480752430819E-3</v>
      </c>
    </row>
    <row r="176" spans="1:8">
      <c r="A176" s="375">
        <v>42122</v>
      </c>
      <c r="B176" s="379">
        <f t="shared" si="14"/>
        <v>173</v>
      </c>
      <c r="C176" s="28">
        <v>64.706854000000007</v>
      </c>
      <c r="D176" s="379">
        <f t="shared" si="10"/>
        <v>1.008910445259377E-2</v>
      </c>
      <c r="E176" s="39">
        <v>2114.76001</v>
      </c>
      <c r="F176" s="379">
        <f t="shared" si="11"/>
        <v>2.7654044889026041E-3</v>
      </c>
      <c r="G176" s="379">
        <f t="shared" si="12"/>
        <v>1.008910445259377E-2</v>
      </c>
      <c r="H176" s="379">
        <f t="shared" si="13"/>
        <v>2.7654044889026041E-3</v>
      </c>
    </row>
    <row r="177" spans="1:8">
      <c r="A177" s="375">
        <v>42121</v>
      </c>
      <c r="B177" s="379">
        <f t="shared" si="14"/>
        <v>174</v>
      </c>
      <c r="C177" s="28">
        <v>64.057302000000007</v>
      </c>
      <c r="D177" s="379">
        <f t="shared" si="10"/>
        <v>-6.6880611678348002E-3</v>
      </c>
      <c r="E177" s="39">
        <v>2108.919922</v>
      </c>
      <c r="F177" s="379">
        <f t="shared" si="11"/>
        <v>-4.1499129896262112E-3</v>
      </c>
      <c r="G177" s="379">
        <f t="shared" si="12"/>
        <v>-6.6880611678348002E-3</v>
      </c>
      <c r="H177" s="379">
        <f t="shared" si="13"/>
        <v>-4.1499129896262112E-3</v>
      </c>
    </row>
    <row r="178" spans="1:8">
      <c r="A178" s="375">
        <v>42118</v>
      </c>
      <c r="B178" s="379">
        <f t="shared" si="14"/>
        <v>175</v>
      </c>
      <c r="C178" s="28">
        <v>64.487156999999996</v>
      </c>
      <c r="D178" s="379">
        <f t="shared" si="10"/>
        <v>-1.1048195684809428E-2</v>
      </c>
      <c r="E178" s="39">
        <v>2117.6899410000001</v>
      </c>
      <c r="F178" s="379">
        <f t="shared" si="11"/>
        <v>2.2502664628334234E-3</v>
      </c>
      <c r="G178" s="379">
        <f t="shared" si="12"/>
        <v>-1.1048195684809428E-2</v>
      </c>
      <c r="H178" s="379">
        <f t="shared" si="13"/>
        <v>2.2502664628334234E-3</v>
      </c>
    </row>
    <row r="179" spans="1:8">
      <c r="A179" s="375">
        <v>42117</v>
      </c>
      <c r="B179" s="379">
        <f t="shared" si="14"/>
        <v>176</v>
      </c>
      <c r="C179" s="28">
        <v>65.203574000000003</v>
      </c>
      <c r="D179" s="379">
        <f t="shared" si="10"/>
        <v>5.5825643458993499E-3</v>
      </c>
      <c r="E179" s="39">
        <v>2112.929932</v>
      </c>
      <c r="F179" s="379">
        <f t="shared" si="11"/>
        <v>2.3549409829866624E-3</v>
      </c>
      <c r="G179" s="379">
        <f t="shared" si="12"/>
        <v>5.5825643458993499E-3</v>
      </c>
      <c r="H179" s="379">
        <f t="shared" si="13"/>
        <v>2.3549409829866624E-3</v>
      </c>
    </row>
    <row r="180" spans="1:8">
      <c r="A180" s="375">
        <v>42116</v>
      </c>
      <c r="B180" s="379">
        <f t="shared" si="14"/>
        <v>177</v>
      </c>
      <c r="C180" s="28">
        <v>64.840585000000004</v>
      </c>
      <c r="D180" s="379">
        <f t="shared" si="10"/>
        <v>-2.0603343110369614E-3</v>
      </c>
      <c r="E180" s="39">
        <v>2107.959961</v>
      </c>
      <c r="F180" s="379">
        <f t="shared" si="11"/>
        <v>5.0745829128360466E-3</v>
      </c>
      <c r="G180" s="379">
        <f t="shared" si="12"/>
        <v>-2.0603343110369614E-3</v>
      </c>
      <c r="H180" s="379">
        <f t="shared" si="13"/>
        <v>5.0745829128360466E-3</v>
      </c>
    </row>
    <row r="181" spans="1:8">
      <c r="A181" s="375">
        <v>42115</v>
      </c>
      <c r="B181" s="379">
        <f t="shared" si="14"/>
        <v>178</v>
      </c>
      <c r="C181" s="28">
        <v>64.974316000000002</v>
      </c>
      <c r="D181" s="379">
        <f t="shared" si="10"/>
        <v>-8.6365631679762994E-3</v>
      </c>
      <c r="E181" s="39">
        <v>2097.290039</v>
      </c>
      <c r="F181" s="379">
        <f t="shared" si="11"/>
        <v>-1.4817023709090096E-3</v>
      </c>
      <c r="G181" s="379">
        <f t="shared" si="12"/>
        <v>-8.6365631679762994E-3</v>
      </c>
      <c r="H181" s="379">
        <f t="shared" si="13"/>
        <v>-1.4817023709090096E-3</v>
      </c>
    </row>
    <row r="182" spans="1:8">
      <c r="A182" s="375">
        <v>42114</v>
      </c>
      <c r="B182" s="379">
        <f t="shared" si="14"/>
        <v>179</v>
      </c>
      <c r="C182" s="28">
        <v>65.537901000000005</v>
      </c>
      <c r="D182" s="379">
        <f t="shared" si="10"/>
        <v>1.349980967178491E-2</v>
      </c>
      <c r="E182" s="39">
        <v>2100.3999020000001</v>
      </c>
      <c r="F182" s="379">
        <f t="shared" si="11"/>
        <v>9.1927482501988188E-3</v>
      </c>
      <c r="G182" s="379">
        <f t="shared" si="12"/>
        <v>1.349980967178491E-2</v>
      </c>
      <c r="H182" s="379">
        <f t="shared" si="13"/>
        <v>9.1927482501988188E-3</v>
      </c>
    </row>
    <row r="183" spans="1:8">
      <c r="A183" s="375">
        <v>42111</v>
      </c>
      <c r="B183" s="379">
        <f t="shared" si="14"/>
        <v>180</v>
      </c>
      <c r="C183" s="28">
        <v>64.659097000000003</v>
      </c>
      <c r="D183" s="379">
        <f t="shared" si="10"/>
        <v>-1.9312957399468263E-2</v>
      </c>
      <c r="E183" s="39">
        <v>2081.179932</v>
      </c>
      <c r="F183" s="379">
        <f t="shared" si="11"/>
        <v>-1.1375703905032222E-2</v>
      </c>
      <c r="G183" s="379">
        <f t="shared" si="12"/>
        <v>-1.9312957399468263E-2</v>
      </c>
      <c r="H183" s="379">
        <f t="shared" si="13"/>
        <v>-1.1375703905032222E-2</v>
      </c>
    </row>
    <row r="184" spans="1:8">
      <c r="A184" s="375">
        <v>42110</v>
      </c>
      <c r="B184" s="379">
        <f t="shared" si="14"/>
        <v>181</v>
      </c>
      <c r="C184" s="28">
        <v>65.919991999999993</v>
      </c>
      <c r="D184" s="379">
        <f t="shared" si="10"/>
        <v>-5.6354418342119544E-3</v>
      </c>
      <c r="E184" s="39">
        <v>2104.98999</v>
      </c>
      <c r="F184" s="379">
        <f t="shared" si="11"/>
        <v>-7.7874695833246642E-4</v>
      </c>
      <c r="G184" s="379">
        <f t="shared" si="12"/>
        <v>-5.6354418342119544E-3</v>
      </c>
      <c r="H184" s="379">
        <f t="shared" si="13"/>
        <v>-7.7874695833246642E-4</v>
      </c>
    </row>
    <row r="185" spans="1:8">
      <c r="A185" s="375">
        <v>42109</v>
      </c>
      <c r="B185" s="379">
        <f t="shared" si="14"/>
        <v>182</v>
      </c>
      <c r="C185" s="28">
        <v>66.292529000000002</v>
      </c>
      <c r="D185" s="379">
        <f t="shared" si="10"/>
        <v>1.5099029001642244E-2</v>
      </c>
      <c r="E185" s="39">
        <v>2106.6298830000001</v>
      </c>
      <c r="F185" s="379">
        <f t="shared" si="11"/>
        <v>5.134989081813774E-3</v>
      </c>
      <c r="G185" s="379">
        <f t="shared" si="12"/>
        <v>1.5099029001642244E-2</v>
      </c>
      <c r="H185" s="379">
        <f t="shared" si="13"/>
        <v>5.134989081813774E-3</v>
      </c>
    </row>
    <row r="186" spans="1:8">
      <c r="A186" s="375">
        <v>42108</v>
      </c>
      <c r="B186" s="379">
        <f t="shared" si="14"/>
        <v>183</v>
      </c>
      <c r="C186" s="28">
        <v>65.299094999999994</v>
      </c>
      <c r="D186" s="379">
        <f t="shared" si="10"/>
        <v>2.9994888501269992E-2</v>
      </c>
      <c r="E186" s="39">
        <v>2095.8400879999999</v>
      </c>
      <c r="F186" s="379">
        <f t="shared" si="11"/>
        <v>1.6284321389502543E-3</v>
      </c>
      <c r="G186" s="379">
        <f t="shared" si="12"/>
        <v>2.9994888501269992E-2</v>
      </c>
      <c r="H186" s="379">
        <f t="shared" si="13"/>
        <v>1.6284321389502543E-3</v>
      </c>
    </row>
    <row r="187" spans="1:8">
      <c r="A187" s="375">
        <v>42107</v>
      </c>
      <c r="B187" s="379">
        <f t="shared" si="14"/>
        <v>184</v>
      </c>
      <c r="C187" s="28">
        <v>63.369539000000003</v>
      </c>
      <c r="D187" s="379">
        <f t="shared" si="10"/>
        <v>-2.8599795828412535E-3</v>
      </c>
      <c r="E187" s="39">
        <v>2092.429932</v>
      </c>
      <c r="F187" s="379">
        <f t="shared" si="11"/>
        <v>-4.5918068424737933E-3</v>
      </c>
      <c r="G187" s="379">
        <f t="shared" si="12"/>
        <v>-2.8599795828412535E-3</v>
      </c>
      <c r="H187" s="379">
        <f t="shared" si="13"/>
        <v>-4.5918068424737933E-3</v>
      </c>
    </row>
    <row r="188" spans="1:8">
      <c r="A188" s="375">
        <v>42104</v>
      </c>
      <c r="B188" s="379">
        <f t="shared" si="14"/>
        <v>185</v>
      </c>
      <c r="C188" s="28">
        <v>63.551034000000001</v>
      </c>
      <c r="D188" s="379">
        <f t="shared" si="10"/>
        <v>-7.0396745785354185E-3</v>
      </c>
      <c r="E188" s="39">
        <v>2102.0600589999999</v>
      </c>
      <c r="F188" s="379">
        <f t="shared" si="11"/>
        <v>5.1893769208662789E-3</v>
      </c>
      <c r="G188" s="379">
        <f t="shared" si="12"/>
        <v>-7.0396745785354185E-3</v>
      </c>
      <c r="H188" s="379">
        <f t="shared" si="13"/>
        <v>5.1893769208662789E-3</v>
      </c>
    </row>
    <row r="189" spans="1:8">
      <c r="A189" s="375">
        <v>42103</v>
      </c>
      <c r="B189" s="379">
        <f t="shared" si="14"/>
        <v>186</v>
      </c>
      <c r="C189" s="28">
        <v>63.999991000000001</v>
      </c>
      <c r="D189" s="379">
        <f t="shared" si="10"/>
        <v>3.3232755340390531E-2</v>
      </c>
      <c r="E189" s="39">
        <v>2091.179932</v>
      </c>
      <c r="F189" s="379">
        <f t="shared" si="11"/>
        <v>4.4475762105921478E-3</v>
      </c>
      <c r="G189" s="379">
        <f t="shared" si="12"/>
        <v>3.3232755340390531E-2</v>
      </c>
      <c r="H189" s="379">
        <f t="shared" si="13"/>
        <v>4.4475762105921478E-3</v>
      </c>
    </row>
    <row r="190" spans="1:8">
      <c r="A190" s="375">
        <v>42102</v>
      </c>
      <c r="B190" s="379">
        <f t="shared" si="14"/>
        <v>187</v>
      </c>
      <c r="C190" s="28">
        <v>61.908048000000001</v>
      </c>
      <c r="D190" s="379">
        <f t="shared" si="10"/>
        <v>-1.5007998710864254E-2</v>
      </c>
      <c r="E190" s="39">
        <v>2081.8999020000001</v>
      </c>
      <c r="F190" s="379">
        <f t="shared" si="11"/>
        <v>2.6789414524361062E-3</v>
      </c>
      <c r="G190" s="379">
        <f t="shared" si="12"/>
        <v>-1.5007998710864254E-2</v>
      </c>
      <c r="H190" s="379">
        <f t="shared" si="13"/>
        <v>2.6789414524361062E-3</v>
      </c>
    </row>
    <row r="191" spans="1:8">
      <c r="A191" s="375">
        <v>42101</v>
      </c>
      <c r="B191" s="379">
        <f t="shared" si="14"/>
        <v>188</v>
      </c>
      <c r="C191" s="28">
        <v>62.844171000000003</v>
      </c>
      <c r="D191" s="379">
        <f t="shared" si="10"/>
        <v>6.0985334918394639E-3</v>
      </c>
      <c r="E191" s="39">
        <v>2076.330078</v>
      </c>
      <c r="F191" s="379">
        <f t="shared" si="11"/>
        <v>-2.0640326786721432E-3</v>
      </c>
      <c r="G191" s="379">
        <f t="shared" si="12"/>
        <v>6.0985334918394639E-3</v>
      </c>
      <c r="H191" s="379">
        <f t="shared" si="13"/>
        <v>-2.0640326786721432E-3</v>
      </c>
    </row>
    <row r="192" spans="1:8">
      <c r="A192" s="375">
        <v>42100</v>
      </c>
      <c r="B192" s="379">
        <f t="shared" si="14"/>
        <v>189</v>
      </c>
      <c r="C192" s="28">
        <v>62.46208</v>
      </c>
      <c r="D192" s="379">
        <f t="shared" si="10"/>
        <v>3.438153868851565E-2</v>
      </c>
      <c r="E192" s="39">
        <v>2080.6201169999999</v>
      </c>
      <c r="F192" s="379">
        <f t="shared" si="11"/>
        <v>6.5870725268106249E-3</v>
      </c>
      <c r="G192" s="379">
        <f t="shared" si="12"/>
        <v>3.438153868851565E-2</v>
      </c>
      <c r="H192" s="379">
        <f t="shared" si="13"/>
        <v>6.5870725268106249E-3</v>
      </c>
    </row>
    <row r="193" spans="1:8">
      <c r="A193" s="375">
        <v>42096</v>
      </c>
      <c r="B193" s="379">
        <f t="shared" si="14"/>
        <v>190</v>
      </c>
      <c r="C193" s="28">
        <v>60.351036000000001</v>
      </c>
      <c r="D193" s="379">
        <f t="shared" si="10"/>
        <v>2.5356623892549605E-3</v>
      </c>
      <c r="E193" s="39">
        <v>2066.959961</v>
      </c>
      <c r="F193" s="379">
        <f t="shared" si="11"/>
        <v>3.5234525311901902E-3</v>
      </c>
      <c r="G193" s="379">
        <f t="shared" si="12"/>
        <v>2.5356623892549605E-3</v>
      </c>
      <c r="H193" s="379">
        <f t="shared" si="13"/>
        <v>3.5234525311901902E-3</v>
      </c>
    </row>
    <row r="194" spans="1:8">
      <c r="A194" s="375">
        <v>42095</v>
      </c>
      <c r="B194" s="379">
        <f t="shared" si="14"/>
        <v>191</v>
      </c>
      <c r="C194" s="28">
        <v>60.1982</v>
      </c>
      <c r="D194" s="379">
        <f t="shared" si="10"/>
        <v>1.2133004251093355E-2</v>
      </c>
      <c r="E194" s="39">
        <v>2059.6899410000001</v>
      </c>
      <c r="F194" s="379">
        <f t="shared" si="11"/>
        <v>-3.9732546030981607E-3</v>
      </c>
      <c r="G194" s="379">
        <f t="shared" si="12"/>
        <v>1.2133004251093355E-2</v>
      </c>
      <c r="H194" s="379">
        <f t="shared" si="13"/>
        <v>-3.9732546030981607E-3</v>
      </c>
    </row>
    <row r="195" spans="1:8">
      <c r="A195" s="375">
        <v>42094</v>
      </c>
      <c r="B195" s="379">
        <f t="shared" si="14"/>
        <v>192</v>
      </c>
      <c r="C195" s="28">
        <v>59.472228000000001</v>
      </c>
      <c r="D195" s="379">
        <f t="shared" si="10"/>
        <v>-2.7563946967761873E-2</v>
      </c>
      <c r="E195" s="39">
        <v>2067.889893</v>
      </c>
      <c r="F195" s="379">
        <f t="shared" si="11"/>
        <v>-8.834685901175145E-3</v>
      </c>
      <c r="G195" s="379">
        <f t="shared" si="12"/>
        <v>-2.7563946967761873E-2</v>
      </c>
      <c r="H195" s="379">
        <f t="shared" si="13"/>
        <v>-8.834685901175145E-3</v>
      </c>
    </row>
    <row r="196" spans="1:8">
      <c r="A196" s="375">
        <v>42093</v>
      </c>
      <c r="B196" s="379">
        <f t="shared" si="14"/>
        <v>193</v>
      </c>
      <c r="C196" s="28">
        <v>61.134318999999998</v>
      </c>
      <c r="D196" s="379">
        <f t="shared" ref="D196:D259" si="15">LN(C196/C197)</f>
        <v>1.6860079236791031E-2</v>
      </c>
      <c r="E196" s="39">
        <v>2086.23999</v>
      </c>
      <c r="F196" s="379">
        <f t="shared" ref="F196:F259" si="16">LN(E196/E197)</f>
        <v>1.2162382307370311E-2</v>
      </c>
      <c r="G196" s="379">
        <f t="shared" ref="G196:G259" si="17">IF(B196&lt;$D$1+1,D196,0)</f>
        <v>1.6860079236791031E-2</v>
      </c>
      <c r="H196" s="379">
        <f t="shared" ref="H196:H259" si="18">IF(B196&lt;$D$1+1,F196,0)</f>
        <v>1.2162382307370311E-2</v>
      </c>
    </row>
    <row r="197" spans="1:8">
      <c r="A197" s="375">
        <v>42090</v>
      </c>
      <c r="B197" s="379">
        <f t="shared" si="14"/>
        <v>194</v>
      </c>
      <c r="C197" s="28">
        <v>60.112229999999997</v>
      </c>
      <c r="D197" s="379">
        <f t="shared" si="15"/>
        <v>-4.9140419575175774E-3</v>
      </c>
      <c r="E197" s="39">
        <v>2061.0200199999999</v>
      </c>
      <c r="F197" s="379">
        <f t="shared" si="16"/>
        <v>2.3657611241204987E-3</v>
      </c>
      <c r="G197" s="379">
        <f t="shared" si="17"/>
        <v>-4.9140419575175774E-3</v>
      </c>
      <c r="H197" s="379">
        <f t="shared" si="18"/>
        <v>2.3657611241204987E-3</v>
      </c>
    </row>
    <row r="198" spans="1:8">
      <c r="A198" s="375">
        <v>42089</v>
      </c>
      <c r="B198" s="379">
        <f t="shared" ref="B198:B261" si="19">B197+1</f>
        <v>195</v>
      </c>
      <c r="C198" s="28">
        <v>60.408351000000003</v>
      </c>
      <c r="D198" s="379">
        <f t="shared" si="15"/>
        <v>3.0089911801351723E-3</v>
      </c>
      <c r="E198" s="39">
        <v>2056.1499020000001</v>
      </c>
      <c r="F198" s="379">
        <f t="shared" si="16"/>
        <v>-2.3803309880471176E-3</v>
      </c>
      <c r="G198" s="379">
        <f t="shared" si="17"/>
        <v>3.0089911801351723E-3</v>
      </c>
      <c r="H198" s="379">
        <f t="shared" si="18"/>
        <v>-2.3803309880471176E-3</v>
      </c>
    </row>
    <row r="199" spans="1:8">
      <c r="A199" s="375">
        <v>42088</v>
      </c>
      <c r="B199" s="379">
        <f t="shared" si="19"/>
        <v>196</v>
      </c>
      <c r="C199" s="28">
        <v>60.226855999999998</v>
      </c>
      <c r="D199" s="379">
        <f t="shared" si="15"/>
        <v>7.9618277808771627E-3</v>
      </c>
      <c r="E199" s="39">
        <v>2061.0500489999999</v>
      </c>
      <c r="F199" s="379">
        <f t="shared" si="16"/>
        <v>-1.4665926443847035E-2</v>
      </c>
      <c r="G199" s="379">
        <f t="shared" si="17"/>
        <v>7.9618277808771627E-3</v>
      </c>
      <c r="H199" s="379">
        <f t="shared" si="18"/>
        <v>-1.4665926443847035E-2</v>
      </c>
    </row>
    <row r="200" spans="1:8">
      <c r="A200" s="375">
        <v>42087</v>
      </c>
      <c r="B200" s="379">
        <f t="shared" si="19"/>
        <v>197</v>
      </c>
      <c r="C200" s="28">
        <v>59.749243999999997</v>
      </c>
      <c r="D200" s="379">
        <f t="shared" si="15"/>
        <v>-1.0812649511967415E-2</v>
      </c>
      <c r="E200" s="39">
        <v>2091.5</v>
      </c>
      <c r="F200" s="379">
        <f t="shared" si="16"/>
        <v>-6.1583457609898215E-3</v>
      </c>
      <c r="G200" s="379">
        <f t="shared" si="17"/>
        <v>-1.0812649511967415E-2</v>
      </c>
      <c r="H200" s="379">
        <f t="shared" si="18"/>
        <v>-6.1583457609898215E-3</v>
      </c>
    </row>
    <row r="201" spans="1:8">
      <c r="A201" s="375">
        <v>42086</v>
      </c>
      <c r="B201" s="379">
        <f t="shared" si="19"/>
        <v>198</v>
      </c>
      <c r="C201" s="28">
        <v>60.398797000000002</v>
      </c>
      <c r="D201" s="379">
        <f t="shared" si="15"/>
        <v>-9.6010895879399902E-3</v>
      </c>
      <c r="E201" s="39">
        <v>2104.419922</v>
      </c>
      <c r="F201" s="379">
        <f t="shared" si="16"/>
        <v>-1.7472567103759362E-3</v>
      </c>
      <c r="G201" s="379">
        <f t="shared" si="17"/>
        <v>-9.6010895879399902E-3</v>
      </c>
      <c r="H201" s="379">
        <f t="shared" si="18"/>
        <v>-1.7472567103759362E-3</v>
      </c>
    </row>
    <row r="202" spans="1:8">
      <c r="A202" s="375">
        <v>42083</v>
      </c>
      <c r="B202" s="379">
        <f t="shared" si="19"/>
        <v>199</v>
      </c>
      <c r="C202" s="28">
        <v>60.981484000000002</v>
      </c>
      <c r="D202" s="379">
        <f t="shared" si="15"/>
        <v>1.7062064532596309E-2</v>
      </c>
      <c r="E202" s="39">
        <v>2108.1000979999999</v>
      </c>
      <c r="F202" s="379">
        <f t="shared" si="16"/>
        <v>8.9723821319605199E-3</v>
      </c>
      <c r="G202" s="379">
        <f t="shared" si="17"/>
        <v>1.7062064532596309E-2</v>
      </c>
      <c r="H202" s="379">
        <f t="shared" si="18"/>
        <v>8.9723821319605199E-3</v>
      </c>
    </row>
    <row r="203" spans="1:8">
      <c r="A203" s="375">
        <v>42082</v>
      </c>
      <c r="B203" s="379">
        <f t="shared" si="19"/>
        <v>200</v>
      </c>
      <c r="C203" s="28">
        <v>59.949840000000002</v>
      </c>
      <c r="D203" s="379">
        <f t="shared" si="15"/>
        <v>-1.3924294287877911E-2</v>
      </c>
      <c r="E203" s="39">
        <v>2089.2700199999999</v>
      </c>
      <c r="F203" s="379">
        <f t="shared" si="16"/>
        <v>-4.8844889025895554E-3</v>
      </c>
      <c r="G203" s="379">
        <f t="shared" si="17"/>
        <v>-1.3924294287877911E-2</v>
      </c>
      <c r="H203" s="379">
        <f t="shared" si="18"/>
        <v>-4.8844889025895554E-3</v>
      </c>
    </row>
    <row r="204" spans="1:8">
      <c r="A204" s="375">
        <v>42081</v>
      </c>
      <c r="B204" s="379">
        <f t="shared" si="19"/>
        <v>201</v>
      </c>
      <c r="C204" s="28">
        <v>60.790438000000002</v>
      </c>
      <c r="D204" s="379">
        <f t="shared" si="15"/>
        <v>2.5946563470825988E-2</v>
      </c>
      <c r="E204" s="39">
        <v>2099.5</v>
      </c>
      <c r="F204" s="379">
        <f t="shared" si="16"/>
        <v>1.2085101644750693E-2</v>
      </c>
      <c r="G204" s="379">
        <f t="shared" si="17"/>
        <v>2.5946563470825988E-2</v>
      </c>
      <c r="H204" s="379">
        <f t="shared" si="18"/>
        <v>1.2085101644750693E-2</v>
      </c>
    </row>
    <row r="205" spans="1:8">
      <c r="A205" s="375">
        <v>42080</v>
      </c>
      <c r="B205" s="379">
        <f t="shared" si="19"/>
        <v>202</v>
      </c>
      <c r="C205" s="28">
        <v>59.233421999999997</v>
      </c>
      <c r="D205" s="379">
        <f t="shared" si="15"/>
        <v>-6.2696760059021191E-3</v>
      </c>
      <c r="E205" s="39">
        <v>2074.280029</v>
      </c>
      <c r="F205" s="379">
        <f t="shared" si="16"/>
        <v>-3.3256976557031678E-3</v>
      </c>
      <c r="G205" s="379">
        <f t="shared" si="17"/>
        <v>-6.2696760059021191E-3</v>
      </c>
      <c r="H205" s="379">
        <f t="shared" si="18"/>
        <v>-3.3256976557031678E-3</v>
      </c>
    </row>
    <row r="206" spans="1:8">
      <c r="A206" s="375">
        <v>42079</v>
      </c>
      <c r="B206" s="379">
        <f t="shared" si="19"/>
        <v>203</v>
      </c>
      <c r="C206" s="28">
        <v>59.605963000000003</v>
      </c>
      <c r="D206" s="379">
        <f t="shared" si="15"/>
        <v>1.225429783482547E-2</v>
      </c>
      <c r="E206" s="39">
        <v>2081.1899410000001</v>
      </c>
      <c r="F206" s="379">
        <f t="shared" si="16"/>
        <v>1.3442908996060394E-2</v>
      </c>
      <c r="G206" s="379">
        <f t="shared" si="17"/>
        <v>1.225429783482547E-2</v>
      </c>
      <c r="H206" s="379">
        <f t="shared" si="18"/>
        <v>1.3442908996060394E-2</v>
      </c>
    </row>
    <row r="207" spans="1:8">
      <c r="A207" s="375">
        <v>42076</v>
      </c>
      <c r="B207" s="379">
        <f t="shared" si="19"/>
        <v>204</v>
      </c>
      <c r="C207" s="28">
        <v>58.879990999999997</v>
      </c>
      <c r="D207" s="379">
        <f t="shared" si="15"/>
        <v>4.5528423767605382E-3</v>
      </c>
      <c r="E207" s="39">
        <v>2053.3999020000001</v>
      </c>
      <c r="F207" s="379">
        <f t="shared" si="16"/>
        <v>-6.0932371744078879E-3</v>
      </c>
      <c r="G207" s="379">
        <f t="shared" si="17"/>
        <v>4.5528423767605382E-3</v>
      </c>
      <c r="H207" s="379">
        <f t="shared" si="18"/>
        <v>-6.0932371744078879E-3</v>
      </c>
    </row>
    <row r="208" spans="1:8">
      <c r="A208" s="375">
        <v>42075</v>
      </c>
      <c r="B208" s="379">
        <f t="shared" si="19"/>
        <v>205</v>
      </c>
      <c r="C208" s="28">
        <v>58.612529000000002</v>
      </c>
      <c r="D208" s="379">
        <f t="shared" si="15"/>
        <v>9.783410195346922E-4</v>
      </c>
      <c r="E208" s="39">
        <v>2065.9499510000001</v>
      </c>
      <c r="F208" s="379">
        <f t="shared" si="16"/>
        <v>1.2522702237719055E-2</v>
      </c>
      <c r="G208" s="379">
        <f t="shared" si="17"/>
        <v>9.783410195346922E-4</v>
      </c>
      <c r="H208" s="379">
        <f t="shared" si="18"/>
        <v>1.2522702237719055E-2</v>
      </c>
    </row>
    <row r="209" spans="1:8">
      <c r="A209" s="375">
        <v>42074</v>
      </c>
      <c r="B209" s="379">
        <f t="shared" si="19"/>
        <v>206</v>
      </c>
      <c r="C209" s="28">
        <v>58.555213999999999</v>
      </c>
      <c r="D209" s="379">
        <f t="shared" si="15"/>
        <v>7.0393970078469819E-3</v>
      </c>
      <c r="E209" s="39">
        <v>2040.23999</v>
      </c>
      <c r="F209" s="379">
        <f t="shared" si="16"/>
        <v>-1.9195207034580692E-3</v>
      </c>
      <c r="G209" s="379">
        <f t="shared" si="17"/>
        <v>7.0393970078469819E-3</v>
      </c>
      <c r="H209" s="379">
        <f t="shared" si="18"/>
        <v>-1.9195207034580692E-3</v>
      </c>
    </row>
    <row r="210" spans="1:8">
      <c r="A210" s="375">
        <v>42073</v>
      </c>
      <c r="B210" s="379">
        <f t="shared" si="19"/>
        <v>207</v>
      </c>
      <c r="C210" s="28">
        <v>58.144468000000003</v>
      </c>
      <c r="D210" s="379">
        <f t="shared" si="15"/>
        <v>-1.790998665057365E-2</v>
      </c>
      <c r="E210" s="39">
        <v>2044.160034</v>
      </c>
      <c r="F210" s="379">
        <f t="shared" si="16"/>
        <v>-1.7106821197868119E-2</v>
      </c>
      <c r="G210" s="379">
        <f t="shared" si="17"/>
        <v>-1.790998665057365E-2</v>
      </c>
      <c r="H210" s="379">
        <f t="shared" si="18"/>
        <v>-1.7106821197868119E-2</v>
      </c>
    </row>
    <row r="211" spans="1:8">
      <c r="A211" s="375">
        <v>42072</v>
      </c>
      <c r="B211" s="379">
        <f t="shared" si="19"/>
        <v>208</v>
      </c>
      <c r="C211" s="28">
        <v>59.195216000000002</v>
      </c>
      <c r="D211" s="379">
        <f t="shared" si="15"/>
        <v>-1.3145420185616395E-2</v>
      </c>
      <c r="E211" s="39">
        <v>2079.429932</v>
      </c>
      <c r="F211" s="379">
        <f t="shared" si="16"/>
        <v>3.9366624176442495E-3</v>
      </c>
      <c r="G211" s="379">
        <f t="shared" si="17"/>
        <v>-1.3145420185616395E-2</v>
      </c>
      <c r="H211" s="379">
        <f t="shared" si="18"/>
        <v>3.9366624176442495E-3</v>
      </c>
    </row>
    <row r="212" spans="1:8">
      <c r="A212" s="375">
        <v>42069</v>
      </c>
      <c r="B212" s="379">
        <f t="shared" si="19"/>
        <v>209</v>
      </c>
      <c r="C212" s="28">
        <v>59.978498999999999</v>
      </c>
      <c r="D212" s="379">
        <f t="shared" si="15"/>
        <v>-8.5633448629498544E-3</v>
      </c>
      <c r="E212" s="39">
        <v>2071.26001</v>
      </c>
      <c r="F212" s="379">
        <f t="shared" si="16"/>
        <v>-1.4275356219564148E-2</v>
      </c>
      <c r="G212" s="379">
        <f t="shared" si="17"/>
        <v>-8.5633448629498544E-3</v>
      </c>
      <c r="H212" s="379">
        <f t="shared" si="18"/>
        <v>-1.4275356219564148E-2</v>
      </c>
    </row>
    <row r="213" spans="1:8">
      <c r="A213" s="375">
        <v>42068</v>
      </c>
      <c r="B213" s="379">
        <f t="shared" si="19"/>
        <v>210</v>
      </c>
      <c r="C213" s="28">
        <v>60.494320999999999</v>
      </c>
      <c r="D213" s="379">
        <f t="shared" si="15"/>
        <v>-1.4422542887514029E-2</v>
      </c>
      <c r="E213" s="39">
        <v>2101.040039</v>
      </c>
      <c r="F213" s="379">
        <f t="shared" si="16"/>
        <v>1.1953653627569873E-3</v>
      </c>
      <c r="G213" s="379">
        <f t="shared" si="17"/>
        <v>-1.4422542887514029E-2</v>
      </c>
      <c r="H213" s="379">
        <f t="shared" si="18"/>
        <v>1.1953653627569873E-3</v>
      </c>
    </row>
    <row r="214" spans="1:8">
      <c r="A214" s="375">
        <v>42067</v>
      </c>
      <c r="B214" s="379">
        <f t="shared" si="19"/>
        <v>211</v>
      </c>
      <c r="C214" s="28">
        <v>61.373125000000002</v>
      </c>
      <c r="D214" s="379">
        <f t="shared" si="15"/>
        <v>-8.2151805985549928E-3</v>
      </c>
      <c r="E214" s="39">
        <v>2098.530029</v>
      </c>
      <c r="F214" s="379">
        <f t="shared" si="16"/>
        <v>-4.3981612307754693E-3</v>
      </c>
      <c r="G214" s="379">
        <f t="shared" si="17"/>
        <v>-8.2151805985549928E-3</v>
      </c>
      <c r="H214" s="379">
        <f t="shared" si="18"/>
        <v>-4.3981612307754693E-3</v>
      </c>
    </row>
    <row r="215" spans="1:8">
      <c r="A215" s="375">
        <v>42066</v>
      </c>
      <c r="B215" s="379">
        <f t="shared" si="19"/>
        <v>212</v>
      </c>
      <c r="C215" s="28">
        <v>61.879393</v>
      </c>
      <c r="D215" s="379">
        <f t="shared" si="15"/>
        <v>5.8832478602480935E-3</v>
      </c>
      <c r="E215" s="39">
        <v>2107.780029</v>
      </c>
      <c r="F215" s="379">
        <f t="shared" si="16"/>
        <v>-4.5488729439078276E-3</v>
      </c>
      <c r="G215" s="379">
        <f t="shared" si="17"/>
        <v>5.8832478602480935E-3</v>
      </c>
      <c r="H215" s="379">
        <f t="shared" si="18"/>
        <v>-4.5488729439078276E-3</v>
      </c>
    </row>
    <row r="216" spans="1:8">
      <c r="A216" s="375">
        <v>42065</v>
      </c>
      <c r="B216" s="379">
        <f t="shared" si="19"/>
        <v>213</v>
      </c>
      <c r="C216" s="28">
        <v>61.51641</v>
      </c>
      <c r="D216" s="379">
        <f t="shared" si="15"/>
        <v>-1.2345771497099881E-2</v>
      </c>
      <c r="E216" s="39">
        <v>2117.389893</v>
      </c>
      <c r="F216" s="379">
        <f t="shared" si="16"/>
        <v>6.1062383803760925E-3</v>
      </c>
      <c r="G216" s="379">
        <f t="shared" si="17"/>
        <v>-1.2345771497099881E-2</v>
      </c>
      <c r="H216" s="379">
        <f t="shared" si="18"/>
        <v>6.1062383803760925E-3</v>
      </c>
    </row>
    <row r="217" spans="1:8">
      <c r="A217" s="375">
        <v>42062</v>
      </c>
      <c r="B217" s="379">
        <f t="shared" si="19"/>
        <v>214</v>
      </c>
      <c r="C217" s="28">
        <v>62.280585000000002</v>
      </c>
      <c r="D217" s="379">
        <f t="shared" si="15"/>
        <v>-9.9199846518342131E-3</v>
      </c>
      <c r="E217" s="39">
        <v>2104.5</v>
      </c>
      <c r="F217" s="379">
        <f t="shared" si="16"/>
        <v>-2.9606829375931087E-3</v>
      </c>
      <c r="G217" s="379">
        <f t="shared" si="17"/>
        <v>-9.9199846518342131E-3</v>
      </c>
      <c r="H217" s="379">
        <f t="shared" si="18"/>
        <v>-2.9606829375931087E-3</v>
      </c>
    </row>
    <row r="218" spans="1:8">
      <c r="A218" s="375">
        <v>42061</v>
      </c>
      <c r="B218" s="379">
        <f t="shared" si="19"/>
        <v>215</v>
      </c>
      <c r="C218" s="28">
        <v>62.901482000000001</v>
      </c>
      <c r="D218" s="379">
        <f t="shared" si="15"/>
        <v>-2.5192517713988064E-2</v>
      </c>
      <c r="E218" s="39">
        <v>2110.73999</v>
      </c>
      <c r="F218" s="379">
        <f t="shared" si="16"/>
        <v>-1.4771185417172892E-3</v>
      </c>
      <c r="G218" s="379">
        <f t="shared" si="17"/>
        <v>-2.5192517713988064E-2</v>
      </c>
      <c r="H218" s="379">
        <f t="shared" si="18"/>
        <v>-1.4771185417172892E-3</v>
      </c>
    </row>
    <row r="219" spans="1:8">
      <c r="A219" s="375">
        <v>42060</v>
      </c>
      <c r="B219" s="379">
        <f t="shared" si="19"/>
        <v>216</v>
      </c>
      <c r="C219" s="28">
        <v>64.506258000000003</v>
      </c>
      <c r="D219" s="379">
        <f t="shared" si="15"/>
        <v>6.5369819890804225E-3</v>
      </c>
      <c r="E219" s="39">
        <v>2113.860107</v>
      </c>
      <c r="F219" s="379">
        <f t="shared" si="16"/>
        <v>-7.6601694159734123E-4</v>
      </c>
      <c r="G219" s="379">
        <f t="shared" si="17"/>
        <v>6.5369819890804225E-3</v>
      </c>
      <c r="H219" s="379">
        <f t="shared" si="18"/>
        <v>-7.6601694159734123E-4</v>
      </c>
    </row>
    <row r="220" spans="1:8">
      <c r="A220" s="375">
        <v>42059</v>
      </c>
      <c r="B220" s="379">
        <f t="shared" si="19"/>
        <v>217</v>
      </c>
      <c r="C220" s="28">
        <v>64.085956999999993</v>
      </c>
      <c r="D220" s="379">
        <f t="shared" si="15"/>
        <v>2.5370937560903043E-3</v>
      </c>
      <c r="E220" s="39">
        <v>2115.4799800000001</v>
      </c>
      <c r="F220" s="379">
        <f t="shared" si="16"/>
        <v>2.7549722990950704E-3</v>
      </c>
      <c r="G220" s="379">
        <f t="shared" si="17"/>
        <v>2.5370937560903043E-3</v>
      </c>
      <c r="H220" s="379">
        <f t="shared" si="18"/>
        <v>2.7549722990950704E-3</v>
      </c>
    </row>
    <row r="221" spans="1:8">
      <c r="A221" s="375">
        <v>42058</v>
      </c>
      <c r="B221" s="379">
        <f t="shared" si="19"/>
        <v>218</v>
      </c>
      <c r="C221" s="28">
        <v>63.923571000000003</v>
      </c>
      <c r="D221" s="379">
        <f t="shared" si="15"/>
        <v>-6.8503477391433738E-3</v>
      </c>
      <c r="E221" s="39">
        <v>2109.6599120000001</v>
      </c>
      <c r="F221" s="379">
        <f t="shared" si="16"/>
        <v>-3.0338534527620388E-4</v>
      </c>
      <c r="G221" s="379">
        <f t="shared" si="17"/>
        <v>-6.8503477391433738E-3</v>
      </c>
      <c r="H221" s="379">
        <f t="shared" si="18"/>
        <v>-3.0338534527620388E-4</v>
      </c>
    </row>
    <row r="222" spans="1:8">
      <c r="A222" s="375">
        <v>42055</v>
      </c>
      <c r="B222" s="379">
        <f t="shared" si="19"/>
        <v>219</v>
      </c>
      <c r="C222" s="28">
        <v>64.362972999999997</v>
      </c>
      <c r="D222" s="379">
        <f t="shared" si="15"/>
        <v>-5.9348816174527991E-4</v>
      </c>
      <c r="E222" s="39">
        <v>2110.3000489999999</v>
      </c>
      <c r="F222" s="379">
        <f t="shared" si="16"/>
        <v>6.1078428844464306E-3</v>
      </c>
      <c r="G222" s="379">
        <f t="shared" si="17"/>
        <v>-5.9348816174527991E-4</v>
      </c>
      <c r="H222" s="379">
        <f t="shared" si="18"/>
        <v>6.1078428844464306E-3</v>
      </c>
    </row>
    <row r="223" spans="1:8">
      <c r="A223" s="375">
        <v>42054</v>
      </c>
      <c r="B223" s="379">
        <f t="shared" si="19"/>
        <v>220</v>
      </c>
      <c r="C223" s="28">
        <v>64.401183000000003</v>
      </c>
      <c r="D223" s="379">
        <f t="shared" si="15"/>
        <v>-4.5875752589851293E-3</v>
      </c>
      <c r="E223" s="39">
        <v>2097.4499510000001</v>
      </c>
      <c r="F223" s="379">
        <f t="shared" si="16"/>
        <v>-1.0626219688207137E-3</v>
      </c>
      <c r="G223" s="379">
        <f t="shared" si="17"/>
        <v>-4.5875752589851293E-3</v>
      </c>
      <c r="H223" s="379">
        <f t="shared" si="18"/>
        <v>-1.0626219688207137E-3</v>
      </c>
    </row>
    <row r="224" spans="1:8">
      <c r="A224" s="375">
        <v>42053</v>
      </c>
      <c r="B224" s="379">
        <f t="shared" si="19"/>
        <v>221</v>
      </c>
      <c r="C224" s="28">
        <v>64.697306999999995</v>
      </c>
      <c r="D224" s="379">
        <f t="shared" si="15"/>
        <v>-2.5365755507521234E-2</v>
      </c>
      <c r="E224" s="39">
        <v>2099.679932</v>
      </c>
      <c r="F224" s="379">
        <f t="shared" si="16"/>
        <v>-3.1435850414654552E-4</v>
      </c>
      <c r="G224" s="379">
        <f t="shared" si="17"/>
        <v>-2.5365755507521234E-2</v>
      </c>
      <c r="H224" s="379">
        <f t="shared" si="18"/>
        <v>-3.1435850414654552E-4</v>
      </c>
    </row>
    <row r="225" spans="1:8">
      <c r="A225" s="375">
        <v>42052</v>
      </c>
      <c r="B225" s="379">
        <f t="shared" si="19"/>
        <v>222</v>
      </c>
      <c r="C225" s="28">
        <v>66.359393999999995</v>
      </c>
      <c r="D225" s="379">
        <f t="shared" si="15"/>
        <v>-5.8844245616877624E-3</v>
      </c>
      <c r="E225" s="39">
        <v>2100.3400879999999</v>
      </c>
      <c r="F225" s="379">
        <f t="shared" si="16"/>
        <v>1.5962998616407095E-3</v>
      </c>
      <c r="G225" s="379">
        <f t="shared" si="17"/>
        <v>-5.8844245616877624E-3</v>
      </c>
      <c r="H225" s="379">
        <f t="shared" si="18"/>
        <v>1.5962998616407095E-3</v>
      </c>
    </row>
    <row r="226" spans="1:8">
      <c r="A226" s="375">
        <v>42048</v>
      </c>
      <c r="B226" s="379">
        <f t="shared" si="19"/>
        <v>223</v>
      </c>
      <c r="C226" s="28">
        <v>66.751031999999995</v>
      </c>
      <c r="D226" s="379">
        <f t="shared" si="15"/>
        <v>2.6683662288084917E-2</v>
      </c>
      <c r="E226" s="39">
        <v>2096.98999</v>
      </c>
      <c r="F226" s="379">
        <f t="shared" si="16"/>
        <v>4.0664593404575655E-3</v>
      </c>
      <c r="G226" s="379">
        <f t="shared" si="17"/>
        <v>2.6683662288084917E-2</v>
      </c>
      <c r="H226" s="379">
        <f t="shared" si="18"/>
        <v>4.0664593404575655E-3</v>
      </c>
    </row>
    <row r="227" spans="1:8">
      <c r="A227" s="375">
        <v>42047</v>
      </c>
      <c r="B227" s="379">
        <f t="shared" si="19"/>
        <v>224</v>
      </c>
      <c r="C227" s="28">
        <v>64.993424000000005</v>
      </c>
      <c r="D227" s="379">
        <f t="shared" si="15"/>
        <v>1.3166904764977031E-2</v>
      </c>
      <c r="E227" s="39">
        <v>2088.4799800000001</v>
      </c>
      <c r="F227" s="379">
        <f t="shared" si="16"/>
        <v>9.598294984990317E-3</v>
      </c>
      <c r="G227" s="379">
        <f t="shared" si="17"/>
        <v>1.3166904764977031E-2</v>
      </c>
      <c r="H227" s="379">
        <f t="shared" si="18"/>
        <v>9.598294984990317E-3</v>
      </c>
    </row>
    <row r="228" spans="1:8">
      <c r="A228" s="375">
        <v>42046</v>
      </c>
      <c r="B228" s="379">
        <f t="shared" si="19"/>
        <v>225</v>
      </c>
      <c r="C228" s="28">
        <v>64.143270999999999</v>
      </c>
      <c r="D228" s="379">
        <f t="shared" si="15"/>
        <v>-1.6192013152867806E-3</v>
      </c>
      <c r="E228" s="39">
        <v>2068.530029</v>
      </c>
      <c r="F228" s="379">
        <f t="shared" si="16"/>
        <v>-2.9034206552188216E-5</v>
      </c>
      <c r="G228" s="379">
        <f t="shared" si="17"/>
        <v>-1.6192013152867806E-3</v>
      </c>
      <c r="H228" s="379">
        <f t="shared" si="18"/>
        <v>-2.9034206552188216E-5</v>
      </c>
    </row>
    <row r="229" spans="1:8">
      <c r="A229" s="375">
        <v>42045</v>
      </c>
      <c r="B229" s="379">
        <f t="shared" si="19"/>
        <v>226</v>
      </c>
      <c r="C229" s="28">
        <v>64.247215999999995</v>
      </c>
      <c r="D229" s="379">
        <f t="shared" si="15"/>
        <v>2.0612315568875124E-3</v>
      </c>
      <c r="E229" s="39">
        <v>2068.5900879999999</v>
      </c>
      <c r="F229" s="379">
        <f t="shared" si="16"/>
        <v>1.0618979721447666E-2</v>
      </c>
      <c r="G229" s="379">
        <f t="shared" si="17"/>
        <v>2.0612315568875124E-3</v>
      </c>
      <c r="H229" s="379">
        <f t="shared" si="18"/>
        <v>1.0618979721447666E-2</v>
      </c>
    </row>
    <row r="230" spans="1:8">
      <c r="A230" s="375">
        <v>42044</v>
      </c>
      <c r="B230" s="379">
        <f t="shared" si="19"/>
        <v>227</v>
      </c>
      <c r="C230" s="28">
        <v>64.114924000000002</v>
      </c>
      <c r="D230" s="379">
        <f t="shared" si="15"/>
        <v>5.3199576731990678E-3</v>
      </c>
      <c r="E230" s="39">
        <v>2046.73999</v>
      </c>
      <c r="F230" s="379">
        <f t="shared" si="16"/>
        <v>-4.2562395694247922E-3</v>
      </c>
      <c r="G230" s="379">
        <f t="shared" si="17"/>
        <v>5.3199576731990678E-3</v>
      </c>
      <c r="H230" s="379">
        <f t="shared" si="18"/>
        <v>-4.2562395694247922E-3</v>
      </c>
    </row>
    <row r="231" spans="1:8">
      <c r="A231" s="375">
        <v>42041</v>
      </c>
      <c r="B231" s="379">
        <f t="shared" si="19"/>
        <v>228</v>
      </c>
      <c r="C231" s="28">
        <v>63.774740999999999</v>
      </c>
      <c r="D231" s="379">
        <f t="shared" si="15"/>
        <v>-1.1846889160302392E-3</v>
      </c>
      <c r="E231" s="39">
        <v>2055.469971</v>
      </c>
      <c r="F231" s="379">
        <f t="shared" si="16"/>
        <v>-3.4240276947173063E-3</v>
      </c>
      <c r="G231" s="379">
        <f t="shared" si="17"/>
        <v>-1.1846889160302392E-3</v>
      </c>
      <c r="H231" s="379">
        <f t="shared" si="18"/>
        <v>-3.4240276947173063E-3</v>
      </c>
    </row>
    <row r="232" spans="1:8">
      <c r="A232" s="375">
        <v>42040</v>
      </c>
      <c r="B232" s="379">
        <f t="shared" si="19"/>
        <v>229</v>
      </c>
      <c r="C232" s="28">
        <v>63.850338999999998</v>
      </c>
      <c r="D232" s="379">
        <f t="shared" si="15"/>
        <v>2.5480951562047518E-2</v>
      </c>
      <c r="E232" s="39">
        <v>2062.5200199999999</v>
      </c>
      <c r="F232" s="379">
        <f t="shared" si="16"/>
        <v>1.0238810823374916E-2</v>
      </c>
      <c r="G232" s="379">
        <f t="shared" si="17"/>
        <v>2.5480951562047518E-2</v>
      </c>
      <c r="H232" s="379">
        <f t="shared" si="18"/>
        <v>1.0238810823374916E-2</v>
      </c>
    </row>
    <row r="233" spans="1:8">
      <c r="A233" s="375">
        <v>42039</v>
      </c>
      <c r="B233" s="379">
        <f t="shared" si="19"/>
        <v>230</v>
      </c>
      <c r="C233" s="28">
        <v>62.243924999999997</v>
      </c>
      <c r="D233" s="379">
        <f t="shared" si="15"/>
        <v>-2.7993675301067382E-2</v>
      </c>
      <c r="E233" s="39">
        <v>2041.51001</v>
      </c>
      <c r="F233" s="379">
        <f t="shared" si="16"/>
        <v>-4.1647063128333371E-3</v>
      </c>
      <c r="G233" s="379">
        <f t="shared" si="17"/>
        <v>-2.7993675301067382E-2</v>
      </c>
      <c r="H233" s="379">
        <f t="shared" si="18"/>
        <v>-4.1647063128333371E-3</v>
      </c>
    </row>
    <row r="234" spans="1:8">
      <c r="A234" s="375">
        <v>42038</v>
      </c>
      <c r="B234" s="379">
        <f t="shared" si="19"/>
        <v>231</v>
      </c>
      <c r="C234" s="28">
        <v>64.010979000000006</v>
      </c>
      <c r="D234" s="379">
        <f t="shared" si="15"/>
        <v>2.9513065508657704E-2</v>
      </c>
      <c r="E234" s="39">
        <v>2050.030029</v>
      </c>
      <c r="F234" s="379">
        <f t="shared" si="16"/>
        <v>1.4336238227742741E-2</v>
      </c>
      <c r="G234" s="379">
        <f t="shared" si="17"/>
        <v>2.9513065508657704E-2</v>
      </c>
      <c r="H234" s="379">
        <f t="shared" si="18"/>
        <v>1.4336238227742741E-2</v>
      </c>
    </row>
    <row r="235" spans="1:8">
      <c r="A235" s="375">
        <v>42037</v>
      </c>
      <c r="B235" s="379">
        <f t="shared" si="19"/>
        <v>232</v>
      </c>
      <c r="C235" s="28">
        <v>62.149424000000003</v>
      </c>
      <c r="D235" s="379">
        <f t="shared" si="15"/>
        <v>4.3346555492239564E-2</v>
      </c>
      <c r="E235" s="39">
        <v>2020.849976</v>
      </c>
      <c r="F235" s="379">
        <f t="shared" si="16"/>
        <v>1.2879170322592387E-2</v>
      </c>
      <c r="G235" s="379">
        <f t="shared" si="17"/>
        <v>4.3346555492239564E-2</v>
      </c>
      <c r="H235" s="379">
        <f t="shared" si="18"/>
        <v>1.2879170322592387E-2</v>
      </c>
    </row>
    <row r="236" spans="1:8">
      <c r="A236" s="375">
        <v>42034</v>
      </c>
      <c r="B236" s="379">
        <f t="shared" si="19"/>
        <v>233</v>
      </c>
      <c r="C236" s="28">
        <v>59.513013000000001</v>
      </c>
      <c r="D236" s="379">
        <f t="shared" si="15"/>
        <v>2.5437189089836621E-3</v>
      </c>
      <c r="E236" s="39">
        <v>1994.98999</v>
      </c>
      <c r="F236" s="379">
        <f t="shared" si="16"/>
        <v>-1.3077099123800286E-2</v>
      </c>
      <c r="G236" s="379">
        <f t="shared" si="17"/>
        <v>2.5437189089836621E-3</v>
      </c>
      <c r="H236" s="379">
        <f t="shared" si="18"/>
        <v>-1.3077099123800286E-2</v>
      </c>
    </row>
    <row r="237" spans="1:8">
      <c r="A237" s="375">
        <v>42033</v>
      </c>
      <c r="B237" s="379">
        <f t="shared" si="19"/>
        <v>234</v>
      </c>
      <c r="C237" s="28">
        <v>59.361820999999999</v>
      </c>
      <c r="D237" s="379">
        <f t="shared" si="15"/>
        <v>3.827718043334052E-3</v>
      </c>
      <c r="E237" s="39">
        <v>2021.25</v>
      </c>
      <c r="F237" s="379">
        <f t="shared" si="16"/>
        <v>9.4895171480104974E-3</v>
      </c>
      <c r="G237" s="379">
        <f t="shared" si="17"/>
        <v>3.827718043334052E-3</v>
      </c>
      <c r="H237" s="379">
        <f t="shared" si="18"/>
        <v>9.4895171480104974E-3</v>
      </c>
    </row>
    <row r="238" spans="1:8">
      <c r="A238" s="375">
        <v>42032</v>
      </c>
      <c r="B238" s="379">
        <f t="shared" si="19"/>
        <v>235</v>
      </c>
      <c r="C238" s="28">
        <v>59.135035000000002</v>
      </c>
      <c r="D238" s="379">
        <f t="shared" si="15"/>
        <v>-4.6214888444584795E-2</v>
      </c>
      <c r="E238" s="39">
        <v>2002.160034</v>
      </c>
      <c r="F238" s="379">
        <f t="shared" si="16"/>
        <v>-1.358750298545512E-2</v>
      </c>
      <c r="G238" s="379">
        <f t="shared" si="17"/>
        <v>-4.6214888444584795E-2</v>
      </c>
      <c r="H238" s="379">
        <f t="shared" si="18"/>
        <v>-1.358750298545512E-2</v>
      </c>
    </row>
    <row r="239" spans="1:8">
      <c r="A239" s="375">
        <v>42031</v>
      </c>
      <c r="B239" s="379">
        <f t="shared" si="19"/>
        <v>236</v>
      </c>
      <c r="C239" s="28">
        <v>61.932088999999998</v>
      </c>
      <c r="D239" s="379">
        <f t="shared" si="15"/>
        <v>-4.2630796330503026E-3</v>
      </c>
      <c r="E239" s="39">
        <v>2029.5500489999999</v>
      </c>
      <c r="F239" s="379">
        <f t="shared" si="16"/>
        <v>-1.3478287784341066E-2</v>
      </c>
      <c r="G239" s="379">
        <f t="shared" si="17"/>
        <v>-4.2630796330503026E-3</v>
      </c>
      <c r="H239" s="379">
        <f t="shared" si="18"/>
        <v>-1.3478287784341066E-2</v>
      </c>
    </row>
    <row r="240" spans="1:8">
      <c r="A240" s="375">
        <v>42030</v>
      </c>
      <c r="B240" s="379">
        <f t="shared" si="19"/>
        <v>237</v>
      </c>
      <c r="C240" s="28">
        <v>62.196674000000002</v>
      </c>
      <c r="D240" s="379">
        <f t="shared" si="15"/>
        <v>1.7935611199691771E-2</v>
      </c>
      <c r="E240" s="39">
        <v>2057.0900879999999</v>
      </c>
      <c r="F240" s="379">
        <f t="shared" si="16"/>
        <v>2.5651682269424068E-3</v>
      </c>
      <c r="G240" s="379">
        <f t="shared" si="17"/>
        <v>1.7935611199691771E-2</v>
      </c>
      <c r="H240" s="379">
        <f t="shared" si="18"/>
        <v>2.5651682269424068E-3</v>
      </c>
    </row>
    <row r="241" spans="1:8">
      <c r="A241" s="375">
        <v>42027</v>
      </c>
      <c r="B241" s="379">
        <f t="shared" si="19"/>
        <v>238</v>
      </c>
      <c r="C241" s="28">
        <v>61.091082999999998</v>
      </c>
      <c r="D241" s="379">
        <f t="shared" si="15"/>
        <v>-1.0003960907237848E-2</v>
      </c>
      <c r="E241" s="39">
        <v>2051.820068</v>
      </c>
      <c r="F241" s="379">
        <f t="shared" si="16"/>
        <v>-5.5066562878371269E-3</v>
      </c>
      <c r="G241" s="379">
        <f t="shared" si="17"/>
        <v>-1.0003960907237848E-2</v>
      </c>
      <c r="H241" s="379">
        <f t="shared" si="18"/>
        <v>-5.5066562878371269E-3</v>
      </c>
    </row>
    <row r="242" spans="1:8">
      <c r="A242" s="375">
        <v>42026</v>
      </c>
      <c r="B242" s="379">
        <f t="shared" si="19"/>
        <v>239</v>
      </c>
      <c r="C242" s="28">
        <v>61.705303000000001</v>
      </c>
      <c r="D242" s="379">
        <f t="shared" si="15"/>
        <v>1.1706885872365423E-2</v>
      </c>
      <c r="E242" s="39">
        <v>2063.1499020000001</v>
      </c>
      <c r="F242" s="379">
        <f t="shared" si="16"/>
        <v>1.5154312961683942E-2</v>
      </c>
      <c r="G242" s="379">
        <f t="shared" si="17"/>
        <v>1.1706885872365423E-2</v>
      </c>
      <c r="H242" s="379">
        <f t="shared" si="18"/>
        <v>1.5154312961683942E-2</v>
      </c>
    </row>
    <row r="243" spans="1:8">
      <c r="A243" s="375">
        <v>42025</v>
      </c>
      <c r="B243" s="379">
        <f t="shared" si="19"/>
        <v>240</v>
      </c>
      <c r="C243" s="28">
        <v>60.987138000000002</v>
      </c>
      <c r="D243" s="379">
        <f t="shared" si="15"/>
        <v>2.1139161683803968E-2</v>
      </c>
      <c r="E243" s="39">
        <v>2032.119995</v>
      </c>
      <c r="F243" s="379">
        <f t="shared" si="16"/>
        <v>4.720464879542292E-3</v>
      </c>
      <c r="G243" s="379">
        <f t="shared" si="17"/>
        <v>2.1139161683803968E-2</v>
      </c>
      <c r="H243" s="379">
        <f t="shared" si="18"/>
        <v>4.720464879542292E-3</v>
      </c>
    </row>
    <row r="244" spans="1:8">
      <c r="A244" s="375">
        <v>42024</v>
      </c>
      <c r="B244" s="379">
        <f t="shared" si="19"/>
        <v>241</v>
      </c>
      <c r="C244" s="28">
        <v>59.711452000000001</v>
      </c>
      <c r="D244" s="379">
        <f t="shared" si="15"/>
        <v>1.7422381770419032E-3</v>
      </c>
      <c r="E244" s="39">
        <v>2022.5500489999999</v>
      </c>
      <c r="F244" s="379">
        <f t="shared" si="16"/>
        <v>1.5487524912989278E-3</v>
      </c>
      <c r="G244" s="379">
        <f t="shared" si="17"/>
        <v>1.7422381770419032E-3</v>
      </c>
      <c r="H244" s="379">
        <f t="shared" si="18"/>
        <v>1.5487524912989278E-3</v>
      </c>
    </row>
    <row r="245" spans="1:8">
      <c r="A245" s="375">
        <v>42020</v>
      </c>
      <c r="B245" s="379">
        <f t="shared" si="19"/>
        <v>242</v>
      </c>
      <c r="C245" s="28">
        <v>59.607511000000002</v>
      </c>
      <c r="D245" s="379">
        <f t="shared" si="15"/>
        <v>2.6831104413299316E-2</v>
      </c>
      <c r="E245" s="39">
        <v>2019.420044</v>
      </c>
      <c r="F245" s="379">
        <f t="shared" si="16"/>
        <v>1.3334893185903807E-2</v>
      </c>
      <c r="G245" s="379">
        <f t="shared" si="17"/>
        <v>2.6831104413299316E-2</v>
      </c>
      <c r="H245" s="379">
        <f t="shared" si="18"/>
        <v>1.3334893185903807E-2</v>
      </c>
    </row>
    <row r="246" spans="1:8">
      <c r="A246" s="375">
        <v>42019</v>
      </c>
      <c r="B246" s="379">
        <f t="shared" si="19"/>
        <v>243</v>
      </c>
      <c r="C246" s="28">
        <v>58.029440999999998</v>
      </c>
      <c r="D246" s="379">
        <f t="shared" si="15"/>
        <v>-1.9511998628585454E-2</v>
      </c>
      <c r="E246" s="39">
        <v>1992.670044</v>
      </c>
      <c r="F246" s="379">
        <f t="shared" si="16"/>
        <v>-9.2909032101848917E-3</v>
      </c>
      <c r="G246" s="379">
        <f t="shared" si="17"/>
        <v>-1.9511998628585454E-2</v>
      </c>
      <c r="H246" s="379">
        <f t="shared" si="18"/>
        <v>-9.2909032101848917E-3</v>
      </c>
    </row>
    <row r="247" spans="1:8">
      <c r="A247" s="375">
        <v>42018</v>
      </c>
      <c r="B247" s="379">
        <f t="shared" si="19"/>
        <v>244</v>
      </c>
      <c r="C247" s="28">
        <v>59.172829999999998</v>
      </c>
      <c r="D247" s="379">
        <f t="shared" si="15"/>
        <v>2.8786172792452411E-3</v>
      </c>
      <c r="E247" s="39">
        <v>2011.2700199999999</v>
      </c>
      <c r="F247" s="379">
        <f t="shared" si="16"/>
        <v>-5.8300285881662875E-3</v>
      </c>
      <c r="G247" s="379">
        <f t="shared" si="17"/>
        <v>2.8786172792452411E-3</v>
      </c>
      <c r="H247" s="379">
        <f t="shared" si="18"/>
        <v>-5.8300285881662875E-3</v>
      </c>
    </row>
    <row r="248" spans="1:8">
      <c r="A248" s="375">
        <v>42017</v>
      </c>
      <c r="B248" s="379">
        <f t="shared" si="19"/>
        <v>245</v>
      </c>
      <c r="C248" s="28">
        <v>59.002738999999998</v>
      </c>
      <c r="D248" s="379">
        <f t="shared" si="15"/>
        <v>-1.0039139869905138E-2</v>
      </c>
      <c r="E248" s="39">
        <v>2023.030029</v>
      </c>
      <c r="F248" s="379">
        <f t="shared" si="16"/>
        <v>-2.5818856981186258E-3</v>
      </c>
      <c r="G248" s="379">
        <f t="shared" si="17"/>
        <v>-1.0039139869905138E-2</v>
      </c>
      <c r="H248" s="379">
        <f t="shared" si="18"/>
        <v>-2.5818856981186258E-3</v>
      </c>
    </row>
    <row r="249" spans="1:8">
      <c r="A249" s="375">
        <v>42016</v>
      </c>
      <c r="B249" s="379">
        <f t="shared" si="19"/>
        <v>246</v>
      </c>
      <c r="C249" s="28">
        <v>59.598058999999999</v>
      </c>
      <c r="D249" s="379">
        <f t="shared" si="15"/>
        <v>-2.8910500237127525E-2</v>
      </c>
      <c r="E249" s="39">
        <v>2028.26001</v>
      </c>
      <c r="F249" s="379">
        <f t="shared" si="16"/>
        <v>-8.1266169265894958E-3</v>
      </c>
      <c r="G249" s="379">
        <f t="shared" si="17"/>
        <v>-2.8910500237127525E-2</v>
      </c>
      <c r="H249" s="379">
        <f t="shared" si="18"/>
        <v>-8.1266169265894958E-3</v>
      </c>
    </row>
    <row r="250" spans="1:8">
      <c r="A250" s="375">
        <v>42013</v>
      </c>
      <c r="B250" s="379">
        <f t="shared" si="19"/>
        <v>247</v>
      </c>
      <c r="C250" s="28">
        <v>61.346217000000003</v>
      </c>
      <c r="D250" s="379">
        <f t="shared" si="15"/>
        <v>-1.5406446187289877E-4</v>
      </c>
      <c r="E250" s="39">
        <v>2044.8100589999999</v>
      </c>
      <c r="F250" s="379">
        <f t="shared" si="16"/>
        <v>-8.4393221529863015E-3</v>
      </c>
      <c r="G250" s="379">
        <f t="shared" si="17"/>
        <v>-1.5406446187289877E-4</v>
      </c>
      <c r="H250" s="379">
        <f t="shared" si="18"/>
        <v>-8.4393221529863015E-3</v>
      </c>
    </row>
    <row r="251" spans="1:8">
      <c r="A251" s="375">
        <v>42012</v>
      </c>
      <c r="B251" s="379">
        <f t="shared" si="19"/>
        <v>248</v>
      </c>
      <c r="C251" s="28">
        <v>61.355668999999999</v>
      </c>
      <c r="D251" s="379">
        <f t="shared" si="15"/>
        <v>2.4634899947423006E-2</v>
      </c>
      <c r="E251" s="39">
        <v>2062.139893</v>
      </c>
      <c r="F251" s="379">
        <f t="shared" si="16"/>
        <v>1.773016853612145E-2</v>
      </c>
      <c r="G251" s="379">
        <f t="shared" si="17"/>
        <v>2.4634899947423006E-2</v>
      </c>
      <c r="H251" s="379">
        <f t="shared" si="18"/>
        <v>1.773016853612145E-2</v>
      </c>
    </row>
    <row r="252" spans="1:8">
      <c r="A252" s="375">
        <v>42011</v>
      </c>
      <c r="B252" s="379">
        <f t="shared" si="19"/>
        <v>249</v>
      </c>
      <c r="C252" s="28">
        <v>59.862644000000003</v>
      </c>
      <c r="D252" s="379">
        <f t="shared" si="15"/>
        <v>6.6518687388785478E-3</v>
      </c>
      <c r="E252" s="39">
        <v>2025.900024</v>
      </c>
      <c r="F252" s="379">
        <f t="shared" si="16"/>
        <v>1.1562735816043841E-2</v>
      </c>
      <c r="G252" s="379">
        <f t="shared" si="17"/>
        <v>6.6518687388785478E-3</v>
      </c>
      <c r="H252" s="379">
        <f t="shared" si="18"/>
        <v>1.1562735816043841E-2</v>
      </c>
    </row>
    <row r="253" spans="1:8">
      <c r="A253" s="375">
        <v>42010</v>
      </c>
      <c r="B253" s="379">
        <f t="shared" si="19"/>
        <v>250</v>
      </c>
      <c r="C253" s="28">
        <v>59.465767</v>
      </c>
      <c r="D253" s="379">
        <f t="shared" si="15"/>
        <v>-4.2162248779544567E-2</v>
      </c>
      <c r="E253" s="39">
        <v>2002.6099850000001</v>
      </c>
      <c r="F253" s="379">
        <f t="shared" si="16"/>
        <v>-8.9332548391871259E-3</v>
      </c>
      <c r="G253" s="379">
        <f t="shared" si="17"/>
        <v>-4.2162248779544567E-2</v>
      </c>
      <c r="H253" s="379">
        <f t="shared" si="18"/>
        <v>-8.9332548391871259E-3</v>
      </c>
    </row>
    <row r="254" spans="1:8">
      <c r="A254" s="375">
        <v>42009</v>
      </c>
      <c r="B254" s="379">
        <f t="shared" si="19"/>
        <v>251</v>
      </c>
      <c r="C254" s="28">
        <v>62.026583000000002</v>
      </c>
      <c r="D254" s="379">
        <f t="shared" si="15"/>
        <v>-4.8761126274692049E-2</v>
      </c>
      <c r="E254" s="39">
        <v>2020.579956</v>
      </c>
      <c r="F254" s="379">
        <f t="shared" si="16"/>
        <v>-1.8447213476145048E-2</v>
      </c>
      <c r="G254" s="379">
        <f t="shared" si="17"/>
        <v>-4.8761126274692049E-2</v>
      </c>
      <c r="H254" s="379">
        <f t="shared" si="18"/>
        <v>-1.8447213476145048E-2</v>
      </c>
    </row>
    <row r="255" spans="1:8">
      <c r="A255" s="375">
        <v>42006</v>
      </c>
      <c r="B255" s="379">
        <f t="shared" si="19"/>
        <v>252</v>
      </c>
      <c r="C255" s="28">
        <v>65.126020999999994</v>
      </c>
      <c r="D255" s="379">
        <f t="shared" si="15"/>
        <v>-2.0292782165620875E-3</v>
      </c>
      <c r="E255" s="39">
        <v>2058.1999510000001</v>
      </c>
      <c r="F255" s="379">
        <f t="shared" si="16"/>
        <v>-3.4002138968464108E-4</v>
      </c>
      <c r="G255" s="379">
        <f t="shared" si="17"/>
        <v>-2.0292782165620875E-3</v>
      </c>
      <c r="H255" s="379">
        <f t="shared" si="18"/>
        <v>-3.4002138968464108E-4</v>
      </c>
    </row>
    <row r="256" spans="1:8">
      <c r="A256" s="375">
        <v>42004</v>
      </c>
      <c r="B256" s="379">
        <f t="shared" si="19"/>
        <v>253</v>
      </c>
      <c r="C256" s="28">
        <v>65.258313999999999</v>
      </c>
      <c r="D256" s="379">
        <f t="shared" si="15"/>
        <v>-1.2519089946640293E-2</v>
      </c>
      <c r="E256" s="39">
        <v>2058.8999020000001</v>
      </c>
      <c r="F256" s="379">
        <f t="shared" si="16"/>
        <v>-1.0364383893445015E-2</v>
      </c>
      <c r="G256" s="379">
        <f t="shared" si="17"/>
        <v>-1.2519089946640293E-2</v>
      </c>
      <c r="H256" s="379">
        <f t="shared" si="18"/>
        <v>-1.0364383893445015E-2</v>
      </c>
    </row>
    <row r="257" spans="1:8">
      <c r="A257" s="375">
        <v>42003</v>
      </c>
      <c r="B257" s="379">
        <f t="shared" si="19"/>
        <v>254</v>
      </c>
      <c r="C257" s="28">
        <v>66.080423999999994</v>
      </c>
      <c r="D257" s="379">
        <f t="shared" si="15"/>
        <v>-2.5706927639948269E-3</v>
      </c>
      <c r="E257" s="39">
        <v>2080.3500979999999</v>
      </c>
      <c r="F257" s="379">
        <f t="shared" si="16"/>
        <v>-4.9005926973648417E-3</v>
      </c>
      <c r="G257" s="379">
        <f t="shared" si="17"/>
        <v>-2.5706927639948269E-3</v>
      </c>
      <c r="H257" s="379">
        <f t="shared" si="18"/>
        <v>-4.9005926973648417E-3</v>
      </c>
    </row>
    <row r="258" spans="1:8">
      <c r="A258" s="375">
        <v>42002</v>
      </c>
      <c r="B258" s="379">
        <f t="shared" si="19"/>
        <v>255</v>
      </c>
      <c r="C258" s="28">
        <v>66.250514999999993</v>
      </c>
      <c r="D258" s="379">
        <f t="shared" si="15"/>
        <v>3.286001454208229E-3</v>
      </c>
      <c r="E258" s="39">
        <v>2090.570068</v>
      </c>
      <c r="F258" s="379">
        <f t="shared" si="16"/>
        <v>8.6140303177227714E-4</v>
      </c>
      <c r="G258" s="379">
        <f t="shared" si="17"/>
        <v>3.286001454208229E-3</v>
      </c>
      <c r="H258" s="379">
        <f t="shared" si="18"/>
        <v>8.6140303177227714E-4</v>
      </c>
    </row>
    <row r="259" spans="1:8">
      <c r="A259" s="375">
        <v>41999</v>
      </c>
      <c r="B259" s="379">
        <f t="shared" si="19"/>
        <v>256</v>
      </c>
      <c r="C259" s="28">
        <v>66.033173000000005</v>
      </c>
      <c r="D259" s="379">
        <f t="shared" si="15"/>
        <v>-3.5711812109200029E-3</v>
      </c>
      <c r="E259" s="39">
        <v>2088.7700199999999</v>
      </c>
      <c r="F259" s="379">
        <f t="shared" si="16"/>
        <v>3.3041101164722553E-3</v>
      </c>
      <c r="G259" s="379">
        <f t="shared" si="17"/>
        <v>-3.5711812109200029E-3</v>
      </c>
      <c r="H259" s="379">
        <f t="shared" si="18"/>
        <v>3.3041101164722553E-3</v>
      </c>
    </row>
    <row r="260" spans="1:8">
      <c r="A260" s="375">
        <v>41997</v>
      </c>
      <c r="B260" s="379">
        <f t="shared" si="19"/>
        <v>257</v>
      </c>
      <c r="C260" s="28">
        <v>66.269411000000005</v>
      </c>
      <c r="D260" s="379">
        <f t="shared" ref="D260:D323" si="20">LN(C260/C261)</f>
        <v>-1.3033268172358179E-2</v>
      </c>
      <c r="E260" s="39">
        <v>2081.8798830000001</v>
      </c>
      <c r="F260" s="379">
        <f t="shared" ref="F260:F323" si="21">LN(E260/E261)</f>
        <v>-1.3930621104517706E-4</v>
      </c>
      <c r="G260" s="379">
        <f t="shared" ref="G260:G323" si="22">IF(B260&lt;$D$1+1,D260,0)</f>
        <v>-1.3033268172358179E-2</v>
      </c>
      <c r="H260" s="379">
        <f t="shared" ref="H260:H323" si="23">IF(B260&lt;$D$1+1,F260,0)</f>
        <v>-1.3930621104517706E-4</v>
      </c>
    </row>
    <row r="261" spans="1:8">
      <c r="A261" s="375">
        <v>41996</v>
      </c>
      <c r="B261" s="379">
        <f t="shared" si="19"/>
        <v>258</v>
      </c>
      <c r="C261" s="28">
        <v>67.138771000000006</v>
      </c>
      <c r="D261" s="379">
        <f t="shared" si="20"/>
        <v>2.1769463660136677E-2</v>
      </c>
      <c r="E261" s="39">
        <v>2082.169922</v>
      </c>
      <c r="F261" s="379">
        <f t="shared" si="21"/>
        <v>1.7448387198071571E-3</v>
      </c>
      <c r="G261" s="379">
        <f t="shared" si="22"/>
        <v>2.1769463660136677E-2</v>
      </c>
      <c r="H261" s="379">
        <f t="shared" si="23"/>
        <v>1.7448387198071571E-3</v>
      </c>
    </row>
    <row r="262" spans="1:8">
      <c r="A262" s="375">
        <v>41995</v>
      </c>
      <c r="B262" s="379">
        <f t="shared" ref="B262:B325" si="24">B261+1</f>
        <v>259</v>
      </c>
      <c r="C262" s="28">
        <v>65.692989999999995</v>
      </c>
      <c r="D262" s="379">
        <f t="shared" si="20"/>
        <v>-2.0783764869616E-2</v>
      </c>
      <c r="E262" s="39">
        <v>2078.540039</v>
      </c>
      <c r="F262" s="379">
        <f t="shared" si="21"/>
        <v>3.8032226158686553E-3</v>
      </c>
      <c r="G262" s="379">
        <f t="shared" si="22"/>
        <v>-2.0783764869616E-2</v>
      </c>
      <c r="H262" s="379">
        <f t="shared" si="23"/>
        <v>3.8032226158686553E-3</v>
      </c>
    </row>
    <row r="263" spans="1:8">
      <c r="A263" s="375">
        <v>41992</v>
      </c>
      <c r="B263" s="379">
        <f t="shared" si="24"/>
        <v>260</v>
      </c>
      <c r="C263" s="28">
        <v>67.072625000000002</v>
      </c>
      <c r="D263" s="379">
        <f t="shared" si="20"/>
        <v>1.7480775335729497E-2</v>
      </c>
      <c r="E263" s="39">
        <v>2070.6499020000001</v>
      </c>
      <c r="F263" s="379">
        <f t="shared" si="21"/>
        <v>4.5596380288210562E-3</v>
      </c>
      <c r="G263" s="379">
        <f t="shared" si="22"/>
        <v>1.7480775335729497E-2</v>
      </c>
      <c r="H263" s="379">
        <f t="shared" si="23"/>
        <v>4.5596380288210562E-3</v>
      </c>
    </row>
    <row r="264" spans="1:8">
      <c r="A264" s="375">
        <v>41991</v>
      </c>
      <c r="B264" s="379">
        <f t="shared" si="24"/>
        <v>261</v>
      </c>
      <c r="C264" s="28">
        <v>65.910331999999997</v>
      </c>
      <c r="D264" s="379">
        <f t="shared" si="20"/>
        <v>4.1120688558677704E-2</v>
      </c>
      <c r="E264" s="39">
        <v>2061.2299800000001</v>
      </c>
      <c r="F264" s="379">
        <f t="shared" si="21"/>
        <v>2.3731374483640814E-2</v>
      </c>
      <c r="G264" s="379">
        <f t="shared" si="22"/>
        <v>4.1120688558677704E-2</v>
      </c>
      <c r="H264" s="379">
        <f t="shared" si="23"/>
        <v>2.3731374483640814E-2</v>
      </c>
    </row>
    <row r="265" spans="1:8">
      <c r="A265" s="375">
        <v>41990</v>
      </c>
      <c r="B265" s="379">
        <f t="shared" si="24"/>
        <v>262</v>
      </c>
      <c r="C265" s="28">
        <v>63.255021999999997</v>
      </c>
      <c r="D265" s="379">
        <f t="shared" si="20"/>
        <v>5.7176008505671845E-2</v>
      </c>
      <c r="E265" s="39">
        <v>2012.8900149999999</v>
      </c>
      <c r="F265" s="379">
        <f t="shared" si="21"/>
        <v>2.0148073536758092E-2</v>
      </c>
      <c r="G265" s="379">
        <f t="shared" si="22"/>
        <v>5.7176008505671845E-2</v>
      </c>
      <c r="H265" s="379">
        <f t="shared" si="23"/>
        <v>2.0148073536758092E-2</v>
      </c>
    </row>
    <row r="266" spans="1:8">
      <c r="A266" s="375">
        <v>41989</v>
      </c>
      <c r="B266" s="379">
        <f t="shared" si="24"/>
        <v>263</v>
      </c>
      <c r="C266" s="28">
        <v>59.739803000000002</v>
      </c>
      <c r="D266" s="379">
        <f t="shared" si="20"/>
        <v>2.4498897036301436E-2</v>
      </c>
      <c r="E266" s="39">
        <v>1972.73999</v>
      </c>
      <c r="F266" s="379">
        <f t="shared" si="21"/>
        <v>-8.5252600430867614E-3</v>
      </c>
      <c r="G266" s="379">
        <f t="shared" si="22"/>
        <v>2.4498897036301436E-2</v>
      </c>
      <c r="H266" s="379">
        <f t="shared" si="23"/>
        <v>-8.5252600430867614E-3</v>
      </c>
    </row>
    <row r="267" spans="1:8">
      <c r="A267" s="375">
        <v>41988</v>
      </c>
      <c r="B267" s="379">
        <f t="shared" si="24"/>
        <v>264</v>
      </c>
      <c r="C267" s="28">
        <v>58.294026000000002</v>
      </c>
      <c r="D267" s="379">
        <f t="shared" si="20"/>
        <v>-1.2244431556728627E-2</v>
      </c>
      <c r="E267" s="39">
        <v>1989.630005</v>
      </c>
      <c r="F267" s="379">
        <f t="shared" si="21"/>
        <v>-6.3627861855108849E-3</v>
      </c>
      <c r="G267" s="379">
        <f t="shared" si="22"/>
        <v>-1.2244431556728627E-2</v>
      </c>
      <c r="H267" s="379">
        <f t="shared" si="23"/>
        <v>-6.3627861855108849E-3</v>
      </c>
    </row>
    <row r="268" spans="1:8">
      <c r="A268" s="375">
        <v>41985</v>
      </c>
      <c r="B268" s="379">
        <f t="shared" si="24"/>
        <v>265</v>
      </c>
      <c r="C268" s="28">
        <v>59.012191000000001</v>
      </c>
      <c r="D268" s="379">
        <f t="shared" si="20"/>
        <v>-1.8404451132791488E-2</v>
      </c>
      <c r="E268" s="39">
        <v>2002.329956</v>
      </c>
      <c r="F268" s="379">
        <f t="shared" si="21"/>
        <v>-1.6346465792101281E-2</v>
      </c>
      <c r="G268" s="379">
        <f t="shared" si="22"/>
        <v>-1.8404451132791488E-2</v>
      </c>
      <c r="H268" s="379">
        <f t="shared" si="23"/>
        <v>-1.6346465792101281E-2</v>
      </c>
    </row>
    <row r="269" spans="1:8">
      <c r="A269" s="375">
        <v>41984</v>
      </c>
      <c r="B269" s="379">
        <f t="shared" si="24"/>
        <v>266</v>
      </c>
      <c r="C269" s="28">
        <v>60.108333999999999</v>
      </c>
      <c r="D269" s="379">
        <f t="shared" si="20"/>
        <v>1.1010689946619927E-3</v>
      </c>
      <c r="E269" s="39">
        <v>2035.329956</v>
      </c>
      <c r="F269" s="379">
        <f t="shared" si="21"/>
        <v>4.5254337712382214E-3</v>
      </c>
      <c r="G269" s="379">
        <f t="shared" si="22"/>
        <v>1.1010689946619927E-3</v>
      </c>
      <c r="H269" s="379">
        <f t="shared" si="23"/>
        <v>4.5254337712382214E-3</v>
      </c>
    </row>
    <row r="270" spans="1:8">
      <c r="A270" s="375">
        <v>41983</v>
      </c>
      <c r="B270" s="379">
        <f t="shared" si="24"/>
        <v>267</v>
      </c>
      <c r="C270" s="28">
        <v>60.042186999999998</v>
      </c>
      <c r="D270" s="379">
        <f t="shared" si="20"/>
        <v>-2.2102043711522253E-2</v>
      </c>
      <c r="E270" s="39">
        <v>2026.1400149999999</v>
      </c>
      <c r="F270" s="379">
        <f t="shared" si="21"/>
        <v>-1.6486120835066051E-2</v>
      </c>
      <c r="G270" s="379">
        <f t="shared" si="22"/>
        <v>-2.2102043711522253E-2</v>
      </c>
      <c r="H270" s="379">
        <f t="shared" si="23"/>
        <v>-1.6486120835066051E-2</v>
      </c>
    </row>
    <row r="271" spans="1:8">
      <c r="A271" s="375">
        <v>41982</v>
      </c>
      <c r="B271" s="379">
        <f t="shared" si="24"/>
        <v>268</v>
      </c>
      <c r="C271" s="28">
        <v>61.384016000000003</v>
      </c>
      <c r="D271" s="379">
        <f t="shared" si="20"/>
        <v>-1.0769967686628287E-3</v>
      </c>
      <c r="E271" s="39">
        <v>2059.820068</v>
      </c>
      <c r="F271" s="379">
        <f t="shared" si="21"/>
        <v>-2.3785219748231713E-4</v>
      </c>
      <c r="G271" s="379">
        <f t="shared" si="22"/>
        <v>-1.0769967686628287E-3</v>
      </c>
      <c r="H271" s="379">
        <f t="shared" si="23"/>
        <v>-2.3785219748231713E-4</v>
      </c>
    </row>
    <row r="272" spans="1:8">
      <c r="A272" s="375">
        <v>41981</v>
      </c>
      <c r="B272" s="379">
        <f t="shared" si="24"/>
        <v>269</v>
      </c>
      <c r="C272" s="28">
        <v>61.450161999999999</v>
      </c>
      <c r="D272" s="379">
        <f t="shared" si="20"/>
        <v>-4.2450688242103171E-2</v>
      </c>
      <c r="E272" s="39">
        <v>2060.3100589999999</v>
      </c>
      <c r="F272" s="379">
        <f t="shared" si="21"/>
        <v>-7.2830218621909391E-3</v>
      </c>
      <c r="G272" s="379">
        <f t="shared" si="22"/>
        <v>-4.2450688242103171E-2</v>
      </c>
      <c r="H272" s="379">
        <f t="shared" si="23"/>
        <v>-7.2830218621909391E-3</v>
      </c>
    </row>
    <row r="273" spans="1:8">
      <c r="A273" s="375">
        <v>41978</v>
      </c>
      <c r="B273" s="379">
        <f t="shared" si="24"/>
        <v>270</v>
      </c>
      <c r="C273" s="28">
        <v>64.114924000000002</v>
      </c>
      <c r="D273" s="379">
        <f t="shared" si="20"/>
        <v>-2.1289787800623378E-2</v>
      </c>
      <c r="E273" s="39">
        <v>2075.3701169999999</v>
      </c>
      <c r="F273" s="379">
        <f t="shared" si="21"/>
        <v>1.6638314482451343E-3</v>
      </c>
      <c r="G273" s="379">
        <f t="shared" si="22"/>
        <v>-2.1289787800623378E-2</v>
      </c>
      <c r="H273" s="379">
        <f t="shared" si="23"/>
        <v>1.6638314482451343E-3</v>
      </c>
    </row>
    <row r="274" spans="1:8">
      <c r="A274" s="375">
        <v>41977</v>
      </c>
      <c r="B274" s="379">
        <f t="shared" si="24"/>
        <v>271</v>
      </c>
      <c r="C274" s="28">
        <v>65.494551000000001</v>
      </c>
      <c r="D274" s="379">
        <f t="shared" si="20"/>
        <v>-2.1269895504887892E-2</v>
      </c>
      <c r="E274" s="39">
        <v>2071.919922</v>
      </c>
      <c r="F274" s="379">
        <f t="shared" si="21"/>
        <v>-1.162571611194858E-3</v>
      </c>
      <c r="G274" s="379">
        <f t="shared" si="22"/>
        <v>-2.1269895504887892E-2</v>
      </c>
      <c r="H274" s="379">
        <f t="shared" si="23"/>
        <v>-1.162571611194858E-3</v>
      </c>
    </row>
    <row r="275" spans="1:8">
      <c r="A275" s="375">
        <v>41976</v>
      </c>
      <c r="B275" s="379">
        <f t="shared" si="24"/>
        <v>272</v>
      </c>
      <c r="C275" s="28">
        <v>66.902534000000003</v>
      </c>
      <c r="D275" s="379">
        <f t="shared" si="20"/>
        <v>2.2713698532936824E-2</v>
      </c>
      <c r="E275" s="39">
        <v>2074.330078</v>
      </c>
      <c r="F275" s="379">
        <f t="shared" si="21"/>
        <v>3.7576736905965669E-3</v>
      </c>
      <c r="G275" s="379">
        <f t="shared" si="22"/>
        <v>2.2713698532936824E-2</v>
      </c>
      <c r="H275" s="379">
        <f t="shared" si="23"/>
        <v>3.7576736905965669E-3</v>
      </c>
    </row>
    <row r="276" spans="1:8">
      <c r="A276" s="375">
        <v>41975</v>
      </c>
      <c r="B276" s="379">
        <f t="shared" si="24"/>
        <v>273</v>
      </c>
      <c r="C276" s="28">
        <v>65.400058000000001</v>
      </c>
      <c r="D276" s="379">
        <f t="shared" si="20"/>
        <v>2.1025781911863453E-2</v>
      </c>
      <c r="E276" s="39">
        <v>2066.5500489999999</v>
      </c>
      <c r="F276" s="379">
        <f t="shared" si="21"/>
        <v>6.3641670398569801E-3</v>
      </c>
      <c r="G276" s="379">
        <f t="shared" si="22"/>
        <v>2.1025781911863453E-2</v>
      </c>
      <c r="H276" s="379">
        <f t="shared" si="23"/>
        <v>6.3641670398569801E-3</v>
      </c>
    </row>
    <row r="277" spans="1:8">
      <c r="A277" s="375">
        <v>41974</v>
      </c>
      <c r="B277" s="379">
        <f t="shared" si="24"/>
        <v>274</v>
      </c>
      <c r="C277" s="28">
        <v>64.039326000000003</v>
      </c>
      <c r="D277" s="379">
        <f t="shared" si="20"/>
        <v>2.5404791173654812E-2</v>
      </c>
      <c r="E277" s="39">
        <v>2053.4399410000001</v>
      </c>
      <c r="F277" s="379">
        <f t="shared" si="21"/>
        <v>-6.8527897391607124E-3</v>
      </c>
      <c r="G277" s="379">
        <f t="shared" si="22"/>
        <v>2.5404791173654812E-2</v>
      </c>
      <c r="H277" s="379">
        <f t="shared" si="23"/>
        <v>-6.8527897391607124E-3</v>
      </c>
    </row>
    <row r="278" spans="1:8">
      <c r="A278" s="375">
        <v>41971</v>
      </c>
      <c r="B278" s="379">
        <f t="shared" si="24"/>
        <v>275</v>
      </c>
      <c r="C278" s="28">
        <v>62.432912000000002</v>
      </c>
      <c r="D278" s="379">
        <f t="shared" si="20"/>
        <v>-6.9567887804650522E-2</v>
      </c>
      <c r="E278" s="39">
        <v>2067.5600589999999</v>
      </c>
      <c r="F278" s="379">
        <f t="shared" si="21"/>
        <v>-2.5456643802205699E-3</v>
      </c>
      <c r="G278" s="379">
        <f t="shared" si="22"/>
        <v>-6.9567887804650522E-2</v>
      </c>
      <c r="H278" s="379">
        <f t="shared" si="23"/>
        <v>-2.5456643802205699E-3</v>
      </c>
    </row>
    <row r="279" spans="1:8">
      <c r="A279" s="375">
        <v>41969</v>
      </c>
      <c r="B279" s="379">
        <f t="shared" si="24"/>
        <v>276</v>
      </c>
      <c r="C279" s="28">
        <v>66.930880999999999</v>
      </c>
      <c r="D279" s="379">
        <f t="shared" si="20"/>
        <v>-1.2626446288404829E-2</v>
      </c>
      <c r="E279" s="39">
        <v>2072.830078</v>
      </c>
      <c r="F279" s="379">
        <f t="shared" si="21"/>
        <v>2.8020525549233778E-3</v>
      </c>
      <c r="G279" s="379">
        <f t="shared" si="22"/>
        <v>-1.2626446288404829E-2</v>
      </c>
      <c r="H279" s="379">
        <f t="shared" si="23"/>
        <v>2.8020525549233778E-3</v>
      </c>
    </row>
    <row r="280" spans="1:8">
      <c r="A280" s="375">
        <v>41968</v>
      </c>
      <c r="B280" s="379">
        <f t="shared" si="24"/>
        <v>277</v>
      </c>
      <c r="C280" s="28">
        <v>67.781338000000005</v>
      </c>
      <c r="D280" s="379">
        <f t="shared" si="20"/>
        <v>-2.2060707985417972E-2</v>
      </c>
      <c r="E280" s="39">
        <v>2067.030029</v>
      </c>
      <c r="F280" s="379">
        <f t="shared" si="21"/>
        <v>-1.1506915591880367E-3</v>
      </c>
      <c r="G280" s="379">
        <f t="shared" si="22"/>
        <v>-2.2060707985417972E-2</v>
      </c>
      <c r="H280" s="379">
        <f t="shared" si="23"/>
        <v>-1.1506915591880367E-3</v>
      </c>
    </row>
    <row r="281" spans="1:8">
      <c r="A281" s="375">
        <v>41967</v>
      </c>
      <c r="B281" s="379">
        <f t="shared" si="24"/>
        <v>278</v>
      </c>
      <c r="C281" s="28">
        <v>69.293257999999994</v>
      </c>
      <c r="D281" s="379">
        <f t="shared" si="20"/>
        <v>-4.2185281771823504E-3</v>
      </c>
      <c r="E281" s="39">
        <v>2069.4099120000001</v>
      </c>
      <c r="F281" s="379">
        <f t="shared" si="21"/>
        <v>2.8599297608858914E-3</v>
      </c>
      <c r="G281" s="379">
        <f t="shared" si="22"/>
        <v>-4.2185281771823504E-3</v>
      </c>
      <c r="H281" s="379">
        <f t="shared" si="23"/>
        <v>2.8599297608858914E-3</v>
      </c>
    </row>
    <row r="282" spans="1:8">
      <c r="A282" s="375">
        <v>41964</v>
      </c>
      <c r="B282" s="379">
        <f t="shared" si="24"/>
        <v>279</v>
      </c>
      <c r="C282" s="28">
        <v>69.586190999999999</v>
      </c>
      <c r="D282" s="379">
        <f t="shared" si="20"/>
        <v>5.8563337722009412E-3</v>
      </c>
      <c r="E282" s="39">
        <v>2063.5</v>
      </c>
      <c r="F282" s="379">
        <f t="shared" si="21"/>
        <v>5.2232126037382535E-3</v>
      </c>
      <c r="G282" s="379">
        <f t="shared" si="22"/>
        <v>5.8563337722009412E-3</v>
      </c>
      <c r="H282" s="379">
        <f t="shared" si="23"/>
        <v>5.2232126037382535E-3</v>
      </c>
    </row>
    <row r="283" spans="1:8">
      <c r="A283" s="375">
        <v>41963</v>
      </c>
      <c r="B283" s="379">
        <f t="shared" si="24"/>
        <v>280</v>
      </c>
      <c r="C283" s="28">
        <v>69.179862</v>
      </c>
      <c r="D283" s="379">
        <f t="shared" si="20"/>
        <v>1.4862005465936728E-2</v>
      </c>
      <c r="E283" s="39">
        <v>2052.75</v>
      </c>
      <c r="F283" s="379">
        <f t="shared" si="21"/>
        <v>1.9651638682952766E-3</v>
      </c>
      <c r="G283" s="379">
        <f t="shared" si="22"/>
        <v>1.4862005465936728E-2</v>
      </c>
      <c r="H283" s="379">
        <f t="shared" si="23"/>
        <v>1.9651638682952766E-3</v>
      </c>
    </row>
    <row r="284" spans="1:8">
      <c r="A284" s="375">
        <v>41962</v>
      </c>
      <c r="B284" s="379">
        <f t="shared" si="24"/>
        <v>281</v>
      </c>
      <c r="C284" s="28">
        <v>68.159312999999997</v>
      </c>
      <c r="D284" s="379">
        <f t="shared" si="20"/>
        <v>6.3977899651996833E-3</v>
      </c>
      <c r="E284" s="39">
        <v>2048.719971</v>
      </c>
      <c r="F284" s="379">
        <f t="shared" si="21"/>
        <v>-1.5022868144790934E-3</v>
      </c>
      <c r="G284" s="379">
        <f t="shared" si="22"/>
        <v>6.3977899651996833E-3</v>
      </c>
      <c r="H284" s="379">
        <f t="shared" si="23"/>
        <v>-1.5022868144790934E-3</v>
      </c>
    </row>
    <row r="285" spans="1:8">
      <c r="A285" s="375">
        <v>41961</v>
      </c>
      <c r="B285" s="379">
        <f t="shared" si="24"/>
        <v>282</v>
      </c>
      <c r="C285" s="28">
        <v>67.724636000000004</v>
      </c>
      <c r="D285" s="379">
        <f t="shared" si="20"/>
        <v>3.4942968386632101E-3</v>
      </c>
      <c r="E285" s="39">
        <v>2051.8000489999999</v>
      </c>
      <c r="F285" s="379">
        <f t="shared" si="21"/>
        <v>5.1208495790618968E-3</v>
      </c>
      <c r="G285" s="379">
        <f t="shared" si="22"/>
        <v>3.4942968386632101E-3</v>
      </c>
      <c r="H285" s="379">
        <f t="shared" si="23"/>
        <v>5.1208495790618968E-3</v>
      </c>
    </row>
    <row r="286" spans="1:8">
      <c r="A286" s="375">
        <v>41960</v>
      </c>
      <c r="B286" s="379">
        <f t="shared" si="24"/>
        <v>283</v>
      </c>
      <c r="C286" s="28">
        <v>67.488399000000001</v>
      </c>
      <c r="D286" s="379">
        <f t="shared" si="20"/>
        <v>1.3995977257433073E-4</v>
      </c>
      <c r="E286" s="39">
        <v>2041.3199460000001</v>
      </c>
      <c r="F286" s="379">
        <f t="shared" si="21"/>
        <v>7.3508877776274207E-4</v>
      </c>
      <c r="G286" s="379">
        <f t="shared" si="22"/>
        <v>1.3995977257433073E-4</v>
      </c>
      <c r="H286" s="379">
        <f t="shared" si="23"/>
        <v>7.3508877776274207E-4</v>
      </c>
    </row>
    <row r="287" spans="1:8">
      <c r="A287" s="375">
        <v>41957</v>
      </c>
      <c r="B287" s="379">
        <f t="shared" si="24"/>
        <v>284</v>
      </c>
      <c r="C287" s="28">
        <v>67.478954000000002</v>
      </c>
      <c r="D287" s="379">
        <f t="shared" si="20"/>
        <v>1.4955205621724746E-2</v>
      </c>
      <c r="E287" s="39">
        <v>2039.8199460000001</v>
      </c>
      <c r="F287" s="379">
        <f t="shared" si="21"/>
        <v>2.4024123365344922E-4</v>
      </c>
      <c r="G287" s="379">
        <f t="shared" si="22"/>
        <v>1.4955205621724746E-2</v>
      </c>
      <c r="H287" s="379">
        <f t="shared" si="23"/>
        <v>2.4024123365344922E-4</v>
      </c>
    </row>
    <row r="288" spans="1:8">
      <c r="A288" s="375">
        <v>41956</v>
      </c>
      <c r="B288" s="379">
        <f t="shared" si="24"/>
        <v>285</v>
      </c>
      <c r="C288" s="28">
        <v>66.477300999999997</v>
      </c>
      <c r="D288" s="379">
        <f t="shared" si="20"/>
        <v>-1.2010015124514226E-2</v>
      </c>
      <c r="E288" s="39">
        <v>2039.329956</v>
      </c>
      <c r="F288" s="379">
        <f t="shared" si="21"/>
        <v>5.2970440158390175E-4</v>
      </c>
      <c r="G288" s="379">
        <f t="shared" si="22"/>
        <v>-1.2010015124514226E-2</v>
      </c>
      <c r="H288" s="379">
        <f t="shared" si="23"/>
        <v>5.2970440158390175E-4</v>
      </c>
    </row>
    <row r="289" spans="1:8">
      <c r="A289" s="375">
        <v>41955</v>
      </c>
      <c r="B289" s="379">
        <f t="shared" si="24"/>
        <v>286</v>
      </c>
      <c r="C289" s="28">
        <v>67.280507999999998</v>
      </c>
      <c r="D289" s="379">
        <f t="shared" si="20"/>
        <v>-7.6950800965630648E-3</v>
      </c>
      <c r="E289" s="39">
        <v>2038.25</v>
      </c>
      <c r="F289" s="379">
        <f t="shared" si="21"/>
        <v>-7.0136272063750277E-4</v>
      </c>
      <c r="G289" s="379">
        <f t="shared" si="22"/>
        <v>-7.6950800965630648E-3</v>
      </c>
      <c r="H289" s="379">
        <f t="shared" si="23"/>
        <v>-7.0136272063750277E-4</v>
      </c>
    </row>
    <row r="290" spans="1:8">
      <c r="A290" s="375">
        <v>41954</v>
      </c>
      <c r="B290" s="379">
        <f t="shared" si="24"/>
        <v>287</v>
      </c>
      <c r="C290" s="28">
        <v>67.800234000000003</v>
      </c>
      <c r="D290" s="379">
        <f t="shared" si="20"/>
        <v>2.0928006340052946E-3</v>
      </c>
      <c r="E290" s="39">
        <v>2039.6800539999999</v>
      </c>
      <c r="F290" s="379">
        <f t="shared" si="21"/>
        <v>6.9645165701919096E-4</v>
      </c>
      <c r="G290" s="379">
        <f t="shared" si="22"/>
        <v>2.0928006340052946E-3</v>
      </c>
      <c r="H290" s="379">
        <f t="shared" si="23"/>
        <v>6.9645165701919096E-4</v>
      </c>
    </row>
    <row r="291" spans="1:8">
      <c r="A291" s="375">
        <v>41953</v>
      </c>
      <c r="B291" s="379">
        <f t="shared" si="24"/>
        <v>288</v>
      </c>
      <c r="C291" s="28">
        <v>67.65849</v>
      </c>
      <c r="D291" s="379">
        <f t="shared" si="20"/>
        <v>-7.7908670857071722E-3</v>
      </c>
      <c r="E291" s="39">
        <v>2038.26001</v>
      </c>
      <c r="F291" s="379">
        <f t="shared" si="21"/>
        <v>3.1153271076324886E-3</v>
      </c>
      <c r="G291" s="379">
        <f t="shared" si="22"/>
        <v>-7.7908670857071722E-3</v>
      </c>
      <c r="H291" s="379">
        <f t="shared" si="23"/>
        <v>3.1153271076324886E-3</v>
      </c>
    </row>
    <row r="292" spans="1:8">
      <c r="A292" s="375">
        <v>41950</v>
      </c>
      <c r="B292" s="379">
        <f t="shared" si="24"/>
        <v>289</v>
      </c>
      <c r="C292" s="28">
        <v>68.187667000000005</v>
      </c>
      <c r="D292" s="379">
        <f t="shared" si="20"/>
        <v>1.17091291573938E-2</v>
      </c>
      <c r="E292" s="39">
        <v>2031.920044</v>
      </c>
      <c r="F292" s="379">
        <f t="shared" si="21"/>
        <v>3.4952512292501896E-4</v>
      </c>
      <c r="G292" s="379">
        <f t="shared" si="22"/>
        <v>1.17091291573938E-2</v>
      </c>
      <c r="H292" s="379">
        <f t="shared" si="23"/>
        <v>3.4952512292501896E-4</v>
      </c>
    </row>
    <row r="293" spans="1:8">
      <c r="A293" s="375">
        <v>41949</v>
      </c>
      <c r="B293" s="379">
        <f t="shared" si="24"/>
        <v>290</v>
      </c>
      <c r="C293" s="28">
        <v>67.393905000000004</v>
      </c>
      <c r="D293" s="379">
        <f t="shared" si="20"/>
        <v>2.0397346595321206E-2</v>
      </c>
      <c r="E293" s="39">
        <v>2031.209961</v>
      </c>
      <c r="F293" s="379">
        <f t="shared" si="21"/>
        <v>3.7684038179458044E-3</v>
      </c>
      <c r="G293" s="379">
        <f t="shared" si="22"/>
        <v>2.0397346595321206E-2</v>
      </c>
      <c r="H293" s="379">
        <f t="shared" si="23"/>
        <v>3.7684038179458044E-3</v>
      </c>
    </row>
    <row r="294" spans="1:8">
      <c r="A294" s="375">
        <v>41948</v>
      </c>
      <c r="B294" s="379">
        <f t="shared" si="24"/>
        <v>291</v>
      </c>
      <c r="C294" s="28">
        <v>66.033173000000005</v>
      </c>
      <c r="D294" s="379">
        <f t="shared" si="20"/>
        <v>1.6011888639532842E-2</v>
      </c>
      <c r="E294" s="39">
        <v>2023.5699460000001</v>
      </c>
      <c r="F294" s="379">
        <f t="shared" si="21"/>
        <v>5.6843107121705662E-3</v>
      </c>
      <c r="G294" s="379">
        <f t="shared" si="22"/>
        <v>1.6011888639532842E-2</v>
      </c>
      <c r="H294" s="379">
        <f t="shared" si="23"/>
        <v>5.6843107121705662E-3</v>
      </c>
    </row>
    <row r="295" spans="1:8">
      <c r="A295" s="375">
        <v>41947</v>
      </c>
      <c r="B295" s="379">
        <f t="shared" si="24"/>
        <v>292</v>
      </c>
      <c r="C295" s="28">
        <v>64.984277000000006</v>
      </c>
      <c r="D295" s="379">
        <f t="shared" si="20"/>
        <v>-2.5695820291880382E-2</v>
      </c>
      <c r="E295" s="39">
        <v>2012.099976</v>
      </c>
      <c r="F295" s="379">
        <f t="shared" si="21"/>
        <v>-2.8338532482108702E-3</v>
      </c>
      <c r="G295" s="379">
        <f t="shared" si="22"/>
        <v>-2.5695820291880382E-2</v>
      </c>
      <c r="H295" s="379">
        <f t="shared" si="23"/>
        <v>-2.8338532482108702E-3</v>
      </c>
    </row>
    <row r="296" spans="1:8">
      <c r="A296" s="375">
        <v>41946</v>
      </c>
      <c r="B296" s="379">
        <f t="shared" si="24"/>
        <v>293</v>
      </c>
      <c r="C296" s="28">
        <v>66.675740000000005</v>
      </c>
      <c r="D296" s="379">
        <f t="shared" si="20"/>
        <v>-2.2283931717164068E-2</v>
      </c>
      <c r="E296" s="39">
        <v>2017.8100589999999</v>
      </c>
      <c r="F296" s="379">
        <f t="shared" si="21"/>
        <v>-1.1892880023623562E-4</v>
      </c>
      <c r="G296" s="379">
        <f t="shared" si="22"/>
        <v>-2.2283931717164068E-2</v>
      </c>
      <c r="H296" s="379">
        <f t="shared" si="23"/>
        <v>-1.1892880023623562E-4</v>
      </c>
    </row>
    <row r="297" spans="1:8">
      <c r="A297" s="375">
        <v>41943</v>
      </c>
      <c r="B297" s="379">
        <f t="shared" si="24"/>
        <v>294</v>
      </c>
      <c r="C297" s="28">
        <v>68.178216000000006</v>
      </c>
      <c r="D297" s="379">
        <f t="shared" si="20"/>
        <v>1.1149988537092674E-2</v>
      </c>
      <c r="E297" s="39">
        <v>2018.0500489999999</v>
      </c>
      <c r="F297" s="379">
        <f t="shared" si="21"/>
        <v>1.166311452590388E-2</v>
      </c>
      <c r="G297" s="379">
        <f t="shared" si="22"/>
        <v>1.1149988537092674E-2</v>
      </c>
      <c r="H297" s="379">
        <f t="shared" si="23"/>
        <v>1.166311452590388E-2</v>
      </c>
    </row>
    <row r="298" spans="1:8">
      <c r="A298" s="375">
        <v>41942</v>
      </c>
      <c r="B298" s="379">
        <f t="shared" si="24"/>
        <v>295</v>
      </c>
      <c r="C298" s="28">
        <v>67.422252</v>
      </c>
      <c r="D298" s="379">
        <f t="shared" si="20"/>
        <v>8.444783699906748E-3</v>
      </c>
      <c r="E298" s="39">
        <v>1994.650024</v>
      </c>
      <c r="F298" s="379">
        <f t="shared" si="21"/>
        <v>6.2107969535819749E-3</v>
      </c>
      <c r="G298" s="379">
        <f t="shared" si="22"/>
        <v>8.444783699906748E-3</v>
      </c>
      <c r="H298" s="379">
        <f t="shared" si="23"/>
        <v>6.2107969535819749E-3</v>
      </c>
    </row>
    <row r="299" spans="1:8">
      <c r="A299" s="375">
        <v>41941</v>
      </c>
      <c r="B299" s="379">
        <f t="shared" si="24"/>
        <v>296</v>
      </c>
      <c r="C299" s="28">
        <v>66.855283</v>
      </c>
      <c r="D299" s="379">
        <f t="shared" si="20"/>
        <v>7.5193502885902682E-3</v>
      </c>
      <c r="E299" s="39">
        <v>1982.3000489999999</v>
      </c>
      <c r="F299" s="379">
        <f t="shared" si="21"/>
        <v>-1.3863159905223388E-3</v>
      </c>
      <c r="G299" s="379">
        <f t="shared" si="22"/>
        <v>7.5193502885902682E-3</v>
      </c>
      <c r="H299" s="379">
        <f t="shared" si="23"/>
        <v>-1.3863159905223388E-3</v>
      </c>
    </row>
    <row r="300" spans="1:8">
      <c r="A300" s="375">
        <v>41940</v>
      </c>
      <c r="B300" s="379">
        <f t="shared" si="24"/>
        <v>297</v>
      </c>
      <c r="C300" s="28">
        <v>66.354460000000003</v>
      </c>
      <c r="D300" s="379">
        <f t="shared" si="20"/>
        <v>1.9993460408943012E-2</v>
      </c>
      <c r="E300" s="39">
        <v>1985.0500489999999</v>
      </c>
      <c r="F300" s="379">
        <f t="shared" si="21"/>
        <v>1.1868364593755272E-2</v>
      </c>
      <c r="G300" s="379">
        <f t="shared" si="22"/>
        <v>1.9993460408943012E-2</v>
      </c>
      <c r="H300" s="379">
        <f t="shared" si="23"/>
        <v>1.1868364593755272E-2</v>
      </c>
    </row>
    <row r="301" spans="1:8">
      <c r="A301" s="375">
        <v>41939</v>
      </c>
      <c r="B301" s="379">
        <f t="shared" si="24"/>
        <v>298</v>
      </c>
      <c r="C301" s="28">
        <v>65.040978999999993</v>
      </c>
      <c r="D301" s="379">
        <f t="shared" si="20"/>
        <v>-1.7855011687430887E-2</v>
      </c>
      <c r="E301" s="39">
        <v>1961.630005</v>
      </c>
      <c r="F301" s="379">
        <f t="shared" si="21"/>
        <v>-1.5026967912613247E-3</v>
      </c>
      <c r="G301" s="379">
        <f t="shared" si="22"/>
        <v>-1.7855011687430887E-2</v>
      </c>
      <c r="H301" s="379">
        <f t="shared" si="23"/>
        <v>-1.5026967912613247E-3</v>
      </c>
    </row>
    <row r="302" spans="1:8">
      <c r="A302" s="375">
        <v>41936</v>
      </c>
      <c r="B302" s="379">
        <f t="shared" si="24"/>
        <v>299</v>
      </c>
      <c r="C302" s="28">
        <v>66.212716</v>
      </c>
      <c r="D302" s="379">
        <f t="shared" si="20"/>
        <v>9.994917244652941E-4</v>
      </c>
      <c r="E302" s="39">
        <v>1964.579956</v>
      </c>
      <c r="F302" s="379">
        <f t="shared" si="21"/>
        <v>7.0286902960544542E-3</v>
      </c>
      <c r="G302" s="379">
        <f t="shared" si="22"/>
        <v>9.994917244652941E-4</v>
      </c>
      <c r="H302" s="379">
        <f t="shared" si="23"/>
        <v>7.0286902960544542E-3</v>
      </c>
    </row>
    <row r="303" spans="1:8">
      <c r="A303" s="375">
        <v>41935</v>
      </c>
      <c r="B303" s="379">
        <f t="shared" si="24"/>
        <v>300</v>
      </c>
      <c r="C303" s="28">
        <v>66.146569999999997</v>
      </c>
      <c r="D303" s="379">
        <f t="shared" si="20"/>
        <v>8.0321326832214317E-3</v>
      </c>
      <c r="E303" s="39">
        <v>1950.8199460000001</v>
      </c>
      <c r="F303" s="379">
        <f t="shared" si="21"/>
        <v>1.2228305755854488E-2</v>
      </c>
      <c r="G303" s="379">
        <f t="shared" si="22"/>
        <v>8.0321326832214317E-3</v>
      </c>
      <c r="H303" s="379">
        <f t="shared" si="23"/>
        <v>1.2228305755854488E-2</v>
      </c>
    </row>
    <row r="304" spans="1:8">
      <c r="A304" s="375">
        <v>41934</v>
      </c>
      <c r="B304" s="379">
        <f t="shared" si="24"/>
        <v>301</v>
      </c>
      <c r="C304" s="28">
        <v>65.617400000000004</v>
      </c>
      <c r="D304" s="379">
        <f t="shared" si="20"/>
        <v>-1.6425320725661937E-2</v>
      </c>
      <c r="E304" s="39">
        <v>1927.1099850000001</v>
      </c>
      <c r="F304" s="379">
        <f t="shared" si="21"/>
        <v>-7.3261006911145487E-3</v>
      </c>
      <c r="G304" s="379">
        <f t="shared" si="22"/>
        <v>-1.6425320725661937E-2</v>
      </c>
      <c r="H304" s="379">
        <f t="shared" si="23"/>
        <v>-7.3261006911145487E-3</v>
      </c>
    </row>
    <row r="305" spans="1:8">
      <c r="A305" s="375">
        <v>41933</v>
      </c>
      <c r="B305" s="379">
        <f t="shared" si="24"/>
        <v>302</v>
      </c>
      <c r="C305" s="28">
        <v>66.704087000000001</v>
      </c>
      <c r="D305" s="379">
        <f t="shared" si="20"/>
        <v>2.5248708005406129E-2</v>
      </c>
      <c r="E305" s="39">
        <v>1941.280029</v>
      </c>
      <c r="F305" s="379">
        <f t="shared" si="21"/>
        <v>1.9385370551728141E-2</v>
      </c>
      <c r="G305" s="379">
        <f t="shared" si="22"/>
        <v>2.5248708005406129E-2</v>
      </c>
      <c r="H305" s="379">
        <f t="shared" si="23"/>
        <v>1.9385370551728141E-2</v>
      </c>
    </row>
    <row r="306" spans="1:8">
      <c r="A306" s="375">
        <v>41932</v>
      </c>
      <c r="B306" s="379">
        <f t="shared" si="24"/>
        <v>303</v>
      </c>
      <c r="C306" s="28">
        <v>65.040978999999993</v>
      </c>
      <c r="D306" s="379">
        <f t="shared" si="20"/>
        <v>1.0956207976219308E-2</v>
      </c>
      <c r="E306" s="39">
        <v>1904.01001</v>
      </c>
      <c r="F306" s="379">
        <f t="shared" si="21"/>
        <v>9.1011161201558465E-3</v>
      </c>
      <c r="G306" s="379">
        <f t="shared" si="22"/>
        <v>1.0956207976219308E-2</v>
      </c>
      <c r="H306" s="379">
        <f t="shared" si="23"/>
        <v>9.1011161201558465E-3</v>
      </c>
    </row>
    <row r="307" spans="1:8">
      <c r="A307" s="375">
        <v>41929</v>
      </c>
      <c r="B307" s="379">
        <f t="shared" si="24"/>
        <v>304</v>
      </c>
      <c r="C307" s="28">
        <v>64.332266000000004</v>
      </c>
      <c r="D307" s="379">
        <f t="shared" si="20"/>
        <v>1.7036207985134375E-2</v>
      </c>
      <c r="E307" s="39">
        <v>1886.76001</v>
      </c>
      <c r="F307" s="379">
        <f t="shared" si="21"/>
        <v>1.2801813375545616E-2</v>
      </c>
      <c r="G307" s="379">
        <f t="shared" si="22"/>
        <v>1.7036207985134375E-2</v>
      </c>
      <c r="H307" s="379">
        <f t="shared" si="23"/>
        <v>1.2801813375545616E-2</v>
      </c>
    </row>
    <row r="308" spans="1:8">
      <c r="A308" s="375">
        <v>41928</v>
      </c>
      <c r="B308" s="379">
        <f t="shared" si="24"/>
        <v>305</v>
      </c>
      <c r="C308" s="28">
        <v>63.245570999999998</v>
      </c>
      <c r="D308" s="379">
        <f t="shared" si="20"/>
        <v>1.0211837265289408E-2</v>
      </c>
      <c r="E308" s="39">
        <v>1862.76001</v>
      </c>
      <c r="F308" s="379">
        <f t="shared" si="21"/>
        <v>1.449674521026141E-4</v>
      </c>
      <c r="G308" s="379">
        <f t="shared" si="22"/>
        <v>1.0211837265289408E-2</v>
      </c>
      <c r="H308" s="379">
        <f t="shared" si="23"/>
        <v>1.449674521026141E-4</v>
      </c>
    </row>
    <row r="309" spans="1:8">
      <c r="A309" s="375">
        <v>41927</v>
      </c>
      <c r="B309" s="379">
        <f t="shared" si="24"/>
        <v>306</v>
      </c>
      <c r="C309" s="28">
        <v>62.603003999999999</v>
      </c>
      <c r="D309" s="379">
        <f t="shared" si="20"/>
        <v>7.5505707115417658E-4</v>
      </c>
      <c r="E309" s="39">
        <v>1862.48999</v>
      </c>
      <c r="F309" s="379">
        <f t="shared" si="21"/>
        <v>-8.1333007603821214E-3</v>
      </c>
      <c r="G309" s="379">
        <f t="shared" si="22"/>
        <v>7.5505707115417658E-4</v>
      </c>
      <c r="H309" s="379">
        <f t="shared" si="23"/>
        <v>-8.1333007603821214E-3</v>
      </c>
    </row>
    <row r="310" spans="1:8">
      <c r="A310" s="375">
        <v>41926</v>
      </c>
      <c r="B310" s="379">
        <f t="shared" si="24"/>
        <v>307</v>
      </c>
      <c r="C310" s="28">
        <v>62.555753000000003</v>
      </c>
      <c r="D310" s="379">
        <f t="shared" si="20"/>
        <v>-2.7856166809711373E-2</v>
      </c>
      <c r="E310" s="39">
        <v>1877.6999510000001</v>
      </c>
      <c r="F310" s="379">
        <f t="shared" si="21"/>
        <v>1.5776197143493004E-3</v>
      </c>
      <c r="G310" s="379">
        <f t="shared" si="22"/>
        <v>-2.7856166809711373E-2</v>
      </c>
      <c r="H310" s="379">
        <f t="shared" si="23"/>
        <v>1.5776197143493004E-3</v>
      </c>
    </row>
    <row r="311" spans="1:8">
      <c r="A311" s="375">
        <v>41925</v>
      </c>
      <c r="B311" s="379">
        <f t="shared" si="24"/>
        <v>308</v>
      </c>
      <c r="C311" s="28">
        <v>64.322813999999994</v>
      </c>
      <c r="D311" s="379">
        <f t="shared" si="20"/>
        <v>-3.3088350897027649E-2</v>
      </c>
      <c r="E311" s="39">
        <v>1874.73999</v>
      </c>
      <c r="F311" s="379">
        <f t="shared" si="21"/>
        <v>-1.6605033389019107E-2</v>
      </c>
      <c r="G311" s="379">
        <f t="shared" si="22"/>
        <v>-3.3088350897027649E-2</v>
      </c>
      <c r="H311" s="379">
        <f t="shared" si="23"/>
        <v>-1.6605033389019107E-2</v>
      </c>
    </row>
    <row r="312" spans="1:8">
      <c r="A312" s="375">
        <v>41922</v>
      </c>
      <c r="B312" s="379">
        <f t="shared" si="24"/>
        <v>309</v>
      </c>
      <c r="C312" s="28">
        <v>66.486752999999993</v>
      </c>
      <c r="D312" s="379">
        <f t="shared" si="20"/>
        <v>-1.5233044994732893E-2</v>
      </c>
      <c r="E312" s="39">
        <v>1906.130005</v>
      </c>
      <c r="F312" s="379">
        <f t="shared" si="21"/>
        <v>-1.1517079997145095E-2</v>
      </c>
      <c r="G312" s="379">
        <f t="shared" si="22"/>
        <v>-1.5233044994732893E-2</v>
      </c>
      <c r="H312" s="379">
        <f t="shared" si="23"/>
        <v>-1.1517079997145095E-2</v>
      </c>
    </row>
    <row r="313" spans="1:8">
      <c r="A313" s="375">
        <v>41921</v>
      </c>
      <c r="B313" s="379">
        <f t="shared" si="24"/>
        <v>310</v>
      </c>
      <c r="C313" s="28">
        <v>67.507301999999996</v>
      </c>
      <c r="D313" s="379">
        <f t="shared" si="20"/>
        <v>-3.2500731305238284E-2</v>
      </c>
      <c r="E313" s="39">
        <v>1928.209961</v>
      </c>
      <c r="F313" s="379">
        <f t="shared" si="21"/>
        <v>-2.0877848600460262E-2</v>
      </c>
      <c r="G313" s="379">
        <f t="shared" si="22"/>
        <v>-3.2500731305238284E-2</v>
      </c>
      <c r="H313" s="379">
        <f t="shared" si="23"/>
        <v>-2.0877848600460262E-2</v>
      </c>
    </row>
    <row r="314" spans="1:8">
      <c r="A314" s="375">
        <v>41920</v>
      </c>
      <c r="B314" s="379">
        <f t="shared" si="24"/>
        <v>311</v>
      </c>
      <c r="C314" s="28">
        <v>69.737381999999997</v>
      </c>
      <c r="D314" s="379">
        <f t="shared" si="20"/>
        <v>8.3535171960946383E-3</v>
      </c>
      <c r="E314" s="39">
        <v>1968.8900149999999</v>
      </c>
      <c r="F314" s="379">
        <f t="shared" si="21"/>
        <v>1.7310947462643108E-2</v>
      </c>
      <c r="G314" s="379">
        <f t="shared" si="22"/>
        <v>8.3535171960946383E-3</v>
      </c>
      <c r="H314" s="379">
        <f t="shared" si="23"/>
        <v>1.7310947462643108E-2</v>
      </c>
    </row>
    <row r="315" spans="1:8">
      <c r="A315" s="375">
        <v>41919</v>
      </c>
      <c r="B315" s="379">
        <f t="shared" si="24"/>
        <v>312</v>
      </c>
      <c r="C315" s="28">
        <v>69.157256000000004</v>
      </c>
      <c r="D315" s="379">
        <f t="shared" si="20"/>
        <v>-1.4106439860551118E-2</v>
      </c>
      <c r="E315" s="39">
        <v>1935.099976</v>
      </c>
      <c r="F315" s="379">
        <f t="shared" si="21"/>
        <v>-1.5241618258034852E-2</v>
      </c>
      <c r="G315" s="379">
        <f t="shared" si="22"/>
        <v>-1.4106439860551118E-2</v>
      </c>
      <c r="H315" s="379">
        <f t="shared" si="23"/>
        <v>-1.5241618258034852E-2</v>
      </c>
    </row>
    <row r="316" spans="1:8">
      <c r="A316" s="375">
        <v>41918</v>
      </c>
      <c r="B316" s="379">
        <f t="shared" si="24"/>
        <v>313</v>
      </c>
      <c r="C316" s="28">
        <v>70.139731999999995</v>
      </c>
      <c r="D316" s="379">
        <f t="shared" si="20"/>
        <v>2.5379438233347467E-3</v>
      </c>
      <c r="E316" s="39">
        <v>1964.8199460000001</v>
      </c>
      <c r="F316" s="379">
        <f t="shared" si="21"/>
        <v>-1.5663859381090063E-3</v>
      </c>
      <c r="G316" s="379">
        <f t="shared" si="22"/>
        <v>2.5379438233347467E-3</v>
      </c>
      <c r="H316" s="379">
        <f t="shared" si="23"/>
        <v>-1.5663859381090063E-3</v>
      </c>
    </row>
    <row r="317" spans="1:8">
      <c r="A317" s="375">
        <v>41915</v>
      </c>
      <c r="B317" s="379">
        <f t="shared" si="24"/>
        <v>314</v>
      </c>
      <c r="C317" s="28">
        <v>69.961946999999995</v>
      </c>
      <c r="D317" s="379">
        <f t="shared" si="20"/>
        <v>1.0704400259923994E-3</v>
      </c>
      <c r="E317" s="39">
        <v>1967.900024</v>
      </c>
      <c r="F317" s="379">
        <f t="shared" si="21"/>
        <v>1.110363528539427E-2</v>
      </c>
      <c r="G317" s="379">
        <f t="shared" si="22"/>
        <v>1.0704400259923994E-3</v>
      </c>
      <c r="H317" s="379">
        <f t="shared" si="23"/>
        <v>1.110363528539427E-2</v>
      </c>
    </row>
    <row r="318" spans="1:8">
      <c r="A318" s="375">
        <v>41914</v>
      </c>
      <c r="B318" s="379">
        <f t="shared" si="24"/>
        <v>315</v>
      </c>
      <c r="C318" s="28">
        <v>69.887096999999997</v>
      </c>
      <c r="D318" s="379">
        <f t="shared" si="20"/>
        <v>-4.1418620407863791E-3</v>
      </c>
      <c r="E318" s="39">
        <v>1946.170044</v>
      </c>
      <c r="F318" s="379">
        <f t="shared" si="21"/>
        <v>5.143448679498555E-6</v>
      </c>
      <c r="G318" s="379">
        <f t="shared" si="22"/>
        <v>-4.1418620407863791E-3</v>
      </c>
      <c r="H318" s="379">
        <f t="shared" si="23"/>
        <v>5.143448679498555E-6</v>
      </c>
    </row>
    <row r="319" spans="1:8">
      <c r="A319" s="375">
        <v>41913</v>
      </c>
      <c r="B319" s="379">
        <f t="shared" si="24"/>
        <v>316</v>
      </c>
      <c r="C319" s="28">
        <v>70.177160000000001</v>
      </c>
      <c r="D319" s="379">
        <f t="shared" si="20"/>
        <v>-2.0063987608943974E-2</v>
      </c>
      <c r="E319" s="39">
        <v>1946.160034</v>
      </c>
      <c r="F319" s="379">
        <f t="shared" si="21"/>
        <v>-1.3337106173277633E-2</v>
      </c>
      <c r="G319" s="379">
        <f t="shared" si="22"/>
        <v>-2.0063987608943974E-2</v>
      </c>
      <c r="H319" s="379">
        <f t="shared" si="23"/>
        <v>-1.3337106173277633E-2</v>
      </c>
    </row>
    <row r="320" spans="1:8">
      <c r="A320" s="375">
        <v>41912</v>
      </c>
      <c r="B320" s="379">
        <f t="shared" si="24"/>
        <v>317</v>
      </c>
      <c r="C320" s="28">
        <v>71.599413999999996</v>
      </c>
      <c r="D320" s="379">
        <f t="shared" si="20"/>
        <v>-1.7103293822447171E-2</v>
      </c>
      <c r="E320" s="39">
        <v>1972.290039</v>
      </c>
      <c r="F320" s="379">
        <f t="shared" si="21"/>
        <v>-2.7898166629031391E-3</v>
      </c>
      <c r="G320" s="379">
        <f t="shared" si="22"/>
        <v>-1.7103293822447171E-2</v>
      </c>
      <c r="H320" s="379">
        <f t="shared" si="23"/>
        <v>-2.7898166629031391E-3</v>
      </c>
    </row>
    <row r="321" spans="1:8">
      <c r="A321" s="375">
        <v>41911</v>
      </c>
      <c r="B321" s="379">
        <f t="shared" si="24"/>
        <v>318</v>
      </c>
      <c r="C321" s="28">
        <v>72.834531999999996</v>
      </c>
      <c r="D321" s="379">
        <f t="shared" si="20"/>
        <v>-3.5907540523933612E-3</v>
      </c>
      <c r="E321" s="39">
        <v>1977.8000489999999</v>
      </c>
      <c r="F321" s="379">
        <f t="shared" si="21"/>
        <v>-2.5500509788356071E-3</v>
      </c>
      <c r="G321" s="379">
        <f t="shared" si="22"/>
        <v>-3.5907540523933612E-3</v>
      </c>
      <c r="H321" s="379">
        <f t="shared" si="23"/>
        <v>-2.5500509788356071E-3</v>
      </c>
    </row>
    <row r="322" spans="1:8">
      <c r="A322" s="375">
        <v>41908</v>
      </c>
      <c r="B322" s="379">
        <f t="shared" si="24"/>
        <v>319</v>
      </c>
      <c r="C322" s="28">
        <v>73.096532999999994</v>
      </c>
      <c r="D322" s="379">
        <f t="shared" si="20"/>
        <v>7.0653993302688001E-3</v>
      </c>
      <c r="E322" s="39">
        <v>1982.849976</v>
      </c>
      <c r="F322" s="379">
        <f t="shared" si="21"/>
        <v>8.5392614520381476E-3</v>
      </c>
      <c r="G322" s="379">
        <f t="shared" si="22"/>
        <v>7.0653993302688001E-3</v>
      </c>
      <c r="H322" s="379">
        <f t="shared" si="23"/>
        <v>8.5392614520381476E-3</v>
      </c>
    </row>
    <row r="323" spans="1:8">
      <c r="A323" s="375">
        <v>41907</v>
      </c>
      <c r="B323" s="379">
        <f t="shared" si="24"/>
        <v>320</v>
      </c>
      <c r="C323" s="28">
        <v>72.581896999999998</v>
      </c>
      <c r="D323" s="379">
        <f t="shared" si="20"/>
        <v>-1.4716514784066971E-2</v>
      </c>
      <c r="E323" s="39">
        <v>1965.98999</v>
      </c>
      <c r="F323" s="379">
        <f t="shared" si="21"/>
        <v>-1.6300913470395792E-2</v>
      </c>
      <c r="G323" s="379">
        <f t="shared" si="22"/>
        <v>-1.4716514784066971E-2</v>
      </c>
      <c r="H323" s="379">
        <f t="shared" si="23"/>
        <v>-1.6300913470395792E-2</v>
      </c>
    </row>
    <row r="324" spans="1:8">
      <c r="A324" s="375">
        <v>41906</v>
      </c>
      <c r="B324" s="379">
        <f t="shared" si="24"/>
        <v>321</v>
      </c>
      <c r="C324" s="28">
        <v>73.657948000000005</v>
      </c>
      <c r="D324" s="379">
        <f t="shared" ref="D324:D387" si="25">LN(C324/C325)</f>
        <v>-2.4107485133938846E-3</v>
      </c>
      <c r="E324" s="39">
        <v>1998.3000489999999</v>
      </c>
      <c r="F324" s="379">
        <f t="shared" ref="F324:F387" si="26">LN(E324/E325)</f>
        <v>7.8019766082534792E-3</v>
      </c>
      <c r="G324" s="379">
        <f t="shared" ref="G324:G387" si="27">IF(B324&lt;$D$1+1,D324,0)</f>
        <v>-2.4107485133938846E-3</v>
      </c>
      <c r="H324" s="379">
        <f t="shared" ref="H324:H387" si="28">IF(B324&lt;$D$1+1,F324,0)</f>
        <v>7.8019766082534792E-3</v>
      </c>
    </row>
    <row r="325" spans="1:8">
      <c r="A325" s="375">
        <v>41905</v>
      </c>
      <c r="B325" s="379">
        <f t="shared" si="24"/>
        <v>322</v>
      </c>
      <c r="C325" s="28">
        <v>73.835733000000005</v>
      </c>
      <c r="D325" s="379">
        <f t="shared" si="25"/>
        <v>-9.7106031861984091E-3</v>
      </c>
      <c r="E325" s="39">
        <v>1982.7700199999999</v>
      </c>
      <c r="F325" s="379">
        <f t="shared" si="26"/>
        <v>-5.7932498118750831E-3</v>
      </c>
      <c r="G325" s="379">
        <f t="shared" si="27"/>
        <v>-9.7106031861984091E-3</v>
      </c>
      <c r="H325" s="379">
        <f t="shared" si="28"/>
        <v>-5.7932498118750831E-3</v>
      </c>
    </row>
    <row r="326" spans="1:8">
      <c r="A326" s="375">
        <v>41904</v>
      </c>
      <c r="B326" s="379">
        <f t="shared" ref="B326:B389" si="29">B325+1</f>
        <v>323</v>
      </c>
      <c r="C326" s="28">
        <v>74.556214999999995</v>
      </c>
      <c r="D326" s="379">
        <f t="shared" si="25"/>
        <v>-1.0983608428442915E-2</v>
      </c>
      <c r="E326" s="39">
        <v>1994.290039</v>
      </c>
      <c r="F326" s="379">
        <f t="shared" si="26"/>
        <v>-8.0456023555977706E-3</v>
      </c>
      <c r="G326" s="379">
        <f t="shared" si="27"/>
        <v>-1.0983608428442915E-2</v>
      </c>
      <c r="H326" s="379">
        <f t="shared" si="28"/>
        <v>-8.0456023555977706E-3</v>
      </c>
    </row>
    <row r="327" spans="1:8">
      <c r="A327" s="375">
        <v>41901</v>
      </c>
      <c r="B327" s="379">
        <f t="shared" si="29"/>
        <v>324</v>
      </c>
      <c r="C327" s="28">
        <v>75.379625000000004</v>
      </c>
      <c r="D327" s="379">
        <f t="shared" si="25"/>
        <v>7.3506398022107804E-3</v>
      </c>
      <c r="E327" s="39">
        <v>2010.400024</v>
      </c>
      <c r="F327" s="379">
        <f t="shared" si="26"/>
        <v>-4.7738354157513045E-4</v>
      </c>
      <c r="G327" s="379">
        <f t="shared" si="27"/>
        <v>7.3506398022107804E-3</v>
      </c>
      <c r="H327" s="379">
        <f t="shared" si="28"/>
        <v>-4.7738354157513045E-4</v>
      </c>
    </row>
    <row r="328" spans="1:8">
      <c r="A328" s="375">
        <v>41900</v>
      </c>
      <c r="B328" s="379">
        <f t="shared" si="29"/>
        <v>325</v>
      </c>
      <c r="C328" s="28">
        <v>74.827567999999999</v>
      </c>
      <c r="D328" s="379">
        <f t="shared" si="25"/>
        <v>-8.3432137980347723E-3</v>
      </c>
      <c r="E328" s="39">
        <v>2011.3599850000001</v>
      </c>
      <c r="F328" s="379">
        <f t="shared" si="26"/>
        <v>4.8792570969692309E-3</v>
      </c>
      <c r="G328" s="379">
        <f t="shared" si="27"/>
        <v>-8.3432137980347723E-3</v>
      </c>
      <c r="H328" s="379">
        <f t="shared" si="28"/>
        <v>4.8792570969692309E-3</v>
      </c>
    </row>
    <row r="329" spans="1:8">
      <c r="A329" s="375">
        <v>41899</v>
      </c>
      <c r="B329" s="379">
        <f t="shared" si="29"/>
        <v>326</v>
      </c>
      <c r="C329" s="28">
        <v>75.454481999999999</v>
      </c>
      <c r="D329" s="379">
        <f t="shared" si="25"/>
        <v>-1.3631643873447954E-3</v>
      </c>
      <c r="E329" s="39">
        <v>2001.5699460000001</v>
      </c>
      <c r="F329" s="379">
        <f t="shared" si="26"/>
        <v>1.2948051691653573E-3</v>
      </c>
      <c r="G329" s="379">
        <f t="shared" si="27"/>
        <v>-1.3631643873447954E-3</v>
      </c>
      <c r="H329" s="379">
        <f t="shared" si="28"/>
        <v>1.2948051691653573E-3</v>
      </c>
    </row>
    <row r="330" spans="1:8">
      <c r="A330" s="375">
        <v>41898</v>
      </c>
      <c r="B330" s="379">
        <f t="shared" si="29"/>
        <v>327</v>
      </c>
      <c r="C330" s="28">
        <v>75.557409000000007</v>
      </c>
      <c r="D330" s="379">
        <f t="shared" si="25"/>
        <v>1.6859568529879455E-2</v>
      </c>
      <c r="E330" s="39">
        <v>1998.9799800000001</v>
      </c>
      <c r="F330" s="379">
        <f t="shared" si="26"/>
        <v>7.4565070309994264E-3</v>
      </c>
      <c r="G330" s="379">
        <f t="shared" si="27"/>
        <v>1.6859568529879455E-2</v>
      </c>
      <c r="H330" s="379">
        <f t="shared" si="28"/>
        <v>7.4565070309994264E-3</v>
      </c>
    </row>
    <row r="331" spans="1:8">
      <c r="A331" s="375">
        <v>41897</v>
      </c>
      <c r="B331" s="379">
        <f t="shared" si="29"/>
        <v>328</v>
      </c>
      <c r="C331" s="28">
        <v>74.294222000000005</v>
      </c>
      <c r="D331" s="379">
        <f t="shared" si="25"/>
        <v>1.2036947426439877E-2</v>
      </c>
      <c r="E331" s="39">
        <v>1984.130005</v>
      </c>
      <c r="F331" s="379">
        <f t="shared" si="26"/>
        <v>-7.1040365756933814E-4</v>
      </c>
      <c r="G331" s="379">
        <f t="shared" si="27"/>
        <v>1.2036947426439877E-2</v>
      </c>
      <c r="H331" s="379">
        <f t="shared" si="28"/>
        <v>-7.1040365756933814E-4</v>
      </c>
    </row>
    <row r="332" spans="1:8">
      <c r="A332" s="375">
        <v>41894</v>
      </c>
      <c r="B332" s="379">
        <f t="shared" si="29"/>
        <v>329</v>
      </c>
      <c r="C332" s="28">
        <v>73.405306999999993</v>
      </c>
      <c r="D332" s="379">
        <f t="shared" si="25"/>
        <v>-1.178497146063583E-2</v>
      </c>
      <c r="E332" s="39">
        <v>1985.540039</v>
      </c>
      <c r="F332" s="379">
        <f t="shared" si="26"/>
        <v>-5.9804054374368917E-3</v>
      </c>
      <c r="G332" s="379">
        <f t="shared" si="27"/>
        <v>-1.178497146063583E-2</v>
      </c>
      <c r="H332" s="379">
        <f t="shared" si="28"/>
        <v>-5.9804054374368917E-3</v>
      </c>
    </row>
    <row r="333" spans="1:8">
      <c r="A333" s="375">
        <v>41893</v>
      </c>
      <c r="B333" s="379">
        <f t="shared" si="29"/>
        <v>330</v>
      </c>
      <c r="C333" s="28">
        <v>74.275503999999998</v>
      </c>
      <c r="D333" s="379">
        <f t="shared" si="25"/>
        <v>4.9251821821820812E-3</v>
      </c>
      <c r="E333" s="39">
        <v>1997.4499510000001</v>
      </c>
      <c r="F333" s="379">
        <f t="shared" si="26"/>
        <v>8.8151688223948085E-4</v>
      </c>
      <c r="G333" s="379">
        <f t="shared" si="27"/>
        <v>4.9251821821820812E-3</v>
      </c>
      <c r="H333" s="379">
        <f t="shared" si="28"/>
        <v>8.8151688223948085E-4</v>
      </c>
    </row>
    <row r="334" spans="1:8">
      <c r="A334" s="375">
        <v>41892</v>
      </c>
      <c r="B334" s="379">
        <f t="shared" si="29"/>
        <v>331</v>
      </c>
      <c r="C334" s="28">
        <v>73.910583000000003</v>
      </c>
      <c r="D334" s="379">
        <f t="shared" si="25"/>
        <v>3.7985536668800544E-4</v>
      </c>
      <c r="E334" s="39">
        <v>1995.6899410000001</v>
      </c>
      <c r="F334" s="379">
        <f t="shared" si="26"/>
        <v>3.6394436011098351E-3</v>
      </c>
      <c r="G334" s="379">
        <f t="shared" si="27"/>
        <v>3.7985536668800544E-4</v>
      </c>
      <c r="H334" s="379">
        <f t="shared" si="28"/>
        <v>3.6394436011098351E-3</v>
      </c>
    </row>
    <row r="335" spans="1:8">
      <c r="A335" s="375">
        <v>41891</v>
      </c>
      <c r="B335" s="379">
        <f t="shared" si="29"/>
        <v>332</v>
      </c>
      <c r="C335" s="28">
        <v>73.882513000000003</v>
      </c>
      <c r="D335" s="379">
        <f t="shared" si="25"/>
        <v>-8.8613639552489239E-4</v>
      </c>
      <c r="E335" s="39">
        <v>1988.4399410000001</v>
      </c>
      <c r="F335" s="379">
        <f t="shared" si="26"/>
        <v>-6.5665217057652601E-3</v>
      </c>
      <c r="G335" s="379">
        <f t="shared" si="27"/>
        <v>-8.8613639552489239E-4</v>
      </c>
      <c r="H335" s="379">
        <f t="shared" si="28"/>
        <v>-6.5665217057652601E-3</v>
      </c>
    </row>
    <row r="336" spans="1:8">
      <c r="A336" s="375">
        <v>41890</v>
      </c>
      <c r="B336" s="379">
        <f t="shared" si="29"/>
        <v>333</v>
      </c>
      <c r="C336" s="28">
        <v>73.948012000000006</v>
      </c>
      <c r="D336" s="379">
        <f t="shared" si="25"/>
        <v>-1.6564564916147193E-2</v>
      </c>
      <c r="E336" s="39">
        <v>2001.540039</v>
      </c>
      <c r="F336" s="379">
        <f t="shared" si="26"/>
        <v>-3.0778459166717516E-3</v>
      </c>
      <c r="G336" s="379">
        <f t="shared" si="27"/>
        <v>-1.6564564916147193E-2</v>
      </c>
      <c r="H336" s="379">
        <f t="shared" si="28"/>
        <v>-3.0778459166717516E-3</v>
      </c>
    </row>
    <row r="337" spans="1:8">
      <c r="A337" s="375">
        <v>41887</v>
      </c>
      <c r="B337" s="379">
        <f t="shared" si="29"/>
        <v>334</v>
      </c>
      <c r="C337" s="28">
        <v>75.183130000000006</v>
      </c>
      <c r="D337" s="379">
        <f t="shared" si="25"/>
        <v>6.2422211537922411E-3</v>
      </c>
      <c r="E337" s="39">
        <v>2007.709961</v>
      </c>
      <c r="F337" s="379">
        <f t="shared" si="26"/>
        <v>5.0232479433631322E-3</v>
      </c>
      <c r="G337" s="379">
        <f t="shared" si="27"/>
        <v>6.2422211537922411E-3</v>
      </c>
      <c r="H337" s="379">
        <f t="shared" si="28"/>
        <v>5.0232479433631322E-3</v>
      </c>
    </row>
    <row r="338" spans="1:8">
      <c r="A338" s="375">
        <v>41886</v>
      </c>
      <c r="B338" s="379">
        <f t="shared" si="29"/>
        <v>335</v>
      </c>
      <c r="C338" s="28">
        <v>74.715282000000002</v>
      </c>
      <c r="D338" s="379">
        <f t="shared" si="25"/>
        <v>-1.3063986040239855E-2</v>
      </c>
      <c r="E338" s="39">
        <v>1997.650024</v>
      </c>
      <c r="F338" s="379">
        <f t="shared" si="26"/>
        <v>-1.5355995603710607E-3</v>
      </c>
      <c r="G338" s="379">
        <f t="shared" si="27"/>
        <v>-1.3063986040239855E-2</v>
      </c>
      <c r="H338" s="379">
        <f t="shared" si="28"/>
        <v>-1.5355995603710607E-3</v>
      </c>
    </row>
    <row r="339" spans="1:8">
      <c r="A339" s="375">
        <v>41885</v>
      </c>
      <c r="B339" s="379">
        <f t="shared" si="29"/>
        <v>336</v>
      </c>
      <c r="C339" s="28">
        <v>75.697765000000004</v>
      </c>
      <c r="D339" s="379">
        <f t="shared" si="25"/>
        <v>8.4409646282655407E-3</v>
      </c>
      <c r="E339" s="39">
        <v>2000.719971</v>
      </c>
      <c r="F339" s="379">
        <f t="shared" si="26"/>
        <v>-7.7944445614907946E-4</v>
      </c>
      <c r="G339" s="379">
        <f t="shared" si="27"/>
        <v>8.4409646282655407E-3</v>
      </c>
      <c r="H339" s="379">
        <f t="shared" si="28"/>
        <v>-7.7944445614907946E-4</v>
      </c>
    </row>
    <row r="340" spans="1:8">
      <c r="A340" s="375">
        <v>41884</v>
      </c>
      <c r="B340" s="379">
        <f t="shared" si="29"/>
        <v>337</v>
      </c>
      <c r="C340" s="28">
        <v>75.061492000000001</v>
      </c>
      <c r="D340" s="379">
        <f t="shared" si="25"/>
        <v>-1.2388655502722952E-2</v>
      </c>
      <c r="E340" s="39">
        <v>2002.280029</v>
      </c>
      <c r="F340" s="379">
        <f t="shared" si="26"/>
        <v>-5.4421430747598944E-4</v>
      </c>
      <c r="G340" s="379">
        <f t="shared" si="27"/>
        <v>-1.2388655502722952E-2</v>
      </c>
      <c r="H340" s="379">
        <f t="shared" si="28"/>
        <v>-5.4421430747598944E-4</v>
      </c>
    </row>
    <row r="341" spans="1:8">
      <c r="A341" s="375">
        <v>41880</v>
      </c>
      <c r="B341" s="379">
        <f t="shared" si="29"/>
        <v>338</v>
      </c>
      <c r="C341" s="28">
        <v>75.997186999999997</v>
      </c>
      <c r="D341" s="379">
        <f t="shared" si="25"/>
        <v>6.918700091528846E-3</v>
      </c>
      <c r="E341" s="39">
        <v>2003.369995</v>
      </c>
      <c r="F341" s="379">
        <f t="shared" si="26"/>
        <v>3.3149143879035695E-3</v>
      </c>
      <c r="G341" s="379">
        <f t="shared" si="27"/>
        <v>6.918700091528846E-3</v>
      </c>
      <c r="H341" s="379">
        <f t="shared" si="28"/>
        <v>3.3149143879035695E-3</v>
      </c>
    </row>
    <row r="342" spans="1:8">
      <c r="A342" s="375">
        <v>41879</v>
      </c>
      <c r="B342" s="379">
        <f t="shared" si="29"/>
        <v>339</v>
      </c>
      <c r="C342" s="28">
        <v>75.473200000000006</v>
      </c>
      <c r="D342" s="379">
        <f t="shared" si="25"/>
        <v>-4.5766097933891327E-3</v>
      </c>
      <c r="E342" s="39">
        <v>1996.73999</v>
      </c>
      <c r="F342" s="379">
        <f t="shared" si="26"/>
        <v>-1.6913306037346758E-3</v>
      </c>
      <c r="G342" s="379">
        <f t="shared" si="27"/>
        <v>-4.5766097933891327E-3</v>
      </c>
      <c r="H342" s="379">
        <f t="shared" si="28"/>
        <v>-1.6913306037346758E-3</v>
      </c>
    </row>
    <row r="343" spans="1:8">
      <c r="A343" s="375">
        <v>41878</v>
      </c>
      <c r="B343" s="379">
        <f t="shared" si="29"/>
        <v>340</v>
      </c>
      <c r="C343" s="28">
        <v>75.819402999999994</v>
      </c>
      <c r="D343" s="379">
        <f t="shared" si="25"/>
        <v>6.0654775006280326E-3</v>
      </c>
      <c r="E343" s="39">
        <v>2000.119995</v>
      </c>
      <c r="F343" s="379">
        <f t="shared" si="26"/>
        <v>4.9985750321780398E-5</v>
      </c>
      <c r="G343" s="379">
        <f t="shared" si="27"/>
        <v>6.0654775006280326E-3</v>
      </c>
      <c r="H343" s="379">
        <f t="shared" si="28"/>
        <v>4.9985750321780398E-5</v>
      </c>
    </row>
    <row r="344" spans="1:8">
      <c r="A344" s="375">
        <v>41877</v>
      </c>
      <c r="B344" s="379">
        <f t="shared" si="29"/>
        <v>341</v>
      </c>
      <c r="C344" s="28">
        <v>75.360913999999994</v>
      </c>
      <c r="D344" s="379">
        <f t="shared" si="25"/>
        <v>-3.2230388728894423E-3</v>
      </c>
      <c r="E344" s="39">
        <v>2000.0200199999999</v>
      </c>
      <c r="F344" s="379">
        <f t="shared" si="26"/>
        <v>1.050529102244025E-3</v>
      </c>
      <c r="G344" s="379">
        <f t="shared" si="27"/>
        <v>-3.2230388728894423E-3</v>
      </c>
      <c r="H344" s="379">
        <f t="shared" si="28"/>
        <v>1.050529102244025E-3</v>
      </c>
    </row>
    <row r="345" spans="1:8">
      <c r="A345" s="375">
        <v>41876</v>
      </c>
      <c r="B345" s="379">
        <f t="shared" si="29"/>
        <v>342</v>
      </c>
      <c r="C345" s="28">
        <v>75.604196999999999</v>
      </c>
      <c r="D345" s="379">
        <f t="shared" si="25"/>
        <v>6.9548953393596602E-3</v>
      </c>
      <c r="E345" s="39">
        <v>1997.920044</v>
      </c>
      <c r="F345" s="379">
        <f t="shared" si="26"/>
        <v>4.7763540992150867E-3</v>
      </c>
      <c r="G345" s="379">
        <f t="shared" si="27"/>
        <v>6.9548953393596602E-3</v>
      </c>
      <c r="H345" s="379">
        <f t="shared" si="28"/>
        <v>4.7763540992150867E-3</v>
      </c>
    </row>
    <row r="346" spans="1:8">
      <c r="A346" s="375">
        <v>41873</v>
      </c>
      <c r="B346" s="379">
        <f t="shared" si="29"/>
        <v>343</v>
      </c>
      <c r="C346" s="28">
        <v>75.080202</v>
      </c>
      <c r="D346" s="379">
        <f t="shared" si="25"/>
        <v>-9.1801378911830836E-3</v>
      </c>
      <c r="E346" s="39">
        <v>1988.400024</v>
      </c>
      <c r="F346" s="379">
        <f t="shared" si="26"/>
        <v>-1.9945750682435126E-3</v>
      </c>
      <c r="G346" s="379">
        <f t="shared" si="27"/>
        <v>-9.1801378911830836E-3</v>
      </c>
      <c r="H346" s="379">
        <f t="shared" si="28"/>
        <v>-1.9945750682435126E-3</v>
      </c>
    </row>
    <row r="347" spans="1:8">
      <c r="A347" s="375">
        <v>41872</v>
      </c>
      <c r="B347" s="379">
        <f t="shared" si="29"/>
        <v>344</v>
      </c>
      <c r="C347" s="28">
        <v>75.772621999999998</v>
      </c>
      <c r="D347" s="379">
        <f t="shared" si="25"/>
        <v>5.9450680996196341E-3</v>
      </c>
      <c r="E347" s="39">
        <v>1992.369995</v>
      </c>
      <c r="F347" s="379">
        <f t="shared" si="26"/>
        <v>2.9455471034691241E-3</v>
      </c>
      <c r="G347" s="379">
        <f t="shared" si="27"/>
        <v>5.9450680996196341E-3</v>
      </c>
      <c r="H347" s="379">
        <f t="shared" si="28"/>
        <v>2.9455471034691241E-3</v>
      </c>
    </row>
    <row r="348" spans="1:8">
      <c r="A348" s="375">
        <v>41871</v>
      </c>
      <c r="B348" s="379">
        <f t="shared" si="29"/>
        <v>345</v>
      </c>
      <c r="C348" s="28">
        <v>75.323485000000005</v>
      </c>
      <c r="D348" s="379">
        <f t="shared" si="25"/>
        <v>7.3561385713642414E-3</v>
      </c>
      <c r="E348" s="39">
        <v>1986.51001</v>
      </c>
      <c r="F348" s="379">
        <f t="shared" si="26"/>
        <v>2.474748191573312E-3</v>
      </c>
      <c r="G348" s="379">
        <f t="shared" si="27"/>
        <v>7.3561385713642414E-3</v>
      </c>
      <c r="H348" s="379">
        <f t="shared" si="28"/>
        <v>2.474748191573312E-3</v>
      </c>
    </row>
    <row r="349" spans="1:8">
      <c r="A349" s="375">
        <v>41870</v>
      </c>
      <c r="B349" s="379">
        <f t="shared" si="29"/>
        <v>346</v>
      </c>
      <c r="C349" s="28">
        <v>74.771428</v>
      </c>
      <c r="D349" s="379">
        <f t="shared" si="25"/>
        <v>7.1586746747251172E-3</v>
      </c>
      <c r="E349" s="39">
        <v>1981.599976</v>
      </c>
      <c r="F349" s="379">
        <f t="shared" si="26"/>
        <v>4.9881905070184923E-3</v>
      </c>
      <c r="G349" s="379">
        <f t="shared" si="27"/>
        <v>7.1586746747251172E-3</v>
      </c>
      <c r="H349" s="379">
        <f t="shared" si="28"/>
        <v>4.9881905070184923E-3</v>
      </c>
    </row>
    <row r="350" spans="1:8">
      <c r="A350" s="375">
        <v>41869</v>
      </c>
      <c r="B350" s="379">
        <f t="shared" si="29"/>
        <v>347</v>
      </c>
      <c r="C350" s="28">
        <v>74.238074999999995</v>
      </c>
      <c r="D350" s="379">
        <f t="shared" si="25"/>
        <v>-1.6004420235963126E-2</v>
      </c>
      <c r="E350" s="39">
        <v>1971.73999</v>
      </c>
      <c r="F350" s="379">
        <f t="shared" si="26"/>
        <v>8.4954828929990414E-3</v>
      </c>
      <c r="G350" s="379">
        <f t="shared" si="27"/>
        <v>-1.6004420235963126E-2</v>
      </c>
      <c r="H350" s="379">
        <f t="shared" si="28"/>
        <v>8.4954828929990414E-3</v>
      </c>
    </row>
    <row r="351" spans="1:8">
      <c r="A351" s="375">
        <v>41866</v>
      </c>
      <c r="B351" s="379">
        <f t="shared" si="29"/>
        <v>348</v>
      </c>
      <c r="C351" s="28">
        <v>75.435771000000003</v>
      </c>
      <c r="D351" s="379">
        <f t="shared" si="25"/>
        <v>5.5974313059312403E-3</v>
      </c>
      <c r="E351" s="39">
        <v>1955.0600589999999</v>
      </c>
      <c r="F351" s="379">
        <f t="shared" si="26"/>
        <v>-6.1374747621649646E-5</v>
      </c>
      <c r="G351" s="379">
        <f t="shared" si="27"/>
        <v>5.5974313059312403E-3</v>
      </c>
      <c r="H351" s="379">
        <f t="shared" si="28"/>
        <v>-6.1374747621649646E-5</v>
      </c>
    </row>
    <row r="352" spans="1:8">
      <c r="A352" s="375">
        <v>41865</v>
      </c>
      <c r="B352" s="379">
        <f t="shared" si="29"/>
        <v>349</v>
      </c>
      <c r="C352" s="28">
        <v>75.014703999999995</v>
      </c>
      <c r="D352" s="379">
        <f t="shared" si="25"/>
        <v>-8.9408438604694825E-3</v>
      </c>
      <c r="E352" s="39">
        <v>1955.1800539999999</v>
      </c>
      <c r="F352" s="379">
        <f t="shared" si="26"/>
        <v>4.3363982690421158E-3</v>
      </c>
      <c r="G352" s="379">
        <f t="shared" si="27"/>
        <v>-8.9408438604694825E-3</v>
      </c>
      <c r="H352" s="379">
        <f t="shared" si="28"/>
        <v>4.3363982690421158E-3</v>
      </c>
    </row>
    <row r="353" spans="1:8">
      <c r="A353" s="375">
        <v>41864</v>
      </c>
      <c r="B353" s="379">
        <f t="shared" si="29"/>
        <v>350</v>
      </c>
      <c r="C353" s="28">
        <v>75.688406000000001</v>
      </c>
      <c r="D353" s="379">
        <f t="shared" si="25"/>
        <v>5.8273206095395382E-3</v>
      </c>
      <c r="E353" s="39">
        <v>1946.719971</v>
      </c>
      <c r="F353" s="379">
        <f t="shared" si="26"/>
        <v>6.6847672550107134E-3</v>
      </c>
      <c r="G353" s="379">
        <f t="shared" si="27"/>
        <v>5.8273206095395382E-3</v>
      </c>
      <c r="H353" s="379">
        <f t="shared" si="28"/>
        <v>6.6847672550107134E-3</v>
      </c>
    </row>
    <row r="354" spans="1:8">
      <c r="A354" s="375">
        <v>41863</v>
      </c>
      <c r="B354" s="379">
        <f t="shared" si="29"/>
        <v>351</v>
      </c>
      <c r="C354" s="28">
        <v>75.248627999999997</v>
      </c>
      <c r="D354" s="379">
        <f t="shared" si="25"/>
        <v>-4.7141266129237334E-3</v>
      </c>
      <c r="E354" s="39">
        <v>1933.75</v>
      </c>
      <c r="F354" s="379">
        <f t="shared" si="26"/>
        <v>-1.6379824023901584E-3</v>
      </c>
      <c r="G354" s="379">
        <f t="shared" si="27"/>
        <v>-4.7141266129237334E-3</v>
      </c>
      <c r="H354" s="379">
        <f t="shared" si="28"/>
        <v>-1.6379824023901584E-3</v>
      </c>
    </row>
    <row r="355" spans="1:8">
      <c r="A355" s="375">
        <v>41862</v>
      </c>
      <c r="B355" s="379">
        <f t="shared" si="29"/>
        <v>352</v>
      </c>
      <c r="C355" s="28">
        <v>75.604196999999999</v>
      </c>
      <c r="D355" s="379">
        <f t="shared" si="25"/>
        <v>-6.5379653778733582E-3</v>
      </c>
      <c r="E355" s="39">
        <v>1936.920044</v>
      </c>
      <c r="F355" s="379">
        <f t="shared" si="26"/>
        <v>2.7556249610503833E-3</v>
      </c>
      <c r="G355" s="379">
        <f t="shared" si="27"/>
        <v>-6.5379653778733582E-3</v>
      </c>
      <c r="H355" s="379">
        <f t="shared" si="28"/>
        <v>2.7556249610503833E-3</v>
      </c>
    </row>
    <row r="356" spans="1:8">
      <c r="A356" s="375">
        <v>41859</v>
      </c>
      <c r="B356" s="379">
        <f t="shared" si="29"/>
        <v>353</v>
      </c>
      <c r="C356" s="28">
        <v>76.100114000000005</v>
      </c>
      <c r="D356" s="379">
        <f t="shared" si="25"/>
        <v>2.162656050910446E-2</v>
      </c>
      <c r="E356" s="39">
        <v>1931.589966</v>
      </c>
      <c r="F356" s="379">
        <f t="shared" si="26"/>
        <v>1.146542280237354E-2</v>
      </c>
      <c r="G356" s="379">
        <f t="shared" si="27"/>
        <v>2.162656050910446E-2</v>
      </c>
      <c r="H356" s="379">
        <f t="shared" si="28"/>
        <v>1.146542280237354E-2</v>
      </c>
    </row>
    <row r="357" spans="1:8">
      <c r="A357" s="375">
        <v>41858</v>
      </c>
      <c r="B357" s="379">
        <f t="shared" si="29"/>
        <v>354</v>
      </c>
      <c r="C357" s="28">
        <v>74.471998999999997</v>
      </c>
      <c r="D357" s="379">
        <f t="shared" si="25"/>
        <v>-1.2734303066934667E-2</v>
      </c>
      <c r="E357" s="39">
        <v>1909.5699460000001</v>
      </c>
      <c r="F357" s="379">
        <f t="shared" si="26"/>
        <v>-5.5721154760536261E-3</v>
      </c>
      <c r="G357" s="379">
        <f t="shared" si="27"/>
        <v>-1.2734303066934667E-2</v>
      </c>
      <c r="H357" s="379">
        <f t="shared" si="28"/>
        <v>-5.5721154760536261E-3</v>
      </c>
    </row>
    <row r="358" spans="1:8">
      <c r="A358" s="375">
        <v>41857</v>
      </c>
      <c r="B358" s="379">
        <f t="shared" si="29"/>
        <v>355</v>
      </c>
      <c r="C358" s="28">
        <v>75.426411999999999</v>
      </c>
      <c r="D358" s="379">
        <f t="shared" si="25"/>
        <v>1.0851395334477402E-2</v>
      </c>
      <c r="E358" s="39">
        <v>1920.23999</v>
      </c>
      <c r="F358" s="379">
        <f t="shared" si="26"/>
        <v>1.5638271756657665E-5</v>
      </c>
      <c r="G358" s="379">
        <f t="shared" si="27"/>
        <v>1.0851395334477402E-2</v>
      </c>
      <c r="H358" s="379">
        <f t="shared" si="28"/>
        <v>1.5638271756657665E-5</v>
      </c>
    </row>
    <row r="359" spans="1:8">
      <c r="A359" s="375">
        <v>41856</v>
      </c>
      <c r="B359" s="379">
        <f t="shared" si="29"/>
        <v>356</v>
      </c>
      <c r="C359" s="28">
        <v>74.612354999999994</v>
      </c>
      <c r="D359" s="379">
        <f t="shared" si="25"/>
        <v>-2.770404087496869E-2</v>
      </c>
      <c r="E359" s="39">
        <v>1920.209961</v>
      </c>
      <c r="F359" s="379">
        <f t="shared" si="26"/>
        <v>-9.7326790439134364E-3</v>
      </c>
      <c r="G359" s="379">
        <f t="shared" si="27"/>
        <v>-2.770404087496869E-2</v>
      </c>
      <c r="H359" s="379">
        <f t="shared" si="28"/>
        <v>-9.7326790439134364E-3</v>
      </c>
    </row>
    <row r="360" spans="1:8">
      <c r="A360" s="375">
        <v>41855</v>
      </c>
      <c r="B360" s="379">
        <f t="shared" si="29"/>
        <v>357</v>
      </c>
      <c r="C360" s="28">
        <v>76.708318000000006</v>
      </c>
      <c r="D360" s="379">
        <f t="shared" si="25"/>
        <v>1.5736815892781059E-2</v>
      </c>
      <c r="E360" s="39">
        <v>1938.98999</v>
      </c>
      <c r="F360" s="379">
        <f t="shared" si="26"/>
        <v>7.1633145438523508E-3</v>
      </c>
      <c r="G360" s="379">
        <f t="shared" si="27"/>
        <v>1.5736815892781059E-2</v>
      </c>
      <c r="H360" s="379">
        <f t="shared" si="28"/>
        <v>7.1633145438523508E-3</v>
      </c>
    </row>
    <row r="361" spans="1:8">
      <c r="A361" s="375">
        <v>41852</v>
      </c>
      <c r="B361" s="379">
        <f t="shared" si="29"/>
        <v>358</v>
      </c>
      <c r="C361" s="28">
        <v>75.510621999999998</v>
      </c>
      <c r="D361" s="379">
        <f t="shared" si="25"/>
        <v>-2.2059746669978834E-2</v>
      </c>
      <c r="E361" s="39">
        <v>1925.150024</v>
      </c>
      <c r="F361" s="379">
        <f t="shared" si="26"/>
        <v>-2.8632164747045552E-3</v>
      </c>
      <c r="G361" s="379">
        <f t="shared" si="27"/>
        <v>-2.2059746669978834E-2</v>
      </c>
      <c r="H361" s="379">
        <f t="shared" si="28"/>
        <v>-2.8632164747045552E-3</v>
      </c>
    </row>
    <row r="362" spans="1:8">
      <c r="A362" s="375">
        <v>41851</v>
      </c>
      <c r="B362" s="379">
        <f t="shared" si="29"/>
        <v>359</v>
      </c>
      <c r="C362" s="28">
        <v>77.194875999999994</v>
      </c>
      <c r="D362" s="379">
        <f t="shared" si="25"/>
        <v>-2.5490490740899808E-2</v>
      </c>
      <c r="E362" s="39">
        <v>1930.670044</v>
      </c>
      <c r="F362" s="379">
        <f t="shared" si="26"/>
        <v>-2.0201931980177425E-2</v>
      </c>
      <c r="G362" s="379">
        <f t="shared" si="27"/>
        <v>-2.5490490740899808E-2</v>
      </c>
      <c r="H362" s="379">
        <f t="shared" si="28"/>
        <v>-2.0201931980177425E-2</v>
      </c>
    </row>
    <row r="363" spans="1:8">
      <c r="A363" s="375">
        <v>41850</v>
      </c>
      <c r="B363" s="379">
        <f t="shared" si="29"/>
        <v>360</v>
      </c>
      <c r="C363" s="28">
        <v>79.187905000000001</v>
      </c>
      <c r="D363" s="379">
        <f t="shared" si="25"/>
        <v>-9.4486198116332362E-4</v>
      </c>
      <c r="E363" s="39">
        <v>1970.0699460000001</v>
      </c>
      <c r="F363" s="379">
        <f t="shared" si="26"/>
        <v>6.0910859931627437E-5</v>
      </c>
      <c r="G363" s="379">
        <f t="shared" si="27"/>
        <v>-9.4486198116332362E-4</v>
      </c>
      <c r="H363" s="379">
        <f t="shared" si="28"/>
        <v>6.0910859931627437E-5</v>
      </c>
    </row>
    <row r="364" spans="1:8">
      <c r="A364" s="375">
        <v>41849</v>
      </c>
      <c r="B364" s="379">
        <f t="shared" si="29"/>
        <v>361</v>
      </c>
      <c r="C364" s="28">
        <v>79.262761999999995</v>
      </c>
      <c r="D364" s="379">
        <f t="shared" si="25"/>
        <v>-5.6504375245361909E-3</v>
      </c>
      <c r="E364" s="39">
        <v>1969.9499510000001</v>
      </c>
      <c r="F364" s="379">
        <f t="shared" si="26"/>
        <v>-4.5380684101610867E-3</v>
      </c>
      <c r="G364" s="379">
        <f t="shared" si="27"/>
        <v>-5.6504375245361909E-3</v>
      </c>
      <c r="H364" s="379">
        <f t="shared" si="28"/>
        <v>-4.5380684101610867E-3</v>
      </c>
    </row>
    <row r="365" spans="1:8">
      <c r="A365" s="375">
        <v>41848</v>
      </c>
      <c r="B365" s="379">
        <f t="shared" si="29"/>
        <v>362</v>
      </c>
      <c r="C365" s="28">
        <v>79.711899000000003</v>
      </c>
      <c r="D365" s="379">
        <f t="shared" si="25"/>
        <v>-8.532528565186959E-3</v>
      </c>
      <c r="E365" s="39">
        <v>1978.910034</v>
      </c>
      <c r="F365" s="379">
        <f t="shared" si="26"/>
        <v>2.8811321192405513E-4</v>
      </c>
      <c r="G365" s="379">
        <f t="shared" si="27"/>
        <v>-8.532528565186959E-3</v>
      </c>
      <c r="H365" s="379">
        <f t="shared" si="28"/>
        <v>2.8811321192405513E-4</v>
      </c>
    </row>
    <row r="366" spans="1:8">
      <c r="A366" s="375">
        <v>41845</v>
      </c>
      <c r="B366" s="379">
        <f t="shared" si="29"/>
        <v>363</v>
      </c>
      <c r="C366" s="28">
        <v>80.394953000000001</v>
      </c>
      <c r="D366" s="379">
        <f t="shared" si="25"/>
        <v>-3.8334437590476478E-3</v>
      </c>
      <c r="E366" s="39">
        <v>1978.339966</v>
      </c>
      <c r="F366" s="379">
        <f t="shared" si="26"/>
        <v>-4.8609457194895948E-3</v>
      </c>
      <c r="G366" s="379">
        <f t="shared" si="27"/>
        <v>-3.8334437590476478E-3</v>
      </c>
      <c r="H366" s="379">
        <f t="shared" si="28"/>
        <v>-4.8609457194895948E-3</v>
      </c>
    </row>
    <row r="367" spans="1:8">
      <c r="A367" s="375">
        <v>41844</v>
      </c>
      <c r="B367" s="379">
        <f t="shared" si="29"/>
        <v>364</v>
      </c>
      <c r="C367" s="28">
        <v>80.703733999999997</v>
      </c>
      <c r="D367" s="379">
        <f t="shared" si="25"/>
        <v>-5.8956585267960718E-3</v>
      </c>
      <c r="E367" s="39">
        <v>1987.9799800000001</v>
      </c>
      <c r="F367" s="379">
        <f t="shared" si="26"/>
        <v>4.8803645880490185E-4</v>
      </c>
      <c r="G367" s="379">
        <f t="shared" si="27"/>
        <v>-5.8956585267960718E-3</v>
      </c>
      <c r="H367" s="379">
        <f t="shared" si="28"/>
        <v>4.8803645880490185E-4</v>
      </c>
    </row>
    <row r="368" spans="1:8">
      <c r="A368" s="375">
        <v>41843</v>
      </c>
      <c r="B368" s="379">
        <f t="shared" si="29"/>
        <v>365</v>
      </c>
      <c r="C368" s="28">
        <v>81.180941000000004</v>
      </c>
      <c r="D368" s="379">
        <f t="shared" si="25"/>
        <v>8.5659248851661339E-3</v>
      </c>
      <c r="E368" s="39">
        <v>1987.01001</v>
      </c>
      <c r="F368" s="379">
        <f t="shared" si="26"/>
        <v>1.7529010446364582E-3</v>
      </c>
      <c r="G368" s="379">
        <f t="shared" si="27"/>
        <v>8.5659248851661339E-3</v>
      </c>
      <c r="H368" s="379">
        <f t="shared" si="28"/>
        <v>1.7529010446364582E-3</v>
      </c>
    </row>
    <row r="369" spans="1:8">
      <c r="A369" s="375">
        <v>41842</v>
      </c>
      <c r="B369" s="379">
        <f t="shared" si="29"/>
        <v>366</v>
      </c>
      <c r="C369" s="28">
        <v>80.488521000000006</v>
      </c>
      <c r="D369" s="379">
        <f t="shared" si="25"/>
        <v>1.7473298693051902E-2</v>
      </c>
      <c r="E369" s="39">
        <v>1983.530029</v>
      </c>
      <c r="F369" s="379">
        <f t="shared" si="26"/>
        <v>5.0036109582534613E-3</v>
      </c>
      <c r="G369" s="379">
        <f t="shared" si="27"/>
        <v>1.7473298693051902E-2</v>
      </c>
      <c r="H369" s="379">
        <f t="shared" si="28"/>
        <v>5.0036109582534613E-3</v>
      </c>
    </row>
    <row r="370" spans="1:8">
      <c r="A370" s="375">
        <v>41841</v>
      </c>
      <c r="B370" s="379">
        <f t="shared" si="29"/>
        <v>367</v>
      </c>
      <c r="C370" s="28">
        <v>79.094336999999996</v>
      </c>
      <c r="D370" s="379">
        <f t="shared" si="25"/>
        <v>-2.7172708510599525E-3</v>
      </c>
      <c r="E370" s="39">
        <v>1973.630005</v>
      </c>
      <c r="F370" s="379">
        <f t="shared" si="26"/>
        <v>-2.3229465145998183E-3</v>
      </c>
      <c r="G370" s="379">
        <f t="shared" si="27"/>
        <v>-2.7172708510599525E-3</v>
      </c>
      <c r="H370" s="379">
        <f t="shared" si="28"/>
        <v>-2.3229465145998183E-3</v>
      </c>
    </row>
    <row r="371" spans="1:8">
      <c r="A371" s="375">
        <v>41838</v>
      </c>
      <c r="B371" s="379">
        <f t="shared" si="29"/>
        <v>368</v>
      </c>
      <c r="C371" s="28">
        <v>79.309550000000002</v>
      </c>
      <c r="D371" s="379">
        <f t="shared" si="25"/>
        <v>9.4430430454138427E-4</v>
      </c>
      <c r="E371" s="39">
        <v>1978.219971</v>
      </c>
      <c r="F371" s="379">
        <f t="shared" si="26"/>
        <v>1.0212609109589852E-2</v>
      </c>
      <c r="G371" s="379">
        <f t="shared" si="27"/>
        <v>9.4430430454138427E-4</v>
      </c>
      <c r="H371" s="379">
        <f t="shared" si="28"/>
        <v>1.0212609109589852E-2</v>
      </c>
    </row>
    <row r="372" spans="1:8">
      <c r="A372" s="375">
        <v>41837</v>
      </c>
      <c r="B372" s="379">
        <f t="shared" si="29"/>
        <v>369</v>
      </c>
      <c r="C372" s="28">
        <v>79.234692999999993</v>
      </c>
      <c r="D372" s="379">
        <f t="shared" si="25"/>
        <v>-1.5002647753964805E-2</v>
      </c>
      <c r="E372" s="39">
        <v>1958.119995</v>
      </c>
      <c r="F372" s="379">
        <f t="shared" si="26"/>
        <v>-1.1904605841449497E-2</v>
      </c>
      <c r="G372" s="379">
        <f t="shared" si="27"/>
        <v>-1.5002647753964805E-2</v>
      </c>
      <c r="H372" s="379">
        <f t="shared" si="28"/>
        <v>-1.1904605841449497E-2</v>
      </c>
    </row>
    <row r="373" spans="1:8">
      <c r="A373" s="375">
        <v>41836</v>
      </c>
      <c r="B373" s="379">
        <f t="shared" si="29"/>
        <v>370</v>
      </c>
      <c r="C373" s="28">
        <v>80.432384999999996</v>
      </c>
      <c r="D373" s="379">
        <f t="shared" si="25"/>
        <v>2.3104928764185059E-2</v>
      </c>
      <c r="E373" s="39">
        <v>1981.5699460000001</v>
      </c>
      <c r="F373" s="379">
        <f t="shared" si="26"/>
        <v>4.1922850140205638E-3</v>
      </c>
      <c r="G373" s="379">
        <f t="shared" si="27"/>
        <v>2.3104928764185059E-2</v>
      </c>
      <c r="H373" s="379">
        <f t="shared" si="28"/>
        <v>4.1922850140205638E-3</v>
      </c>
    </row>
    <row r="374" spans="1:8">
      <c r="A374" s="375">
        <v>41835</v>
      </c>
      <c r="B374" s="379">
        <f t="shared" si="29"/>
        <v>371</v>
      </c>
      <c r="C374" s="28">
        <v>78.595304999999996</v>
      </c>
      <c r="D374" s="379">
        <f t="shared" si="25"/>
        <v>-1.3251411813081721E-2</v>
      </c>
      <c r="E374" s="39">
        <v>1973.280029</v>
      </c>
      <c r="F374" s="379">
        <f t="shared" si="26"/>
        <v>-1.9339649278222921E-3</v>
      </c>
      <c r="G374" s="379">
        <f t="shared" si="27"/>
        <v>-1.3251411813081721E-2</v>
      </c>
      <c r="H374" s="379">
        <f t="shared" si="28"/>
        <v>-1.9339649278222921E-3</v>
      </c>
    </row>
    <row r="375" spans="1:8">
      <c r="A375" s="375">
        <v>41834</v>
      </c>
      <c r="B375" s="379">
        <f t="shared" si="29"/>
        <v>372</v>
      </c>
      <c r="C375" s="28">
        <v>79.643735000000007</v>
      </c>
      <c r="D375" s="379">
        <f t="shared" si="25"/>
        <v>1.3015280549642221E-2</v>
      </c>
      <c r="E375" s="39">
        <v>1977.099976</v>
      </c>
      <c r="F375" s="379">
        <f t="shared" si="26"/>
        <v>4.8318610833396466E-3</v>
      </c>
      <c r="G375" s="379">
        <f t="shared" si="27"/>
        <v>1.3015280549642221E-2</v>
      </c>
      <c r="H375" s="379">
        <f t="shared" si="28"/>
        <v>4.8318610833396466E-3</v>
      </c>
    </row>
    <row r="376" spans="1:8">
      <c r="A376" s="375">
        <v>41831</v>
      </c>
      <c r="B376" s="379">
        <f t="shared" si="29"/>
        <v>373</v>
      </c>
      <c r="C376" s="28">
        <v>78.613866000000002</v>
      </c>
      <c r="D376" s="379">
        <f t="shared" si="25"/>
        <v>-1.1032910080372131E-2</v>
      </c>
      <c r="E376" s="39">
        <v>1967.5699460000001</v>
      </c>
      <c r="F376" s="379">
        <f t="shared" si="26"/>
        <v>1.4698417040041947E-3</v>
      </c>
      <c r="G376" s="379">
        <f t="shared" si="27"/>
        <v>-1.1032910080372131E-2</v>
      </c>
      <c r="H376" s="379">
        <f t="shared" si="28"/>
        <v>1.4698417040041947E-3</v>
      </c>
    </row>
    <row r="377" spans="1:8">
      <c r="A377" s="375">
        <v>41830</v>
      </c>
      <c r="B377" s="379">
        <f t="shared" si="29"/>
        <v>374</v>
      </c>
      <c r="C377" s="28">
        <v>79.486007999999998</v>
      </c>
      <c r="D377" s="379">
        <f t="shared" si="25"/>
        <v>-1.5163621068463205E-3</v>
      </c>
      <c r="E377" s="39">
        <v>1964.6800539999999</v>
      </c>
      <c r="F377" s="379">
        <f t="shared" si="26"/>
        <v>-4.1396281496238032E-3</v>
      </c>
      <c r="G377" s="379">
        <f t="shared" si="27"/>
        <v>-1.5163621068463205E-3</v>
      </c>
      <c r="H377" s="379">
        <f t="shared" si="28"/>
        <v>-4.1396281496238032E-3</v>
      </c>
    </row>
    <row r="378" spans="1:8">
      <c r="A378" s="375">
        <v>41829</v>
      </c>
      <c r="B378" s="379">
        <f t="shared" si="29"/>
        <v>375</v>
      </c>
      <c r="C378" s="28">
        <v>79.606628999999998</v>
      </c>
      <c r="D378" s="379">
        <f t="shared" si="25"/>
        <v>-2.7932742887879086E-3</v>
      </c>
      <c r="E378" s="39">
        <v>1972.829956</v>
      </c>
      <c r="F378" s="379">
        <f t="shared" si="26"/>
        <v>4.6335164937113963E-3</v>
      </c>
      <c r="G378" s="379">
        <f t="shared" si="27"/>
        <v>-2.7932742887879086E-3</v>
      </c>
      <c r="H378" s="379">
        <f t="shared" si="28"/>
        <v>4.6335164937113963E-3</v>
      </c>
    </row>
    <row r="379" spans="1:8">
      <c r="A379" s="375">
        <v>41828</v>
      </c>
      <c r="B379" s="379">
        <f t="shared" si="29"/>
        <v>376</v>
      </c>
      <c r="C379" s="28">
        <v>79.829302999999996</v>
      </c>
      <c r="D379" s="379">
        <f t="shared" si="25"/>
        <v>-6.9706985552350483E-4</v>
      </c>
      <c r="E379" s="39">
        <v>1963.709961</v>
      </c>
      <c r="F379" s="379">
        <f t="shared" si="26"/>
        <v>-7.0737619404822169E-3</v>
      </c>
      <c r="G379" s="379">
        <f t="shared" si="27"/>
        <v>-6.9706985552350483E-4</v>
      </c>
      <c r="H379" s="379">
        <f t="shared" si="28"/>
        <v>-7.0737619404822169E-3</v>
      </c>
    </row>
    <row r="380" spans="1:8">
      <c r="A380" s="375">
        <v>41827</v>
      </c>
      <c r="B380" s="379">
        <f t="shared" si="29"/>
        <v>377</v>
      </c>
      <c r="C380" s="28">
        <v>79.884968999999998</v>
      </c>
      <c r="D380" s="379">
        <f t="shared" si="25"/>
        <v>-3.4783037993294853E-3</v>
      </c>
      <c r="E380" s="39">
        <v>1977.650024</v>
      </c>
      <c r="F380" s="379">
        <f t="shared" si="26"/>
        <v>-3.9312390590800573E-3</v>
      </c>
      <c r="G380" s="379">
        <f t="shared" si="27"/>
        <v>-3.4783037993294853E-3</v>
      </c>
      <c r="H380" s="379">
        <f t="shared" si="28"/>
        <v>-3.9312390590800573E-3</v>
      </c>
    </row>
    <row r="381" spans="1:8">
      <c r="A381" s="375">
        <v>41823</v>
      </c>
      <c r="B381" s="379">
        <f t="shared" si="29"/>
        <v>378</v>
      </c>
      <c r="C381" s="28">
        <v>80.163317000000006</v>
      </c>
      <c r="D381" s="379">
        <f t="shared" si="25"/>
        <v>6.2696289402016181E-3</v>
      </c>
      <c r="E381" s="39">
        <v>1985.4399410000001</v>
      </c>
      <c r="F381" s="379">
        <f t="shared" si="26"/>
        <v>5.4645500824045627E-3</v>
      </c>
      <c r="G381" s="379">
        <f t="shared" si="27"/>
        <v>6.2696289402016181E-3</v>
      </c>
      <c r="H381" s="379">
        <f t="shared" si="28"/>
        <v>5.4645500824045627E-3</v>
      </c>
    </row>
    <row r="382" spans="1:8">
      <c r="A382" s="375">
        <v>41822</v>
      </c>
      <c r="B382" s="379">
        <f t="shared" si="29"/>
        <v>379</v>
      </c>
      <c r="C382" s="28">
        <v>79.662295</v>
      </c>
      <c r="D382" s="379">
        <f t="shared" si="25"/>
        <v>-2.907485429132346E-3</v>
      </c>
      <c r="E382" s="39">
        <v>1974.619995</v>
      </c>
      <c r="F382" s="379">
        <f t="shared" si="26"/>
        <v>6.5859616226181369E-4</v>
      </c>
      <c r="G382" s="379">
        <f t="shared" si="27"/>
        <v>-2.907485429132346E-3</v>
      </c>
      <c r="H382" s="379">
        <f t="shared" si="28"/>
        <v>6.5859616226181369E-4</v>
      </c>
    </row>
    <row r="383" spans="1:8">
      <c r="A383" s="375">
        <v>41821</v>
      </c>
      <c r="B383" s="379">
        <f t="shared" si="29"/>
        <v>380</v>
      </c>
      <c r="C383" s="28">
        <v>79.894249000000002</v>
      </c>
      <c r="D383" s="379">
        <f t="shared" si="25"/>
        <v>4.4226865610190163E-3</v>
      </c>
      <c r="E383" s="39">
        <v>1973.3199460000001</v>
      </c>
      <c r="F383" s="379">
        <f t="shared" si="26"/>
        <v>6.6555729894672549E-3</v>
      </c>
      <c r="G383" s="379">
        <f t="shared" si="27"/>
        <v>4.4226865610190163E-3</v>
      </c>
      <c r="H383" s="379">
        <f t="shared" si="28"/>
        <v>6.6555729894672549E-3</v>
      </c>
    </row>
    <row r="384" spans="1:8">
      <c r="A384" s="375">
        <v>41820</v>
      </c>
      <c r="B384" s="379">
        <f t="shared" si="29"/>
        <v>381</v>
      </c>
      <c r="C384" s="28">
        <v>79.541681999999994</v>
      </c>
      <c r="D384" s="379">
        <f t="shared" si="25"/>
        <v>-3.1444313106058024E-3</v>
      </c>
      <c r="E384" s="39">
        <v>1960.2299800000001</v>
      </c>
      <c r="F384" s="379">
        <f t="shared" si="26"/>
        <v>-3.7232626800353795E-4</v>
      </c>
      <c r="G384" s="379">
        <f t="shared" si="27"/>
        <v>-3.1444313106058024E-3</v>
      </c>
      <c r="H384" s="379">
        <f t="shared" si="28"/>
        <v>-3.7232626800353795E-4</v>
      </c>
    </row>
    <row r="385" spans="1:8">
      <c r="A385" s="375">
        <v>41817</v>
      </c>
      <c r="B385" s="379">
        <f t="shared" si="29"/>
        <v>382</v>
      </c>
      <c r="C385" s="28">
        <v>79.792188999999993</v>
      </c>
      <c r="D385" s="379">
        <f t="shared" si="25"/>
        <v>4.6522891720374691E-4</v>
      </c>
      <c r="E385" s="39">
        <v>1960.959961</v>
      </c>
      <c r="F385" s="379">
        <f t="shared" si="26"/>
        <v>1.9090451182738103E-3</v>
      </c>
      <c r="G385" s="379">
        <f t="shared" si="27"/>
        <v>4.6522891720374691E-4</v>
      </c>
      <c r="H385" s="379">
        <f t="shared" si="28"/>
        <v>1.9090451182738103E-3</v>
      </c>
    </row>
    <row r="386" spans="1:8">
      <c r="A386" s="375">
        <v>41816</v>
      </c>
      <c r="B386" s="379">
        <f t="shared" si="29"/>
        <v>383</v>
      </c>
      <c r="C386" s="28">
        <v>79.755076000000003</v>
      </c>
      <c r="D386" s="379">
        <f t="shared" si="25"/>
        <v>3.9631271248305872E-3</v>
      </c>
      <c r="E386" s="39">
        <v>1957.219971</v>
      </c>
      <c r="F386" s="379">
        <f t="shared" si="26"/>
        <v>-1.1795791244539316E-3</v>
      </c>
      <c r="G386" s="379">
        <f t="shared" si="27"/>
        <v>3.9631271248305872E-3</v>
      </c>
      <c r="H386" s="379">
        <f t="shared" si="28"/>
        <v>-1.1795791244539316E-3</v>
      </c>
    </row>
    <row r="387" spans="1:8">
      <c r="A387" s="375">
        <v>41815</v>
      </c>
      <c r="B387" s="379">
        <f t="shared" si="29"/>
        <v>384</v>
      </c>
      <c r="C387" s="28">
        <v>79.439622</v>
      </c>
      <c r="D387" s="379">
        <f t="shared" si="25"/>
        <v>9.6233544364116488E-3</v>
      </c>
      <c r="E387" s="39">
        <v>1959.530029</v>
      </c>
      <c r="F387" s="379">
        <f t="shared" si="26"/>
        <v>4.8855575116011022E-3</v>
      </c>
      <c r="G387" s="379">
        <f t="shared" si="27"/>
        <v>9.6233544364116488E-3</v>
      </c>
      <c r="H387" s="379">
        <f t="shared" si="28"/>
        <v>4.8855575116011022E-3</v>
      </c>
    </row>
    <row r="388" spans="1:8">
      <c r="A388" s="375">
        <v>41814</v>
      </c>
      <c r="B388" s="379">
        <f t="shared" si="29"/>
        <v>385</v>
      </c>
      <c r="C388" s="28">
        <v>78.678813000000005</v>
      </c>
      <c r="D388" s="379">
        <f t="shared" ref="D388:D451" si="30">LN(C388/C389)</f>
        <v>-1.5213805440598827E-2</v>
      </c>
      <c r="E388" s="39">
        <v>1949.9799800000001</v>
      </c>
      <c r="F388" s="379">
        <f t="shared" ref="F388:F451" si="31">LN(E388/E389)</f>
        <v>-6.4561065598744459E-3</v>
      </c>
      <c r="G388" s="379">
        <f t="shared" ref="G388:G451" si="32">IF(B388&lt;$D$1+1,D388,0)</f>
        <v>-1.5213805440598827E-2</v>
      </c>
      <c r="H388" s="379">
        <f t="shared" ref="H388:H451" si="33">IF(B388&lt;$D$1+1,F388,0)</f>
        <v>-6.4561065598744459E-3</v>
      </c>
    </row>
    <row r="389" spans="1:8">
      <c r="A389" s="375">
        <v>41813</v>
      </c>
      <c r="B389" s="379">
        <f t="shared" si="29"/>
        <v>386</v>
      </c>
      <c r="C389" s="28">
        <v>79.884968999999998</v>
      </c>
      <c r="D389" s="379">
        <f t="shared" si="30"/>
        <v>8.6317799702555747E-3</v>
      </c>
      <c r="E389" s="39">
        <v>1962.6099850000001</v>
      </c>
      <c r="F389" s="379">
        <f t="shared" si="31"/>
        <v>-1.3247297232689385E-4</v>
      </c>
      <c r="G389" s="379">
        <f t="shared" si="32"/>
        <v>8.6317799702555747E-3</v>
      </c>
      <c r="H389" s="379">
        <f t="shared" si="33"/>
        <v>-1.3247297232689385E-4</v>
      </c>
    </row>
    <row r="390" spans="1:8">
      <c r="A390" s="375">
        <v>41810</v>
      </c>
      <c r="B390" s="379">
        <f t="shared" ref="B390:B453" si="34">B389+1</f>
        <v>387</v>
      </c>
      <c r="C390" s="28">
        <v>79.198386999999997</v>
      </c>
      <c r="D390" s="379">
        <f t="shared" si="30"/>
        <v>6.9359444729100144E-3</v>
      </c>
      <c r="E390" s="39">
        <v>1962.869995</v>
      </c>
      <c r="F390" s="379">
        <f t="shared" si="31"/>
        <v>1.7285636751956316E-3</v>
      </c>
      <c r="G390" s="379">
        <f t="shared" si="32"/>
        <v>6.9359444729100144E-3</v>
      </c>
      <c r="H390" s="379">
        <f t="shared" si="33"/>
        <v>1.7285636751956316E-3</v>
      </c>
    </row>
    <row r="391" spans="1:8">
      <c r="A391" s="375">
        <v>41809</v>
      </c>
      <c r="B391" s="379">
        <f t="shared" si="34"/>
        <v>388</v>
      </c>
      <c r="C391" s="28">
        <v>78.650971999999996</v>
      </c>
      <c r="D391" s="379">
        <f t="shared" si="30"/>
        <v>6.2718190845557353E-3</v>
      </c>
      <c r="E391" s="39">
        <v>1959.4799800000001</v>
      </c>
      <c r="F391" s="379">
        <f t="shared" si="31"/>
        <v>1.2766632954706229E-3</v>
      </c>
      <c r="G391" s="379">
        <f t="shared" si="32"/>
        <v>6.2718190845557353E-3</v>
      </c>
      <c r="H391" s="379">
        <f t="shared" si="33"/>
        <v>1.2766632954706229E-3</v>
      </c>
    </row>
    <row r="392" spans="1:8">
      <c r="A392" s="375">
        <v>41808</v>
      </c>
      <c r="B392" s="379">
        <f t="shared" si="34"/>
        <v>389</v>
      </c>
      <c r="C392" s="28">
        <v>78.159231000000005</v>
      </c>
      <c r="D392" s="379">
        <f t="shared" si="30"/>
        <v>5.833672605721687E-3</v>
      </c>
      <c r="E392" s="39">
        <v>1956.9799800000001</v>
      </c>
      <c r="F392" s="379">
        <f t="shared" si="31"/>
        <v>7.6892430418902839E-3</v>
      </c>
      <c r="G392" s="379">
        <f t="shared" si="32"/>
        <v>5.833672605721687E-3</v>
      </c>
      <c r="H392" s="379">
        <f t="shared" si="33"/>
        <v>7.6892430418902839E-3</v>
      </c>
    </row>
    <row r="393" spans="1:8">
      <c r="A393" s="375">
        <v>41807</v>
      </c>
      <c r="B393" s="379">
        <f t="shared" si="34"/>
        <v>390</v>
      </c>
      <c r="C393" s="28">
        <v>77.704603000000006</v>
      </c>
      <c r="D393" s="379">
        <f t="shared" si="30"/>
        <v>7.1664929863601813E-4</v>
      </c>
      <c r="E393" s="39">
        <v>1941.98999</v>
      </c>
      <c r="F393" s="379">
        <f t="shared" si="31"/>
        <v>2.1702124774046652E-3</v>
      </c>
      <c r="G393" s="379">
        <f t="shared" si="32"/>
        <v>7.1664929863601813E-4</v>
      </c>
      <c r="H393" s="379">
        <f t="shared" si="33"/>
        <v>2.1702124774046652E-3</v>
      </c>
    </row>
    <row r="394" spans="1:8">
      <c r="A394" s="375">
        <v>41806</v>
      </c>
      <c r="B394" s="379">
        <f t="shared" si="34"/>
        <v>391</v>
      </c>
      <c r="C394" s="28">
        <v>77.648936000000006</v>
      </c>
      <c r="D394" s="379">
        <f t="shared" si="30"/>
        <v>7.3154987358134069E-3</v>
      </c>
      <c r="E394" s="39">
        <v>1937.780029</v>
      </c>
      <c r="F394" s="379">
        <f t="shared" si="31"/>
        <v>8.3635527038925048E-4</v>
      </c>
      <c r="G394" s="379">
        <f t="shared" si="32"/>
        <v>7.3154987358134069E-3</v>
      </c>
      <c r="H394" s="379">
        <f t="shared" si="33"/>
        <v>8.3635527038925048E-4</v>
      </c>
    </row>
    <row r="395" spans="1:8">
      <c r="A395" s="375">
        <v>41803</v>
      </c>
      <c r="B395" s="379">
        <f t="shared" si="34"/>
        <v>392</v>
      </c>
      <c r="C395" s="28">
        <v>77.082967999999994</v>
      </c>
      <c r="D395" s="379">
        <f t="shared" si="30"/>
        <v>2.651581102702472E-3</v>
      </c>
      <c r="E395" s="39">
        <v>1936.160034</v>
      </c>
      <c r="F395" s="379">
        <f t="shared" si="31"/>
        <v>3.1296592884110289E-3</v>
      </c>
      <c r="G395" s="379">
        <f t="shared" si="32"/>
        <v>2.651581102702472E-3</v>
      </c>
      <c r="H395" s="379">
        <f t="shared" si="33"/>
        <v>3.1296592884110289E-3</v>
      </c>
    </row>
    <row r="396" spans="1:8">
      <c r="A396" s="375">
        <v>41802</v>
      </c>
      <c r="B396" s="379">
        <f t="shared" si="34"/>
        <v>393</v>
      </c>
      <c r="C396" s="28">
        <v>76.878846999999993</v>
      </c>
      <c r="D396" s="379">
        <f t="shared" si="30"/>
        <v>1.1043174789640366E-2</v>
      </c>
      <c r="E396" s="39">
        <v>1930.1099850000001</v>
      </c>
      <c r="F396" s="379">
        <f t="shared" si="31"/>
        <v>-7.1141394519117001E-3</v>
      </c>
      <c r="G396" s="379">
        <f t="shared" si="32"/>
        <v>1.1043174789640366E-2</v>
      </c>
      <c r="H396" s="379">
        <f t="shared" si="33"/>
        <v>-7.1141394519117001E-3</v>
      </c>
    </row>
    <row r="397" spans="1:8">
      <c r="A397" s="375">
        <v>41801</v>
      </c>
      <c r="B397" s="379">
        <f t="shared" si="34"/>
        <v>394</v>
      </c>
      <c r="C397" s="28">
        <v>76.034531000000001</v>
      </c>
      <c r="D397" s="379">
        <f t="shared" si="30"/>
        <v>3.9124616368965224E-3</v>
      </c>
      <c r="E397" s="39">
        <v>1943.8900149999999</v>
      </c>
      <c r="F397" s="379">
        <f t="shared" si="31"/>
        <v>-3.5433109387726222E-3</v>
      </c>
      <c r="G397" s="379">
        <f t="shared" si="32"/>
        <v>3.9124616368965224E-3</v>
      </c>
      <c r="H397" s="379">
        <f t="shared" si="33"/>
        <v>-3.5433109387726222E-3</v>
      </c>
    </row>
    <row r="398" spans="1:8">
      <c r="A398" s="375">
        <v>41800</v>
      </c>
      <c r="B398" s="379">
        <f t="shared" si="34"/>
        <v>395</v>
      </c>
      <c r="C398" s="28">
        <v>75.737629999999996</v>
      </c>
      <c r="D398" s="379">
        <f t="shared" si="30"/>
        <v>9.6012344468665127E-3</v>
      </c>
      <c r="E398" s="39">
        <v>1950.790039</v>
      </c>
      <c r="F398" s="379">
        <f t="shared" si="31"/>
        <v>-2.4601415414599579E-4</v>
      </c>
      <c r="G398" s="379">
        <f t="shared" si="32"/>
        <v>9.6012344468665127E-3</v>
      </c>
      <c r="H398" s="379">
        <f t="shared" si="33"/>
        <v>-2.4601415414599579E-4</v>
      </c>
    </row>
    <row r="399" spans="1:8">
      <c r="A399" s="375">
        <v>41799</v>
      </c>
      <c r="B399" s="379">
        <f t="shared" si="34"/>
        <v>396</v>
      </c>
      <c r="C399" s="28">
        <v>75.013935000000004</v>
      </c>
      <c r="D399" s="379">
        <f t="shared" si="30"/>
        <v>1.2373133321289301E-4</v>
      </c>
      <c r="E399" s="39">
        <v>1951.2700199999999</v>
      </c>
      <c r="F399" s="379">
        <f t="shared" si="31"/>
        <v>9.3833130510802363E-4</v>
      </c>
      <c r="G399" s="379">
        <f t="shared" si="32"/>
        <v>1.2373133321289301E-4</v>
      </c>
      <c r="H399" s="379">
        <f t="shared" si="33"/>
        <v>9.3833130510802363E-4</v>
      </c>
    </row>
    <row r="400" spans="1:8">
      <c r="A400" s="375">
        <v>41796</v>
      </c>
      <c r="B400" s="379">
        <f t="shared" si="34"/>
        <v>397</v>
      </c>
      <c r="C400" s="28">
        <v>75.004654000000002</v>
      </c>
      <c r="D400" s="379">
        <f t="shared" si="30"/>
        <v>9.8203625649015708E-3</v>
      </c>
      <c r="E400" s="39">
        <v>1949.4399410000001</v>
      </c>
      <c r="F400" s="379">
        <f t="shared" si="31"/>
        <v>4.6170833074168915E-3</v>
      </c>
      <c r="G400" s="379">
        <f t="shared" si="32"/>
        <v>9.8203625649015708E-3</v>
      </c>
      <c r="H400" s="379">
        <f t="shared" si="33"/>
        <v>4.6170833074168915E-3</v>
      </c>
    </row>
    <row r="401" spans="1:8">
      <c r="A401" s="375">
        <v>41795</v>
      </c>
      <c r="B401" s="379">
        <f t="shared" si="34"/>
        <v>398</v>
      </c>
      <c r="C401" s="28">
        <v>74.271686000000003</v>
      </c>
      <c r="D401" s="379">
        <f t="shared" si="30"/>
        <v>3.1279343458138396E-3</v>
      </c>
      <c r="E401" s="39">
        <v>1940.459961</v>
      </c>
      <c r="F401" s="379">
        <f t="shared" si="31"/>
        <v>6.5040820910860176E-3</v>
      </c>
      <c r="G401" s="379">
        <f t="shared" si="32"/>
        <v>3.1279343458138396E-3</v>
      </c>
      <c r="H401" s="379">
        <f t="shared" si="33"/>
        <v>6.5040820910860176E-3</v>
      </c>
    </row>
    <row r="402" spans="1:8">
      <c r="A402" s="375">
        <v>41794</v>
      </c>
      <c r="B402" s="379">
        <f t="shared" si="34"/>
        <v>399</v>
      </c>
      <c r="C402" s="28">
        <v>74.039732000000001</v>
      </c>
      <c r="D402" s="379">
        <f t="shared" si="30"/>
        <v>-2.505502838306397E-4</v>
      </c>
      <c r="E402" s="39">
        <v>1927.880005</v>
      </c>
      <c r="F402" s="379">
        <f t="shared" si="31"/>
        <v>1.8898767889498752E-3</v>
      </c>
      <c r="G402" s="379">
        <f t="shared" si="32"/>
        <v>-2.505502838306397E-4</v>
      </c>
      <c r="H402" s="379">
        <f t="shared" si="33"/>
        <v>1.8898767889498752E-3</v>
      </c>
    </row>
    <row r="403" spans="1:8">
      <c r="A403" s="375">
        <v>41793</v>
      </c>
      <c r="B403" s="379">
        <f t="shared" si="34"/>
        <v>400</v>
      </c>
      <c r="C403" s="28">
        <v>74.058284999999998</v>
      </c>
      <c r="D403" s="379">
        <f t="shared" si="30"/>
        <v>4.2686346021476081E-3</v>
      </c>
      <c r="E403" s="39">
        <v>1924.23999</v>
      </c>
      <c r="F403" s="379">
        <f t="shared" si="31"/>
        <v>-3.7928874555938222E-4</v>
      </c>
      <c r="G403" s="379">
        <f t="shared" si="32"/>
        <v>4.2686346021476081E-3</v>
      </c>
      <c r="H403" s="379">
        <f t="shared" si="33"/>
        <v>-3.7928874555938222E-4</v>
      </c>
    </row>
    <row r="404" spans="1:8">
      <c r="A404" s="375">
        <v>41792</v>
      </c>
      <c r="B404" s="379">
        <f t="shared" si="34"/>
        <v>401</v>
      </c>
      <c r="C404" s="28">
        <v>73.742830999999995</v>
      </c>
      <c r="D404" s="379">
        <f t="shared" si="30"/>
        <v>-5.7709295503690109E-3</v>
      </c>
      <c r="E404" s="39">
        <v>1924.969971</v>
      </c>
      <c r="F404" s="379">
        <f t="shared" si="31"/>
        <v>7.2756166855577373E-4</v>
      </c>
      <c r="G404" s="379">
        <f t="shared" si="32"/>
        <v>-5.7709295503690109E-3</v>
      </c>
      <c r="H404" s="379">
        <f t="shared" si="33"/>
        <v>7.2756166855577373E-4</v>
      </c>
    </row>
    <row r="405" spans="1:8">
      <c r="A405" s="375">
        <v>41789</v>
      </c>
      <c r="B405" s="379">
        <f t="shared" si="34"/>
        <v>402</v>
      </c>
      <c r="C405" s="28">
        <v>74.169625999999994</v>
      </c>
      <c r="D405" s="379">
        <f t="shared" si="30"/>
        <v>4.8905942588428663E-3</v>
      </c>
      <c r="E405" s="39">
        <v>1923.5699460000001</v>
      </c>
      <c r="F405" s="379">
        <f t="shared" si="31"/>
        <v>1.8419804474474298E-3</v>
      </c>
      <c r="G405" s="379">
        <f t="shared" si="32"/>
        <v>4.8905942588428663E-3</v>
      </c>
      <c r="H405" s="379">
        <f t="shared" si="33"/>
        <v>1.8419804474474298E-3</v>
      </c>
    </row>
    <row r="406" spans="1:8">
      <c r="A406" s="375">
        <v>41788</v>
      </c>
      <c r="B406" s="379">
        <f t="shared" si="34"/>
        <v>403</v>
      </c>
      <c r="C406" s="28">
        <v>73.807777999999999</v>
      </c>
      <c r="D406" s="379">
        <f t="shared" si="30"/>
        <v>-2.5133758348030451E-4</v>
      </c>
      <c r="E406" s="39">
        <v>1920.030029</v>
      </c>
      <c r="F406" s="379">
        <f t="shared" si="31"/>
        <v>5.3527586581908924E-3</v>
      </c>
      <c r="G406" s="379">
        <f t="shared" si="32"/>
        <v>-2.5133758348030451E-4</v>
      </c>
      <c r="H406" s="379">
        <f t="shared" si="33"/>
        <v>5.3527586581908924E-3</v>
      </c>
    </row>
    <row r="407" spans="1:8">
      <c r="A407" s="375">
        <v>41787</v>
      </c>
      <c r="B407" s="379">
        <f t="shared" si="34"/>
        <v>404</v>
      </c>
      <c r="C407" s="28">
        <v>73.826330999999996</v>
      </c>
      <c r="D407" s="379">
        <f t="shared" si="30"/>
        <v>6.6830626893270174E-3</v>
      </c>
      <c r="E407" s="39">
        <v>1909.780029</v>
      </c>
      <c r="F407" s="379">
        <f t="shared" si="31"/>
        <v>-1.1146928115250102E-3</v>
      </c>
      <c r="G407" s="379">
        <f t="shared" si="32"/>
        <v>6.6830626893270174E-3</v>
      </c>
      <c r="H407" s="379">
        <f t="shared" si="33"/>
        <v>-1.1146928115250102E-3</v>
      </c>
    </row>
    <row r="408" spans="1:8">
      <c r="A408" s="375">
        <v>41786</v>
      </c>
      <c r="B408" s="379">
        <f t="shared" si="34"/>
        <v>405</v>
      </c>
      <c r="C408" s="28">
        <v>73.334590000000006</v>
      </c>
      <c r="D408" s="379">
        <f t="shared" si="30"/>
        <v>7.7475618384294717E-3</v>
      </c>
      <c r="E408" s="39">
        <v>1911.910034</v>
      </c>
      <c r="F408" s="379">
        <f t="shared" si="31"/>
        <v>5.9699502737522196E-3</v>
      </c>
      <c r="G408" s="379">
        <f t="shared" si="32"/>
        <v>7.7475618384294717E-3</v>
      </c>
      <c r="H408" s="379">
        <f t="shared" si="33"/>
        <v>5.9699502737522196E-3</v>
      </c>
    </row>
    <row r="409" spans="1:8">
      <c r="A409" s="375">
        <v>41782</v>
      </c>
      <c r="B409" s="379">
        <f t="shared" si="34"/>
        <v>406</v>
      </c>
      <c r="C409" s="28">
        <v>72.768620999999996</v>
      </c>
      <c r="D409" s="379">
        <f t="shared" si="30"/>
        <v>-3.8241316248683314E-4</v>
      </c>
      <c r="E409" s="39">
        <v>1900.530029</v>
      </c>
      <c r="F409" s="379">
        <f t="shared" si="31"/>
        <v>4.2393928855231243E-3</v>
      </c>
      <c r="G409" s="379">
        <f t="shared" si="32"/>
        <v>-3.8241316248683314E-4</v>
      </c>
      <c r="H409" s="379">
        <f t="shared" si="33"/>
        <v>4.2393928855231243E-3</v>
      </c>
    </row>
    <row r="410" spans="1:8">
      <c r="A410" s="375">
        <v>41781</v>
      </c>
      <c r="B410" s="379">
        <f t="shared" si="34"/>
        <v>407</v>
      </c>
      <c r="C410" s="28">
        <v>72.796453999999997</v>
      </c>
      <c r="D410" s="379">
        <f t="shared" si="30"/>
        <v>-8.9177482812945923E-4</v>
      </c>
      <c r="E410" s="39">
        <v>1892.48999</v>
      </c>
      <c r="F410" s="379">
        <f t="shared" si="31"/>
        <v>2.3594442281097716E-3</v>
      </c>
      <c r="G410" s="379">
        <f t="shared" si="32"/>
        <v>-8.9177482812945923E-4</v>
      </c>
      <c r="H410" s="379">
        <f t="shared" si="33"/>
        <v>2.3594442281097716E-3</v>
      </c>
    </row>
    <row r="411" spans="1:8">
      <c r="A411" s="375">
        <v>41780</v>
      </c>
      <c r="B411" s="379">
        <f t="shared" si="34"/>
        <v>408</v>
      </c>
      <c r="C411" s="28">
        <v>72.861401000000001</v>
      </c>
      <c r="D411" s="379">
        <f t="shared" si="30"/>
        <v>8.6967918178302676E-3</v>
      </c>
      <c r="E411" s="39">
        <v>1888.030029</v>
      </c>
      <c r="F411" s="379">
        <f t="shared" si="31"/>
        <v>8.0833404197069164E-3</v>
      </c>
      <c r="G411" s="379">
        <f t="shared" si="32"/>
        <v>8.6967918178302676E-3</v>
      </c>
      <c r="H411" s="379">
        <f t="shared" si="33"/>
        <v>8.0833404197069164E-3</v>
      </c>
    </row>
    <row r="412" spans="1:8">
      <c r="A412" s="375">
        <v>41779</v>
      </c>
      <c r="B412" s="379">
        <f t="shared" si="34"/>
        <v>409</v>
      </c>
      <c r="C412" s="28">
        <v>72.230487999999994</v>
      </c>
      <c r="D412" s="379">
        <f t="shared" si="30"/>
        <v>1.4015398670494911E-3</v>
      </c>
      <c r="E412" s="39">
        <v>1872.829956</v>
      </c>
      <c r="F412" s="379">
        <f t="shared" si="31"/>
        <v>-6.519604608733057E-3</v>
      </c>
      <c r="G412" s="379">
        <f t="shared" si="32"/>
        <v>1.4015398670494911E-3</v>
      </c>
      <c r="H412" s="379">
        <f t="shared" si="33"/>
        <v>-6.519604608733057E-3</v>
      </c>
    </row>
    <row r="413" spans="1:8">
      <c r="A413" s="375">
        <v>41778</v>
      </c>
      <c r="B413" s="379">
        <f t="shared" si="34"/>
        <v>410</v>
      </c>
      <c r="C413" s="28">
        <v>72.129324999999994</v>
      </c>
      <c r="D413" s="379">
        <f t="shared" si="30"/>
        <v>4.7287866271543697E-3</v>
      </c>
      <c r="E413" s="39">
        <v>1885.079956</v>
      </c>
      <c r="F413" s="379">
        <f t="shared" si="31"/>
        <v>3.8374143479077863E-3</v>
      </c>
      <c r="G413" s="379">
        <f t="shared" si="32"/>
        <v>4.7287866271543697E-3</v>
      </c>
      <c r="H413" s="379">
        <f t="shared" si="33"/>
        <v>3.8374143479077863E-3</v>
      </c>
    </row>
    <row r="414" spans="1:8">
      <c r="A414" s="375">
        <v>41775</v>
      </c>
      <c r="B414" s="379">
        <f t="shared" si="34"/>
        <v>411</v>
      </c>
      <c r="C414" s="28">
        <v>71.789045999999999</v>
      </c>
      <c r="D414" s="379">
        <f t="shared" si="30"/>
        <v>-6.4036618667033638E-4</v>
      </c>
      <c r="E414" s="39">
        <v>1877.8599850000001</v>
      </c>
      <c r="F414" s="379">
        <f t="shared" si="31"/>
        <v>3.739962410462956E-3</v>
      </c>
      <c r="G414" s="379">
        <f t="shared" si="32"/>
        <v>-6.4036618667033638E-4</v>
      </c>
      <c r="H414" s="379">
        <f t="shared" si="33"/>
        <v>3.739962410462956E-3</v>
      </c>
    </row>
    <row r="415" spans="1:8">
      <c r="A415" s="375">
        <v>41774</v>
      </c>
      <c r="B415" s="379">
        <f t="shared" si="34"/>
        <v>412</v>
      </c>
      <c r="C415" s="28">
        <v>71.835031999999998</v>
      </c>
      <c r="D415" s="379">
        <f t="shared" si="30"/>
        <v>-5.3626098499651043E-3</v>
      </c>
      <c r="E415" s="39">
        <v>1870.849976</v>
      </c>
      <c r="F415" s="379">
        <f t="shared" si="31"/>
        <v>-9.4059038054126482E-3</v>
      </c>
      <c r="G415" s="379">
        <f t="shared" si="32"/>
        <v>-5.3626098499651043E-3</v>
      </c>
      <c r="H415" s="379">
        <f t="shared" si="33"/>
        <v>-9.4059038054126482E-3</v>
      </c>
    </row>
    <row r="416" spans="1:8">
      <c r="A416" s="375">
        <v>41773</v>
      </c>
      <c r="B416" s="379">
        <f t="shared" si="34"/>
        <v>413</v>
      </c>
      <c r="C416" s="28">
        <v>72.221289999999996</v>
      </c>
      <c r="D416" s="379">
        <f t="shared" si="30"/>
        <v>-1.3997564255347102E-3</v>
      </c>
      <c r="E416" s="39">
        <v>1888.530029</v>
      </c>
      <c r="F416" s="379">
        <f t="shared" si="31"/>
        <v>-4.7120896316339977E-3</v>
      </c>
      <c r="G416" s="379">
        <f t="shared" si="32"/>
        <v>-1.3997564255347102E-3</v>
      </c>
      <c r="H416" s="379">
        <f t="shared" si="33"/>
        <v>-4.7120896316339977E-3</v>
      </c>
    </row>
    <row r="417" spans="1:8">
      <c r="A417" s="375">
        <v>41772</v>
      </c>
      <c r="B417" s="379">
        <f t="shared" si="34"/>
        <v>414</v>
      </c>
      <c r="C417" s="28">
        <v>72.322452999999996</v>
      </c>
      <c r="D417" s="379">
        <f t="shared" si="30"/>
        <v>2.928950924817444E-3</v>
      </c>
      <c r="E417" s="39">
        <v>1897.4499510000001</v>
      </c>
      <c r="F417" s="379">
        <f t="shared" si="31"/>
        <v>4.2166891601361212E-4</v>
      </c>
      <c r="G417" s="379">
        <f t="shared" si="32"/>
        <v>2.928950924817444E-3</v>
      </c>
      <c r="H417" s="379">
        <f t="shared" si="33"/>
        <v>4.2166891601361212E-4</v>
      </c>
    </row>
    <row r="418" spans="1:8">
      <c r="A418" s="375">
        <v>41771</v>
      </c>
      <c r="B418" s="379">
        <f t="shared" si="34"/>
        <v>415</v>
      </c>
      <c r="C418" s="28">
        <v>72.110934</v>
      </c>
      <c r="D418" s="379">
        <f t="shared" si="30"/>
        <v>9.8687670763199682E-3</v>
      </c>
      <c r="E418" s="39">
        <v>1896.650024</v>
      </c>
      <c r="F418" s="379">
        <f t="shared" si="31"/>
        <v>9.6262562035398201E-3</v>
      </c>
      <c r="G418" s="379">
        <f t="shared" si="32"/>
        <v>9.8687670763199682E-3</v>
      </c>
      <c r="H418" s="379">
        <f t="shared" si="33"/>
        <v>9.6262562035398201E-3</v>
      </c>
    </row>
    <row r="419" spans="1:8">
      <c r="A419" s="375">
        <v>41768</v>
      </c>
      <c r="B419" s="379">
        <f t="shared" si="34"/>
        <v>416</v>
      </c>
      <c r="C419" s="28">
        <v>71.402788000000001</v>
      </c>
      <c r="D419" s="379">
        <f t="shared" si="30"/>
        <v>8.1474333946381077E-3</v>
      </c>
      <c r="E419" s="39">
        <v>1878.4799800000001</v>
      </c>
      <c r="F419" s="379">
        <f t="shared" si="31"/>
        <v>1.518322882863128E-3</v>
      </c>
      <c r="G419" s="379">
        <f t="shared" si="32"/>
        <v>8.1474333946381077E-3</v>
      </c>
      <c r="H419" s="379">
        <f t="shared" si="33"/>
        <v>1.518322882863128E-3</v>
      </c>
    </row>
    <row r="420" spans="1:8">
      <c r="A420" s="375">
        <v>41767</v>
      </c>
      <c r="B420" s="379">
        <f t="shared" si="34"/>
        <v>417</v>
      </c>
      <c r="C420" s="28">
        <v>70.823402000000002</v>
      </c>
      <c r="D420" s="379">
        <f t="shared" si="30"/>
        <v>-1.4182785120275772E-2</v>
      </c>
      <c r="E420" s="39">
        <v>1875.630005</v>
      </c>
      <c r="F420" s="379">
        <f t="shared" si="31"/>
        <v>-1.374569203583842E-3</v>
      </c>
      <c r="G420" s="379">
        <f t="shared" si="32"/>
        <v>-1.4182785120275772E-2</v>
      </c>
      <c r="H420" s="379">
        <f t="shared" si="33"/>
        <v>-1.374569203583842E-3</v>
      </c>
    </row>
    <row r="421" spans="1:8">
      <c r="A421" s="375">
        <v>41766</v>
      </c>
      <c r="B421" s="379">
        <f t="shared" si="34"/>
        <v>418</v>
      </c>
      <c r="C421" s="28">
        <v>71.835031999999998</v>
      </c>
      <c r="D421" s="379">
        <f t="shared" si="30"/>
        <v>1.3274232888499146E-2</v>
      </c>
      <c r="E421" s="39">
        <v>1878.209961</v>
      </c>
      <c r="F421" s="379">
        <f t="shared" si="31"/>
        <v>5.6007547453593319E-3</v>
      </c>
      <c r="G421" s="379">
        <f t="shared" si="32"/>
        <v>1.3274232888499146E-2</v>
      </c>
      <c r="H421" s="379">
        <f t="shared" si="33"/>
        <v>5.6007547453593319E-3</v>
      </c>
    </row>
    <row r="422" spans="1:8">
      <c r="A422" s="375">
        <v>41765</v>
      </c>
      <c r="B422" s="379">
        <f t="shared" si="34"/>
        <v>419</v>
      </c>
      <c r="C422" s="28">
        <v>70.887777999999997</v>
      </c>
      <c r="D422" s="379">
        <f t="shared" si="30"/>
        <v>2.4680378427919853E-3</v>
      </c>
      <c r="E422" s="39">
        <v>1867.719971</v>
      </c>
      <c r="F422" s="379">
        <f t="shared" si="31"/>
        <v>-9.0290312076985058E-3</v>
      </c>
      <c r="G422" s="379">
        <f t="shared" si="32"/>
        <v>2.4680378427919853E-3</v>
      </c>
      <c r="H422" s="379">
        <f t="shared" si="33"/>
        <v>-9.0290312076985058E-3</v>
      </c>
    </row>
    <row r="423" spans="1:8">
      <c r="A423" s="375">
        <v>41764</v>
      </c>
      <c r="B423" s="379">
        <f t="shared" si="34"/>
        <v>420</v>
      </c>
      <c r="C423" s="28">
        <v>70.713040000000007</v>
      </c>
      <c r="D423" s="379">
        <f t="shared" si="30"/>
        <v>4.823726518167577E-3</v>
      </c>
      <c r="E423" s="39">
        <v>1884.660034</v>
      </c>
      <c r="F423" s="379">
        <f t="shared" si="31"/>
        <v>1.8694673001096345E-3</v>
      </c>
      <c r="G423" s="379">
        <f t="shared" si="32"/>
        <v>4.823726518167577E-3</v>
      </c>
      <c r="H423" s="379">
        <f t="shared" si="33"/>
        <v>1.8694673001096345E-3</v>
      </c>
    </row>
    <row r="424" spans="1:8">
      <c r="A424" s="375">
        <v>41761</v>
      </c>
      <c r="B424" s="379">
        <f t="shared" si="34"/>
        <v>421</v>
      </c>
      <c r="C424" s="28">
        <v>70.372760999999997</v>
      </c>
      <c r="D424" s="379">
        <f t="shared" si="30"/>
        <v>1.9664085558304723E-2</v>
      </c>
      <c r="E424" s="39">
        <v>1881.1400149999999</v>
      </c>
      <c r="F424" s="379">
        <f t="shared" si="31"/>
        <v>-1.3493549964392008E-3</v>
      </c>
      <c r="G424" s="379">
        <f t="shared" si="32"/>
        <v>1.9664085558304723E-2</v>
      </c>
      <c r="H424" s="379">
        <f t="shared" si="33"/>
        <v>-1.3493549964392008E-3</v>
      </c>
    </row>
    <row r="425" spans="1:8">
      <c r="A425" s="375">
        <v>41760</v>
      </c>
      <c r="B425" s="379">
        <f t="shared" si="34"/>
        <v>422</v>
      </c>
      <c r="C425" s="28">
        <v>69.002461999999994</v>
      </c>
      <c r="D425" s="379">
        <f t="shared" si="30"/>
        <v>9.642519361675329E-3</v>
      </c>
      <c r="E425" s="39">
        <v>1883.6800539999999</v>
      </c>
      <c r="F425" s="379">
        <f t="shared" si="31"/>
        <v>-1.4327149964494664E-4</v>
      </c>
      <c r="G425" s="379">
        <f t="shared" si="32"/>
        <v>9.642519361675329E-3</v>
      </c>
      <c r="H425" s="379">
        <f t="shared" si="33"/>
        <v>-1.4327149964494664E-4</v>
      </c>
    </row>
    <row r="426" spans="1:8">
      <c r="A426" s="375">
        <v>41759</v>
      </c>
      <c r="B426" s="379">
        <f t="shared" si="34"/>
        <v>423</v>
      </c>
      <c r="C426" s="28">
        <v>68.340301999999994</v>
      </c>
      <c r="D426" s="379">
        <f t="shared" si="30"/>
        <v>-4.9668297574692209E-3</v>
      </c>
      <c r="E426" s="39">
        <v>1883.9499510000001</v>
      </c>
      <c r="F426" s="379">
        <f t="shared" si="31"/>
        <v>2.9875497405849596E-3</v>
      </c>
      <c r="G426" s="379">
        <f t="shared" si="32"/>
        <v>-4.9668297574692209E-3</v>
      </c>
      <c r="H426" s="379">
        <f t="shared" si="33"/>
        <v>2.9875497405849596E-3</v>
      </c>
    </row>
    <row r="427" spans="1:8">
      <c r="A427" s="375">
        <v>41758</v>
      </c>
      <c r="B427" s="379">
        <f t="shared" si="34"/>
        <v>424</v>
      </c>
      <c r="C427" s="28">
        <v>68.680581000000004</v>
      </c>
      <c r="D427" s="379">
        <f t="shared" si="30"/>
        <v>4.017808576370121E-4</v>
      </c>
      <c r="E427" s="39">
        <v>1878.329956</v>
      </c>
      <c r="F427" s="379">
        <f t="shared" si="31"/>
        <v>4.7494603208926116E-3</v>
      </c>
      <c r="G427" s="379">
        <f t="shared" si="32"/>
        <v>4.017808576370121E-4</v>
      </c>
      <c r="H427" s="379">
        <f t="shared" si="33"/>
        <v>4.7494603208926116E-3</v>
      </c>
    </row>
    <row r="428" spans="1:8">
      <c r="A428" s="375">
        <v>41757</v>
      </c>
      <c r="B428" s="379">
        <f t="shared" si="34"/>
        <v>425</v>
      </c>
      <c r="C428" s="28">
        <v>68.652991999999998</v>
      </c>
      <c r="D428" s="379">
        <f t="shared" si="30"/>
        <v>3.3545785046512852E-3</v>
      </c>
      <c r="E428" s="39">
        <v>1869.4300539999999</v>
      </c>
      <c r="F428" s="379">
        <f t="shared" si="31"/>
        <v>3.2308115393362624E-3</v>
      </c>
      <c r="G428" s="379">
        <f t="shared" si="32"/>
        <v>3.3545785046512852E-3</v>
      </c>
      <c r="H428" s="379">
        <f t="shared" si="33"/>
        <v>3.2308115393362624E-3</v>
      </c>
    </row>
    <row r="429" spans="1:8">
      <c r="A429" s="375">
        <v>41754</v>
      </c>
      <c r="B429" s="379">
        <f t="shared" si="34"/>
        <v>426</v>
      </c>
      <c r="C429" s="28">
        <v>68.423075999999995</v>
      </c>
      <c r="D429" s="379">
        <f t="shared" si="30"/>
        <v>-1.208890149553829E-3</v>
      </c>
      <c r="E429" s="39">
        <v>1863.400024</v>
      </c>
      <c r="F429" s="379">
        <f t="shared" si="31"/>
        <v>-8.1293447785699673E-3</v>
      </c>
      <c r="G429" s="379">
        <f t="shared" si="32"/>
        <v>-1.208890149553829E-3</v>
      </c>
      <c r="H429" s="379">
        <f t="shared" si="33"/>
        <v>-8.1293447785699673E-3</v>
      </c>
    </row>
    <row r="430" spans="1:8">
      <c r="A430" s="375">
        <v>41753</v>
      </c>
      <c r="B430" s="379">
        <f t="shared" si="34"/>
        <v>427</v>
      </c>
      <c r="C430" s="28">
        <v>68.505842000000001</v>
      </c>
      <c r="D430" s="379">
        <f t="shared" si="30"/>
        <v>6.3295681975140822E-3</v>
      </c>
      <c r="E430" s="39">
        <v>1878.6099850000001</v>
      </c>
      <c r="F430" s="379">
        <f t="shared" si="31"/>
        <v>1.7154879007302134E-3</v>
      </c>
      <c r="G430" s="379">
        <f t="shared" si="32"/>
        <v>6.3295681975140822E-3</v>
      </c>
      <c r="H430" s="379">
        <f t="shared" si="33"/>
        <v>1.7154879007302134E-3</v>
      </c>
    </row>
    <row r="431" spans="1:8">
      <c r="A431" s="375">
        <v>41752</v>
      </c>
      <c r="B431" s="379">
        <f t="shared" si="34"/>
        <v>428</v>
      </c>
      <c r="C431" s="28">
        <v>68.073599000000002</v>
      </c>
      <c r="D431" s="379">
        <f t="shared" si="30"/>
        <v>-2.0244472435467717E-3</v>
      </c>
      <c r="E431" s="39">
        <v>1875.3900149999999</v>
      </c>
      <c r="F431" s="379">
        <f t="shared" si="31"/>
        <v>-2.2157667665058493E-3</v>
      </c>
      <c r="G431" s="379">
        <f t="shared" si="32"/>
        <v>-2.0244472435467717E-3</v>
      </c>
      <c r="H431" s="379">
        <f t="shared" si="33"/>
        <v>-2.2157667665058493E-3</v>
      </c>
    </row>
    <row r="432" spans="1:8">
      <c r="A432" s="375">
        <v>41751</v>
      </c>
      <c r="B432" s="379">
        <f t="shared" si="34"/>
        <v>429</v>
      </c>
      <c r="C432" s="28">
        <v>68.211550000000003</v>
      </c>
      <c r="D432" s="379">
        <f t="shared" si="30"/>
        <v>-5.7807524477708361E-3</v>
      </c>
      <c r="E432" s="39">
        <v>1879.5500489999999</v>
      </c>
      <c r="F432" s="379">
        <f t="shared" si="31"/>
        <v>4.0837888997611281E-3</v>
      </c>
      <c r="G432" s="379">
        <f t="shared" si="32"/>
        <v>-5.7807524477708361E-3</v>
      </c>
      <c r="H432" s="379">
        <f t="shared" si="33"/>
        <v>4.0837888997611281E-3</v>
      </c>
    </row>
    <row r="433" spans="1:8">
      <c r="A433" s="375">
        <v>41750</v>
      </c>
      <c r="B433" s="379">
        <f t="shared" si="34"/>
        <v>430</v>
      </c>
      <c r="C433" s="28">
        <v>68.607005999999998</v>
      </c>
      <c r="D433" s="379">
        <f t="shared" si="30"/>
        <v>-2.2761980891354027E-3</v>
      </c>
      <c r="E433" s="39">
        <v>1871.8900149999999</v>
      </c>
      <c r="F433" s="379">
        <f t="shared" si="31"/>
        <v>3.768015621348781E-3</v>
      </c>
      <c r="G433" s="379">
        <f t="shared" si="32"/>
        <v>-2.2761980891354027E-3</v>
      </c>
      <c r="H433" s="379">
        <f t="shared" si="33"/>
        <v>3.768015621348781E-3</v>
      </c>
    </row>
    <row r="434" spans="1:8">
      <c r="A434" s="375">
        <v>41746</v>
      </c>
      <c r="B434" s="379">
        <f t="shared" si="34"/>
        <v>431</v>
      </c>
      <c r="C434" s="28">
        <v>68.763346999999996</v>
      </c>
      <c r="D434" s="379">
        <f t="shared" si="30"/>
        <v>1.3329009194981393E-2</v>
      </c>
      <c r="E434" s="39">
        <v>1864.849976</v>
      </c>
      <c r="F434" s="379">
        <f t="shared" si="31"/>
        <v>1.3629237109861758E-3</v>
      </c>
      <c r="G434" s="379">
        <f t="shared" si="32"/>
        <v>1.3329009194981393E-2</v>
      </c>
      <c r="H434" s="379">
        <f t="shared" si="33"/>
        <v>1.3629237109861758E-3</v>
      </c>
    </row>
    <row r="435" spans="1:8">
      <c r="A435" s="375">
        <v>41745</v>
      </c>
      <c r="B435" s="379">
        <f t="shared" si="34"/>
        <v>432</v>
      </c>
      <c r="C435" s="28">
        <v>67.852880999999996</v>
      </c>
      <c r="D435" s="379">
        <f t="shared" si="30"/>
        <v>1.1450453579280666E-2</v>
      </c>
      <c r="E435" s="39">
        <v>1862.3100589999999</v>
      </c>
      <c r="F435" s="379">
        <f t="shared" si="31"/>
        <v>1.0433868421252783E-2</v>
      </c>
      <c r="G435" s="379">
        <f t="shared" si="32"/>
        <v>1.1450453579280666E-2</v>
      </c>
      <c r="H435" s="379">
        <f t="shared" si="33"/>
        <v>1.0433868421252783E-2</v>
      </c>
    </row>
    <row r="436" spans="1:8">
      <c r="A436" s="375">
        <v>41744</v>
      </c>
      <c r="B436" s="379">
        <f t="shared" si="34"/>
        <v>433</v>
      </c>
      <c r="C436" s="28">
        <v>67.080365999999998</v>
      </c>
      <c r="D436" s="379">
        <f t="shared" si="30"/>
        <v>1.9799885812212356E-2</v>
      </c>
      <c r="E436" s="39">
        <v>1842.9799800000001</v>
      </c>
      <c r="F436" s="379">
        <f t="shared" si="31"/>
        <v>6.7345794554065381E-3</v>
      </c>
      <c r="G436" s="379">
        <f t="shared" si="32"/>
        <v>1.9799885812212356E-2</v>
      </c>
      <c r="H436" s="379">
        <f t="shared" si="33"/>
        <v>6.7345794554065381E-3</v>
      </c>
    </row>
    <row r="437" spans="1:8">
      <c r="A437" s="375">
        <v>41743</v>
      </c>
      <c r="B437" s="379">
        <f t="shared" si="34"/>
        <v>434</v>
      </c>
      <c r="C437" s="28">
        <v>65.765244999999993</v>
      </c>
      <c r="D437" s="379">
        <f t="shared" si="30"/>
        <v>8.9900779156717684E-3</v>
      </c>
      <c r="E437" s="39">
        <v>1830.6099850000001</v>
      </c>
      <c r="F437" s="379">
        <f t="shared" si="31"/>
        <v>8.1837081824381302E-3</v>
      </c>
      <c r="G437" s="379">
        <f t="shared" si="32"/>
        <v>8.9900779156717684E-3</v>
      </c>
      <c r="H437" s="379">
        <f t="shared" si="33"/>
        <v>8.1837081824381302E-3</v>
      </c>
    </row>
    <row r="438" spans="1:8">
      <c r="A438" s="375">
        <v>41740</v>
      </c>
      <c r="B438" s="379">
        <f t="shared" si="34"/>
        <v>435</v>
      </c>
      <c r="C438" s="28">
        <v>65.176659999999998</v>
      </c>
      <c r="D438" s="379">
        <f t="shared" si="30"/>
        <v>1.6503489107275397E-2</v>
      </c>
      <c r="E438" s="39">
        <v>1815.6899410000001</v>
      </c>
      <c r="F438" s="379">
        <f t="shared" si="31"/>
        <v>-9.5320599338077835E-3</v>
      </c>
      <c r="G438" s="379">
        <f t="shared" si="32"/>
        <v>1.6503489107275397E-2</v>
      </c>
      <c r="H438" s="379">
        <f t="shared" si="33"/>
        <v>-9.5320599338077835E-3</v>
      </c>
    </row>
    <row r="439" spans="1:8">
      <c r="A439" s="375">
        <v>41739</v>
      </c>
      <c r="B439" s="379">
        <f t="shared" si="34"/>
        <v>436</v>
      </c>
      <c r="C439" s="28">
        <v>64.109845000000007</v>
      </c>
      <c r="D439" s="379">
        <f t="shared" si="30"/>
        <v>-2.5912971149608364E-2</v>
      </c>
      <c r="E439" s="39">
        <v>1833.079956</v>
      </c>
      <c r="F439" s="379">
        <f t="shared" si="31"/>
        <v>-2.1105967921619718E-2</v>
      </c>
      <c r="G439" s="379">
        <f t="shared" si="32"/>
        <v>-2.5912971149608364E-2</v>
      </c>
      <c r="H439" s="379">
        <f t="shared" si="33"/>
        <v>-2.1105967921619718E-2</v>
      </c>
    </row>
    <row r="440" spans="1:8">
      <c r="A440" s="375">
        <v>41738</v>
      </c>
      <c r="B440" s="379">
        <f t="shared" si="34"/>
        <v>437</v>
      </c>
      <c r="C440" s="28">
        <v>65.792833000000002</v>
      </c>
      <c r="D440" s="379">
        <f t="shared" si="30"/>
        <v>2.0761998782320643E-2</v>
      </c>
      <c r="E440" s="39">
        <v>1872.1800539999999</v>
      </c>
      <c r="F440" s="379">
        <f t="shared" si="31"/>
        <v>1.0859039462616495E-2</v>
      </c>
      <c r="G440" s="379">
        <f t="shared" si="32"/>
        <v>2.0761998782320643E-2</v>
      </c>
      <c r="H440" s="379">
        <f t="shared" si="33"/>
        <v>1.0859039462616495E-2</v>
      </c>
    </row>
    <row r="441" spans="1:8">
      <c r="A441" s="375">
        <v>41737</v>
      </c>
      <c r="B441" s="379">
        <f t="shared" si="34"/>
        <v>438</v>
      </c>
      <c r="C441" s="28">
        <v>64.440924999999993</v>
      </c>
      <c r="D441" s="379">
        <f t="shared" si="30"/>
        <v>8.4557487867484866E-3</v>
      </c>
      <c r="E441" s="39">
        <v>1851.959961</v>
      </c>
      <c r="F441" s="379">
        <f t="shared" si="31"/>
        <v>3.7435380478000289E-3</v>
      </c>
      <c r="G441" s="379">
        <f t="shared" si="32"/>
        <v>8.4557487867484866E-3</v>
      </c>
      <c r="H441" s="379">
        <f t="shared" si="33"/>
        <v>3.7435380478000289E-3</v>
      </c>
    </row>
    <row r="442" spans="1:8">
      <c r="A442" s="375">
        <v>41736</v>
      </c>
      <c r="B442" s="379">
        <f t="shared" si="34"/>
        <v>439</v>
      </c>
      <c r="C442" s="28">
        <v>63.898325999999997</v>
      </c>
      <c r="D442" s="379">
        <f t="shared" si="30"/>
        <v>-1.0594196552147574E-2</v>
      </c>
      <c r="E442" s="39">
        <v>1845.040039</v>
      </c>
      <c r="F442" s="379">
        <f t="shared" si="31"/>
        <v>-1.0808312462366923E-2</v>
      </c>
      <c r="G442" s="379">
        <f t="shared" si="32"/>
        <v>-1.0594196552147574E-2</v>
      </c>
      <c r="H442" s="379">
        <f t="shared" si="33"/>
        <v>-1.0808312462366923E-2</v>
      </c>
    </row>
    <row r="443" spans="1:8">
      <c r="A443" s="375">
        <v>41733</v>
      </c>
      <c r="B443" s="379">
        <f t="shared" si="34"/>
        <v>440</v>
      </c>
      <c r="C443" s="28">
        <v>64.578875999999994</v>
      </c>
      <c r="D443" s="379">
        <f t="shared" si="30"/>
        <v>2.8491702044580497E-4</v>
      </c>
      <c r="E443" s="39">
        <v>1865.089966</v>
      </c>
      <c r="F443" s="379">
        <f t="shared" si="31"/>
        <v>-1.2616543077148771E-2</v>
      </c>
      <c r="G443" s="379">
        <f t="shared" si="32"/>
        <v>2.8491702044580497E-4</v>
      </c>
      <c r="H443" s="379">
        <f t="shared" si="33"/>
        <v>-1.2616543077148771E-2</v>
      </c>
    </row>
    <row r="444" spans="1:8">
      <c r="A444" s="375">
        <v>41732</v>
      </c>
      <c r="B444" s="379">
        <f t="shared" si="34"/>
        <v>441</v>
      </c>
      <c r="C444" s="28">
        <v>64.560479000000001</v>
      </c>
      <c r="D444" s="379">
        <f t="shared" si="30"/>
        <v>-9.7811024161805604E-3</v>
      </c>
      <c r="E444" s="39">
        <v>1888.7700199999999</v>
      </c>
      <c r="F444" s="379">
        <f t="shared" si="31"/>
        <v>-1.1270847458569155E-3</v>
      </c>
      <c r="G444" s="379">
        <f t="shared" si="32"/>
        <v>-9.7811024161805604E-3</v>
      </c>
      <c r="H444" s="379">
        <f t="shared" si="33"/>
        <v>-1.1270847458569155E-3</v>
      </c>
    </row>
    <row r="445" spans="1:8">
      <c r="A445" s="375">
        <v>41731</v>
      </c>
      <c r="B445" s="379">
        <f t="shared" si="34"/>
        <v>442</v>
      </c>
      <c r="C445" s="28">
        <v>65.195049999999995</v>
      </c>
      <c r="D445" s="379">
        <f t="shared" si="30"/>
        <v>8.2153794597116334E-3</v>
      </c>
      <c r="E445" s="39">
        <v>1890.900024</v>
      </c>
      <c r="F445" s="379">
        <f t="shared" si="31"/>
        <v>2.8492633642570506E-3</v>
      </c>
      <c r="G445" s="379">
        <f t="shared" si="32"/>
        <v>8.2153794597116334E-3</v>
      </c>
      <c r="H445" s="379">
        <f t="shared" si="33"/>
        <v>2.8492633642570506E-3</v>
      </c>
    </row>
    <row r="446" spans="1:8">
      <c r="A446" s="375">
        <v>41730</v>
      </c>
      <c r="B446" s="379">
        <f t="shared" si="34"/>
        <v>443</v>
      </c>
      <c r="C446" s="28">
        <v>64.661642000000001</v>
      </c>
      <c r="D446" s="379">
        <f t="shared" si="30"/>
        <v>-5.6876902467620672E-4</v>
      </c>
      <c r="E446" s="39">
        <v>1885.5200199999999</v>
      </c>
      <c r="F446" s="379">
        <f t="shared" si="31"/>
        <v>7.0146881968491453E-3</v>
      </c>
      <c r="G446" s="379">
        <f t="shared" si="32"/>
        <v>-5.6876902467620672E-4</v>
      </c>
      <c r="H446" s="379">
        <f t="shared" si="33"/>
        <v>7.0146881968491453E-3</v>
      </c>
    </row>
    <row r="447" spans="1:8">
      <c r="A447" s="375">
        <v>41729</v>
      </c>
      <c r="B447" s="379">
        <f t="shared" si="34"/>
        <v>444</v>
      </c>
      <c r="C447" s="28">
        <v>64.698430000000002</v>
      </c>
      <c r="D447" s="379">
        <f t="shared" si="30"/>
        <v>0</v>
      </c>
      <c r="E447" s="39">
        <v>1872.339966</v>
      </c>
      <c r="F447" s="379">
        <f t="shared" si="31"/>
        <v>7.8928715438509635E-3</v>
      </c>
      <c r="G447" s="379">
        <f t="shared" si="32"/>
        <v>0</v>
      </c>
      <c r="H447" s="379">
        <f t="shared" si="33"/>
        <v>7.8928715438509635E-3</v>
      </c>
    </row>
    <row r="448" spans="1:8">
      <c r="A448" s="375">
        <v>41726</v>
      </c>
      <c r="B448" s="379">
        <f t="shared" si="34"/>
        <v>445</v>
      </c>
      <c r="C448" s="28">
        <v>64.698430000000002</v>
      </c>
      <c r="D448" s="379">
        <f t="shared" si="30"/>
        <v>1.5182158755073557E-2</v>
      </c>
      <c r="E448" s="39">
        <v>1857.619995</v>
      </c>
      <c r="F448" s="379">
        <f t="shared" si="31"/>
        <v>4.6294892141261826E-3</v>
      </c>
      <c r="G448" s="379">
        <f t="shared" si="32"/>
        <v>1.5182158755073557E-2</v>
      </c>
      <c r="H448" s="379">
        <f t="shared" si="33"/>
        <v>4.6294892141261826E-3</v>
      </c>
    </row>
    <row r="449" spans="1:8">
      <c r="A449" s="375">
        <v>41725</v>
      </c>
      <c r="B449" s="379">
        <f t="shared" si="34"/>
        <v>446</v>
      </c>
      <c r="C449" s="28">
        <v>63.723587000000002</v>
      </c>
      <c r="D449" s="379">
        <f t="shared" si="30"/>
        <v>1.0008095120448547E-2</v>
      </c>
      <c r="E449" s="39">
        <v>1849.040039</v>
      </c>
      <c r="F449" s="379">
        <f t="shared" si="31"/>
        <v>-1.9018915970694392E-3</v>
      </c>
      <c r="G449" s="379">
        <f t="shared" si="32"/>
        <v>1.0008095120448547E-2</v>
      </c>
      <c r="H449" s="379">
        <f t="shared" si="33"/>
        <v>-1.9018915970694392E-3</v>
      </c>
    </row>
    <row r="450" spans="1:8">
      <c r="A450" s="375">
        <v>41724</v>
      </c>
      <c r="B450" s="379">
        <f t="shared" si="34"/>
        <v>447</v>
      </c>
      <c r="C450" s="28">
        <v>63.089016000000001</v>
      </c>
      <c r="D450" s="379">
        <f t="shared" si="30"/>
        <v>3.0659094333097331E-3</v>
      </c>
      <c r="E450" s="39">
        <v>1852.5600589999999</v>
      </c>
      <c r="F450" s="379">
        <f t="shared" si="31"/>
        <v>-7.0249366727707435E-3</v>
      </c>
      <c r="G450" s="379">
        <f t="shared" si="32"/>
        <v>3.0659094333097331E-3</v>
      </c>
      <c r="H450" s="379">
        <f t="shared" si="33"/>
        <v>-7.0249366727707435E-3</v>
      </c>
    </row>
    <row r="451" spans="1:8">
      <c r="A451" s="375">
        <v>41723</v>
      </c>
      <c r="B451" s="379">
        <f t="shared" si="34"/>
        <v>448</v>
      </c>
      <c r="C451" s="28">
        <v>62.895887000000002</v>
      </c>
      <c r="D451" s="379">
        <f t="shared" si="30"/>
        <v>1.2210540528778778E-2</v>
      </c>
      <c r="E451" s="39">
        <v>1865.619995</v>
      </c>
      <c r="F451" s="379">
        <f t="shared" si="31"/>
        <v>4.3942710047230656E-3</v>
      </c>
      <c r="G451" s="379">
        <f t="shared" si="32"/>
        <v>1.2210540528778778E-2</v>
      </c>
      <c r="H451" s="379">
        <f t="shared" si="33"/>
        <v>4.3942710047230656E-3</v>
      </c>
    </row>
    <row r="452" spans="1:8">
      <c r="A452" s="375">
        <v>41722</v>
      </c>
      <c r="B452" s="379">
        <f t="shared" si="34"/>
        <v>449</v>
      </c>
      <c r="C452" s="28">
        <v>62.132564000000002</v>
      </c>
      <c r="D452" s="379">
        <f t="shared" ref="D452:D515" si="35">LN(C452/C453)</f>
        <v>1.1847505354664744E-3</v>
      </c>
      <c r="E452" s="39">
        <v>1857.4399410000001</v>
      </c>
      <c r="F452" s="379">
        <f t="shared" ref="F452:F515" si="36">LN(E452/E453)</f>
        <v>-4.8765814292138984E-3</v>
      </c>
      <c r="G452" s="379">
        <f t="shared" ref="G452:G515" si="37">IF(B452&lt;$D$1+1,D452,0)</f>
        <v>1.1847505354664744E-3</v>
      </c>
      <c r="H452" s="379">
        <f t="shared" ref="H452:H515" si="38">IF(B452&lt;$D$1+1,F452,0)</f>
        <v>-4.8765814292138984E-3</v>
      </c>
    </row>
    <row r="453" spans="1:8">
      <c r="A453" s="375">
        <v>41719</v>
      </c>
      <c r="B453" s="379">
        <f t="shared" si="34"/>
        <v>450</v>
      </c>
      <c r="C453" s="28">
        <v>62.058996</v>
      </c>
      <c r="D453" s="379">
        <f t="shared" si="35"/>
        <v>-6.2047398752100658E-3</v>
      </c>
      <c r="E453" s="39">
        <v>1866.5200199999999</v>
      </c>
      <c r="F453" s="379">
        <f t="shared" si="36"/>
        <v>-2.9369799906726465E-3</v>
      </c>
      <c r="G453" s="379">
        <f t="shared" si="37"/>
        <v>-6.2047398752100658E-3</v>
      </c>
      <c r="H453" s="379">
        <f t="shared" si="38"/>
        <v>-2.9369799906726465E-3</v>
      </c>
    </row>
    <row r="454" spans="1:8">
      <c r="A454" s="375">
        <v>41718</v>
      </c>
      <c r="B454" s="379">
        <f t="shared" ref="B454:B517" si="39">B453+1</f>
        <v>451</v>
      </c>
      <c r="C454" s="28">
        <v>62.445253000000001</v>
      </c>
      <c r="D454" s="379">
        <f t="shared" si="35"/>
        <v>5.9084528425409769E-3</v>
      </c>
      <c r="E454" s="39">
        <v>1872.01001</v>
      </c>
      <c r="F454" s="379">
        <f t="shared" si="36"/>
        <v>6.0223339608095686E-3</v>
      </c>
      <c r="G454" s="379">
        <f t="shared" si="37"/>
        <v>5.9084528425409769E-3</v>
      </c>
      <c r="H454" s="379">
        <f t="shared" si="38"/>
        <v>6.0223339608095686E-3</v>
      </c>
    </row>
    <row r="455" spans="1:8">
      <c r="A455" s="375">
        <v>41717</v>
      </c>
      <c r="B455" s="379">
        <f t="shared" si="39"/>
        <v>452</v>
      </c>
      <c r="C455" s="28">
        <v>62.077385999999997</v>
      </c>
      <c r="D455" s="379">
        <f t="shared" si="35"/>
        <v>-8.8495995228788961E-3</v>
      </c>
      <c r="E455" s="39">
        <v>1860.7700199999999</v>
      </c>
      <c r="F455" s="379">
        <f t="shared" si="36"/>
        <v>-6.1505248448226989E-3</v>
      </c>
      <c r="G455" s="379">
        <f t="shared" si="37"/>
        <v>-8.8495995228788961E-3</v>
      </c>
      <c r="H455" s="379">
        <f t="shared" si="38"/>
        <v>-6.1505248448226989E-3</v>
      </c>
    </row>
    <row r="456" spans="1:8">
      <c r="A456" s="375">
        <v>41716</v>
      </c>
      <c r="B456" s="379">
        <f t="shared" si="39"/>
        <v>453</v>
      </c>
      <c r="C456" s="28">
        <v>62.629184000000002</v>
      </c>
      <c r="D456" s="379">
        <f t="shared" si="35"/>
        <v>1.196554977306692E-2</v>
      </c>
      <c r="E456" s="39">
        <v>1872.25</v>
      </c>
      <c r="F456" s="379">
        <f t="shared" si="36"/>
        <v>7.1936822748935253E-3</v>
      </c>
      <c r="G456" s="379">
        <f t="shared" si="37"/>
        <v>1.196554977306692E-2</v>
      </c>
      <c r="H456" s="379">
        <f t="shared" si="38"/>
        <v>7.1936822748935253E-3</v>
      </c>
    </row>
    <row r="457" spans="1:8">
      <c r="A457" s="375">
        <v>41715</v>
      </c>
      <c r="B457" s="379">
        <f t="shared" si="39"/>
        <v>454</v>
      </c>
      <c r="C457" s="28">
        <v>61.884256999999998</v>
      </c>
      <c r="D457" s="379">
        <f t="shared" si="35"/>
        <v>1.0307094898406264E-2</v>
      </c>
      <c r="E457" s="39">
        <v>1858.829956</v>
      </c>
      <c r="F457" s="379">
        <f t="shared" si="36"/>
        <v>9.5677176019688687E-3</v>
      </c>
      <c r="G457" s="379">
        <f t="shared" si="37"/>
        <v>1.0307094898406264E-2</v>
      </c>
      <c r="H457" s="379">
        <f t="shared" si="38"/>
        <v>9.5677176019688687E-3</v>
      </c>
    </row>
    <row r="458" spans="1:8">
      <c r="A458" s="375">
        <v>41712</v>
      </c>
      <c r="B458" s="379">
        <f t="shared" si="39"/>
        <v>455</v>
      </c>
      <c r="C458" s="28">
        <v>61.249685999999997</v>
      </c>
      <c r="D458" s="379">
        <f t="shared" si="35"/>
        <v>4.2130472514413297E-3</v>
      </c>
      <c r="E458" s="39">
        <v>1841.130005</v>
      </c>
      <c r="F458" s="379">
        <f t="shared" si="36"/>
        <v>-2.8257664511163196E-3</v>
      </c>
      <c r="G458" s="379">
        <f t="shared" si="37"/>
        <v>4.2130472514413297E-3</v>
      </c>
      <c r="H458" s="379">
        <f t="shared" si="38"/>
        <v>-2.8257664511163196E-3</v>
      </c>
    </row>
    <row r="459" spans="1:8">
      <c r="A459" s="375">
        <v>41711</v>
      </c>
      <c r="B459" s="379">
        <f t="shared" si="39"/>
        <v>456</v>
      </c>
      <c r="C459" s="28">
        <v>60.992181000000002</v>
      </c>
      <c r="D459" s="379">
        <f t="shared" si="35"/>
        <v>-3.3117876411366803E-3</v>
      </c>
      <c r="E459" s="39">
        <v>1846.339966</v>
      </c>
      <c r="F459" s="379">
        <f t="shared" si="36"/>
        <v>-1.177009150656236E-2</v>
      </c>
      <c r="G459" s="379">
        <f t="shared" si="37"/>
        <v>-3.3117876411366803E-3</v>
      </c>
      <c r="H459" s="379">
        <f t="shared" si="38"/>
        <v>-1.177009150656236E-2</v>
      </c>
    </row>
    <row r="460" spans="1:8">
      <c r="A460" s="375">
        <v>41710</v>
      </c>
      <c r="B460" s="379">
        <f t="shared" si="39"/>
        <v>457</v>
      </c>
      <c r="C460" s="28">
        <v>61.194508999999996</v>
      </c>
      <c r="D460" s="379">
        <f t="shared" si="35"/>
        <v>1.503352446913332E-4</v>
      </c>
      <c r="E460" s="39">
        <v>1868.1999510000001</v>
      </c>
      <c r="F460" s="379">
        <f t="shared" si="36"/>
        <v>3.0512416846305301E-4</v>
      </c>
      <c r="G460" s="379">
        <f t="shared" si="37"/>
        <v>1.503352446913332E-4</v>
      </c>
      <c r="H460" s="379">
        <f t="shared" si="38"/>
        <v>3.0512416846305301E-4</v>
      </c>
    </row>
    <row r="461" spans="1:8">
      <c r="A461" s="375">
        <v>41709</v>
      </c>
      <c r="B461" s="379">
        <f t="shared" si="39"/>
        <v>458</v>
      </c>
      <c r="C461" s="28">
        <v>61.185310000000001</v>
      </c>
      <c r="D461" s="379">
        <f t="shared" si="35"/>
        <v>-5.3965153455251928E-3</v>
      </c>
      <c r="E461" s="39">
        <v>1867.630005</v>
      </c>
      <c r="F461" s="379">
        <f t="shared" si="36"/>
        <v>-5.0950969416020996E-3</v>
      </c>
      <c r="G461" s="379">
        <f t="shared" si="37"/>
        <v>-5.3965153455251928E-3</v>
      </c>
      <c r="H461" s="379">
        <f t="shared" si="38"/>
        <v>-5.0950969416020996E-3</v>
      </c>
    </row>
    <row r="462" spans="1:8">
      <c r="A462" s="375">
        <v>41708</v>
      </c>
      <c r="B462" s="379">
        <f t="shared" si="39"/>
        <v>459</v>
      </c>
      <c r="C462" s="28">
        <v>61.516390000000001</v>
      </c>
      <c r="D462" s="379">
        <f t="shared" si="35"/>
        <v>5.6971228643010012E-3</v>
      </c>
      <c r="E462" s="39">
        <v>1877.170044</v>
      </c>
      <c r="F462" s="379">
        <f t="shared" si="36"/>
        <v>-4.6335357880714941E-4</v>
      </c>
      <c r="G462" s="379">
        <f t="shared" si="37"/>
        <v>5.6971228643010012E-3</v>
      </c>
      <c r="H462" s="379">
        <f t="shared" si="38"/>
        <v>-4.6335357880714941E-4</v>
      </c>
    </row>
    <row r="463" spans="1:8">
      <c r="A463" s="375">
        <v>41705</v>
      </c>
      <c r="B463" s="379">
        <f t="shared" si="39"/>
        <v>460</v>
      </c>
      <c r="C463" s="28">
        <v>61.166919999999998</v>
      </c>
      <c r="D463" s="379">
        <f t="shared" si="35"/>
        <v>1.8059219505659428E-3</v>
      </c>
      <c r="E463" s="39">
        <v>1878.040039</v>
      </c>
      <c r="F463" s="379">
        <f t="shared" si="36"/>
        <v>5.3794470199833614E-4</v>
      </c>
      <c r="G463" s="379">
        <f t="shared" si="37"/>
        <v>1.8059219505659428E-3</v>
      </c>
      <c r="H463" s="379">
        <f t="shared" si="38"/>
        <v>5.3794470199833614E-4</v>
      </c>
    </row>
    <row r="464" spans="1:8">
      <c r="A464" s="375">
        <v>41704</v>
      </c>
      <c r="B464" s="379">
        <f t="shared" si="39"/>
        <v>461</v>
      </c>
      <c r="C464" s="28">
        <v>61.056556999999998</v>
      </c>
      <c r="D464" s="379">
        <f t="shared" si="35"/>
        <v>1.3564824496130831E-3</v>
      </c>
      <c r="E464" s="39">
        <v>1877.030029</v>
      </c>
      <c r="F464" s="379">
        <f t="shared" si="36"/>
        <v>1.7169331218907797E-3</v>
      </c>
      <c r="G464" s="379">
        <f t="shared" si="37"/>
        <v>1.3564824496130831E-3</v>
      </c>
      <c r="H464" s="379">
        <f t="shared" si="38"/>
        <v>1.7169331218907797E-3</v>
      </c>
    </row>
    <row r="465" spans="1:8">
      <c r="A465" s="375">
        <v>41703</v>
      </c>
      <c r="B465" s="379">
        <f t="shared" si="39"/>
        <v>462</v>
      </c>
      <c r="C465" s="28">
        <v>60.973790999999999</v>
      </c>
      <c r="D465" s="379">
        <f t="shared" si="35"/>
        <v>-3.0120013425100505E-3</v>
      </c>
      <c r="E465" s="39">
        <v>1873.8100589999999</v>
      </c>
      <c r="F465" s="379">
        <f t="shared" si="36"/>
        <v>-5.3352436971208566E-5</v>
      </c>
      <c r="G465" s="379">
        <f t="shared" si="37"/>
        <v>-3.0120013425100505E-3</v>
      </c>
      <c r="H465" s="379">
        <f t="shared" si="38"/>
        <v>-5.3352436971208566E-5</v>
      </c>
    </row>
    <row r="466" spans="1:8">
      <c r="A466" s="375">
        <v>41702</v>
      </c>
      <c r="B466" s="379">
        <f t="shared" si="39"/>
        <v>463</v>
      </c>
      <c r="C466" s="28">
        <v>61.157721000000002</v>
      </c>
      <c r="D466" s="379">
        <f t="shared" si="35"/>
        <v>2.8612594080373722E-3</v>
      </c>
      <c r="E466" s="39">
        <v>1873.910034</v>
      </c>
      <c r="F466" s="379">
        <f t="shared" si="36"/>
        <v>1.5152322834217294E-2</v>
      </c>
      <c r="G466" s="379">
        <f t="shared" si="37"/>
        <v>2.8612594080373722E-3</v>
      </c>
      <c r="H466" s="379">
        <f t="shared" si="38"/>
        <v>1.5152322834217294E-2</v>
      </c>
    </row>
    <row r="467" spans="1:8">
      <c r="A467" s="375">
        <v>41701</v>
      </c>
      <c r="B467" s="379">
        <f t="shared" si="39"/>
        <v>464</v>
      </c>
      <c r="C467" s="28">
        <v>60.982982999999997</v>
      </c>
      <c r="D467" s="379">
        <f t="shared" si="35"/>
        <v>-2.861259408037416E-3</v>
      </c>
      <c r="E467" s="39">
        <v>1845.7299800000001</v>
      </c>
      <c r="F467" s="379">
        <f t="shared" si="36"/>
        <v>-7.4058663619861681E-3</v>
      </c>
      <c r="G467" s="379">
        <f t="shared" si="37"/>
        <v>-2.861259408037416E-3</v>
      </c>
      <c r="H467" s="379">
        <f t="shared" si="38"/>
        <v>-7.4058663619861681E-3</v>
      </c>
    </row>
    <row r="468" spans="1:8">
      <c r="A468" s="375">
        <v>41698</v>
      </c>
      <c r="B468" s="379">
        <f t="shared" si="39"/>
        <v>465</v>
      </c>
      <c r="C468" s="28">
        <v>61.157721000000002</v>
      </c>
      <c r="D468" s="379">
        <f t="shared" si="35"/>
        <v>3.7664787848137394E-3</v>
      </c>
      <c r="E468" s="39">
        <v>1859.4499510000001</v>
      </c>
      <c r="F468" s="379">
        <f t="shared" si="36"/>
        <v>2.7788242226103972E-3</v>
      </c>
      <c r="G468" s="379">
        <f t="shared" si="37"/>
        <v>3.7664787848137394E-3</v>
      </c>
      <c r="H468" s="379">
        <f t="shared" si="38"/>
        <v>2.7788242226103972E-3</v>
      </c>
    </row>
    <row r="469" spans="1:8">
      <c r="A469" s="375">
        <v>41697</v>
      </c>
      <c r="B469" s="379">
        <f t="shared" si="39"/>
        <v>466</v>
      </c>
      <c r="C469" s="28">
        <v>60.927804999999999</v>
      </c>
      <c r="D469" s="379">
        <f t="shared" si="35"/>
        <v>1.8129993908211912E-3</v>
      </c>
      <c r="E469" s="39">
        <v>1854.290039</v>
      </c>
      <c r="F469" s="379">
        <f t="shared" si="36"/>
        <v>4.9358814720940501E-3</v>
      </c>
      <c r="G469" s="379">
        <f t="shared" si="37"/>
        <v>1.8129993908211912E-3</v>
      </c>
      <c r="H469" s="379">
        <f t="shared" si="38"/>
        <v>4.9358814720940501E-3</v>
      </c>
    </row>
    <row r="470" spans="1:8">
      <c r="A470" s="375">
        <v>41696</v>
      </c>
      <c r="B470" s="379">
        <f t="shared" si="39"/>
        <v>467</v>
      </c>
      <c r="C470" s="28">
        <v>60.817442999999997</v>
      </c>
      <c r="D470" s="379">
        <f t="shared" si="35"/>
        <v>-5.8801309033043314E-3</v>
      </c>
      <c r="E470" s="39">
        <v>1845.160034</v>
      </c>
      <c r="F470" s="379">
        <f t="shared" si="36"/>
        <v>2.1699708253570321E-5</v>
      </c>
      <c r="G470" s="379">
        <f t="shared" si="37"/>
        <v>-5.8801309033043314E-3</v>
      </c>
      <c r="H470" s="379">
        <f t="shared" si="38"/>
        <v>2.1699708253570321E-5</v>
      </c>
    </row>
    <row r="471" spans="1:8">
      <c r="A471" s="375">
        <v>41695</v>
      </c>
      <c r="B471" s="379">
        <f t="shared" si="39"/>
        <v>468</v>
      </c>
      <c r="C471" s="28">
        <v>61.176110999999999</v>
      </c>
      <c r="D471" s="379">
        <f t="shared" si="35"/>
        <v>1.5044139379663129E-3</v>
      </c>
      <c r="E471" s="39">
        <v>1845.119995</v>
      </c>
      <c r="F471" s="379">
        <f t="shared" si="36"/>
        <v>-1.3485905500071854E-3</v>
      </c>
      <c r="G471" s="379">
        <f t="shared" si="37"/>
        <v>1.5044139379663129E-3</v>
      </c>
      <c r="H471" s="379">
        <f t="shared" si="38"/>
        <v>-1.3485905500071854E-3</v>
      </c>
    </row>
    <row r="472" spans="1:8">
      <c r="A472" s="375">
        <v>41694</v>
      </c>
      <c r="B472" s="379">
        <f t="shared" si="39"/>
        <v>469</v>
      </c>
      <c r="C472" s="28">
        <v>61.084145999999997</v>
      </c>
      <c r="D472" s="379">
        <f t="shared" si="35"/>
        <v>2.6546147389373283E-2</v>
      </c>
      <c r="E472" s="39">
        <v>1847.6099850000001</v>
      </c>
      <c r="F472" s="379">
        <f t="shared" si="36"/>
        <v>6.1674553620519853E-3</v>
      </c>
      <c r="G472" s="379">
        <f t="shared" si="37"/>
        <v>2.6546147389373283E-2</v>
      </c>
      <c r="H472" s="379">
        <f t="shared" si="38"/>
        <v>6.1674553620519853E-3</v>
      </c>
    </row>
    <row r="473" spans="1:8">
      <c r="A473" s="375">
        <v>41691</v>
      </c>
      <c r="B473" s="379">
        <f t="shared" si="39"/>
        <v>470</v>
      </c>
      <c r="C473" s="28">
        <v>59.483930999999998</v>
      </c>
      <c r="D473" s="379">
        <f t="shared" si="35"/>
        <v>-3.7036812134803379E-3</v>
      </c>
      <c r="E473" s="39">
        <v>1836.25</v>
      </c>
      <c r="F473" s="379">
        <f t="shared" si="36"/>
        <v>-1.9205665118166161E-3</v>
      </c>
      <c r="G473" s="379">
        <f t="shared" si="37"/>
        <v>-3.7036812134803379E-3</v>
      </c>
      <c r="H473" s="379">
        <f t="shared" si="38"/>
        <v>-1.9205665118166161E-3</v>
      </c>
    </row>
    <row r="474" spans="1:8">
      <c r="A474" s="375">
        <v>41690</v>
      </c>
      <c r="B474" s="379">
        <f t="shared" si="39"/>
        <v>471</v>
      </c>
      <c r="C474" s="28">
        <v>59.704649000000003</v>
      </c>
      <c r="D474" s="379">
        <f t="shared" si="35"/>
        <v>-1.2315574182664361E-3</v>
      </c>
      <c r="E474" s="39">
        <v>1839.780029</v>
      </c>
      <c r="F474" s="379">
        <f t="shared" si="36"/>
        <v>6.0133416655695771E-3</v>
      </c>
      <c r="G474" s="379">
        <f t="shared" si="37"/>
        <v>-1.2315574182664361E-3</v>
      </c>
      <c r="H474" s="379">
        <f t="shared" si="38"/>
        <v>6.0133416655695771E-3</v>
      </c>
    </row>
    <row r="475" spans="1:8">
      <c r="A475" s="375">
        <v>41689</v>
      </c>
      <c r="B475" s="379">
        <f t="shared" si="39"/>
        <v>472</v>
      </c>
      <c r="C475" s="28">
        <v>59.778224000000002</v>
      </c>
      <c r="D475" s="379">
        <f t="shared" si="35"/>
        <v>-5.6762002596243673E-3</v>
      </c>
      <c r="E475" s="39">
        <v>1828.75</v>
      </c>
      <c r="F475" s="379">
        <f t="shared" si="36"/>
        <v>-6.5458619005211004E-3</v>
      </c>
      <c r="G475" s="379">
        <f t="shared" si="37"/>
        <v>-5.6762002596243673E-3</v>
      </c>
      <c r="H475" s="379">
        <f t="shared" si="38"/>
        <v>-6.5458619005211004E-3</v>
      </c>
    </row>
    <row r="476" spans="1:8">
      <c r="A476" s="375">
        <v>41688</v>
      </c>
      <c r="B476" s="379">
        <f t="shared" si="39"/>
        <v>473</v>
      </c>
      <c r="C476" s="28">
        <v>60.118501999999999</v>
      </c>
      <c r="D476" s="379">
        <f t="shared" si="35"/>
        <v>-2.4445589713003248E-3</v>
      </c>
      <c r="E476" s="39">
        <v>1840.76001</v>
      </c>
      <c r="F476" s="379">
        <f t="shared" si="36"/>
        <v>1.1578034561475104E-3</v>
      </c>
      <c r="G476" s="379">
        <f t="shared" si="37"/>
        <v>-2.4445589713003248E-3</v>
      </c>
      <c r="H476" s="379">
        <f t="shared" si="38"/>
        <v>1.1578034561475104E-3</v>
      </c>
    </row>
    <row r="477" spans="1:8">
      <c r="A477" s="375">
        <v>41684</v>
      </c>
      <c r="B477" s="379">
        <f t="shared" si="39"/>
        <v>474</v>
      </c>
      <c r="C477" s="28">
        <v>60.265644999999999</v>
      </c>
      <c r="D477" s="379">
        <f t="shared" si="35"/>
        <v>1.2592299456346025E-2</v>
      </c>
      <c r="E477" s="39">
        <v>1838.630005</v>
      </c>
      <c r="F477" s="379">
        <f t="shared" si="36"/>
        <v>4.7976894791712443E-3</v>
      </c>
      <c r="G477" s="379">
        <f t="shared" si="37"/>
        <v>1.2592299456346025E-2</v>
      </c>
      <c r="H477" s="379">
        <f t="shared" si="38"/>
        <v>4.7976894791712443E-3</v>
      </c>
    </row>
    <row r="478" spans="1:8">
      <c r="A478" s="375">
        <v>41683</v>
      </c>
      <c r="B478" s="379">
        <f t="shared" si="39"/>
        <v>475</v>
      </c>
      <c r="C478" s="28">
        <v>59.511519999999997</v>
      </c>
      <c r="D478" s="379">
        <f t="shared" si="35"/>
        <v>2.7855054269616203E-3</v>
      </c>
      <c r="E478" s="39">
        <v>1829.829956</v>
      </c>
      <c r="F478" s="379">
        <f t="shared" si="36"/>
        <v>5.793211820060081E-3</v>
      </c>
      <c r="G478" s="379">
        <f t="shared" si="37"/>
        <v>2.7855054269616203E-3</v>
      </c>
      <c r="H478" s="379">
        <f t="shared" si="38"/>
        <v>5.793211820060081E-3</v>
      </c>
    </row>
    <row r="479" spans="1:8">
      <c r="A479" s="375">
        <v>41682</v>
      </c>
      <c r="B479" s="379">
        <f t="shared" si="39"/>
        <v>476</v>
      </c>
      <c r="C479" s="28">
        <v>59.345981000000002</v>
      </c>
      <c r="D479" s="379">
        <f t="shared" si="35"/>
        <v>-5.3520811379981085E-3</v>
      </c>
      <c r="E479" s="39">
        <v>1819.26001</v>
      </c>
      <c r="F479" s="379">
        <f t="shared" si="36"/>
        <v>-2.6929851889100114E-4</v>
      </c>
      <c r="G479" s="379">
        <f t="shared" si="37"/>
        <v>-5.3520811379981085E-3</v>
      </c>
      <c r="H479" s="379">
        <f t="shared" si="38"/>
        <v>-2.6929851889100114E-4</v>
      </c>
    </row>
    <row r="480" spans="1:8">
      <c r="A480" s="375">
        <v>41681</v>
      </c>
      <c r="B480" s="379">
        <f t="shared" si="39"/>
        <v>477</v>
      </c>
      <c r="C480" s="28">
        <v>59.664456999999999</v>
      </c>
      <c r="D480" s="379">
        <f t="shared" si="35"/>
        <v>1.5213475972211513E-2</v>
      </c>
      <c r="E480" s="39">
        <v>1819.75</v>
      </c>
      <c r="F480" s="379">
        <f t="shared" si="36"/>
        <v>1.1001375844419653E-2</v>
      </c>
      <c r="G480" s="379">
        <f t="shared" si="37"/>
        <v>1.5213475972211513E-2</v>
      </c>
      <c r="H480" s="379">
        <f t="shared" si="38"/>
        <v>1.1001375844419653E-2</v>
      </c>
    </row>
    <row r="481" spans="1:8">
      <c r="A481" s="375">
        <v>41680</v>
      </c>
      <c r="B481" s="379">
        <f t="shared" si="39"/>
        <v>478</v>
      </c>
      <c r="C481" s="28">
        <v>58.763623000000003</v>
      </c>
      <c r="D481" s="379">
        <f t="shared" si="35"/>
        <v>-6.0208464529152624E-3</v>
      </c>
      <c r="E481" s="39">
        <v>1799.839966</v>
      </c>
      <c r="F481" s="379">
        <f t="shared" si="36"/>
        <v>1.5680046422408135E-3</v>
      </c>
      <c r="G481" s="379">
        <f t="shared" si="37"/>
        <v>-6.0208464529152624E-3</v>
      </c>
      <c r="H481" s="379">
        <f t="shared" si="38"/>
        <v>1.5680046422408135E-3</v>
      </c>
    </row>
    <row r="482" spans="1:8">
      <c r="A482" s="375">
        <v>41677</v>
      </c>
      <c r="B482" s="379">
        <f t="shared" si="39"/>
        <v>479</v>
      </c>
      <c r="C482" s="28">
        <v>59.118496999999998</v>
      </c>
      <c r="D482" s="379">
        <f t="shared" si="35"/>
        <v>1.0365965332382009E-2</v>
      </c>
      <c r="E482" s="39">
        <v>1797.0200199999999</v>
      </c>
      <c r="F482" s="379">
        <f t="shared" si="36"/>
        <v>1.3214193602149099E-2</v>
      </c>
      <c r="G482" s="379">
        <f t="shared" si="37"/>
        <v>1.0365965332382009E-2</v>
      </c>
      <c r="H482" s="379">
        <f t="shared" si="38"/>
        <v>1.3214193602149099E-2</v>
      </c>
    </row>
    <row r="483" spans="1:8">
      <c r="A483" s="375">
        <v>41676</v>
      </c>
      <c r="B483" s="379">
        <f t="shared" si="39"/>
        <v>480</v>
      </c>
      <c r="C483" s="28">
        <v>58.508842000000001</v>
      </c>
      <c r="D483" s="379">
        <f t="shared" si="35"/>
        <v>1.3149902568100459E-2</v>
      </c>
      <c r="E483" s="39">
        <v>1773.4300539999999</v>
      </c>
      <c r="F483" s="379">
        <f t="shared" si="36"/>
        <v>1.2363054415667341E-2</v>
      </c>
      <c r="G483" s="379">
        <f t="shared" si="37"/>
        <v>1.3149902568100459E-2</v>
      </c>
      <c r="H483" s="379">
        <f t="shared" si="38"/>
        <v>1.2363054415667341E-2</v>
      </c>
    </row>
    <row r="484" spans="1:8">
      <c r="A484" s="375">
        <v>41675</v>
      </c>
      <c r="B484" s="379">
        <f t="shared" si="39"/>
        <v>481</v>
      </c>
      <c r="C484" s="28">
        <v>57.744492999999999</v>
      </c>
      <c r="D484" s="379">
        <f t="shared" si="35"/>
        <v>-3.9317530693801566E-3</v>
      </c>
      <c r="E484" s="39">
        <v>1751.6400149999999</v>
      </c>
      <c r="F484" s="379">
        <f t="shared" si="36"/>
        <v>-2.0302821100286312E-3</v>
      </c>
      <c r="G484" s="379">
        <f t="shared" si="37"/>
        <v>-3.9317530693801566E-3</v>
      </c>
      <c r="H484" s="379">
        <f t="shared" si="38"/>
        <v>-2.0302821100286312E-3</v>
      </c>
    </row>
    <row r="485" spans="1:8">
      <c r="A485" s="375">
        <v>41674</v>
      </c>
      <c r="B485" s="379">
        <f t="shared" si="39"/>
        <v>482</v>
      </c>
      <c r="C485" s="28">
        <v>57.971977000000003</v>
      </c>
      <c r="D485" s="379">
        <f t="shared" si="35"/>
        <v>-2.3516805389362729E-3</v>
      </c>
      <c r="E485" s="39">
        <v>1755.1999510000001</v>
      </c>
      <c r="F485" s="379">
        <f t="shared" si="36"/>
        <v>7.6120433833299075E-3</v>
      </c>
      <c r="G485" s="379">
        <f t="shared" si="37"/>
        <v>-2.3516805389362729E-3</v>
      </c>
      <c r="H485" s="379">
        <f t="shared" si="38"/>
        <v>7.6120433833299075E-3</v>
      </c>
    </row>
    <row r="486" spans="1:8">
      <c r="A486" s="375">
        <v>41673</v>
      </c>
      <c r="B486" s="379">
        <f t="shared" si="39"/>
        <v>483</v>
      </c>
      <c r="C486" s="28">
        <v>58.108468999999999</v>
      </c>
      <c r="D486" s="379">
        <f t="shared" si="35"/>
        <v>-1.6924496783485884E-2</v>
      </c>
      <c r="E486" s="39">
        <v>1741.8900149999999</v>
      </c>
      <c r="F486" s="379">
        <f t="shared" si="36"/>
        <v>-2.3096604603459799E-2</v>
      </c>
      <c r="G486" s="379">
        <f t="shared" si="37"/>
        <v>-1.6924496783485884E-2</v>
      </c>
      <c r="H486" s="379">
        <f t="shared" si="38"/>
        <v>-2.3096604603459799E-2</v>
      </c>
    </row>
    <row r="487" spans="1:8">
      <c r="A487" s="375">
        <v>41670</v>
      </c>
      <c r="B487" s="379">
        <f t="shared" si="39"/>
        <v>484</v>
      </c>
      <c r="C487" s="28">
        <v>59.100295000000003</v>
      </c>
      <c r="D487" s="379">
        <f t="shared" si="35"/>
        <v>-1.2241974636391819E-2</v>
      </c>
      <c r="E487" s="39">
        <v>1782.589966</v>
      </c>
      <c r="F487" s="379">
        <f t="shared" si="36"/>
        <v>-6.4862898870237081E-3</v>
      </c>
      <c r="G487" s="379">
        <f t="shared" si="37"/>
        <v>-1.2241974636391819E-2</v>
      </c>
      <c r="H487" s="379">
        <f t="shared" si="38"/>
        <v>-6.4862898870237081E-3</v>
      </c>
    </row>
    <row r="488" spans="1:8">
      <c r="A488" s="375">
        <v>41669</v>
      </c>
      <c r="B488" s="379">
        <f t="shared" si="39"/>
        <v>485</v>
      </c>
      <c r="C488" s="28">
        <v>59.828246</v>
      </c>
      <c r="D488" s="379">
        <f t="shared" si="35"/>
        <v>-1.0640645927123852E-3</v>
      </c>
      <c r="E488" s="39">
        <v>1794.1899410000001</v>
      </c>
      <c r="F488" s="379">
        <f t="shared" si="36"/>
        <v>1.1204044242667764E-2</v>
      </c>
      <c r="G488" s="379">
        <f t="shared" si="37"/>
        <v>-1.0640645927123852E-3</v>
      </c>
      <c r="H488" s="379">
        <f t="shared" si="38"/>
        <v>1.1204044242667764E-2</v>
      </c>
    </row>
    <row r="489" spans="1:8">
      <c r="A489" s="375">
        <v>41668</v>
      </c>
      <c r="B489" s="379">
        <f t="shared" si="39"/>
        <v>486</v>
      </c>
      <c r="C489" s="28">
        <v>59.891941000000003</v>
      </c>
      <c r="D489" s="379">
        <f t="shared" si="35"/>
        <v>-5.9077527344613594E-3</v>
      </c>
      <c r="E489" s="39">
        <v>1774.1999510000001</v>
      </c>
      <c r="F489" s="379">
        <f t="shared" si="36"/>
        <v>-1.0261704005370608E-2</v>
      </c>
      <c r="G489" s="379">
        <f t="shared" si="37"/>
        <v>-5.9077527344613594E-3</v>
      </c>
      <c r="H489" s="379">
        <f t="shared" si="38"/>
        <v>-1.0261704005370608E-2</v>
      </c>
    </row>
    <row r="490" spans="1:8">
      <c r="A490" s="375">
        <v>41667</v>
      </c>
      <c r="B490" s="379">
        <f t="shared" si="39"/>
        <v>487</v>
      </c>
      <c r="C490" s="28">
        <v>60.246814999999998</v>
      </c>
      <c r="D490" s="379">
        <f t="shared" si="35"/>
        <v>5.3002094851954595E-3</v>
      </c>
      <c r="E490" s="39">
        <v>1792.5</v>
      </c>
      <c r="F490" s="379">
        <f t="shared" si="36"/>
        <v>6.12187539440163E-3</v>
      </c>
      <c r="G490" s="379">
        <f t="shared" si="37"/>
        <v>5.3002094851954595E-3</v>
      </c>
      <c r="H490" s="379">
        <f t="shared" si="38"/>
        <v>6.12187539440163E-3</v>
      </c>
    </row>
    <row r="491" spans="1:8">
      <c r="A491" s="375">
        <v>41666</v>
      </c>
      <c r="B491" s="379">
        <f t="shared" si="39"/>
        <v>488</v>
      </c>
      <c r="C491" s="28">
        <v>59.928339000000001</v>
      </c>
      <c r="D491" s="379">
        <f t="shared" si="35"/>
        <v>-1.0722731090452679E-2</v>
      </c>
      <c r="E491" s="39">
        <v>1781.5600589999999</v>
      </c>
      <c r="F491" s="379">
        <f t="shared" si="36"/>
        <v>-4.8882215903983638E-3</v>
      </c>
      <c r="G491" s="379">
        <f t="shared" si="37"/>
        <v>-1.0722731090452679E-2</v>
      </c>
      <c r="H491" s="379">
        <f t="shared" si="38"/>
        <v>-4.8882215903983638E-3</v>
      </c>
    </row>
    <row r="492" spans="1:8">
      <c r="A492" s="375">
        <v>41663</v>
      </c>
      <c r="B492" s="379">
        <f t="shared" si="39"/>
        <v>489</v>
      </c>
      <c r="C492" s="28">
        <v>60.574392000000003</v>
      </c>
      <c r="D492" s="379">
        <f t="shared" si="35"/>
        <v>-1.9045341777628375E-2</v>
      </c>
      <c r="E492" s="39">
        <v>1790.290039</v>
      </c>
      <c r="F492" s="379">
        <f t="shared" si="36"/>
        <v>-2.1096421496433173E-2</v>
      </c>
      <c r="G492" s="379">
        <f t="shared" si="37"/>
        <v>-1.9045341777628375E-2</v>
      </c>
      <c r="H492" s="379">
        <f t="shared" si="38"/>
        <v>-2.1096421496433173E-2</v>
      </c>
    </row>
    <row r="493" spans="1:8">
      <c r="A493" s="375">
        <v>41662</v>
      </c>
      <c r="B493" s="379">
        <f t="shared" si="39"/>
        <v>490</v>
      </c>
      <c r="C493" s="28">
        <v>61.739108000000002</v>
      </c>
      <c r="D493" s="379">
        <f t="shared" si="35"/>
        <v>-7.6348205517865119E-3</v>
      </c>
      <c r="E493" s="39">
        <v>1828.459961</v>
      </c>
      <c r="F493" s="379">
        <f t="shared" si="36"/>
        <v>-8.9293245398258878E-3</v>
      </c>
      <c r="G493" s="379">
        <f t="shared" si="37"/>
        <v>-7.6348205517865119E-3</v>
      </c>
      <c r="H493" s="379">
        <f t="shared" si="38"/>
        <v>-8.9293245398258878E-3</v>
      </c>
    </row>
    <row r="494" spans="1:8">
      <c r="A494" s="375">
        <v>41661</v>
      </c>
      <c r="B494" s="379">
        <f t="shared" si="39"/>
        <v>491</v>
      </c>
      <c r="C494" s="28">
        <v>62.212279000000002</v>
      </c>
      <c r="D494" s="379">
        <f t="shared" si="35"/>
        <v>1.610206364962766E-3</v>
      </c>
      <c r="E494" s="39">
        <v>1844.8599850000001</v>
      </c>
      <c r="F494" s="379">
        <f t="shared" si="36"/>
        <v>5.7469976598709701E-4</v>
      </c>
      <c r="G494" s="379">
        <f t="shared" si="37"/>
        <v>1.610206364962766E-3</v>
      </c>
      <c r="H494" s="379">
        <f t="shared" si="38"/>
        <v>5.7469976598709701E-4</v>
      </c>
    </row>
    <row r="495" spans="1:8">
      <c r="A495" s="375">
        <v>41660</v>
      </c>
      <c r="B495" s="379">
        <f t="shared" si="39"/>
        <v>492</v>
      </c>
      <c r="C495" s="28">
        <v>62.112184999999997</v>
      </c>
      <c r="D495" s="379">
        <f t="shared" si="35"/>
        <v>1.1048200438029203E-2</v>
      </c>
      <c r="E495" s="39">
        <v>1843.8000489999999</v>
      </c>
      <c r="F495" s="379">
        <f t="shared" si="36"/>
        <v>2.7699124295116296E-3</v>
      </c>
      <c r="G495" s="379">
        <f t="shared" si="37"/>
        <v>1.1048200438029203E-2</v>
      </c>
      <c r="H495" s="379">
        <f t="shared" si="38"/>
        <v>2.7699124295116296E-3</v>
      </c>
    </row>
    <row r="496" spans="1:8">
      <c r="A496" s="375">
        <v>41656</v>
      </c>
      <c r="B496" s="379">
        <f t="shared" si="39"/>
        <v>493</v>
      </c>
      <c r="C496" s="28">
        <v>61.429734000000003</v>
      </c>
      <c r="D496" s="379">
        <f t="shared" si="35"/>
        <v>-4.7288349627421181E-3</v>
      </c>
      <c r="E496" s="39">
        <v>1838.6999510000001</v>
      </c>
      <c r="F496" s="379">
        <f t="shared" si="36"/>
        <v>-3.9027806039482592E-3</v>
      </c>
      <c r="G496" s="379">
        <f t="shared" si="37"/>
        <v>-4.7288349627421181E-3</v>
      </c>
      <c r="H496" s="379">
        <f t="shared" si="38"/>
        <v>-3.9027806039482592E-3</v>
      </c>
    </row>
    <row r="497" spans="1:8">
      <c r="A497" s="375">
        <v>41655</v>
      </c>
      <c r="B497" s="379">
        <f t="shared" si="39"/>
        <v>494</v>
      </c>
      <c r="C497" s="28">
        <v>61.720913000000003</v>
      </c>
      <c r="D497" s="379">
        <f t="shared" si="35"/>
        <v>-3.6789120368091932E-3</v>
      </c>
      <c r="E497" s="39">
        <v>1845.8900149999999</v>
      </c>
      <c r="F497" s="379">
        <f t="shared" si="36"/>
        <v>-1.3480283593690404E-3</v>
      </c>
      <c r="G497" s="379">
        <f t="shared" si="37"/>
        <v>-3.6789120368091932E-3</v>
      </c>
      <c r="H497" s="379">
        <f t="shared" si="38"/>
        <v>-1.3480283593690404E-3</v>
      </c>
    </row>
    <row r="498" spans="1:8">
      <c r="A498" s="375">
        <v>41654</v>
      </c>
      <c r="B498" s="379">
        <f t="shared" si="39"/>
        <v>495</v>
      </c>
      <c r="C498" s="28">
        <v>61.948397</v>
      </c>
      <c r="D498" s="379">
        <f t="shared" si="35"/>
        <v>-3.5190253504824415E-3</v>
      </c>
      <c r="E498" s="39">
        <v>1848.380005</v>
      </c>
      <c r="F498" s="379">
        <f t="shared" si="36"/>
        <v>5.1528891343548431E-3</v>
      </c>
      <c r="G498" s="379">
        <f t="shared" si="37"/>
        <v>-3.5190253504824415E-3</v>
      </c>
      <c r="H498" s="379">
        <f t="shared" si="38"/>
        <v>5.1528891343548431E-3</v>
      </c>
    </row>
    <row r="499" spans="1:8">
      <c r="A499" s="375">
        <v>41653</v>
      </c>
      <c r="B499" s="379">
        <f t="shared" si="39"/>
        <v>496</v>
      </c>
      <c r="C499" s="28">
        <v>62.166778999999998</v>
      </c>
      <c r="D499" s="379">
        <f t="shared" si="35"/>
        <v>8.5257269435947171E-3</v>
      </c>
      <c r="E499" s="39">
        <v>1838.880005</v>
      </c>
      <c r="F499" s="379">
        <f t="shared" si="36"/>
        <v>1.0759876278140028E-2</v>
      </c>
      <c r="G499" s="379">
        <f t="shared" si="37"/>
        <v>8.5257269435947171E-3</v>
      </c>
      <c r="H499" s="379">
        <f t="shared" si="38"/>
        <v>1.0759876278140028E-2</v>
      </c>
    </row>
    <row r="500" spans="1:8">
      <c r="A500" s="375">
        <v>41652</v>
      </c>
      <c r="B500" s="379">
        <f t="shared" si="39"/>
        <v>497</v>
      </c>
      <c r="C500" s="28">
        <v>61.639015000000001</v>
      </c>
      <c r="D500" s="379">
        <f t="shared" si="35"/>
        <v>-1.6543888358916178E-2</v>
      </c>
      <c r="E500" s="39">
        <v>1819.1999510000001</v>
      </c>
      <c r="F500" s="379">
        <f t="shared" si="36"/>
        <v>-1.2655966489665426E-2</v>
      </c>
      <c r="G500" s="379">
        <f t="shared" si="37"/>
        <v>-1.6543888358916178E-2</v>
      </c>
      <c r="H500" s="379">
        <f t="shared" si="38"/>
        <v>-1.2655966489665426E-2</v>
      </c>
    </row>
    <row r="501" spans="1:8">
      <c r="A501" s="375">
        <v>41649</v>
      </c>
      <c r="B501" s="379">
        <f t="shared" si="39"/>
        <v>498</v>
      </c>
      <c r="C501" s="28">
        <v>62.667245999999999</v>
      </c>
      <c r="D501" s="379">
        <f t="shared" si="35"/>
        <v>-8.5303327751742302E-3</v>
      </c>
      <c r="E501" s="39">
        <v>1842.369995</v>
      </c>
      <c r="F501" s="379">
        <f t="shared" si="36"/>
        <v>2.3040303630947503E-3</v>
      </c>
      <c r="G501" s="379">
        <f t="shared" si="37"/>
        <v>-8.5303327751742302E-3</v>
      </c>
      <c r="H501" s="379">
        <f t="shared" si="38"/>
        <v>2.3040303630947503E-3</v>
      </c>
    </row>
    <row r="502" spans="1:8">
      <c r="A502" s="375">
        <v>41648</v>
      </c>
      <c r="B502" s="379">
        <f t="shared" si="39"/>
        <v>499</v>
      </c>
      <c r="C502" s="28">
        <v>63.204104999999998</v>
      </c>
      <c r="D502" s="379">
        <f t="shared" si="35"/>
        <v>-3.3058336155232029E-3</v>
      </c>
      <c r="E502" s="39">
        <v>1838.130005</v>
      </c>
      <c r="F502" s="379">
        <f t="shared" si="36"/>
        <v>3.4824873481957168E-4</v>
      </c>
      <c r="G502" s="379">
        <f t="shared" si="37"/>
        <v>-3.3058336155232029E-3</v>
      </c>
      <c r="H502" s="379">
        <f t="shared" si="38"/>
        <v>3.4824873481957168E-4</v>
      </c>
    </row>
    <row r="503" spans="1:8">
      <c r="A503" s="375">
        <v>41647</v>
      </c>
      <c r="B503" s="379">
        <f t="shared" si="39"/>
        <v>500</v>
      </c>
      <c r="C503" s="28">
        <v>63.413392999999999</v>
      </c>
      <c r="D503" s="379">
        <f t="shared" si="35"/>
        <v>-9.7102001694787006E-3</v>
      </c>
      <c r="E503" s="39">
        <v>1837.48999</v>
      </c>
      <c r="F503" s="379">
        <f t="shared" si="36"/>
        <v>-2.1223169476512364E-4</v>
      </c>
      <c r="G503" s="379">
        <f t="shared" si="37"/>
        <v>-9.7102001694787006E-3</v>
      </c>
      <c r="H503" s="379">
        <f t="shared" si="38"/>
        <v>-2.1223169476512364E-4</v>
      </c>
    </row>
    <row r="504" spans="1:8">
      <c r="A504" s="375">
        <v>41646</v>
      </c>
      <c r="B504" s="379">
        <f t="shared" si="39"/>
        <v>501</v>
      </c>
      <c r="C504" s="28">
        <v>64.032149000000004</v>
      </c>
      <c r="D504" s="379">
        <f t="shared" si="35"/>
        <v>1.5643909234350822E-3</v>
      </c>
      <c r="E504" s="39">
        <v>1837.880005</v>
      </c>
      <c r="F504" s="379">
        <f t="shared" si="36"/>
        <v>6.0633451825530286E-3</v>
      </c>
      <c r="G504" s="379">
        <f t="shared" si="37"/>
        <v>1.5643909234350822E-3</v>
      </c>
      <c r="H504" s="379">
        <f t="shared" si="38"/>
        <v>6.0633451825530286E-3</v>
      </c>
    </row>
    <row r="505" spans="1:8">
      <c r="A505" s="375">
        <v>41645</v>
      </c>
      <c r="B505" s="379">
        <f t="shared" si="39"/>
        <v>502</v>
      </c>
      <c r="C505" s="28">
        <v>63.932056000000003</v>
      </c>
      <c r="D505" s="379">
        <f t="shared" si="35"/>
        <v>4.2790501316691525E-3</v>
      </c>
      <c r="E505" s="39">
        <v>1826.7700199999999</v>
      </c>
      <c r="F505" s="379">
        <f t="shared" si="36"/>
        <v>-2.5149269331701017E-3</v>
      </c>
      <c r="G505" s="379">
        <f t="shared" si="37"/>
        <v>4.2790501316691525E-3</v>
      </c>
      <c r="H505" s="379">
        <f t="shared" si="38"/>
        <v>-2.5149269331701017E-3</v>
      </c>
    </row>
    <row r="506" spans="1:8">
      <c r="A506" s="375">
        <v>41642</v>
      </c>
      <c r="B506" s="379">
        <f t="shared" si="39"/>
        <v>503</v>
      </c>
      <c r="C506" s="28">
        <v>63.659072000000002</v>
      </c>
      <c r="D506" s="379">
        <f t="shared" si="35"/>
        <v>2.576208880903659E-3</v>
      </c>
      <c r="E506" s="39">
        <v>1831.369995</v>
      </c>
      <c r="F506" s="379">
        <f t="shared" si="36"/>
        <v>-3.3302032827882432E-4</v>
      </c>
      <c r="G506" s="379">
        <f t="shared" si="37"/>
        <v>2.576208880903659E-3</v>
      </c>
      <c r="H506" s="379">
        <f t="shared" si="38"/>
        <v>-3.3302032827882432E-4</v>
      </c>
    </row>
    <row r="507" spans="1:8">
      <c r="A507" s="375">
        <v>41641</v>
      </c>
      <c r="B507" s="379">
        <f t="shared" si="39"/>
        <v>504</v>
      </c>
      <c r="C507" s="28">
        <v>63.495283999999998</v>
      </c>
      <c r="D507" s="379">
        <f t="shared" si="35"/>
        <v>-1.2390709217223324E-2</v>
      </c>
      <c r="E507" s="39">
        <v>1831.9799800000001</v>
      </c>
      <c r="F507" s="379">
        <f t="shared" si="36"/>
        <v>-8.9014130822974036E-3</v>
      </c>
      <c r="G507" s="379">
        <f t="shared" si="37"/>
        <v>-1.2390709217223324E-2</v>
      </c>
      <c r="H507" s="379">
        <f t="shared" si="38"/>
        <v>-8.9014130822974036E-3</v>
      </c>
    </row>
    <row r="508" spans="1:8">
      <c r="A508" s="375">
        <v>41639</v>
      </c>
      <c r="B508" s="379">
        <f t="shared" si="39"/>
        <v>505</v>
      </c>
      <c r="C508" s="28">
        <v>64.286929999999998</v>
      </c>
      <c r="D508" s="379">
        <f t="shared" si="35"/>
        <v>1.0529375075275954E-2</v>
      </c>
      <c r="E508" s="39">
        <v>1848.3599850000001</v>
      </c>
      <c r="F508" s="379">
        <f t="shared" si="36"/>
        <v>3.9518563159171996E-3</v>
      </c>
      <c r="G508" s="379">
        <f t="shared" si="37"/>
        <v>1.0529375075275954E-2</v>
      </c>
      <c r="H508" s="379">
        <f t="shared" si="38"/>
        <v>3.9518563159171996E-3</v>
      </c>
    </row>
    <row r="509" spans="1:8">
      <c r="A509" s="375">
        <v>41638</v>
      </c>
      <c r="B509" s="379">
        <f t="shared" si="39"/>
        <v>506</v>
      </c>
      <c r="C509" s="28">
        <v>63.613579999999999</v>
      </c>
      <c r="D509" s="379">
        <f t="shared" si="35"/>
        <v>-6.8424451790237263E-3</v>
      </c>
      <c r="E509" s="39">
        <v>1841.0699460000001</v>
      </c>
      <c r="F509" s="379">
        <f t="shared" si="36"/>
        <v>-1.7926989415967303E-4</v>
      </c>
      <c r="G509" s="379">
        <f t="shared" si="37"/>
        <v>-6.8424451790237263E-3</v>
      </c>
      <c r="H509" s="379">
        <f t="shared" si="38"/>
        <v>-1.7926989415967303E-4</v>
      </c>
    </row>
    <row r="510" spans="1:8">
      <c r="A510" s="375">
        <v>41635</v>
      </c>
      <c r="B510" s="379">
        <f t="shared" si="39"/>
        <v>507</v>
      </c>
      <c r="C510" s="28">
        <v>64.050344999999993</v>
      </c>
      <c r="D510" s="379">
        <f t="shared" si="35"/>
        <v>2.8453090007842167E-3</v>
      </c>
      <c r="E510" s="39">
        <v>1841.400024</v>
      </c>
      <c r="F510" s="379">
        <f t="shared" si="36"/>
        <v>-3.3664148994628481E-4</v>
      </c>
      <c r="G510" s="379">
        <f t="shared" si="37"/>
        <v>2.8453090007842167E-3</v>
      </c>
      <c r="H510" s="379">
        <f t="shared" si="38"/>
        <v>-3.3664148994628481E-4</v>
      </c>
    </row>
    <row r="511" spans="1:8">
      <c r="A511" s="375">
        <v>41634</v>
      </c>
      <c r="B511" s="379">
        <f t="shared" si="39"/>
        <v>508</v>
      </c>
      <c r="C511" s="28">
        <v>63.868361</v>
      </c>
      <c r="D511" s="379">
        <f t="shared" si="35"/>
        <v>3.7111532419822229E-3</v>
      </c>
      <c r="E511" s="39">
        <v>1842.0200199999999</v>
      </c>
      <c r="F511" s="379">
        <f t="shared" si="36"/>
        <v>4.7343050332798583E-3</v>
      </c>
      <c r="G511" s="379">
        <f t="shared" si="37"/>
        <v>3.7111532419822229E-3</v>
      </c>
      <c r="H511" s="379">
        <f t="shared" si="38"/>
        <v>4.7343050332798583E-3</v>
      </c>
    </row>
    <row r="512" spans="1:8">
      <c r="A512" s="375">
        <v>41632</v>
      </c>
      <c r="B512" s="379">
        <f t="shared" si="39"/>
        <v>509</v>
      </c>
      <c r="C512" s="28">
        <v>63.631774999999998</v>
      </c>
      <c r="D512" s="379">
        <f t="shared" si="35"/>
        <v>5.3050829081976274E-3</v>
      </c>
      <c r="E512" s="39">
        <v>1833.3199460000001</v>
      </c>
      <c r="F512" s="379">
        <f t="shared" si="36"/>
        <v>2.9115042748491093E-3</v>
      </c>
      <c r="G512" s="379">
        <f t="shared" si="37"/>
        <v>5.3050829081976274E-3</v>
      </c>
      <c r="H512" s="379">
        <f t="shared" si="38"/>
        <v>2.9115042748491093E-3</v>
      </c>
    </row>
    <row r="513" spans="1:8">
      <c r="A513" s="375">
        <v>41631</v>
      </c>
      <c r="B513" s="379">
        <f t="shared" si="39"/>
        <v>510</v>
      </c>
      <c r="C513" s="28">
        <v>63.295096999999998</v>
      </c>
      <c r="D513" s="379">
        <f t="shared" si="35"/>
        <v>-4.5897913032360545E-3</v>
      </c>
      <c r="E513" s="39">
        <v>1827.98999</v>
      </c>
      <c r="F513" s="379">
        <f t="shared" si="36"/>
        <v>5.3040289169637529E-3</v>
      </c>
      <c r="G513" s="379">
        <f t="shared" si="37"/>
        <v>-4.5897913032360545E-3</v>
      </c>
      <c r="H513" s="379">
        <f t="shared" si="38"/>
        <v>5.3040289169637529E-3</v>
      </c>
    </row>
    <row r="514" spans="1:8">
      <c r="A514" s="375">
        <v>41628</v>
      </c>
      <c r="B514" s="379">
        <f t="shared" si="39"/>
        <v>511</v>
      </c>
      <c r="C514" s="28">
        <v>63.586275999999998</v>
      </c>
      <c r="D514" s="379">
        <f t="shared" si="35"/>
        <v>1.1514165037505315E-2</v>
      </c>
      <c r="E514" s="39">
        <v>1818.3199460000001</v>
      </c>
      <c r="F514" s="379">
        <f t="shared" si="36"/>
        <v>4.8071550529039308E-3</v>
      </c>
      <c r="G514" s="379">
        <f t="shared" si="37"/>
        <v>1.1514165037505315E-2</v>
      </c>
      <c r="H514" s="379">
        <f t="shared" si="38"/>
        <v>4.8071550529039308E-3</v>
      </c>
    </row>
    <row r="515" spans="1:8">
      <c r="A515" s="375">
        <v>41627</v>
      </c>
      <c r="B515" s="379">
        <f t="shared" si="39"/>
        <v>512</v>
      </c>
      <c r="C515" s="28">
        <v>62.858331999999997</v>
      </c>
      <c r="D515" s="379">
        <f t="shared" si="35"/>
        <v>-4.621609438720661E-3</v>
      </c>
      <c r="E515" s="39">
        <v>1809.599976</v>
      </c>
      <c r="F515" s="379">
        <f t="shared" si="36"/>
        <v>-5.8009697089771866E-4</v>
      </c>
      <c r="G515" s="379">
        <f t="shared" si="37"/>
        <v>-4.621609438720661E-3</v>
      </c>
      <c r="H515" s="379">
        <f t="shared" si="38"/>
        <v>-5.8009697089771866E-4</v>
      </c>
    </row>
    <row r="516" spans="1:8">
      <c r="A516" s="375">
        <v>41626</v>
      </c>
      <c r="B516" s="379">
        <f t="shared" si="39"/>
        <v>513</v>
      </c>
      <c r="C516" s="28">
        <v>63.149510999999997</v>
      </c>
      <c r="D516" s="379">
        <f t="shared" ref="D516:D579" si="40">LN(C516/C517)</f>
        <v>4.9112390806817004E-3</v>
      </c>
      <c r="E516" s="39">
        <v>1810.650024</v>
      </c>
      <c r="F516" s="379">
        <f t="shared" ref="F516:F579" si="41">LN(E516/E517)</f>
        <v>1.6510905780492569E-2</v>
      </c>
      <c r="G516" s="379">
        <f t="shared" ref="G516:G579" si="42">IF(B516&lt;$D$1+1,D516,0)</f>
        <v>4.9112390806817004E-3</v>
      </c>
      <c r="H516" s="379">
        <f t="shared" ref="H516:H579" si="43">IF(B516&lt;$D$1+1,F516,0)</f>
        <v>1.6510905780492569E-2</v>
      </c>
    </row>
    <row r="517" spans="1:8">
      <c r="A517" s="375">
        <v>41625</v>
      </c>
      <c r="B517" s="379">
        <f t="shared" si="39"/>
        <v>514</v>
      </c>
      <c r="C517" s="28">
        <v>62.840128999999997</v>
      </c>
      <c r="D517" s="379">
        <f t="shared" si="40"/>
        <v>-1.0515092414657238E-2</v>
      </c>
      <c r="E517" s="39">
        <v>1781</v>
      </c>
      <c r="F517" s="379">
        <f t="shared" si="41"/>
        <v>-3.1058059013874917E-3</v>
      </c>
      <c r="G517" s="379">
        <f t="shared" si="42"/>
        <v>-1.0515092414657238E-2</v>
      </c>
      <c r="H517" s="379">
        <f t="shared" si="43"/>
        <v>-3.1058059013874917E-3</v>
      </c>
    </row>
    <row r="518" spans="1:8">
      <c r="A518" s="375">
        <v>41624</v>
      </c>
      <c r="B518" s="379">
        <f t="shared" ref="B518:B581" si="44">B517+1</f>
        <v>515</v>
      </c>
      <c r="C518" s="28">
        <v>63.504384999999999</v>
      </c>
      <c r="D518" s="379">
        <f t="shared" si="40"/>
        <v>5.1716868521064436E-3</v>
      </c>
      <c r="E518" s="39">
        <v>1786.540039</v>
      </c>
      <c r="F518" s="379">
        <f t="shared" si="41"/>
        <v>6.3001522572351445E-3</v>
      </c>
      <c r="G518" s="379">
        <f t="shared" si="42"/>
        <v>5.1716868521064436E-3</v>
      </c>
      <c r="H518" s="379">
        <f t="shared" si="43"/>
        <v>6.3001522572351445E-3</v>
      </c>
    </row>
    <row r="519" spans="1:8">
      <c r="A519" s="375">
        <v>41621</v>
      </c>
      <c r="B519" s="379">
        <f t="shared" si="44"/>
        <v>516</v>
      </c>
      <c r="C519" s="28">
        <v>63.176808000000001</v>
      </c>
      <c r="D519" s="379">
        <f t="shared" si="40"/>
        <v>-7.1992595779091283E-4</v>
      </c>
      <c r="E519" s="39">
        <v>1775.3199460000001</v>
      </c>
      <c r="F519" s="379">
        <f t="shared" si="41"/>
        <v>-1.0141544932860369E-4</v>
      </c>
      <c r="G519" s="379">
        <f t="shared" si="42"/>
        <v>-7.1992595779091283E-4</v>
      </c>
      <c r="H519" s="379">
        <f t="shared" si="43"/>
        <v>-1.0141544932860369E-4</v>
      </c>
    </row>
    <row r="520" spans="1:8">
      <c r="A520" s="375">
        <v>41620</v>
      </c>
      <c r="B520" s="379">
        <f t="shared" si="44"/>
        <v>517</v>
      </c>
      <c r="C520" s="28">
        <v>63.222307000000001</v>
      </c>
      <c r="D520" s="379">
        <f t="shared" si="40"/>
        <v>5.3395339038439637E-3</v>
      </c>
      <c r="E520" s="39">
        <v>1775.5</v>
      </c>
      <c r="F520" s="379">
        <f t="shared" si="41"/>
        <v>-3.7776885457322393E-3</v>
      </c>
      <c r="G520" s="379">
        <f t="shared" si="42"/>
        <v>5.3395339038439637E-3</v>
      </c>
      <c r="H520" s="379">
        <f t="shared" si="43"/>
        <v>-3.7776885457322393E-3</v>
      </c>
    </row>
    <row r="521" spans="1:8">
      <c r="A521" s="375">
        <v>41619</v>
      </c>
      <c r="B521" s="379">
        <f t="shared" si="44"/>
        <v>518</v>
      </c>
      <c r="C521" s="28">
        <v>62.885629000000002</v>
      </c>
      <c r="D521" s="379">
        <f t="shared" si="40"/>
        <v>-1.7214545476169681E-2</v>
      </c>
      <c r="E521" s="39">
        <v>1782.219971</v>
      </c>
      <c r="F521" s="379">
        <f t="shared" si="41"/>
        <v>-1.1381397443021539E-2</v>
      </c>
      <c r="G521" s="379">
        <f t="shared" si="42"/>
        <v>-1.7214545476169681E-2</v>
      </c>
      <c r="H521" s="379">
        <f t="shared" si="43"/>
        <v>-1.1381397443021539E-2</v>
      </c>
    </row>
    <row r="522" spans="1:8">
      <c r="A522" s="375">
        <v>41618</v>
      </c>
      <c r="B522" s="379">
        <f t="shared" si="44"/>
        <v>519</v>
      </c>
      <c r="C522" s="28">
        <v>63.977547999999999</v>
      </c>
      <c r="D522" s="379">
        <f t="shared" si="40"/>
        <v>-1.8473163206482225E-3</v>
      </c>
      <c r="E522" s="39">
        <v>1802.619995</v>
      </c>
      <c r="F522" s="379">
        <f t="shared" si="41"/>
        <v>-3.1847248958637646E-3</v>
      </c>
      <c r="G522" s="379">
        <f t="shared" si="42"/>
        <v>-1.8473163206482225E-3</v>
      </c>
      <c r="H522" s="379">
        <f t="shared" si="43"/>
        <v>-3.1847248958637646E-3</v>
      </c>
    </row>
    <row r="523" spans="1:8">
      <c r="A523" s="375">
        <v>41617</v>
      </c>
      <c r="B523" s="379">
        <f t="shared" si="44"/>
        <v>520</v>
      </c>
      <c r="C523" s="28">
        <v>64.095844</v>
      </c>
      <c r="D523" s="379">
        <f t="shared" si="40"/>
        <v>-4.6738261591002979E-3</v>
      </c>
      <c r="E523" s="39">
        <v>1808.369995</v>
      </c>
      <c r="F523" s="379">
        <f t="shared" si="41"/>
        <v>1.8154510836030993E-3</v>
      </c>
      <c r="G523" s="379">
        <f t="shared" si="42"/>
        <v>-4.6738261591002979E-3</v>
      </c>
      <c r="H523" s="379">
        <f t="shared" si="43"/>
        <v>1.8154510836030993E-3</v>
      </c>
    </row>
    <row r="524" spans="1:8">
      <c r="A524" s="375">
        <v>41614</v>
      </c>
      <c r="B524" s="379">
        <f t="shared" si="44"/>
        <v>521</v>
      </c>
      <c r="C524" s="28">
        <v>64.396118000000001</v>
      </c>
      <c r="D524" s="379">
        <f t="shared" si="40"/>
        <v>-9.886235688729044E-4</v>
      </c>
      <c r="E524" s="39">
        <v>1805.089966</v>
      </c>
      <c r="F524" s="379">
        <f t="shared" si="41"/>
        <v>1.1175195142734471E-2</v>
      </c>
      <c r="G524" s="379">
        <f t="shared" si="42"/>
        <v>-9.886235688729044E-4</v>
      </c>
      <c r="H524" s="379">
        <f t="shared" si="43"/>
        <v>1.1175195142734471E-2</v>
      </c>
    </row>
    <row r="525" spans="1:8">
      <c r="A525" s="375">
        <v>41613</v>
      </c>
      <c r="B525" s="379">
        <f t="shared" si="44"/>
        <v>522</v>
      </c>
      <c r="C525" s="28">
        <v>64.459812999999997</v>
      </c>
      <c r="D525" s="379">
        <f t="shared" si="40"/>
        <v>-8.0142089644336424E-3</v>
      </c>
      <c r="E525" s="39">
        <v>1785.030029</v>
      </c>
      <c r="F525" s="379">
        <f t="shared" si="41"/>
        <v>-4.3490162059933515E-3</v>
      </c>
      <c r="G525" s="379">
        <f t="shared" si="42"/>
        <v>-8.0142089644336424E-3</v>
      </c>
      <c r="H525" s="379">
        <f t="shared" si="43"/>
        <v>-4.3490162059933515E-3</v>
      </c>
    </row>
    <row r="526" spans="1:8">
      <c r="A526" s="375">
        <v>41612</v>
      </c>
      <c r="B526" s="379">
        <f t="shared" si="44"/>
        <v>523</v>
      </c>
      <c r="C526" s="28">
        <v>64.978482999999997</v>
      </c>
      <c r="D526" s="379">
        <f t="shared" si="40"/>
        <v>-1.4734730165745358E-2</v>
      </c>
      <c r="E526" s="39">
        <v>1792.8100589999999</v>
      </c>
      <c r="F526" s="379">
        <f t="shared" si="41"/>
        <v>-1.3043430125310575E-3</v>
      </c>
      <c r="G526" s="379">
        <f t="shared" si="42"/>
        <v>-1.4734730165745358E-2</v>
      </c>
      <c r="H526" s="379">
        <f t="shared" si="43"/>
        <v>-1.3043430125310575E-3</v>
      </c>
    </row>
    <row r="527" spans="1:8">
      <c r="A527" s="375">
        <v>41611</v>
      </c>
      <c r="B527" s="379">
        <f t="shared" si="44"/>
        <v>524</v>
      </c>
      <c r="C527" s="28">
        <v>65.943011999999996</v>
      </c>
      <c r="D527" s="379">
        <f t="shared" si="40"/>
        <v>-1.378906982069778E-3</v>
      </c>
      <c r="E527" s="39">
        <v>1795.150024</v>
      </c>
      <c r="F527" s="379">
        <f t="shared" si="41"/>
        <v>-3.1979559926300456E-3</v>
      </c>
      <c r="G527" s="379">
        <f t="shared" si="42"/>
        <v>-1.378906982069778E-3</v>
      </c>
      <c r="H527" s="379">
        <f t="shared" si="43"/>
        <v>-3.1979559926300456E-3</v>
      </c>
    </row>
    <row r="528" spans="1:8">
      <c r="A528" s="375">
        <v>41610</v>
      </c>
      <c r="B528" s="379">
        <f t="shared" si="44"/>
        <v>525</v>
      </c>
      <c r="C528" s="28">
        <v>66.034003999999996</v>
      </c>
      <c r="D528" s="379">
        <f t="shared" si="40"/>
        <v>-3.1643854382874029E-3</v>
      </c>
      <c r="E528" s="39">
        <v>1800.900024</v>
      </c>
      <c r="F528" s="379">
        <f t="shared" si="41"/>
        <v>-2.7227239896043956E-3</v>
      </c>
      <c r="G528" s="379">
        <f t="shared" si="42"/>
        <v>-3.1643854382874029E-3</v>
      </c>
      <c r="H528" s="379">
        <f t="shared" si="43"/>
        <v>-2.7227239896043956E-3</v>
      </c>
    </row>
    <row r="529" spans="1:8">
      <c r="A529" s="375">
        <v>41607</v>
      </c>
      <c r="B529" s="379">
        <f t="shared" si="44"/>
        <v>526</v>
      </c>
      <c r="C529" s="28">
        <v>66.243291999999997</v>
      </c>
      <c r="D529" s="379">
        <f t="shared" si="40"/>
        <v>2.4755837784457601E-3</v>
      </c>
      <c r="E529" s="39">
        <v>1805.8100589999999</v>
      </c>
      <c r="F529" s="379">
        <f t="shared" si="41"/>
        <v>-7.8599797277335186E-4</v>
      </c>
      <c r="G529" s="379">
        <f t="shared" si="42"/>
        <v>2.4755837784457601E-3</v>
      </c>
      <c r="H529" s="379">
        <f t="shared" si="43"/>
        <v>-7.8599797277335186E-4</v>
      </c>
    </row>
    <row r="530" spans="1:8">
      <c r="A530" s="375">
        <v>41605</v>
      </c>
      <c r="B530" s="379">
        <f t="shared" si="44"/>
        <v>527</v>
      </c>
      <c r="C530" s="28">
        <v>66.079504</v>
      </c>
      <c r="D530" s="379">
        <f t="shared" si="40"/>
        <v>-4.259666500287744E-3</v>
      </c>
      <c r="E530" s="39">
        <v>1807.2299800000001</v>
      </c>
      <c r="F530" s="379">
        <f t="shared" si="41"/>
        <v>2.4819984180859708E-3</v>
      </c>
      <c r="G530" s="379">
        <f t="shared" si="42"/>
        <v>-4.259666500287744E-3</v>
      </c>
      <c r="H530" s="379">
        <f t="shared" si="43"/>
        <v>2.4819984180859708E-3</v>
      </c>
    </row>
    <row r="531" spans="1:8">
      <c r="A531" s="375">
        <v>41604</v>
      </c>
      <c r="B531" s="379">
        <f t="shared" si="44"/>
        <v>528</v>
      </c>
      <c r="C531" s="28">
        <v>66.361581000000001</v>
      </c>
      <c r="D531" s="379">
        <f t="shared" si="40"/>
        <v>1.6467952256319477E-3</v>
      </c>
      <c r="E531" s="39">
        <v>1802.75</v>
      </c>
      <c r="F531" s="379">
        <f t="shared" si="41"/>
        <v>1.4979349556215417E-4</v>
      </c>
      <c r="G531" s="379">
        <f t="shared" si="42"/>
        <v>1.6467952256319477E-3</v>
      </c>
      <c r="H531" s="379">
        <f t="shared" si="43"/>
        <v>1.4979349556215417E-4</v>
      </c>
    </row>
    <row r="532" spans="1:8">
      <c r="A532" s="375">
        <v>41603</v>
      </c>
      <c r="B532" s="379">
        <f t="shared" si="44"/>
        <v>529</v>
      </c>
      <c r="C532" s="28">
        <v>66.252386999999999</v>
      </c>
      <c r="D532" s="379">
        <f t="shared" si="40"/>
        <v>-1.6482008506532284E-2</v>
      </c>
      <c r="E532" s="39">
        <v>1802.4799800000001</v>
      </c>
      <c r="F532" s="379">
        <f t="shared" si="41"/>
        <v>-1.2641411771629597E-3</v>
      </c>
      <c r="G532" s="379">
        <f t="shared" si="42"/>
        <v>-1.6482008506532284E-2</v>
      </c>
      <c r="H532" s="379">
        <f t="shared" si="43"/>
        <v>-1.2641411771629597E-3</v>
      </c>
    </row>
    <row r="533" spans="1:8">
      <c r="A533" s="375">
        <v>41600</v>
      </c>
      <c r="B533" s="379">
        <f t="shared" si="44"/>
        <v>530</v>
      </c>
      <c r="C533" s="28">
        <v>67.353408000000002</v>
      </c>
      <c r="D533" s="379">
        <f t="shared" si="40"/>
        <v>9.2291796396506594E-3</v>
      </c>
      <c r="E533" s="39">
        <v>1804.76001</v>
      </c>
      <c r="F533" s="379">
        <f t="shared" si="41"/>
        <v>4.9491903993277523E-3</v>
      </c>
      <c r="G533" s="379">
        <f t="shared" si="42"/>
        <v>9.2291796396506594E-3</v>
      </c>
      <c r="H533" s="379">
        <f t="shared" si="43"/>
        <v>4.9491903993277523E-3</v>
      </c>
    </row>
    <row r="534" spans="1:8">
      <c r="A534" s="375">
        <v>41599</v>
      </c>
      <c r="B534" s="379">
        <f t="shared" si="44"/>
        <v>531</v>
      </c>
      <c r="C534" s="28">
        <v>66.734650999999999</v>
      </c>
      <c r="D534" s="379">
        <f t="shared" si="40"/>
        <v>1.4973783644849994E-2</v>
      </c>
      <c r="E534" s="39">
        <v>1795.849976</v>
      </c>
      <c r="F534" s="379">
        <f t="shared" si="41"/>
        <v>8.0957057171071184E-3</v>
      </c>
      <c r="G534" s="379">
        <f t="shared" si="42"/>
        <v>1.4973783644849994E-2</v>
      </c>
      <c r="H534" s="379">
        <f t="shared" si="43"/>
        <v>8.0957057171071184E-3</v>
      </c>
    </row>
    <row r="535" spans="1:8">
      <c r="A535" s="375">
        <v>41598</v>
      </c>
      <c r="B535" s="379">
        <f t="shared" si="44"/>
        <v>532</v>
      </c>
      <c r="C535" s="28">
        <v>65.742824999999996</v>
      </c>
      <c r="D535" s="379">
        <f t="shared" si="40"/>
        <v>-1.384237765434944E-4</v>
      </c>
      <c r="E535" s="39">
        <v>1781.369995</v>
      </c>
      <c r="F535" s="379">
        <f t="shared" si="41"/>
        <v>-3.6422359964005456E-3</v>
      </c>
      <c r="G535" s="379">
        <f t="shared" si="42"/>
        <v>-1.384237765434944E-4</v>
      </c>
      <c r="H535" s="379">
        <f t="shared" si="43"/>
        <v>-3.6422359964005456E-3</v>
      </c>
    </row>
    <row r="536" spans="1:8">
      <c r="A536" s="375">
        <v>41597</v>
      </c>
      <c r="B536" s="379">
        <f t="shared" si="44"/>
        <v>533</v>
      </c>
      <c r="C536" s="28">
        <v>65.751925999999997</v>
      </c>
      <c r="D536" s="379">
        <f t="shared" si="40"/>
        <v>-6.9164923342767131E-4</v>
      </c>
      <c r="E536" s="39">
        <v>1787.869995</v>
      </c>
      <c r="F536" s="379">
        <f t="shared" si="41"/>
        <v>-2.0450551774362094E-3</v>
      </c>
      <c r="G536" s="379">
        <f t="shared" si="42"/>
        <v>-6.9164923342767131E-4</v>
      </c>
      <c r="H536" s="379">
        <f t="shared" si="43"/>
        <v>-2.0450551774362094E-3</v>
      </c>
    </row>
    <row r="537" spans="1:8">
      <c r="A537" s="375">
        <v>41596</v>
      </c>
      <c r="B537" s="379">
        <f t="shared" si="44"/>
        <v>534</v>
      </c>
      <c r="C537" s="28">
        <v>65.797419000000005</v>
      </c>
      <c r="D537" s="379">
        <f t="shared" si="40"/>
        <v>-1.3598252986843787E-2</v>
      </c>
      <c r="E537" s="39">
        <v>1791.530029</v>
      </c>
      <c r="F537" s="379">
        <f t="shared" si="41"/>
        <v>-3.7050527499677332E-3</v>
      </c>
      <c r="G537" s="379">
        <f t="shared" si="42"/>
        <v>-1.3598252986843787E-2</v>
      </c>
      <c r="H537" s="379">
        <f t="shared" si="43"/>
        <v>-3.7050527499677332E-3</v>
      </c>
    </row>
    <row r="538" spans="1:8">
      <c r="A538" s="375">
        <v>41593</v>
      </c>
      <c r="B538" s="379">
        <f t="shared" si="44"/>
        <v>535</v>
      </c>
      <c r="C538" s="28">
        <v>66.698260000000005</v>
      </c>
      <c r="D538" s="379">
        <f t="shared" si="40"/>
        <v>-5.1707468541734832E-3</v>
      </c>
      <c r="E538" s="39">
        <v>1798.1800539999999</v>
      </c>
      <c r="F538" s="379">
        <f t="shared" si="41"/>
        <v>4.2131465000790243E-3</v>
      </c>
      <c r="G538" s="379">
        <f t="shared" si="42"/>
        <v>-5.1707468541734832E-3</v>
      </c>
      <c r="H538" s="379">
        <f t="shared" si="43"/>
        <v>4.2131465000790243E-3</v>
      </c>
    </row>
    <row r="539" spans="1:8">
      <c r="A539" s="375">
        <v>41592</v>
      </c>
      <c r="B539" s="379">
        <f t="shared" si="44"/>
        <v>536</v>
      </c>
      <c r="C539" s="28">
        <v>67.044032999999999</v>
      </c>
      <c r="D539" s="379">
        <f t="shared" si="40"/>
        <v>4.6252892061384998E-3</v>
      </c>
      <c r="E539" s="39">
        <v>1790.619995</v>
      </c>
      <c r="F539" s="379">
        <f t="shared" si="41"/>
        <v>4.8255967550053921E-3</v>
      </c>
      <c r="G539" s="379">
        <f t="shared" si="42"/>
        <v>4.6252892061384998E-3</v>
      </c>
      <c r="H539" s="379">
        <f t="shared" si="43"/>
        <v>4.8255967550053921E-3</v>
      </c>
    </row>
    <row r="540" spans="1:8">
      <c r="A540" s="375">
        <v>41591</v>
      </c>
      <c r="B540" s="379">
        <f t="shared" si="44"/>
        <v>537</v>
      </c>
      <c r="C540" s="28">
        <v>66.734650999999999</v>
      </c>
      <c r="D540" s="379">
        <f t="shared" si="40"/>
        <v>7.1154696656008619E-3</v>
      </c>
      <c r="E540" s="39">
        <v>1782</v>
      </c>
      <c r="F540" s="379">
        <f t="shared" si="41"/>
        <v>8.0627529503191214E-3</v>
      </c>
      <c r="G540" s="379">
        <f t="shared" si="42"/>
        <v>7.1154696656008619E-3</v>
      </c>
      <c r="H540" s="379">
        <f t="shared" si="43"/>
        <v>8.0627529503191214E-3</v>
      </c>
    </row>
    <row r="541" spans="1:8">
      <c r="A541" s="375">
        <v>41590</v>
      </c>
      <c r="B541" s="379">
        <f t="shared" si="44"/>
        <v>538</v>
      </c>
      <c r="C541" s="28">
        <v>66.261488</v>
      </c>
      <c r="D541" s="379">
        <f t="shared" si="40"/>
        <v>-1.0110725369252564E-2</v>
      </c>
      <c r="E541" s="39">
        <v>1767.6899410000001</v>
      </c>
      <c r="F541" s="379">
        <f t="shared" si="41"/>
        <v>-2.3732058738506249E-3</v>
      </c>
      <c r="G541" s="379">
        <f t="shared" si="42"/>
        <v>-1.0110725369252564E-2</v>
      </c>
      <c r="H541" s="379">
        <f t="shared" si="43"/>
        <v>-2.3732058738506249E-3</v>
      </c>
    </row>
    <row r="542" spans="1:8">
      <c r="A542" s="375">
        <v>41589</v>
      </c>
      <c r="B542" s="379">
        <f t="shared" si="44"/>
        <v>539</v>
      </c>
      <c r="C542" s="28">
        <v>66.934837999999999</v>
      </c>
      <c r="D542" s="379">
        <f t="shared" si="40"/>
        <v>-1.7657708967596254E-3</v>
      </c>
      <c r="E542" s="39">
        <v>1771.8900149999999</v>
      </c>
      <c r="F542" s="379">
        <f t="shared" si="41"/>
        <v>7.2267046193816081E-4</v>
      </c>
      <c r="G542" s="379">
        <f t="shared" si="42"/>
        <v>-1.7657708967596254E-3</v>
      </c>
      <c r="H542" s="379">
        <f t="shared" si="43"/>
        <v>7.2267046193816081E-4</v>
      </c>
    </row>
    <row r="543" spans="1:8">
      <c r="A543" s="375">
        <v>41586</v>
      </c>
      <c r="B543" s="379">
        <f t="shared" si="44"/>
        <v>540</v>
      </c>
      <c r="C543" s="28">
        <v>67.053134</v>
      </c>
      <c r="D543" s="379">
        <f t="shared" si="40"/>
        <v>1.6142626216445435E-2</v>
      </c>
      <c r="E543" s="39">
        <v>1770.6099850000001</v>
      </c>
      <c r="F543" s="379">
        <f t="shared" si="41"/>
        <v>1.3338208830702846E-2</v>
      </c>
      <c r="G543" s="379">
        <f t="shared" si="42"/>
        <v>1.6142626216445435E-2</v>
      </c>
      <c r="H543" s="379">
        <f t="shared" si="43"/>
        <v>1.3338208830702846E-2</v>
      </c>
    </row>
    <row r="544" spans="1:8">
      <c r="A544" s="375">
        <v>41585</v>
      </c>
      <c r="B544" s="379">
        <f t="shared" si="44"/>
        <v>541</v>
      </c>
      <c r="C544" s="28">
        <v>65.979410000000001</v>
      </c>
      <c r="D544" s="379">
        <f t="shared" si="40"/>
        <v>-1.8988343176034185E-2</v>
      </c>
      <c r="E544" s="39">
        <v>1747.150024</v>
      </c>
      <c r="F544" s="379">
        <f t="shared" si="41"/>
        <v>-1.3270436104209306E-2</v>
      </c>
      <c r="G544" s="379">
        <f t="shared" si="42"/>
        <v>-1.8988343176034185E-2</v>
      </c>
      <c r="H544" s="379">
        <f t="shared" si="43"/>
        <v>-1.3270436104209306E-2</v>
      </c>
    </row>
    <row r="545" spans="1:8">
      <c r="A545" s="375">
        <v>41584</v>
      </c>
      <c r="B545" s="379">
        <f t="shared" si="44"/>
        <v>542</v>
      </c>
      <c r="C545" s="28">
        <v>67.244219999999999</v>
      </c>
      <c r="D545" s="379">
        <f t="shared" si="40"/>
        <v>1.8161245361379287E-2</v>
      </c>
      <c r="E545" s="39">
        <v>1770.48999</v>
      </c>
      <c r="F545" s="379">
        <f t="shared" si="41"/>
        <v>4.2564684115141554E-3</v>
      </c>
      <c r="G545" s="379">
        <f t="shared" si="42"/>
        <v>1.8161245361379287E-2</v>
      </c>
      <c r="H545" s="379">
        <f t="shared" si="43"/>
        <v>4.2564684115141554E-3</v>
      </c>
    </row>
    <row r="546" spans="1:8">
      <c r="A546" s="375">
        <v>41583</v>
      </c>
      <c r="B546" s="379">
        <f t="shared" si="44"/>
        <v>543</v>
      </c>
      <c r="C546" s="28">
        <v>66.034003999999996</v>
      </c>
      <c r="D546" s="379">
        <f t="shared" si="40"/>
        <v>-1.0418221480070483E-2</v>
      </c>
      <c r="E546" s="39">
        <v>1762.969971</v>
      </c>
      <c r="F546" s="379">
        <f t="shared" si="41"/>
        <v>-2.8095308434487949E-3</v>
      </c>
      <c r="G546" s="379">
        <f t="shared" si="42"/>
        <v>-1.0418221480070483E-2</v>
      </c>
      <c r="H546" s="379">
        <f t="shared" si="43"/>
        <v>-2.8095308434487949E-3</v>
      </c>
    </row>
    <row r="547" spans="1:8">
      <c r="A547" s="375">
        <v>41582</v>
      </c>
      <c r="B547" s="379">
        <f t="shared" si="44"/>
        <v>544</v>
      </c>
      <c r="C547" s="28">
        <v>66.725556999999995</v>
      </c>
      <c r="D547" s="379">
        <f t="shared" si="40"/>
        <v>3.2783266608608017E-3</v>
      </c>
      <c r="E547" s="39">
        <v>1767.9300539999999</v>
      </c>
      <c r="F547" s="379">
        <f t="shared" si="41"/>
        <v>3.5641993420361018E-3</v>
      </c>
      <c r="G547" s="379">
        <f t="shared" si="42"/>
        <v>3.2783266608608017E-3</v>
      </c>
      <c r="H547" s="379">
        <f t="shared" si="43"/>
        <v>3.5641993420361018E-3</v>
      </c>
    </row>
    <row r="548" spans="1:8">
      <c r="A548" s="375">
        <v>41579</v>
      </c>
      <c r="B548" s="379">
        <f t="shared" si="44"/>
        <v>545</v>
      </c>
      <c r="C548" s="28">
        <v>66.507166999999995</v>
      </c>
      <c r="D548" s="379">
        <f t="shared" si="40"/>
        <v>-3.2783266608607886E-3</v>
      </c>
      <c r="E548" s="39">
        <v>1761.6400149999999</v>
      </c>
      <c r="F548" s="379">
        <f t="shared" si="41"/>
        <v>2.8992146473564603E-3</v>
      </c>
      <c r="G548" s="379">
        <f t="shared" si="42"/>
        <v>-3.2783266608607886E-3</v>
      </c>
      <c r="H548" s="379">
        <f t="shared" si="43"/>
        <v>2.8992146473564603E-3</v>
      </c>
    </row>
    <row r="549" spans="1:8">
      <c r="A549" s="375">
        <v>41578</v>
      </c>
      <c r="B549" s="379">
        <f t="shared" si="44"/>
        <v>546</v>
      </c>
      <c r="C549" s="28">
        <v>66.725556999999995</v>
      </c>
      <c r="D549" s="379">
        <f t="shared" si="40"/>
        <v>1.0915868315913855E-3</v>
      </c>
      <c r="E549" s="39">
        <v>1756.540039</v>
      </c>
      <c r="F549" s="379">
        <f t="shared" si="41"/>
        <v>-3.8467708339101382E-3</v>
      </c>
      <c r="G549" s="379">
        <f t="shared" si="42"/>
        <v>1.0915868315913855E-3</v>
      </c>
      <c r="H549" s="379">
        <f t="shared" si="43"/>
        <v>-3.8467708339101382E-3</v>
      </c>
    </row>
    <row r="550" spans="1:8">
      <c r="A550" s="375">
        <v>41577</v>
      </c>
      <c r="B550" s="379">
        <f t="shared" si="44"/>
        <v>547</v>
      </c>
      <c r="C550" s="28">
        <v>66.652760000000001</v>
      </c>
      <c r="D550" s="379">
        <f t="shared" si="40"/>
        <v>-1.4770880513556742E-2</v>
      </c>
      <c r="E550" s="39">
        <v>1763.3100589999999</v>
      </c>
      <c r="F550" s="379">
        <f t="shared" si="41"/>
        <v>-4.8878493671811471E-3</v>
      </c>
      <c r="G550" s="379">
        <f t="shared" si="42"/>
        <v>-1.4770880513556742E-2</v>
      </c>
      <c r="H550" s="379">
        <f t="shared" si="43"/>
        <v>-4.8878493671811471E-3</v>
      </c>
    </row>
    <row r="551" spans="1:8">
      <c r="A551" s="375">
        <v>41576</v>
      </c>
      <c r="B551" s="379">
        <f t="shared" si="44"/>
        <v>548</v>
      </c>
      <c r="C551" s="28">
        <v>67.644587000000001</v>
      </c>
      <c r="D551" s="379">
        <f t="shared" si="40"/>
        <v>6.0716363208858301E-3</v>
      </c>
      <c r="E551" s="39">
        <v>1771.9499510000001</v>
      </c>
      <c r="F551" s="379">
        <f t="shared" si="41"/>
        <v>5.5686613166085804E-3</v>
      </c>
      <c r="G551" s="379">
        <f t="shared" si="42"/>
        <v>6.0716363208858301E-3</v>
      </c>
      <c r="H551" s="379">
        <f t="shared" si="43"/>
        <v>5.5686613166085804E-3</v>
      </c>
    </row>
    <row r="552" spans="1:8">
      <c r="A552" s="375">
        <v>41575</v>
      </c>
      <c r="B552" s="379">
        <f t="shared" si="44"/>
        <v>549</v>
      </c>
      <c r="C552" s="28">
        <v>67.235118</v>
      </c>
      <c r="D552" s="379">
        <f t="shared" si="40"/>
        <v>-2.2980598759946985E-3</v>
      </c>
      <c r="E552" s="39">
        <v>1762.1099850000001</v>
      </c>
      <c r="F552" s="379">
        <f t="shared" si="41"/>
        <v>1.328816053354726E-3</v>
      </c>
      <c r="G552" s="379">
        <f t="shared" si="42"/>
        <v>-2.2980598759946985E-3</v>
      </c>
      <c r="H552" s="379">
        <f t="shared" si="43"/>
        <v>1.328816053354726E-3</v>
      </c>
    </row>
    <row r="553" spans="1:8">
      <c r="A553" s="375">
        <v>41572</v>
      </c>
      <c r="B553" s="379">
        <f t="shared" si="44"/>
        <v>550</v>
      </c>
      <c r="C553" s="28">
        <v>67.389805999999993</v>
      </c>
      <c r="D553" s="379">
        <f t="shared" si="40"/>
        <v>9.0878645195995398E-3</v>
      </c>
      <c r="E553" s="39">
        <v>1759.7700199999999</v>
      </c>
      <c r="F553" s="379">
        <f t="shared" si="41"/>
        <v>4.3852148241281608E-3</v>
      </c>
      <c r="G553" s="379">
        <f t="shared" si="42"/>
        <v>9.0878645195995398E-3</v>
      </c>
      <c r="H553" s="379">
        <f t="shared" si="43"/>
        <v>4.3852148241281608E-3</v>
      </c>
    </row>
    <row r="554" spans="1:8">
      <c r="A554" s="375">
        <v>41571</v>
      </c>
      <c r="B554" s="379">
        <f t="shared" si="44"/>
        <v>551</v>
      </c>
      <c r="C554" s="28">
        <v>66.780151000000004</v>
      </c>
      <c r="D554" s="379">
        <f t="shared" si="40"/>
        <v>1.3719529016854078E-2</v>
      </c>
      <c r="E554" s="39">
        <v>1752.0699460000001</v>
      </c>
      <c r="F554" s="379">
        <f t="shared" si="41"/>
        <v>3.2528383122691091E-3</v>
      </c>
      <c r="G554" s="379">
        <f t="shared" si="42"/>
        <v>1.3719529016854078E-2</v>
      </c>
      <c r="H554" s="379">
        <f t="shared" si="43"/>
        <v>3.2528383122691091E-3</v>
      </c>
    </row>
    <row r="555" spans="1:8">
      <c r="A555" s="375">
        <v>41570</v>
      </c>
      <c r="B555" s="379">
        <f t="shared" si="44"/>
        <v>552</v>
      </c>
      <c r="C555" s="28">
        <v>65.870215000000002</v>
      </c>
      <c r="D555" s="379">
        <f t="shared" si="40"/>
        <v>-1.1946638630626919E-2</v>
      </c>
      <c r="E555" s="39">
        <v>1746.380005</v>
      </c>
      <c r="F555" s="379">
        <f t="shared" si="41"/>
        <v>-4.7357532041004645E-3</v>
      </c>
      <c r="G555" s="379">
        <f t="shared" si="42"/>
        <v>-1.1946638630626919E-2</v>
      </c>
      <c r="H555" s="379">
        <f t="shared" si="43"/>
        <v>-4.7357532041004645E-3</v>
      </c>
    </row>
    <row r="556" spans="1:8">
      <c r="A556" s="375">
        <v>41569</v>
      </c>
      <c r="B556" s="379">
        <f t="shared" si="44"/>
        <v>553</v>
      </c>
      <c r="C556" s="28">
        <v>66.661861999999999</v>
      </c>
      <c r="D556" s="379">
        <f t="shared" si="40"/>
        <v>2.8706128578181635E-3</v>
      </c>
      <c r="E556" s="39">
        <v>1754.670044</v>
      </c>
      <c r="F556" s="379">
        <f t="shared" si="41"/>
        <v>5.7211163737868895E-3</v>
      </c>
      <c r="G556" s="379">
        <f t="shared" si="42"/>
        <v>2.8706128578181635E-3</v>
      </c>
      <c r="H556" s="379">
        <f t="shared" si="43"/>
        <v>5.7211163737868895E-3</v>
      </c>
    </row>
    <row r="557" spans="1:8">
      <c r="A557" s="375">
        <v>41568</v>
      </c>
      <c r="B557" s="379">
        <f t="shared" si="44"/>
        <v>554</v>
      </c>
      <c r="C557" s="28">
        <v>66.470776000000001</v>
      </c>
      <c r="D557" s="379">
        <f t="shared" si="40"/>
        <v>-5.1883969562487317E-3</v>
      </c>
      <c r="E557" s="39">
        <v>1744.660034</v>
      </c>
      <c r="F557" s="379">
        <f t="shared" si="41"/>
        <v>9.173210661182967E-5</v>
      </c>
      <c r="G557" s="379">
        <f t="shared" si="42"/>
        <v>-5.1883969562487317E-3</v>
      </c>
      <c r="H557" s="379">
        <f t="shared" si="43"/>
        <v>9.173210661182967E-5</v>
      </c>
    </row>
    <row r="558" spans="1:8">
      <c r="A558" s="375">
        <v>41565</v>
      </c>
      <c r="B558" s="379">
        <f t="shared" si="44"/>
        <v>555</v>
      </c>
      <c r="C558" s="28">
        <v>66.816548999999995</v>
      </c>
      <c r="D558" s="379">
        <f t="shared" si="40"/>
        <v>2.7236483116945941E-4</v>
      </c>
      <c r="E558" s="39">
        <v>1744.5</v>
      </c>
      <c r="F558" s="379">
        <f t="shared" si="41"/>
        <v>6.5274057025300394E-3</v>
      </c>
      <c r="G558" s="379">
        <f t="shared" si="42"/>
        <v>2.7236483116945941E-4</v>
      </c>
      <c r="H558" s="379">
        <f t="shared" si="43"/>
        <v>6.5274057025300394E-3</v>
      </c>
    </row>
    <row r="559" spans="1:8">
      <c r="A559" s="375">
        <v>41564</v>
      </c>
      <c r="B559" s="379">
        <f t="shared" si="44"/>
        <v>556</v>
      </c>
      <c r="C559" s="28">
        <v>66.798353000000006</v>
      </c>
      <c r="D559" s="379">
        <f t="shared" si="40"/>
        <v>6.1488820973243704E-3</v>
      </c>
      <c r="E559" s="39">
        <v>1733.150024</v>
      </c>
      <c r="F559" s="379">
        <f t="shared" si="41"/>
        <v>6.7213142111343634E-3</v>
      </c>
      <c r="G559" s="379">
        <f t="shared" si="42"/>
        <v>6.1488820973243704E-3</v>
      </c>
      <c r="H559" s="379">
        <f t="shared" si="43"/>
        <v>6.7213142111343634E-3</v>
      </c>
    </row>
    <row r="560" spans="1:8">
      <c r="A560" s="375">
        <v>41563</v>
      </c>
      <c r="B560" s="379">
        <f t="shared" si="44"/>
        <v>557</v>
      </c>
      <c r="C560" s="28">
        <v>66.388878000000005</v>
      </c>
      <c r="D560" s="379">
        <f t="shared" si="40"/>
        <v>1.4774161317650388E-2</v>
      </c>
      <c r="E560" s="39">
        <v>1721.540039</v>
      </c>
      <c r="F560" s="379">
        <f t="shared" si="41"/>
        <v>1.3732804031583921E-2</v>
      </c>
      <c r="G560" s="379">
        <f t="shared" si="42"/>
        <v>1.4774161317650388E-2</v>
      </c>
      <c r="H560" s="379">
        <f t="shared" si="43"/>
        <v>1.3732804031583921E-2</v>
      </c>
    </row>
    <row r="561" spans="1:8">
      <c r="A561" s="375">
        <v>41562</v>
      </c>
      <c r="B561" s="379">
        <f t="shared" si="44"/>
        <v>558</v>
      </c>
      <c r="C561" s="28">
        <v>65.415248000000005</v>
      </c>
      <c r="D561" s="379">
        <f t="shared" si="40"/>
        <v>-9.7322890406215969E-4</v>
      </c>
      <c r="E561" s="39">
        <v>1698.0600589999999</v>
      </c>
      <c r="F561" s="379">
        <f t="shared" si="41"/>
        <v>-7.0887895800904504E-3</v>
      </c>
      <c r="G561" s="379">
        <f t="shared" si="42"/>
        <v>-9.7322890406215969E-4</v>
      </c>
      <c r="H561" s="379">
        <f t="shared" si="43"/>
        <v>-7.0887895800904504E-3</v>
      </c>
    </row>
    <row r="562" spans="1:8">
      <c r="A562" s="375">
        <v>41561</v>
      </c>
      <c r="B562" s="379">
        <f t="shared" si="44"/>
        <v>559</v>
      </c>
      <c r="C562" s="28">
        <v>65.478943000000001</v>
      </c>
      <c r="D562" s="379">
        <f t="shared" si="40"/>
        <v>3.4802039330334017E-3</v>
      </c>
      <c r="E562" s="39">
        <v>1710.1400149999999</v>
      </c>
      <c r="F562" s="379">
        <f t="shared" si="41"/>
        <v>4.0664414517766513E-3</v>
      </c>
      <c r="G562" s="379">
        <f t="shared" si="42"/>
        <v>3.4802039330334017E-3</v>
      </c>
      <c r="H562" s="379">
        <f t="shared" si="43"/>
        <v>4.0664414517766513E-3</v>
      </c>
    </row>
    <row r="563" spans="1:8">
      <c r="A563" s="375">
        <v>41558</v>
      </c>
      <c r="B563" s="379">
        <f t="shared" si="44"/>
        <v>560</v>
      </c>
      <c r="C563" s="28">
        <v>65.251458999999997</v>
      </c>
      <c r="D563" s="379">
        <f t="shared" si="40"/>
        <v>8.8241701756355331E-3</v>
      </c>
      <c r="E563" s="39">
        <v>1703.1999510000001</v>
      </c>
      <c r="F563" s="379">
        <f t="shared" si="41"/>
        <v>6.2665952763933152E-3</v>
      </c>
      <c r="G563" s="379">
        <f t="shared" si="42"/>
        <v>8.8241701756355331E-3</v>
      </c>
      <c r="H563" s="379">
        <f t="shared" si="43"/>
        <v>6.2665952763933152E-3</v>
      </c>
    </row>
    <row r="564" spans="1:8">
      <c r="A564" s="375">
        <v>41557</v>
      </c>
      <c r="B564" s="379">
        <f t="shared" si="44"/>
        <v>561</v>
      </c>
      <c r="C564" s="28">
        <v>64.678201999999999</v>
      </c>
      <c r="D564" s="379">
        <f t="shared" si="40"/>
        <v>2.854081961452716E-2</v>
      </c>
      <c r="E564" s="39">
        <v>1692.5600589999999</v>
      </c>
      <c r="F564" s="379">
        <f t="shared" si="41"/>
        <v>2.1595623372834851E-2</v>
      </c>
      <c r="G564" s="379">
        <f t="shared" si="42"/>
        <v>2.854081961452716E-2</v>
      </c>
      <c r="H564" s="379">
        <f t="shared" si="43"/>
        <v>2.1595623372834851E-2</v>
      </c>
    </row>
    <row r="565" spans="1:8">
      <c r="A565" s="375">
        <v>41556</v>
      </c>
      <c r="B565" s="379">
        <f t="shared" si="44"/>
        <v>562</v>
      </c>
      <c r="C565" s="28">
        <v>62.858327000000003</v>
      </c>
      <c r="D565" s="379">
        <f t="shared" si="40"/>
        <v>-5.7167746015088887E-3</v>
      </c>
      <c r="E565" s="39">
        <v>1656.400024</v>
      </c>
      <c r="F565" s="379">
        <f t="shared" si="41"/>
        <v>5.7374158445198812E-4</v>
      </c>
      <c r="G565" s="379">
        <f t="shared" si="42"/>
        <v>-5.7167746015088887E-3</v>
      </c>
      <c r="H565" s="379">
        <f t="shared" si="43"/>
        <v>5.7374158445198812E-4</v>
      </c>
    </row>
    <row r="566" spans="1:8">
      <c r="A566" s="375">
        <v>41555</v>
      </c>
      <c r="B566" s="379">
        <f t="shared" si="44"/>
        <v>563</v>
      </c>
      <c r="C566" s="28">
        <v>63.218702999999998</v>
      </c>
      <c r="D566" s="379">
        <f t="shared" si="40"/>
        <v>-1.0067424479463139E-2</v>
      </c>
      <c r="E566" s="39">
        <v>1655.4499510000001</v>
      </c>
      <c r="F566" s="379">
        <f t="shared" si="41"/>
        <v>-1.2408749964991285E-2</v>
      </c>
      <c r="G566" s="379">
        <f t="shared" si="42"/>
        <v>-1.0067424479463139E-2</v>
      </c>
      <c r="H566" s="379">
        <f t="shared" si="43"/>
        <v>-1.2408749964991285E-2</v>
      </c>
    </row>
    <row r="567" spans="1:8">
      <c r="A567" s="375">
        <v>41554</v>
      </c>
      <c r="B567" s="379">
        <f t="shared" si="44"/>
        <v>564</v>
      </c>
      <c r="C567" s="28">
        <v>63.858367000000001</v>
      </c>
      <c r="D567" s="379">
        <f t="shared" si="40"/>
        <v>-1.2690045825949265E-3</v>
      </c>
      <c r="E567" s="39">
        <v>1676.119995</v>
      </c>
      <c r="F567" s="379">
        <f t="shared" si="41"/>
        <v>-8.5427476067355436E-3</v>
      </c>
      <c r="G567" s="379">
        <f t="shared" si="42"/>
        <v>-1.2690045825949265E-3</v>
      </c>
      <c r="H567" s="379">
        <f t="shared" si="43"/>
        <v>-8.5427476067355436E-3</v>
      </c>
    </row>
    <row r="568" spans="1:8">
      <c r="A568" s="375">
        <v>41551</v>
      </c>
      <c r="B568" s="379">
        <f t="shared" si="44"/>
        <v>565</v>
      </c>
      <c r="C568" s="28">
        <v>63.939455000000002</v>
      </c>
      <c r="D568" s="379">
        <f t="shared" si="40"/>
        <v>1.1336429062058102E-2</v>
      </c>
      <c r="E568" s="39">
        <v>1690.5</v>
      </c>
      <c r="F568" s="379">
        <f t="shared" si="41"/>
        <v>7.0284668113261943E-3</v>
      </c>
      <c r="G568" s="379">
        <f t="shared" si="42"/>
        <v>1.1336429062058102E-2</v>
      </c>
      <c r="H568" s="379">
        <f t="shared" si="43"/>
        <v>7.0284668113261943E-3</v>
      </c>
    </row>
    <row r="569" spans="1:8">
      <c r="A569" s="375">
        <v>41550</v>
      </c>
      <c r="B569" s="379">
        <f t="shared" si="44"/>
        <v>566</v>
      </c>
      <c r="C569" s="28">
        <v>63.218702999999998</v>
      </c>
      <c r="D569" s="379">
        <f t="shared" si="40"/>
        <v>-2.7040836599603758E-3</v>
      </c>
      <c r="E569" s="39">
        <v>1678.660034</v>
      </c>
      <c r="F569" s="379">
        <f t="shared" si="41"/>
        <v>-9.0199725384119255E-3</v>
      </c>
      <c r="G569" s="379">
        <f t="shared" si="42"/>
        <v>-2.7040836599603758E-3</v>
      </c>
      <c r="H569" s="379">
        <f t="shared" si="43"/>
        <v>-9.0199725384119255E-3</v>
      </c>
    </row>
    <row r="570" spans="1:8">
      <c r="A570" s="375">
        <v>41549</v>
      </c>
      <c r="B570" s="379">
        <f t="shared" si="44"/>
        <v>567</v>
      </c>
      <c r="C570" s="28">
        <v>63.389882999999998</v>
      </c>
      <c r="D570" s="379">
        <f t="shared" si="40"/>
        <v>4.5584023341957878E-3</v>
      </c>
      <c r="E570" s="39">
        <v>1693.869995</v>
      </c>
      <c r="F570" s="379">
        <f t="shared" si="41"/>
        <v>-6.6689193952412568E-4</v>
      </c>
      <c r="G570" s="379">
        <f t="shared" si="42"/>
        <v>4.5584023341957878E-3</v>
      </c>
      <c r="H570" s="379">
        <f t="shared" si="43"/>
        <v>-6.6689193952412568E-4</v>
      </c>
    </row>
    <row r="571" spans="1:8">
      <c r="A571" s="375">
        <v>41548</v>
      </c>
      <c r="B571" s="379">
        <f t="shared" si="44"/>
        <v>568</v>
      </c>
      <c r="C571" s="28">
        <v>63.101584000000003</v>
      </c>
      <c r="D571" s="379">
        <f t="shared" si="40"/>
        <v>7.5958598501516981E-3</v>
      </c>
      <c r="E571" s="39">
        <v>1695</v>
      </c>
      <c r="F571" s="379">
        <f t="shared" si="41"/>
        <v>7.9667245811945262E-3</v>
      </c>
      <c r="G571" s="379">
        <f t="shared" si="42"/>
        <v>7.5958598501516981E-3</v>
      </c>
      <c r="H571" s="379">
        <f t="shared" si="43"/>
        <v>7.9667245811945262E-3</v>
      </c>
    </row>
    <row r="572" spans="1:8">
      <c r="A572" s="375">
        <v>41547</v>
      </c>
      <c r="B572" s="379">
        <f t="shared" si="44"/>
        <v>569</v>
      </c>
      <c r="C572" s="28">
        <v>62.624088999999998</v>
      </c>
      <c r="D572" s="379">
        <f t="shared" si="40"/>
        <v>-1.1443344087653875E-2</v>
      </c>
      <c r="E572" s="39">
        <v>1681.5500489999999</v>
      </c>
      <c r="F572" s="379">
        <f t="shared" si="41"/>
        <v>-6.0474798789787367E-3</v>
      </c>
      <c r="G572" s="379">
        <f t="shared" si="42"/>
        <v>-1.1443344087653875E-2</v>
      </c>
      <c r="H572" s="379">
        <f t="shared" si="43"/>
        <v>-6.0474798789787367E-3</v>
      </c>
    </row>
    <row r="573" spans="1:8">
      <c r="A573" s="375">
        <v>41544</v>
      </c>
      <c r="B573" s="379">
        <f t="shared" si="44"/>
        <v>570</v>
      </c>
      <c r="C573" s="28">
        <v>63.344833999999999</v>
      </c>
      <c r="D573" s="379">
        <f t="shared" si="40"/>
        <v>1.1383884850371723E-3</v>
      </c>
      <c r="E573" s="39">
        <v>1691.75</v>
      </c>
      <c r="F573" s="379">
        <f t="shared" si="41"/>
        <v>-4.0821216956378114E-3</v>
      </c>
      <c r="G573" s="379">
        <f t="shared" si="42"/>
        <v>1.1383884850371723E-3</v>
      </c>
      <c r="H573" s="379">
        <f t="shared" si="43"/>
        <v>-4.0821216956378114E-3</v>
      </c>
    </row>
    <row r="574" spans="1:8">
      <c r="A574" s="375">
        <v>41543</v>
      </c>
      <c r="B574" s="379">
        <f t="shared" si="44"/>
        <v>571</v>
      </c>
      <c r="C574" s="28">
        <v>63.272764000000002</v>
      </c>
      <c r="D574" s="379">
        <f t="shared" si="40"/>
        <v>-1.2806314837220437E-3</v>
      </c>
      <c r="E574" s="39">
        <v>1698.670044</v>
      </c>
      <c r="F574" s="379">
        <f t="shared" si="41"/>
        <v>3.4793656032791145E-3</v>
      </c>
      <c r="G574" s="379">
        <f t="shared" si="42"/>
        <v>-1.2806314837220437E-3</v>
      </c>
      <c r="H574" s="379">
        <f t="shared" si="43"/>
        <v>3.4793656032791145E-3</v>
      </c>
    </row>
    <row r="575" spans="1:8">
      <c r="A575" s="375">
        <v>41542</v>
      </c>
      <c r="B575" s="379">
        <f t="shared" si="44"/>
        <v>572</v>
      </c>
      <c r="C575" s="28">
        <v>63.353845</v>
      </c>
      <c r="D575" s="379">
        <f t="shared" si="40"/>
        <v>-1.1370269884419138E-3</v>
      </c>
      <c r="E575" s="39">
        <v>1692.7700199999999</v>
      </c>
      <c r="F575" s="379">
        <f t="shared" si="41"/>
        <v>-2.7432249096826906E-3</v>
      </c>
      <c r="G575" s="379">
        <f t="shared" si="42"/>
        <v>-1.1370269884419138E-3</v>
      </c>
      <c r="H575" s="379">
        <f t="shared" si="43"/>
        <v>-2.7432249096826906E-3</v>
      </c>
    </row>
    <row r="576" spans="1:8">
      <c r="A576" s="375">
        <v>41541</v>
      </c>
      <c r="B576" s="379">
        <f t="shared" si="44"/>
        <v>573</v>
      </c>
      <c r="C576" s="28">
        <v>63.425921000000002</v>
      </c>
      <c r="D576" s="379">
        <f t="shared" si="40"/>
        <v>-2.5535621911979599E-3</v>
      </c>
      <c r="E576" s="39">
        <v>1697.420044</v>
      </c>
      <c r="F576" s="379">
        <f t="shared" si="41"/>
        <v>-2.6005215710982166E-3</v>
      </c>
      <c r="G576" s="379">
        <f t="shared" si="42"/>
        <v>-2.5535621911979599E-3</v>
      </c>
      <c r="H576" s="379">
        <f t="shared" si="43"/>
        <v>-2.6005215710982166E-3</v>
      </c>
    </row>
    <row r="577" spans="1:8">
      <c r="A577" s="375">
        <v>41540</v>
      </c>
      <c r="B577" s="379">
        <f t="shared" si="44"/>
        <v>574</v>
      </c>
      <c r="C577" s="28">
        <v>63.588090000000001</v>
      </c>
      <c r="D577" s="379">
        <f t="shared" si="40"/>
        <v>-5.9330387620937014E-3</v>
      </c>
      <c r="E577" s="39">
        <v>1701.839966</v>
      </c>
      <c r="F577" s="379">
        <f t="shared" si="41"/>
        <v>-4.7307587312808378E-3</v>
      </c>
      <c r="G577" s="379">
        <f t="shared" si="42"/>
        <v>-5.9330387620937014E-3</v>
      </c>
      <c r="H577" s="379">
        <f t="shared" si="43"/>
        <v>-4.7307587312808378E-3</v>
      </c>
    </row>
    <row r="578" spans="1:8">
      <c r="A578" s="375">
        <v>41537</v>
      </c>
      <c r="B578" s="379">
        <f t="shared" si="44"/>
        <v>575</v>
      </c>
      <c r="C578" s="28">
        <v>63.966481999999999</v>
      </c>
      <c r="D578" s="379">
        <f t="shared" si="40"/>
        <v>2.2561139745716314E-3</v>
      </c>
      <c r="E578" s="39">
        <v>1709.910034</v>
      </c>
      <c r="F578" s="379">
        <f t="shared" si="41"/>
        <v>-7.2430541722609517E-3</v>
      </c>
      <c r="G578" s="379">
        <f t="shared" si="42"/>
        <v>2.2561139745716314E-3</v>
      </c>
      <c r="H578" s="379">
        <f t="shared" si="43"/>
        <v>-7.2430541722609517E-3</v>
      </c>
    </row>
    <row r="579" spans="1:8">
      <c r="A579" s="375">
        <v>41536</v>
      </c>
      <c r="B579" s="379">
        <f t="shared" si="44"/>
        <v>576</v>
      </c>
      <c r="C579" s="28">
        <v>63.822329000000003</v>
      </c>
      <c r="D579" s="379">
        <f t="shared" si="40"/>
        <v>3.9603828118303019E-3</v>
      </c>
      <c r="E579" s="39">
        <v>1722.339966</v>
      </c>
      <c r="F579" s="379">
        <f t="shared" si="41"/>
        <v>-1.8446543158112249E-3</v>
      </c>
      <c r="G579" s="379">
        <f t="shared" si="42"/>
        <v>3.9603828118303019E-3</v>
      </c>
      <c r="H579" s="379">
        <f t="shared" si="43"/>
        <v>-1.8446543158112249E-3</v>
      </c>
    </row>
    <row r="580" spans="1:8">
      <c r="A580" s="375">
        <v>41535</v>
      </c>
      <c r="B580" s="379">
        <f t="shared" si="44"/>
        <v>577</v>
      </c>
      <c r="C580" s="28">
        <v>63.570067999999999</v>
      </c>
      <c r="D580" s="379">
        <f t="shared" ref="D580:D643" si="45">LN(C580/C581)</f>
        <v>1.2263105866606146E-2</v>
      </c>
      <c r="E580" s="39">
        <v>1725.5200199999999</v>
      </c>
      <c r="F580" s="379">
        <f t="shared" ref="F580:F643" si="46">LN(E580/E581)</f>
        <v>1.2104121692590333E-2</v>
      </c>
      <c r="G580" s="379">
        <f t="shared" ref="G580:G643" si="47">IF(B580&lt;$D$1+1,D580,0)</f>
        <v>1.2263105866606146E-2</v>
      </c>
      <c r="H580" s="379">
        <f t="shared" ref="H580:H643" si="48">IF(B580&lt;$D$1+1,F580,0)</f>
        <v>1.2104121692590333E-2</v>
      </c>
    </row>
    <row r="581" spans="1:8">
      <c r="A581" s="375">
        <v>41534</v>
      </c>
      <c r="B581" s="379">
        <f t="shared" si="44"/>
        <v>578</v>
      </c>
      <c r="C581" s="28">
        <v>62.795262000000001</v>
      </c>
      <c r="D581" s="379">
        <f t="shared" si="45"/>
        <v>5.1783922722792334E-3</v>
      </c>
      <c r="E581" s="39">
        <v>1704.76001</v>
      </c>
      <c r="F581" s="379">
        <f t="shared" si="46"/>
        <v>4.2088694901244251E-3</v>
      </c>
      <c r="G581" s="379">
        <f t="shared" si="47"/>
        <v>5.1783922722792334E-3</v>
      </c>
      <c r="H581" s="379">
        <f t="shared" si="48"/>
        <v>4.2088694901244251E-3</v>
      </c>
    </row>
    <row r="582" spans="1:8">
      <c r="A582" s="375">
        <v>41533</v>
      </c>
      <c r="B582" s="379">
        <f t="shared" ref="B582:B645" si="49">B581+1</f>
        <v>579</v>
      </c>
      <c r="C582" s="28">
        <v>62.470923999999997</v>
      </c>
      <c r="D582" s="379">
        <f t="shared" si="45"/>
        <v>2.1655093634080991E-3</v>
      </c>
      <c r="E582" s="39">
        <v>1697.599976</v>
      </c>
      <c r="F582" s="379">
        <f t="shared" si="46"/>
        <v>5.6770086785799985E-3</v>
      </c>
      <c r="G582" s="379">
        <f t="shared" si="47"/>
        <v>2.1655093634080991E-3</v>
      </c>
      <c r="H582" s="379">
        <f t="shared" si="48"/>
        <v>5.6770086785799985E-3</v>
      </c>
    </row>
    <row r="583" spans="1:8">
      <c r="A583" s="375">
        <v>41530</v>
      </c>
      <c r="B583" s="379">
        <f t="shared" si="49"/>
        <v>580</v>
      </c>
      <c r="C583" s="28">
        <v>62.335788999999998</v>
      </c>
      <c r="D583" s="379">
        <f t="shared" si="45"/>
        <v>5.9433881957453617E-3</v>
      </c>
      <c r="E583" s="39">
        <v>1687.98999</v>
      </c>
      <c r="F583" s="379">
        <f t="shared" si="46"/>
        <v>2.711001481768862E-3</v>
      </c>
      <c r="G583" s="379">
        <f t="shared" si="47"/>
        <v>5.9433881957453617E-3</v>
      </c>
      <c r="H583" s="379">
        <f t="shared" si="48"/>
        <v>2.711001481768862E-3</v>
      </c>
    </row>
    <row r="584" spans="1:8">
      <c r="A584" s="375">
        <v>41529</v>
      </c>
      <c r="B584" s="379">
        <f t="shared" si="49"/>
        <v>581</v>
      </c>
      <c r="C584" s="28">
        <v>61.966402000000002</v>
      </c>
      <c r="D584" s="379">
        <f t="shared" si="45"/>
        <v>-5.5097230221500572E-3</v>
      </c>
      <c r="E584" s="39">
        <v>1683.420044</v>
      </c>
      <c r="F584" s="379">
        <f t="shared" si="46"/>
        <v>-3.3861418646932984E-3</v>
      </c>
      <c r="G584" s="379">
        <f t="shared" si="47"/>
        <v>-5.5097230221500572E-3</v>
      </c>
      <c r="H584" s="379">
        <f t="shared" si="48"/>
        <v>-3.3861418646932984E-3</v>
      </c>
    </row>
    <row r="585" spans="1:8">
      <c r="A585" s="375">
        <v>41528</v>
      </c>
      <c r="B585" s="379">
        <f t="shared" si="49"/>
        <v>582</v>
      </c>
      <c r="C585" s="28">
        <v>62.308762000000002</v>
      </c>
      <c r="D585" s="379">
        <f t="shared" si="45"/>
        <v>7.2558694850283819E-3</v>
      </c>
      <c r="E585" s="39">
        <v>1689.130005</v>
      </c>
      <c r="F585" s="379">
        <f t="shared" si="46"/>
        <v>3.0476348223741328E-3</v>
      </c>
      <c r="G585" s="379">
        <f t="shared" si="47"/>
        <v>7.2558694850283819E-3</v>
      </c>
      <c r="H585" s="379">
        <f t="shared" si="48"/>
        <v>3.0476348223741328E-3</v>
      </c>
    </row>
    <row r="586" spans="1:8">
      <c r="A586" s="375">
        <v>41527</v>
      </c>
      <c r="B586" s="379">
        <f t="shared" si="49"/>
        <v>583</v>
      </c>
      <c r="C586" s="28">
        <v>61.858294000000001</v>
      </c>
      <c r="D586" s="379">
        <f t="shared" si="45"/>
        <v>-3.0538711096624329E-3</v>
      </c>
      <c r="E586" s="39">
        <v>1683.98999</v>
      </c>
      <c r="F586" s="379">
        <f t="shared" si="46"/>
        <v>7.3189403082372494E-3</v>
      </c>
      <c r="G586" s="379">
        <f t="shared" si="47"/>
        <v>-3.0538711096624329E-3</v>
      </c>
      <c r="H586" s="379">
        <f t="shared" si="48"/>
        <v>7.3189403082372494E-3</v>
      </c>
    </row>
    <row r="587" spans="1:8">
      <c r="A587" s="375">
        <v>41526</v>
      </c>
      <c r="B587" s="379">
        <f t="shared" si="49"/>
        <v>584</v>
      </c>
      <c r="C587" s="28">
        <v>62.047490000000003</v>
      </c>
      <c r="D587" s="379">
        <f t="shared" si="45"/>
        <v>9.7761960216987687E-3</v>
      </c>
      <c r="E587" s="39">
        <v>1671.709961</v>
      </c>
      <c r="F587" s="379">
        <f t="shared" si="46"/>
        <v>9.9432821433165074E-3</v>
      </c>
      <c r="G587" s="379">
        <f t="shared" si="47"/>
        <v>9.7761960216987687E-3</v>
      </c>
      <c r="H587" s="379">
        <f t="shared" si="48"/>
        <v>9.9432821433165074E-3</v>
      </c>
    </row>
    <row r="588" spans="1:8">
      <c r="A588" s="375">
        <v>41523</v>
      </c>
      <c r="B588" s="379">
        <f t="shared" si="49"/>
        <v>585</v>
      </c>
      <c r="C588" s="28">
        <v>61.443857000000001</v>
      </c>
      <c r="D588" s="379">
        <f t="shared" si="45"/>
        <v>6.324951966929393E-3</v>
      </c>
      <c r="E588" s="39">
        <v>1655.170044</v>
      </c>
      <c r="F588" s="379">
        <f t="shared" si="46"/>
        <v>5.4429725864882412E-5</v>
      </c>
      <c r="G588" s="379">
        <f t="shared" si="47"/>
        <v>6.324951966929393E-3</v>
      </c>
      <c r="H588" s="379">
        <f t="shared" si="48"/>
        <v>5.4429725864882412E-5</v>
      </c>
    </row>
    <row r="589" spans="1:8">
      <c r="A589" s="375">
        <v>41522</v>
      </c>
      <c r="B589" s="379">
        <f t="shared" si="49"/>
        <v>586</v>
      </c>
      <c r="C589" s="28">
        <v>61.056454000000002</v>
      </c>
      <c r="D589" s="379">
        <f t="shared" si="45"/>
        <v>1.6243410506443824E-3</v>
      </c>
      <c r="E589" s="39">
        <v>1655.079956</v>
      </c>
      <c r="F589" s="379">
        <f t="shared" si="46"/>
        <v>1.2091315395072581E-3</v>
      </c>
      <c r="G589" s="379">
        <f t="shared" si="47"/>
        <v>1.6243410506443824E-3</v>
      </c>
      <c r="H589" s="379">
        <f t="shared" si="48"/>
        <v>1.2091315395072581E-3</v>
      </c>
    </row>
    <row r="590" spans="1:8">
      <c r="A590" s="375">
        <v>41521</v>
      </c>
      <c r="B590" s="379">
        <f t="shared" si="49"/>
        <v>587</v>
      </c>
      <c r="C590" s="28">
        <v>60.957357999999999</v>
      </c>
      <c r="D590" s="379">
        <f t="shared" si="45"/>
        <v>1.294183311829384E-2</v>
      </c>
      <c r="E590" s="39">
        <v>1653.079956</v>
      </c>
      <c r="F590" s="379">
        <f t="shared" si="46"/>
        <v>8.0841876096148183E-3</v>
      </c>
      <c r="G590" s="379">
        <f t="shared" si="47"/>
        <v>1.294183311829384E-2</v>
      </c>
      <c r="H590" s="379">
        <f t="shared" si="48"/>
        <v>8.0841876096148183E-3</v>
      </c>
    </row>
    <row r="591" spans="1:8">
      <c r="A591" s="375">
        <v>41520</v>
      </c>
      <c r="B591" s="379">
        <f t="shared" si="49"/>
        <v>588</v>
      </c>
      <c r="C591" s="28">
        <v>60.173541</v>
      </c>
      <c r="D591" s="379">
        <f t="shared" si="45"/>
        <v>7.3634409504598234E-3</v>
      </c>
      <c r="E591" s="39">
        <v>1639.7700199999999</v>
      </c>
      <c r="F591" s="379">
        <f t="shared" si="46"/>
        <v>4.1555753310222208E-3</v>
      </c>
      <c r="G591" s="379">
        <f t="shared" si="47"/>
        <v>7.3634409504598234E-3</v>
      </c>
      <c r="H591" s="379">
        <f t="shared" si="48"/>
        <v>4.1555753310222208E-3</v>
      </c>
    </row>
    <row r="592" spans="1:8">
      <c r="A592" s="375">
        <v>41516</v>
      </c>
      <c r="B592" s="379">
        <f t="shared" si="49"/>
        <v>589</v>
      </c>
      <c r="C592" s="28">
        <v>59.732084</v>
      </c>
      <c r="D592" s="379">
        <f t="shared" si="45"/>
        <v>2.1138448417137583E-3</v>
      </c>
      <c r="E592" s="39">
        <v>1632.969971</v>
      </c>
      <c r="F592" s="379">
        <f t="shared" si="46"/>
        <v>-3.1793670442177291E-3</v>
      </c>
      <c r="G592" s="379">
        <f t="shared" si="47"/>
        <v>2.1138448417137583E-3</v>
      </c>
      <c r="H592" s="379">
        <f t="shared" si="48"/>
        <v>-3.1793670442177291E-3</v>
      </c>
    </row>
    <row r="593" spans="1:8">
      <c r="A593" s="375">
        <v>41515</v>
      </c>
      <c r="B593" s="379">
        <f t="shared" si="49"/>
        <v>590</v>
      </c>
      <c r="C593" s="28">
        <v>59.605953</v>
      </c>
      <c r="D593" s="379">
        <f t="shared" si="45"/>
        <v>-9.1777239027254522E-3</v>
      </c>
      <c r="E593" s="39">
        <v>1638.170044</v>
      </c>
      <c r="F593" s="379">
        <f t="shared" si="46"/>
        <v>1.9614766442517134E-3</v>
      </c>
      <c r="G593" s="379">
        <f t="shared" si="47"/>
        <v>-9.1777239027254522E-3</v>
      </c>
      <c r="H593" s="379">
        <f t="shared" si="48"/>
        <v>1.9614766442517134E-3</v>
      </c>
    </row>
    <row r="594" spans="1:8">
      <c r="A594" s="375">
        <v>41514</v>
      </c>
      <c r="B594" s="379">
        <f t="shared" si="49"/>
        <v>591</v>
      </c>
      <c r="C594" s="28">
        <v>60.155518000000001</v>
      </c>
      <c r="D594" s="379">
        <f t="shared" si="45"/>
        <v>1.1296147426064653E-2</v>
      </c>
      <c r="E594" s="39">
        <v>1634.959961</v>
      </c>
      <c r="F594" s="379">
        <f t="shared" si="46"/>
        <v>2.7438776346883054E-3</v>
      </c>
      <c r="G594" s="379">
        <f t="shared" si="47"/>
        <v>1.1296147426064653E-2</v>
      </c>
      <c r="H594" s="379">
        <f t="shared" si="48"/>
        <v>2.7438776346883054E-3</v>
      </c>
    </row>
    <row r="595" spans="1:8">
      <c r="A595" s="375">
        <v>41513</v>
      </c>
      <c r="B595" s="379">
        <f t="shared" si="49"/>
        <v>592</v>
      </c>
      <c r="C595" s="28">
        <v>59.479816</v>
      </c>
      <c r="D595" s="379">
        <f t="shared" si="45"/>
        <v>-4.3829967648488571E-3</v>
      </c>
      <c r="E595" s="39">
        <v>1630.4799800000001</v>
      </c>
      <c r="F595" s="379">
        <f t="shared" si="46"/>
        <v>-1.6001539337487443E-2</v>
      </c>
      <c r="G595" s="379">
        <f t="shared" si="47"/>
        <v>-4.3829967648488571E-3</v>
      </c>
      <c r="H595" s="379">
        <f t="shared" si="48"/>
        <v>-1.6001539337487443E-2</v>
      </c>
    </row>
    <row r="596" spans="1:8">
      <c r="A596" s="375">
        <v>41512</v>
      </c>
      <c r="B596" s="379">
        <f t="shared" si="49"/>
        <v>593</v>
      </c>
      <c r="C596" s="28">
        <v>59.741087999999998</v>
      </c>
      <c r="D596" s="379">
        <f t="shared" si="45"/>
        <v>-3.6129175388894762E-3</v>
      </c>
      <c r="E596" s="39">
        <v>1656.780029</v>
      </c>
      <c r="F596" s="379">
        <f t="shared" si="46"/>
        <v>-4.0478394092464407E-3</v>
      </c>
      <c r="G596" s="379">
        <f t="shared" si="47"/>
        <v>-3.6129175388894762E-3</v>
      </c>
      <c r="H596" s="379">
        <f t="shared" si="48"/>
        <v>-4.0478394092464407E-3</v>
      </c>
    </row>
    <row r="597" spans="1:8">
      <c r="A597" s="375">
        <v>41509</v>
      </c>
      <c r="B597" s="379">
        <f t="shared" si="49"/>
        <v>594</v>
      </c>
      <c r="C597" s="28">
        <v>59.957318000000001</v>
      </c>
      <c r="D597" s="379">
        <f t="shared" si="45"/>
        <v>6.028678383974655E-3</v>
      </c>
      <c r="E597" s="39">
        <v>1663.5</v>
      </c>
      <c r="F597" s="379">
        <f t="shared" si="46"/>
        <v>3.9392418724934625E-3</v>
      </c>
      <c r="G597" s="379">
        <f t="shared" si="47"/>
        <v>6.028678383974655E-3</v>
      </c>
      <c r="H597" s="379">
        <f t="shared" si="48"/>
        <v>3.9392418724934625E-3</v>
      </c>
    </row>
    <row r="598" spans="1:8">
      <c r="A598" s="375">
        <v>41508</v>
      </c>
      <c r="B598" s="379">
        <f t="shared" si="49"/>
        <v>595</v>
      </c>
      <c r="C598" s="28">
        <v>59.596941999999999</v>
      </c>
      <c r="D598" s="379">
        <f t="shared" si="45"/>
        <v>9.5695200697734819E-3</v>
      </c>
      <c r="E598" s="39">
        <v>1656.959961</v>
      </c>
      <c r="F598" s="379">
        <f t="shared" si="46"/>
        <v>8.5824416765103891E-3</v>
      </c>
      <c r="G598" s="379">
        <f t="shared" si="47"/>
        <v>9.5695200697734819E-3</v>
      </c>
      <c r="H598" s="379">
        <f t="shared" si="48"/>
        <v>8.5824416765103891E-3</v>
      </c>
    </row>
    <row r="599" spans="1:8">
      <c r="A599" s="375">
        <v>41507</v>
      </c>
      <c r="B599" s="379">
        <f t="shared" si="49"/>
        <v>596</v>
      </c>
      <c r="C599" s="28">
        <v>59.029347999999999</v>
      </c>
      <c r="D599" s="379">
        <f t="shared" si="45"/>
        <v>-6.9963152573331491E-3</v>
      </c>
      <c r="E599" s="39">
        <v>1642.8000489999999</v>
      </c>
      <c r="F599" s="379">
        <f t="shared" si="46"/>
        <v>-5.7963696133137383E-3</v>
      </c>
      <c r="G599" s="379">
        <f t="shared" si="47"/>
        <v>-6.9963152573331491E-3</v>
      </c>
      <c r="H599" s="379">
        <f t="shared" si="48"/>
        <v>-5.7963696133137383E-3</v>
      </c>
    </row>
    <row r="600" spans="1:8">
      <c r="A600" s="375">
        <v>41506</v>
      </c>
      <c r="B600" s="379">
        <f t="shared" si="49"/>
        <v>597</v>
      </c>
      <c r="C600" s="28">
        <v>59.443784000000001</v>
      </c>
      <c r="D600" s="379">
        <f t="shared" si="45"/>
        <v>2.2760134129895856E-3</v>
      </c>
      <c r="E600" s="39">
        <v>1652.349976</v>
      </c>
      <c r="F600" s="379">
        <f t="shared" si="46"/>
        <v>3.8139131021598469E-3</v>
      </c>
      <c r="G600" s="379">
        <f t="shared" si="47"/>
        <v>2.2760134129895856E-3</v>
      </c>
      <c r="H600" s="379">
        <f t="shared" si="48"/>
        <v>3.8139131021598469E-3</v>
      </c>
    </row>
    <row r="601" spans="1:8">
      <c r="A601" s="375">
        <v>41505</v>
      </c>
      <c r="B601" s="379">
        <f t="shared" si="49"/>
        <v>598</v>
      </c>
      <c r="C601" s="28">
        <v>59.308643000000004</v>
      </c>
      <c r="D601" s="379">
        <f t="shared" si="45"/>
        <v>-2.3272503769823899E-2</v>
      </c>
      <c r="E601" s="39">
        <v>1646.0600589999999</v>
      </c>
      <c r="F601" s="379">
        <f t="shared" si="46"/>
        <v>-5.9177776773251568E-3</v>
      </c>
      <c r="G601" s="379">
        <f t="shared" si="47"/>
        <v>-2.3272503769823899E-2</v>
      </c>
      <c r="H601" s="379">
        <f t="shared" si="48"/>
        <v>-5.9177776773251568E-3</v>
      </c>
    </row>
    <row r="602" spans="1:8">
      <c r="A602" s="375">
        <v>41502</v>
      </c>
      <c r="B602" s="379">
        <f t="shared" si="49"/>
        <v>599</v>
      </c>
      <c r="C602" s="28">
        <v>60.705089999999998</v>
      </c>
      <c r="D602" s="379">
        <f t="shared" si="45"/>
        <v>-3.5556295640734011E-3</v>
      </c>
      <c r="E602" s="39">
        <v>1655.829956</v>
      </c>
      <c r="F602" s="379">
        <f t="shared" si="46"/>
        <v>-3.3100674825096146E-3</v>
      </c>
      <c r="G602" s="379">
        <f t="shared" si="47"/>
        <v>-3.5556295640734011E-3</v>
      </c>
      <c r="H602" s="379">
        <f t="shared" si="48"/>
        <v>-3.3100674825096146E-3</v>
      </c>
    </row>
    <row r="603" spans="1:8">
      <c r="A603" s="375">
        <v>41501</v>
      </c>
      <c r="B603" s="379">
        <f t="shared" si="49"/>
        <v>600</v>
      </c>
      <c r="C603" s="28">
        <v>60.921318999999997</v>
      </c>
      <c r="D603" s="379">
        <f t="shared" si="45"/>
        <v>6.825936288609542E-3</v>
      </c>
      <c r="E603" s="39">
        <v>1661.3199460000001</v>
      </c>
      <c r="F603" s="379">
        <f t="shared" si="46"/>
        <v>-1.4384565330551637E-2</v>
      </c>
      <c r="G603" s="379">
        <f t="shared" si="47"/>
        <v>6.825936288609542E-3</v>
      </c>
      <c r="H603" s="379">
        <f t="shared" si="48"/>
        <v>-1.4384565330551637E-2</v>
      </c>
    </row>
    <row r="604" spans="1:8">
      <c r="A604" s="375">
        <v>41500</v>
      </c>
      <c r="B604" s="379">
        <f t="shared" si="49"/>
        <v>601</v>
      </c>
      <c r="C604" s="28">
        <v>60.506889999999999</v>
      </c>
      <c r="D604" s="379">
        <f t="shared" si="45"/>
        <v>3.8789070622478584E-3</v>
      </c>
      <c r="E604" s="39">
        <v>1685.3900149999999</v>
      </c>
      <c r="F604" s="379">
        <f t="shared" si="46"/>
        <v>-5.1900629132010899E-3</v>
      </c>
      <c r="G604" s="379">
        <f t="shared" si="47"/>
        <v>3.8789070622478584E-3</v>
      </c>
      <c r="H604" s="379">
        <f t="shared" si="48"/>
        <v>-5.1900629132010899E-3</v>
      </c>
    </row>
    <row r="605" spans="1:8">
      <c r="A605" s="375">
        <v>41499</v>
      </c>
      <c r="B605" s="379">
        <f t="shared" si="49"/>
        <v>602</v>
      </c>
      <c r="C605" s="28">
        <v>60.272644</v>
      </c>
      <c r="D605" s="379">
        <f t="shared" si="45"/>
        <v>1.2030268870655361E-2</v>
      </c>
      <c r="E605" s="39">
        <v>1694.160034</v>
      </c>
      <c r="F605" s="379">
        <f t="shared" si="46"/>
        <v>2.772209725484634E-3</v>
      </c>
      <c r="G605" s="379">
        <f t="shared" si="47"/>
        <v>1.2030268870655361E-2</v>
      </c>
      <c r="H605" s="379">
        <f t="shared" si="48"/>
        <v>2.772209725484634E-3</v>
      </c>
    </row>
    <row r="606" spans="1:8">
      <c r="A606" s="375">
        <v>41498</v>
      </c>
      <c r="B606" s="379">
        <f t="shared" si="49"/>
        <v>603</v>
      </c>
      <c r="C606" s="28">
        <v>59.551892000000002</v>
      </c>
      <c r="D606" s="379">
        <f t="shared" si="45"/>
        <v>-1.0983392340834274E-2</v>
      </c>
      <c r="E606" s="39">
        <v>1689.469971</v>
      </c>
      <c r="F606" s="379">
        <f t="shared" si="46"/>
        <v>-1.1535857171363676E-3</v>
      </c>
      <c r="G606" s="379">
        <f t="shared" si="47"/>
        <v>-1.0983392340834274E-2</v>
      </c>
      <c r="H606" s="379">
        <f t="shared" si="48"/>
        <v>-1.1535857171363676E-3</v>
      </c>
    </row>
    <row r="607" spans="1:8">
      <c r="A607" s="375">
        <v>41495</v>
      </c>
      <c r="B607" s="379">
        <f t="shared" si="49"/>
        <v>604</v>
      </c>
      <c r="C607" s="28">
        <v>60.209578999999998</v>
      </c>
      <c r="D607" s="379">
        <f t="shared" si="45"/>
        <v>-3.8828296932162444E-3</v>
      </c>
      <c r="E607" s="39">
        <v>1691.420044</v>
      </c>
      <c r="F607" s="379">
        <f t="shared" si="46"/>
        <v>-3.5763477329500545E-3</v>
      </c>
      <c r="G607" s="379">
        <f t="shared" si="47"/>
        <v>-3.8828296932162444E-3</v>
      </c>
      <c r="H607" s="379">
        <f t="shared" si="48"/>
        <v>-3.5763477329500545E-3</v>
      </c>
    </row>
    <row r="608" spans="1:8">
      <c r="A608" s="375">
        <v>41494</v>
      </c>
      <c r="B608" s="379">
        <f t="shared" si="49"/>
        <v>605</v>
      </c>
      <c r="C608" s="28">
        <v>60.443817000000003</v>
      </c>
      <c r="D608" s="379">
        <f t="shared" si="45"/>
        <v>8.532335630268369E-3</v>
      </c>
      <c r="E608" s="39">
        <v>1697.4799800000001</v>
      </c>
      <c r="F608" s="379">
        <f t="shared" si="46"/>
        <v>3.8779209041685599E-3</v>
      </c>
      <c r="G608" s="379">
        <f t="shared" si="47"/>
        <v>8.532335630268369E-3</v>
      </c>
      <c r="H608" s="379">
        <f t="shared" si="48"/>
        <v>3.8779209041685599E-3</v>
      </c>
    </row>
    <row r="609" spans="1:8">
      <c r="A609" s="375">
        <v>41493</v>
      </c>
      <c r="B609" s="379">
        <f t="shared" si="49"/>
        <v>606</v>
      </c>
      <c r="C609" s="28">
        <v>59.930284</v>
      </c>
      <c r="D609" s="379">
        <f t="shared" si="45"/>
        <v>-8.5323356302682857E-3</v>
      </c>
      <c r="E609" s="39">
        <v>1690.910034</v>
      </c>
      <c r="F609" s="379">
        <f t="shared" si="46"/>
        <v>-3.8131256991678873E-3</v>
      </c>
      <c r="G609" s="379">
        <f t="shared" si="47"/>
        <v>-8.5323356302682857E-3</v>
      </c>
      <c r="H609" s="379">
        <f t="shared" si="48"/>
        <v>-3.8131256991678873E-3</v>
      </c>
    </row>
    <row r="610" spans="1:8">
      <c r="A610" s="375">
        <v>41492</v>
      </c>
      <c r="B610" s="379">
        <f t="shared" si="49"/>
        <v>607</v>
      </c>
      <c r="C610" s="28">
        <v>60.443817000000003</v>
      </c>
      <c r="D610" s="379">
        <f t="shared" si="45"/>
        <v>-1.4895305719438724E-3</v>
      </c>
      <c r="E610" s="39">
        <v>1697.369995</v>
      </c>
      <c r="F610" s="379">
        <f t="shared" si="46"/>
        <v>-5.7394731055311343E-3</v>
      </c>
      <c r="G610" s="379">
        <f t="shared" si="47"/>
        <v>-1.4895305719438724E-3</v>
      </c>
      <c r="H610" s="379">
        <f t="shared" si="48"/>
        <v>-5.7394731055311343E-3</v>
      </c>
    </row>
    <row r="611" spans="1:8">
      <c r="A611" s="375">
        <v>41491</v>
      </c>
      <c r="B611" s="379">
        <f t="shared" si="49"/>
        <v>608</v>
      </c>
      <c r="C611" s="28">
        <v>60.533917000000002</v>
      </c>
      <c r="D611" s="379">
        <f t="shared" si="45"/>
        <v>-5.9515852744595977E-4</v>
      </c>
      <c r="E611" s="39">
        <v>1707.1400149999999</v>
      </c>
      <c r="F611" s="379">
        <f t="shared" si="46"/>
        <v>-1.4809307036142759E-3</v>
      </c>
      <c r="G611" s="379">
        <f t="shared" si="47"/>
        <v>-5.9515852744595977E-4</v>
      </c>
      <c r="H611" s="379">
        <f t="shared" si="48"/>
        <v>-1.4809307036142759E-3</v>
      </c>
    </row>
    <row r="612" spans="1:8">
      <c r="A612" s="375">
        <v>41488</v>
      </c>
      <c r="B612" s="379">
        <f t="shared" si="49"/>
        <v>609</v>
      </c>
      <c r="C612" s="28">
        <v>60.569955</v>
      </c>
      <c r="D612" s="379">
        <f t="shared" si="45"/>
        <v>1.7102235994980765E-2</v>
      </c>
      <c r="E612" s="39">
        <v>1709.670044</v>
      </c>
      <c r="F612" s="379">
        <f t="shared" si="46"/>
        <v>1.6391141885906207E-3</v>
      </c>
      <c r="G612" s="379">
        <f t="shared" si="47"/>
        <v>1.7102235994980765E-2</v>
      </c>
      <c r="H612" s="379">
        <f t="shared" si="48"/>
        <v>1.6391141885906207E-3</v>
      </c>
    </row>
    <row r="613" spans="1:8">
      <c r="A613" s="375">
        <v>41487</v>
      </c>
      <c r="B613" s="379">
        <f t="shared" si="49"/>
        <v>610</v>
      </c>
      <c r="C613" s="28">
        <v>59.542881000000001</v>
      </c>
      <c r="D613" s="379">
        <f t="shared" si="45"/>
        <v>1.8786285860297243E-2</v>
      </c>
      <c r="E613" s="39">
        <v>1706.869995</v>
      </c>
      <c r="F613" s="379">
        <f t="shared" si="46"/>
        <v>1.2462588439829694E-2</v>
      </c>
      <c r="G613" s="379">
        <f t="shared" si="47"/>
        <v>1.8786285860297243E-2</v>
      </c>
      <c r="H613" s="379">
        <f t="shared" si="48"/>
        <v>1.2462588439829694E-2</v>
      </c>
    </row>
    <row r="614" spans="1:8">
      <c r="A614" s="375">
        <v>41486</v>
      </c>
      <c r="B614" s="379">
        <f t="shared" si="49"/>
        <v>611</v>
      </c>
      <c r="C614" s="28">
        <v>58.434733000000001</v>
      </c>
      <c r="D614" s="379">
        <f t="shared" si="45"/>
        <v>4.6262301118222122E-4</v>
      </c>
      <c r="E614" s="39">
        <v>1685.7299800000001</v>
      </c>
      <c r="F614" s="379">
        <f t="shared" si="46"/>
        <v>-1.3641883113869047E-4</v>
      </c>
      <c r="G614" s="379">
        <f t="shared" si="47"/>
        <v>4.6262301118222122E-4</v>
      </c>
      <c r="H614" s="379">
        <f t="shared" si="48"/>
        <v>-1.3641883113869047E-4</v>
      </c>
    </row>
    <row r="615" spans="1:8">
      <c r="A615" s="375">
        <v>41485</v>
      </c>
      <c r="B615" s="379">
        <f t="shared" si="49"/>
        <v>612</v>
      </c>
      <c r="C615" s="28">
        <v>58.407705999999997</v>
      </c>
      <c r="D615" s="379">
        <f t="shared" si="45"/>
        <v>-5.3842016956340954E-3</v>
      </c>
      <c r="E615" s="39">
        <v>1685.959961</v>
      </c>
      <c r="F615" s="379">
        <f t="shared" si="46"/>
        <v>3.7374715485425335E-4</v>
      </c>
      <c r="G615" s="379">
        <f t="shared" si="47"/>
        <v>-5.3842016956340954E-3</v>
      </c>
      <c r="H615" s="379">
        <f t="shared" si="48"/>
        <v>3.7374715485425335E-4</v>
      </c>
    </row>
    <row r="616" spans="1:8">
      <c r="A616" s="375">
        <v>41484</v>
      </c>
      <c r="B616" s="379">
        <f t="shared" si="49"/>
        <v>613</v>
      </c>
      <c r="C616" s="28">
        <v>58.723033000000001</v>
      </c>
      <c r="D616" s="379">
        <f t="shared" si="45"/>
        <v>-8.2506257866863542E-3</v>
      </c>
      <c r="E616" s="39">
        <v>1685.329956</v>
      </c>
      <c r="F616" s="379">
        <f t="shared" si="46"/>
        <v>-3.7430339630484658E-3</v>
      </c>
      <c r="G616" s="379">
        <f t="shared" si="47"/>
        <v>-8.2506257866863542E-3</v>
      </c>
      <c r="H616" s="379">
        <f t="shared" si="48"/>
        <v>-3.7430339630484658E-3</v>
      </c>
    </row>
    <row r="617" spans="1:8">
      <c r="A617" s="375">
        <v>41481</v>
      </c>
      <c r="B617" s="379">
        <f t="shared" si="49"/>
        <v>614</v>
      </c>
      <c r="C617" s="28">
        <v>59.209538999999999</v>
      </c>
      <c r="D617" s="379">
        <f t="shared" si="45"/>
        <v>1.5219989728410728E-4</v>
      </c>
      <c r="E617" s="39">
        <v>1691.650024</v>
      </c>
      <c r="F617" s="379">
        <f t="shared" si="46"/>
        <v>8.2795119314081199E-4</v>
      </c>
      <c r="G617" s="379">
        <f t="shared" si="47"/>
        <v>1.5219989728410728E-4</v>
      </c>
      <c r="H617" s="379">
        <f t="shared" si="48"/>
        <v>8.2795119314081199E-4</v>
      </c>
    </row>
    <row r="618" spans="1:8">
      <c r="A618" s="375">
        <v>41480</v>
      </c>
      <c r="B618" s="379">
        <f t="shared" si="49"/>
        <v>615</v>
      </c>
      <c r="C618" s="28">
        <v>59.200527999999998</v>
      </c>
      <c r="D618" s="379">
        <f t="shared" si="45"/>
        <v>1.8279202324278619E-3</v>
      </c>
      <c r="E618" s="39">
        <v>1690.25</v>
      </c>
      <c r="F618" s="379">
        <f t="shared" si="46"/>
        <v>2.5532102261524472E-3</v>
      </c>
      <c r="G618" s="379">
        <f t="shared" si="47"/>
        <v>1.8279202324278619E-3</v>
      </c>
      <c r="H618" s="379">
        <f t="shared" si="48"/>
        <v>2.5532102261524472E-3</v>
      </c>
    </row>
    <row r="619" spans="1:8">
      <c r="A619" s="375">
        <v>41479</v>
      </c>
      <c r="B619" s="379">
        <f t="shared" si="49"/>
        <v>616</v>
      </c>
      <c r="C619" s="28">
        <v>59.092413000000001</v>
      </c>
      <c r="D619" s="379">
        <f t="shared" si="45"/>
        <v>-8.0481242101691462E-3</v>
      </c>
      <c r="E619" s="39">
        <v>1685.9399410000001</v>
      </c>
      <c r="F619" s="379">
        <f t="shared" si="46"/>
        <v>-3.8185031784132798E-3</v>
      </c>
      <c r="G619" s="379">
        <f t="shared" si="47"/>
        <v>-8.0481242101691462E-3</v>
      </c>
      <c r="H619" s="379">
        <f t="shared" si="48"/>
        <v>-3.8185031784132798E-3</v>
      </c>
    </row>
    <row r="620" spans="1:8">
      <c r="A620" s="375">
        <v>41478</v>
      </c>
      <c r="B620" s="379">
        <f t="shared" si="49"/>
        <v>617</v>
      </c>
      <c r="C620" s="28">
        <v>59.569915000000002</v>
      </c>
      <c r="D620" s="379">
        <f t="shared" si="45"/>
        <v>4.3956189421426829E-3</v>
      </c>
      <c r="E620" s="39">
        <v>1692.3900149999999</v>
      </c>
      <c r="F620" s="379">
        <f t="shared" si="46"/>
        <v>-1.8536534855123367E-3</v>
      </c>
      <c r="G620" s="379">
        <f t="shared" si="47"/>
        <v>4.3956189421426829E-3</v>
      </c>
      <c r="H620" s="379">
        <f t="shared" si="48"/>
        <v>-1.8536534855123367E-3</v>
      </c>
    </row>
    <row r="621" spans="1:8">
      <c r="A621" s="375">
        <v>41477</v>
      </c>
      <c r="B621" s="379">
        <f t="shared" si="49"/>
        <v>618</v>
      </c>
      <c r="C621" s="28">
        <v>59.308643000000004</v>
      </c>
      <c r="D621" s="379">
        <f t="shared" si="45"/>
        <v>-2.5790437591145269E-3</v>
      </c>
      <c r="E621" s="39">
        <v>1695.530029</v>
      </c>
      <c r="F621" s="379">
        <f t="shared" si="46"/>
        <v>2.0309622611414751E-3</v>
      </c>
      <c r="G621" s="379">
        <f t="shared" si="47"/>
        <v>-2.5790437591145269E-3</v>
      </c>
      <c r="H621" s="379">
        <f t="shared" si="48"/>
        <v>2.0309622611414751E-3</v>
      </c>
    </row>
    <row r="622" spans="1:8">
      <c r="A622" s="375">
        <v>41474</v>
      </c>
      <c r="B622" s="379">
        <f t="shared" si="49"/>
        <v>619</v>
      </c>
      <c r="C622" s="28">
        <v>59.461799999999997</v>
      </c>
      <c r="D622" s="379">
        <f t="shared" si="45"/>
        <v>1.0662664022169486E-2</v>
      </c>
      <c r="E622" s="39">
        <v>1692.089966</v>
      </c>
      <c r="F622" s="379">
        <f t="shared" si="46"/>
        <v>1.6087557552058895E-3</v>
      </c>
      <c r="G622" s="379">
        <f t="shared" si="47"/>
        <v>1.0662664022169486E-2</v>
      </c>
      <c r="H622" s="379">
        <f t="shared" si="48"/>
        <v>1.6087557552058895E-3</v>
      </c>
    </row>
    <row r="623" spans="1:8">
      <c r="A623" s="375">
        <v>41473</v>
      </c>
      <c r="B623" s="379">
        <f t="shared" si="49"/>
        <v>620</v>
      </c>
      <c r="C623" s="28">
        <v>58.831147000000001</v>
      </c>
      <c r="D623" s="379">
        <f t="shared" si="45"/>
        <v>6.6068434447388927E-3</v>
      </c>
      <c r="E623" s="39">
        <v>1689.369995</v>
      </c>
      <c r="F623" s="379">
        <f t="shared" si="46"/>
        <v>5.0203417495381028E-3</v>
      </c>
      <c r="G623" s="379">
        <f t="shared" si="47"/>
        <v>6.6068434447388927E-3</v>
      </c>
      <c r="H623" s="379">
        <f t="shared" si="48"/>
        <v>5.0203417495381028E-3</v>
      </c>
    </row>
    <row r="624" spans="1:8">
      <c r="A624" s="375">
        <v>41472</v>
      </c>
      <c r="B624" s="379">
        <f t="shared" si="49"/>
        <v>621</v>
      </c>
      <c r="C624" s="28">
        <v>58.443739999999998</v>
      </c>
      <c r="D624" s="379">
        <f t="shared" si="45"/>
        <v>9.348009262677235E-3</v>
      </c>
      <c r="E624" s="39">
        <v>1680.910034</v>
      </c>
      <c r="F624" s="379">
        <f t="shared" si="46"/>
        <v>2.7702064016788992E-3</v>
      </c>
      <c r="G624" s="379">
        <f t="shared" si="47"/>
        <v>9.348009262677235E-3</v>
      </c>
      <c r="H624" s="379">
        <f t="shared" si="48"/>
        <v>2.7702064016788992E-3</v>
      </c>
    </row>
    <row r="625" spans="1:8">
      <c r="A625" s="375">
        <v>41471</v>
      </c>
      <c r="B625" s="379">
        <f t="shared" si="49"/>
        <v>622</v>
      </c>
      <c r="C625" s="28">
        <v>57.899952999999996</v>
      </c>
      <c r="D625" s="379">
        <f t="shared" si="45"/>
        <v>-4.7616199861937108E-3</v>
      </c>
      <c r="E625" s="39">
        <v>1676.26001</v>
      </c>
      <c r="F625" s="379">
        <f t="shared" si="46"/>
        <v>-3.7156552778868628E-3</v>
      </c>
      <c r="G625" s="379">
        <f t="shared" si="47"/>
        <v>-4.7616199861937108E-3</v>
      </c>
      <c r="H625" s="379">
        <f t="shared" si="48"/>
        <v>-3.7156552778868628E-3</v>
      </c>
    </row>
    <row r="626" spans="1:8">
      <c r="A626" s="375">
        <v>41470</v>
      </c>
      <c r="B626" s="379">
        <f t="shared" si="49"/>
        <v>623</v>
      </c>
      <c r="C626" s="28">
        <v>58.176307999999999</v>
      </c>
      <c r="D626" s="379">
        <f t="shared" si="45"/>
        <v>6.4566841138126423E-3</v>
      </c>
      <c r="E626" s="39">
        <v>1682.5</v>
      </c>
      <c r="F626" s="379">
        <f t="shared" si="46"/>
        <v>1.373935393344048E-3</v>
      </c>
      <c r="G626" s="379">
        <f t="shared" si="47"/>
        <v>6.4566841138126423E-3</v>
      </c>
      <c r="H626" s="379">
        <f t="shared" si="48"/>
        <v>1.373935393344048E-3</v>
      </c>
    </row>
    <row r="627" spans="1:8">
      <c r="A627" s="375">
        <v>41467</v>
      </c>
      <c r="B627" s="379">
        <f t="shared" si="49"/>
        <v>624</v>
      </c>
      <c r="C627" s="28">
        <v>57.801892000000002</v>
      </c>
      <c r="D627" s="379">
        <f t="shared" si="45"/>
        <v>8.0520162328698488E-3</v>
      </c>
      <c r="E627" s="39">
        <v>1680.1899410000001</v>
      </c>
      <c r="F627" s="379">
        <f t="shared" si="46"/>
        <v>3.0817296989934157E-3</v>
      </c>
      <c r="G627" s="379">
        <f t="shared" si="47"/>
        <v>8.0520162328698488E-3</v>
      </c>
      <c r="H627" s="379">
        <f t="shared" si="48"/>
        <v>3.0817296989934157E-3</v>
      </c>
    </row>
    <row r="628" spans="1:8">
      <c r="A628" s="375">
        <v>41466</v>
      </c>
      <c r="B628" s="379">
        <f t="shared" si="49"/>
        <v>625</v>
      </c>
      <c r="C628" s="28">
        <v>57.338338999999998</v>
      </c>
      <c r="D628" s="379">
        <f t="shared" si="45"/>
        <v>1.2358409409961241E-2</v>
      </c>
      <c r="E628" s="39">
        <v>1675.0200199999999</v>
      </c>
      <c r="F628" s="379">
        <f t="shared" si="46"/>
        <v>1.3463213116111398E-2</v>
      </c>
      <c r="G628" s="379">
        <f t="shared" si="47"/>
        <v>1.2358409409961241E-2</v>
      </c>
      <c r="H628" s="379">
        <f t="shared" si="48"/>
        <v>1.3463213116111398E-2</v>
      </c>
    </row>
    <row r="629" spans="1:8">
      <c r="A629" s="375">
        <v>41465</v>
      </c>
      <c r="B629" s="379">
        <f t="shared" si="49"/>
        <v>626</v>
      </c>
      <c r="C629" s="28">
        <v>56.634089000000003</v>
      </c>
      <c r="D629" s="379">
        <f t="shared" si="45"/>
        <v>4.7230062496045252E-4</v>
      </c>
      <c r="E629" s="39">
        <v>1652.619995</v>
      </c>
      <c r="F629" s="379">
        <f t="shared" si="46"/>
        <v>1.8157606866144437E-4</v>
      </c>
      <c r="G629" s="379">
        <f t="shared" si="47"/>
        <v>4.7230062496045252E-4</v>
      </c>
      <c r="H629" s="379">
        <f t="shared" si="48"/>
        <v>1.8157606866144437E-4</v>
      </c>
    </row>
    <row r="630" spans="1:8">
      <c r="A630" s="375">
        <v>41464</v>
      </c>
      <c r="B630" s="379">
        <f t="shared" si="49"/>
        <v>627</v>
      </c>
      <c r="C630" s="28">
        <v>56.607346999999997</v>
      </c>
      <c r="D630" s="379">
        <f t="shared" si="45"/>
        <v>7.2704430813941984E-3</v>
      </c>
      <c r="E630" s="39">
        <v>1652.3199460000001</v>
      </c>
      <c r="F630" s="379">
        <f t="shared" si="46"/>
        <v>7.2036617218204386E-3</v>
      </c>
      <c r="G630" s="379">
        <f t="shared" si="47"/>
        <v>7.2704430813941984E-3</v>
      </c>
      <c r="H630" s="379">
        <f t="shared" si="48"/>
        <v>7.2036617218204386E-3</v>
      </c>
    </row>
    <row r="631" spans="1:8">
      <c r="A631" s="375">
        <v>41463</v>
      </c>
      <c r="B631" s="379">
        <f t="shared" si="49"/>
        <v>628</v>
      </c>
      <c r="C631" s="28">
        <v>56.197279000000002</v>
      </c>
      <c r="D631" s="379">
        <f t="shared" si="45"/>
        <v>1.1647525507560421E-2</v>
      </c>
      <c r="E631" s="39">
        <v>1640.459961</v>
      </c>
      <c r="F631" s="379">
        <f t="shared" si="46"/>
        <v>5.2378050365023488E-3</v>
      </c>
      <c r="G631" s="379">
        <f t="shared" si="47"/>
        <v>1.1647525507560421E-2</v>
      </c>
      <c r="H631" s="379">
        <f t="shared" si="48"/>
        <v>5.2378050365023488E-3</v>
      </c>
    </row>
    <row r="632" spans="1:8">
      <c r="A632" s="375">
        <v>41460</v>
      </c>
      <c r="B632" s="379">
        <f t="shared" si="49"/>
        <v>629</v>
      </c>
      <c r="C632" s="28">
        <v>55.546517000000001</v>
      </c>
      <c r="D632" s="379">
        <f t="shared" si="45"/>
        <v>7.5715310251532122E-3</v>
      </c>
      <c r="E632" s="39">
        <v>1631.8900149999999</v>
      </c>
      <c r="F632" s="379">
        <f t="shared" si="46"/>
        <v>1.0150046029892097E-2</v>
      </c>
      <c r="G632" s="379">
        <f t="shared" si="47"/>
        <v>7.5715310251532122E-3</v>
      </c>
      <c r="H632" s="379">
        <f t="shared" si="48"/>
        <v>1.0150046029892097E-2</v>
      </c>
    </row>
    <row r="633" spans="1:8">
      <c r="A633" s="375">
        <v>41458</v>
      </c>
      <c r="B633" s="379">
        <f t="shared" si="49"/>
        <v>630</v>
      </c>
      <c r="C633" s="28">
        <v>55.127533</v>
      </c>
      <c r="D633" s="379">
        <f t="shared" si="45"/>
        <v>8.0885223924458214E-4</v>
      </c>
      <c r="E633" s="39">
        <v>1615.410034</v>
      </c>
      <c r="F633" s="379">
        <f t="shared" si="46"/>
        <v>8.2370781722355968E-4</v>
      </c>
      <c r="G633" s="379">
        <f t="shared" si="47"/>
        <v>8.0885223924458214E-4</v>
      </c>
      <c r="H633" s="379">
        <f t="shared" si="48"/>
        <v>8.2370781722355968E-4</v>
      </c>
    </row>
    <row r="634" spans="1:8">
      <c r="A634" s="375">
        <v>41457</v>
      </c>
      <c r="B634" s="379">
        <f t="shared" si="49"/>
        <v>631</v>
      </c>
      <c r="C634" s="28">
        <v>55.082960999999997</v>
      </c>
      <c r="D634" s="379">
        <f t="shared" si="45"/>
        <v>9.1043027819262788E-3</v>
      </c>
      <c r="E634" s="39">
        <v>1614.079956</v>
      </c>
      <c r="F634" s="379">
        <f t="shared" si="46"/>
        <v>-5.4505676263308595E-4</v>
      </c>
      <c r="G634" s="379">
        <f t="shared" si="47"/>
        <v>9.1043027819262788E-3</v>
      </c>
      <c r="H634" s="379">
        <f t="shared" si="48"/>
        <v>-5.4505676263308595E-4</v>
      </c>
    </row>
    <row r="635" spans="1:8">
      <c r="A635" s="375">
        <v>41456</v>
      </c>
      <c r="B635" s="379">
        <f t="shared" si="49"/>
        <v>632</v>
      </c>
      <c r="C635" s="28">
        <v>54.583745</v>
      </c>
      <c r="D635" s="379">
        <f t="shared" si="45"/>
        <v>1.1993889000501074E-2</v>
      </c>
      <c r="E635" s="39">
        <v>1614.959961</v>
      </c>
      <c r="F635" s="379">
        <f t="shared" si="46"/>
        <v>5.3891998329119659E-3</v>
      </c>
      <c r="G635" s="379">
        <f t="shared" si="47"/>
        <v>1.1993889000501074E-2</v>
      </c>
      <c r="H635" s="379">
        <f t="shared" si="48"/>
        <v>5.3891998329119659E-3</v>
      </c>
    </row>
    <row r="636" spans="1:8">
      <c r="A636" s="375">
        <v>41453</v>
      </c>
      <c r="B636" s="379">
        <f t="shared" si="49"/>
        <v>633</v>
      </c>
      <c r="C636" s="28">
        <v>53.932983999999998</v>
      </c>
      <c r="D636" s="379">
        <f t="shared" si="45"/>
        <v>2.648137162717838E-3</v>
      </c>
      <c r="E636" s="39">
        <v>1606.280029</v>
      </c>
      <c r="F636" s="379">
        <f t="shared" si="46"/>
        <v>-4.2987890587464486E-3</v>
      </c>
      <c r="G636" s="379">
        <f t="shared" si="47"/>
        <v>2.648137162717838E-3</v>
      </c>
      <c r="H636" s="379">
        <f t="shared" si="48"/>
        <v>-4.2987890587464486E-3</v>
      </c>
    </row>
    <row r="637" spans="1:8">
      <c r="A637" s="375">
        <v>41452</v>
      </c>
      <c r="B637" s="379">
        <f t="shared" si="49"/>
        <v>634</v>
      </c>
      <c r="C637" s="28">
        <v>53.790351000000001</v>
      </c>
      <c r="D637" s="379">
        <f t="shared" si="45"/>
        <v>1.6571259255329613E-4</v>
      </c>
      <c r="E637" s="39">
        <v>1613.1999510000001</v>
      </c>
      <c r="F637" s="379">
        <f t="shared" si="46"/>
        <v>6.180691047567341E-3</v>
      </c>
      <c r="G637" s="379">
        <f t="shared" si="47"/>
        <v>1.6571259255329613E-4</v>
      </c>
      <c r="H637" s="379">
        <f t="shared" si="48"/>
        <v>6.180691047567341E-3</v>
      </c>
    </row>
    <row r="638" spans="1:8">
      <c r="A638" s="375">
        <v>41451</v>
      </c>
      <c r="B638" s="379">
        <f t="shared" si="49"/>
        <v>635</v>
      </c>
      <c r="C638" s="28">
        <v>53.781438000000001</v>
      </c>
      <c r="D638" s="379">
        <f t="shared" si="45"/>
        <v>8.3222822257687477E-3</v>
      </c>
      <c r="E638" s="39">
        <v>1603.26001</v>
      </c>
      <c r="F638" s="379">
        <f t="shared" si="46"/>
        <v>9.5447899993218819E-3</v>
      </c>
      <c r="G638" s="379">
        <f t="shared" si="47"/>
        <v>8.3222822257687477E-3</v>
      </c>
      <c r="H638" s="379">
        <f t="shared" si="48"/>
        <v>9.5447899993218819E-3</v>
      </c>
    </row>
    <row r="639" spans="1:8">
      <c r="A639" s="375">
        <v>41450</v>
      </c>
      <c r="B639" s="379">
        <f t="shared" si="49"/>
        <v>636</v>
      </c>
      <c r="C639" s="28">
        <v>53.335711000000003</v>
      </c>
      <c r="D639" s="379">
        <f t="shared" si="45"/>
        <v>8.0551418039864903E-3</v>
      </c>
      <c r="E639" s="39">
        <v>1588.030029</v>
      </c>
      <c r="F639" s="379">
        <f t="shared" si="46"/>
        <v>9.4524562581309868E-3</v>
      </c>
      <c r="G639" s="379">
        <f t="shared" si="47"/>
        <v>8.0551418039864903E-3</v>
      </c>
      <c r="H639" s="379">
        <f t="shared" si="48"/>
        <v>9.4524562581309868E-3</v>
      </c>
    </row>
    <row r="640" spans="1:8">
      <c r="A640" s="375">
        <v>41449</v>
      </c>
      <c r="B640" s="379">
        <f t="shared" si="49"/>
        <v>637</v>
      </c>
      <c r="C640" s="28">
        <v>52.907809999999998</v>
      </c>
      <c r="D640" s="379">
        <f t="shared" si="45"/>
        <v>-1.6874553786312262E-2</v>
      </c>
      <c r="E640" s="39">
        <v>1573.089966</v>
      </c>
      <c r="F640" s="379">
        <f t="shared" si="46"/>
        <v>-1.2219369026923953E-2</v>
      </c>
      <c r="G640" s="379">
        <f t="shared" si="47"/>
        <v>-1.6874553786312262E-2</v>
      </c>
      <c r="H640" s="379">
        <f t="shared" si="48"/>
        <v>-1.2219369026923953E-2</v>
      </c>
    </row>
    <row r="641" spans="1:8">
      <c r="A641" s="375">
        <v>41446</v>
      </c>
      <c r="B641" s="379">
        <f t="shared" si="49"/>
        <v>638</v>
      </c>
      <c r="C641" s="28">
        <v>53.808180999999998</v>
      </c>
      <c r="D641" s="379">
        <f t="shared" si="45"/>
        <v>1.326290971703303E-3</v>
      </c>
      <c r="E641" s="39">
        <v>1592.4300539999999</v>
      </c>
      <c r="F641" s="379">
        <f t="shared" si="46"/>
        <v>2.666219490842604E-3</v>
      </c>
      <c r="G641" s="379">
        <f t="shared" si="47"/>
        <v>1.326290971703303E-3</v>
      </c>
      <c r="H641" s="379">
        <f t="shared" si="48"/>
        <v>2.666219490842604E-3</v>
      </c>
    </row>
    <row r="642" spans="1:8">
      <c r="A642" s="375">
        <v>41445</v>
      </c>
      <c r="B642" s="379">
        <f t="shared" si="49"/>
        <v>639</v>
      </c>
      <c r="C642" s="28">
        <v>53.736863</v>
      </c>
      <c r="D642" s="379">
        <f t="shared" si="45"/>
        <v>-2.3445625905577448E-2</v>
      </c>
      <c r="E642" s="39">
        <v>1588.1899410000001</v>
      </c>
      <c r="F642" s="379">
        <f t="shared" si="46"/>
        <v>-2.5328424825547896E-2</v>
      </c>
      <c r="G642" s="379">
        <f t="shared" si="47"/>
        <v>-2.3445625905577448E-2</v>
      </c>
      <c r="H642" s="379">
        <f t="shared" si="48"/>
        <v>-2.5328424825547896E-2</v>
      </c>
    </row>
    <row r="643" spans="1:8">
      <c r="A643" s="375">
        <v>41444</v>
      </c>
      <c r="B643" s="379">
        <f t="shared" si="49"/>
        <v>640</v>
      </c>
      <c r="C643" s="28">
        <v>55.011642999999999</v>
      </c>
      <c r="D643" s="379">
        <f t="shared" si="45"/>
        <v>-6.2999755568950346E-3</v>
      </c>
      <c r="E643" s="39">
        <v>1628.9300539999999</v>
      </c>
      <c r="F643" s="379">
        <f t="shared" si="46"/>
        <v>-1.3948301396968838E-2</v>
      </c>
      <c r="G643" s="379">
        <f t="shared" si="47"/>
        <v>-6.2999755568950346E-3</v>
      </c>
      <c r="H643" s="379">
        <f t="shared" si="48"/>
        <v>-1.3948301396968838E-2</v>
      </c>
    </row>
    <row r="644" spans="1:8">
      <c r="A644" s="375">
        <v>41443</v>
      </c>
      <c r="B644" s="379">
        <f t="shared" si="49"/>
        <v>641</v>
      </c>
      <c r="C644" s="28">
        <v>55.359309000000003</v>
      </c>
      <c r="D644" s="379">
        <f t="shared" ref="D644:D707" si="50">LN(C644/C645)</f>
        <v>2.5798020757567854E-3</v>
      </c>
      <c r="E644" s="39">
        <v>1651.8100589999999</v>
      </c>
      <c r="F644" s="379">
        <f t="shared" ref="F644:F707" si="51">LN(E644/E645)</f>
        <v>7.760963712857687E-3</v>
      </c>
      <c r="G644" s="379">
        <f t="shared" ref="G644:G707" si="52">IF(B644&lt;$D$1+1,D644,0)</f>
        <v>2.5798020757567854E-3</v>
      </c>
      <c r="H644" s="379">
        <f t="shared" ref="H644:H707" si="53">IF(B644&lt;$D$1+1,F644,0)</f>
        <v>7.760963712857687E-3</v>
      </c>
    </row>
    <row r="645" spans="1:8">
      <c r="A645" s="375">
        <v>41442</v>
      </c>
      <c r="B645" s="379">
        <f t="shared" si="49"/>
        <v>642</v>
      </c>
      <c r="C645" s="28">
        <v>55.216676999999997</v>
      </c>
      <c r="D645" s="379">
        <f t="shared" si="50"/>
        <v>1.4800621029935682E-2</v>
      </c>
      <c r="E645" s="39">
        <v>1639.040039</v>
      </c>
      <c r="F645" s="379">
        <f t="shared" si="51"/>
        <v>7.5388758127373761E-3</v>
      </c>
      <c r="G645" s="379">
        <f t="shared" si="52"/>
        <v>1.4800621029935682E-2</v>
      </c>
      <c r="H645" s="379">
        <f t="shared" si="53"/>
        <v>7.5388758127373761E-3</v>
      </c>
    </row>
    <row r="646" spans="1:8">
      <c r="A646" s="375">
        <v>41439</v>
      </c>
      <c r="B646" s="379">
        <f t="shared" ref="B646:B709" si="54">B645+1</f>
        <v>643</v>
      </c>
      <c r="C646" s="28">
        <v>54.405453999999999</v>
      </c>
      <c r="D646" s="379">
        <f t="shared" si="50"/>
        <v>-1.0107725879195832E-2</v>
      </c>
      <c r="E646" s="39">
        <v>1626.7299800000001</v>
      </c>
      <c r="F646" s="379">
        <f t="shared" si="51"/>
        <v>-5.902401135768549E-3</v>
      </c>
      <c r="G646" s="379">
        <f t="shared" si="52"/>
        <v>-1.0107725879195832E-2</v>
      </c>
      <c r="H646" s="379">
        <f t="shared" si="53"/>
        <v>-5.902401135768549E-3</v>
      </c>
    </row>
    <row r="647" spans="1:8">
      <c r="A647" s="375">
        <v>41438</v>
      </c>
      <c r="B647" s="379">
        <f t="shared" si="54"/>
        <v>644</v>
      </c>
      <c r="C647" s="28">
        <v>54.958157999999997</v>
      </c>
      <c r="D647" s="379">
        <f t="shared" si="50"/>
        <v>1.256853787199012E-2</v>
      </c>
      <c r="E647" s="39">
        <v>1636.3599850000001</v>
      </c>
      <c r="F647" s="379">
        <f t="shared" si="51"/>
        <v>1.4676068591821044E-2</v>
      </c>
      <c r="G647" s="379">
        <f t="shared" si="52"/>
        <v>1.256853787199012E-2</v>
      </c>
      <c r="H647" s="379">
        <f t="shared" si="53"/>
        <v>1.4676068591821044E-2</v>
      </c>
    </row>
    <row r="648" spans="1:8">
      <c r="A648" s="375">
        <v>41437</v>
      </c>
      <c r="B648" s="379">
        <f t="shared" si="54"/>
        <v>645</v>
      </c>
      <c r="C648" s="28">
        <v>54.271737000000002</v>
      </c>
      <c r="D648" s="379">
        <f t="shared" si="50"/>
        <v>-1.6776987385266732E-2</v>
      </c>
      <c r="E648" s="39">
        <v>1612.5200199999999</v>
      </c>
      <c r="F648" s="379">
        <f t="shared" si="51"/>
        <v>-8.404776689422239E-3</v>
      </c>
      <c r="G648" s="379">
        <f t="shared" si="52"/>
        <v>-1.6776987385266732E-2</v>
      </c>
      <c r="H648" s="379">
        <f t="shared" si="53"/>
        <v>-8.404776689422239E-3</v>
      </c>
    </row>
    <row r="649" spans="1:8">
      <c r="A649" s="375">
        <v>41436</v>
      </c>
      <c r="B649" s="379">
        <f t="shared" si="54"/>
        <v>646</v>
      </c>
      <c r="C649" s="28">
        <v>55.189934000000001</v>
      </c>
      <c r="D649" s="379">
        <f t="shared" si="50"/>
        <v>-4.6733049562683255E-3</v>
      </c>
      <c r="E649" s="39">
        <v>1626.130005</v>
      </c>
      <c r="F649" s="379">
        <f t="shared" si="51"/>
        <v>-1.0205264360045457E-2</v>
      </c>
      <c r="G649" s="379">
        <f t="shared" si="52"/>
        <v>-4.6733049562683255E-3</v>
      </c>
      <c r="H649" s="379">
        <f t="shared" si="53"/>
        <v>-1.0205264360045457E-2</v>
      </c>
    </row>
    <row r="650" spans="1:8">
      <c r="A650" s="375">
        <v>41435</v>
      </c>
      <c r="B650" s="379">
        <f t="shared" si="54"/>
        <v>647</v>
      </c>
      <c r="C650" s="28">
        <v>55.448456999999998</v>
      </c>
      <c r="D650" s="379">
        <f t="shared" si="50"/>
        <v>-1.9273745452721436E-3</v>
      </c>
      <c r="E650" s="39">
        <v>1642.8100589999999</v>
      </c>
      <c r="F650" s="379">
        <f t="shared" si="51"/>
        <v>-3.4687342765627843E-4</v>
      </c>
      <c r="G650" s="379">
        <f t="shared" si="52"/>
        <v>-1.9273745452721436E-3</v>
      </c>
      <c r="H650" s="379">
        <f t="shared" si="53"/>
        <v>-3.4687342765627843E-4</v>
      </c>
    </row>
    <row r="651" spans="1:8">
      <c r="A651" s="375">
        <v>41432</v>
      </c>
      <c r="B651" s="379">
        <f t="shared" si="54"/>
        <v>648</v>
      </c>
      <c r="C651" s="28">
        <v>55.555430000000001</v>
      </c>
      <c r="D651" s="379">
        <f t="shared" si="50"/>
        <v>6.6006795015405278E-3</v>
      </c>
      <c r="E651" s="39">
        <v>1643.380005</v>
      </c>
      <c r="F651" s="379">
        <f t="shared" si="51"/>
        <v>1.2749914347878475E-2</v>
      </c>
      <c r="G651" s="379">
        <f t="shared" si="52"/>
        <v>6.6006795015405278E-3</v>
      </c>
      <c r="H651" s="379">
        <f t="shared" si="53"/>
        <v>1.2749914347878475E-2</v>
      </c>
    </row>
    <row r="652" spans="1:8">
      <c r="A652" s="375">
        <v>41431</v>
      </c>
      <c r="B652" s="379">
        <f t="shared" si="54"/>
        <v>649</v>
      </c>
      <c r="C652" s="28">
        <v>55.189934000000001</v>
      </c>
      <c r="D652" s="379">
        <f t="shared" si="50"/>
        <v>4.6952291144366845E-3</v>
      </c>
      <c r="E652" s="39">
        <v>1622.5600589999999</v>
      </c>
      <c r="F652" s="379">
        <f t="shared" si="51"/>
        <v>8.4544546519640211E-3</v>
      </c>
      <c r="G652" s="379">
        <f t="shared" si="52"/>
        <v>4.6952291144366845E-3</v>
      </c>
      <c r="H652" s="379">
        <f t="shared" si="53"/>
        <v>8.4544546519640211E-3</v>
      </c>
    </row>
    <row r="653" spans="1:8">
      <c r="A653" s="375">
        <v>41430</v>
      </c>
      <c r="B653" s="379">
        <f t="shared" si="54"/>
        <v>650</v>
      </c>
      <c r="C653" s="28">
        <v>54.931412000000002</v>
      </c>
      <c r="D653" s="379">
        <f t="shared" si="50"/>
        <v>-9.7324961598152526E-4</v>
      </c>
      <c r="E653" s="39">
        <v>1608.900024</v>
      </c>
      <c r="F653" s="379">
        <f t="shared" si="51"/>
        <v>-1.3875554873113023E-2</v>
      </c>
      <c r="G653" s="379">
        <f t="shared" si="52"/>
        <v>-9.7324961598152526E-4</v>
      </c>
      <c r="H653" s="379">
        <f t="shared" si="53"/>
        <v>-1.3875554873113023E-2</v>
      </c>
    </row>
    <row r="654" spans="1:8">
      <c r="A654" s="375">
        <v>41429</v>
      </c>
      <c r="B654" s="379">
        <f t="shared" si="54"/>
        <v>651</v>
      </c>
      <c r="C654" s="28">
        <v>54.984900000000003</v>
      </c>
      <c r="D654" s="379">
        <f t="shared" si="50"/>
        <v>-6.6252115171746943E-3</v>
      </c>
      <c r="E654" s="39">
        <v>1631.380005</v>
      </c>
      <c r="F654" s="379">
        <f t="shared" si="51"/>
        <v>-5.5260479671095713E-3</v>
      </c>
      <c r="G654" s="379">
        <f t="shared" si="52"/>
        <v>-6.6252115171746943E-3</v>
      </c>
      <c r="H654" s="379">
        <f t="shared" si="53"/>
        <v>-5.5260479671095713E-3</v>
      </c>
    </row>
    <row r="655" spans="1:8">
      <c r="A655" s="375">
        <v>41428</v>
      </c>
      <c r="B655" s="379">
        <f t="shared" si="54"/>
        <v>652</v>
      </c>
      <c r="C655" s="28">
        <v>55.350396000000003</v>
      </c>
      <c r="D655" s="379">
        <f t="shared" si="50"/>
        <v>1.2152773760651762E-2</v>
      </c>
      <c r="E655" s="39">
        <v>1640.420044</v>
      </c>
      <c r="F655" s="379">
        <f t="shared" si="51"/>
        <v>5.9184400368024036E-3</v>
      </c>
      <c r="G655" s="379">
        <f t="shared" si="52"/>
        <v>1.2152773760651762E-2</v>
      </c>
      <c r="H655" s="379">
        <f t="shared" si="53"/>
        <v>5.9184400368024036E-3</v>
      </c>
    </row>
    <row r="656" spans="1:8">
      <c r="A656" s="375">
        <v>41425</v>
      </c>
      <c r="B656" s="379">
        <f t="shared" si="54"/>
        <v>653</v>
      </c>
      <c r="C656" s="28">
        <v>54.681806000000002</v>
      </c>
      <c r="D656" s="379">
        <f t="shared" si="50"/>
        <v>-1.5208151710327389E-2</v>
      </c>
      <c r="E656" s="39">
        <v>1630.73999</v>
      </c>
      <c r="F656" s="379">
        <f t="shared" si="51"/>
        <v>-1.4410576956968865E-2</v>
      </c>
      <c r="G656" s="379">
        <f t="shared" si="52"/>
        <v>-1.5208151710327389E-2</v>
      </c>
      <c r="H656" s="379">
        <f t="shared" si="53"/>
        <v>-1.4410576956968865E-2</v>
      </c>
    </row>
    <row r="657" spans="1:8">
      <c r="A657" s="375">
        <v>41424</v>
      </c>
      <c r="B657" s="379">
        <f t="shared" si="54"/>
        <v>654</v>
      </c>
      <c r="C657" s="28">
        <v>55.519770999999999</v>
      </c>
      <c r="D657" s="379">
        <f t="shared" si="50"/>
        <v>-7.9962200381728452E-3</v>
      </c>
      <c r="E657" s="39">
        <v>1654.410034</v>
      </c>
      <c r="F657" s="379">
        <f t="shared" si="51"/>
        <v>3.6636252189823312E-3</v>
      </c>
      <c r="G657" s="379">
        <f t="shared" si="52"/>
        <v>-7.9962200381728452E-3</v>
      </c>
      <c r="H657" s="379">
        <f t="shared" si="53"/>
        <v>3.6636252189823312E-3</v>
      </c>
    </row>
    <row r="658" spans="1:8">
      <c r="A658" s="375">
        <v>41423</v>
      </c>
      <c r="B658" s="379">
        <f t="shared" si="54"/>
        <v>655</v>
      </c>
      <c r="C658" s="28">
        <v>55.965499000000001</v>
      </c>
      <c r="D658" s="379">
        <f t="shared" si="50"/>
        <v>-9.5527525245857326E-4</v>
      </c>
      <c r="E658" s="39">
        <v>1648.3599850000001</v>
      </c>
      <c r="F658" s="379">
        <f t="shared" si="51"/>
        <v>-7.0729367011660594E-3</v>
      </c>
      <c r="G658" s="379">
        <f t="shared" si="52"/>
        <v>-9.5527525245857326E-4</v>
      </c>
      <c r="H658" s="379">
        <f t="shared" si="53"/>
        <v>-7.0729367011660594E-3</v>
      </c>
    </row>
    <row r="659" spans="1:8">
      <c r="A659" s="375">
        <v>41422</v>
      </c>
      <c r="B659" s="379">
        <f t="shared" si="54"/>
        <v>656</v>
      </c>
      <c r="C659" s="28">
        <v>56.018987000000003</v>
      </c>
      <c r="D659" s="379">
        <f t="shared" si="50"/>
        <v>4.94539285097565E-3</v>
      </c>
      <c r="E659" s="39">
        <v>1660.0600589999999</v>
      </c>
      <c r="F659" s="379">
        <f t="shared" si="51"/>
        <v>6.3209621028721763E-3</v>
      </c>
      <c r="G659" s="379">
        <f t="shared" si="52"/>
        <v>4.94539285097565E-3</v>
      </c>
      <c r="H659" s="379">
        <f t="shared" si="53"/>
        <v>6.3209621028721763E-3</v>
      </c>
    </row>
    <row r="660" spans="1:8">
      <c r="A660" s="375">
        <v>41418</v>
      </c>
      <c r="B660" s="379">
        <f t="shared" si="54"/>
        <v>657</v>
      </c>
      <c r="C660" s="28">
        <v>55.742635</v>
      </c>
      <c r="D660" s="379">
        <f t="shared" si="50"/>
        <v>-4.1494173460379169E-3</v>
      </c>
      <c r="E660" s="39">
        <v>1649.599976</v>
      </c>
      <c r="F660" s="379">
        <f t="shared" si="51"/>
        <v>-5.515173899826066E-4</v>
      </c>
      <c r="G660" s="379">
        <f t="shared" si="52"/>
        <v>-4.1494173460379169E-3</v>
      </c>
      <c r="H660" s="379">
        <f t="shared" si="53"/>
        <v>-5.515173899826066E-4</v>
      </c>
    </row>
    <row r="661" spans="1:8">
      <c r="A661" s="375">
        <v>41417</v>
      </c>
      <c r="B661" s="379">
        <f t="shared" si="54"/>
        <v>658</v>
      </c>
      <c r="C661" s="28">
        <v>55.974415</v>
      </c>
      <c r="D661" s="379">
        <f t="shared" si="50"/>
        <v>7.9660958668914463E-4</v>
      </c>
      <c r="E661" s="39">
        <v>1650.51001</v>
      </c>
      <c r="F661" s="379">
        <f t="shared" si="51"/>
        <v>-2.9281152127404509E-3</v>
      </c>
      <c r="G661" s="379">
        <f t="shared" si="52"/>
        <v>7.9660958668914463E-4</v>
      </c>
      <c r="H661" s="379">
        <f t="shared" si="53"/>
        <v>-2.9281152127404509E-3</v>
      </c>
    </row>
    <row r="662" spans="1:8">
      <c r="A662" s="375">
        <v>41416</v>
      </c>
      <c r="B662" s="379">
        <f t="shared" si="54"/>
        <v>659</v>
      </c>
      <c r="C662" s="28">
        <v>55.929842999999998</v>
      </c>
      <c r="D662" s="379">
        <f t="shared" si="50"/>
        <v>-1.4400097282558859E-2</v>
      </c>
      <c r="E662" s="39">
        <v>1655.349976</v>
      </c>
      <c r="F662" s="379">
        <f t="shared" si="51"/>
        <v>-8.3080739079911762E-3</v>
      </c>
      <c r="G662" s="379">
        <f t="shared" si="52"/>
        <v>-1.4400097282558859E-2</v>
      </c>
      <c r="H662" s="379">
        <f t="shared" si="53"/>
        <v>-8.3080739079911762E-3</v>
      </c>
    </row>
    <row r="663" spans="1:8">
      <c r="A663" s="375">
        <v>41415</v>
      </c>
      <c r="B663" s="379">
        <f t="shared" si="54"/>
        <v>660</v>
      </c>
      <c r="C663" s="28">
        <v>56.741064999999999</v>
      </c>
      <c r="D663" s="379">
        <f t="shared" si="50"/>
        <v>4.3634071889289321E-3</v>
      </c>
      <c r="E663" s="39">
        <v>1669.160034</v>
      </c>
      <c r="F663" s="379">
        <f t="shared" si="51"/>
        <v>1.7209046128593664E-3</v>
      </c>
      <c r="G663" s="379">
        <f t="shared" si="52"/>
        <v>4.3634071889289321E-3</v>
      </c>
      <c r="H663" s="379">
        <f t="shared" si="53"/>
        <v>1.7209046128593664E-3</v>
      </c>
    </row>
    <row r="664" spans="1:8">
      <c r="A664" s="375">
        <v>41414</v>
      </c>
      <c r="B664" s="379">
        <f t="shared" si="54"/>
        <v>661</v>
      </c>
      <c r="C664" s="28">
        <v>56.494019999999999</v>
      </c>
      <c r="D664" s="379">
        <f t="shared" si="50"/>
        <v>1.1308376218405887E-2</v>
      </c>
      <c r="E664" s="39">
        <v>1666.290039</v>
      </c>
      <c r="F664" s="379">
        <f t="shared" si="51"/>
        <v>-7.078686202549049E-4</v>
      </c>
      <c r="G664" s="379">
        <f t="shared" si="52"/>
        <v>1.1308376218405887E-2</v>
      </c>
      <c r="H664" s="379">
        <f t="shared" si="53"/>
        <v>-7.078686202549049E-4</v>
      </c>
    </row>
    <row r="665" spans="1:8">
      <c r="A665" s="375">
        <v>41411</v>
      </c>
      <c r="B665" s="379">
        <f t="shared" si="54"/>
        <v>662</v>
      </c>
      <c r="C665" s="28">
        <v>55.858763000000003</v>
      </c>
      <c r="D665" s="379">
        <f t="shared" si="50"/>
        <v>1.3997386088803545E-2</v>
      </c>
      <c r="E665" s="39">
        <v>1667.469971</v>
      </c>
      <c r="F665" s="379">
        <f t="shared" si="51"/>
        <v>1.0247411984728727E-2</v>
      </c>
      <c r="G665" s="379">
        <f t="shared" si="52"/>
        <v>1.3997386088803545E-2</v>
      </c>
      <c r="H665" s="379">
        <f t="shared" si="53"/>
        <v>1.0247411984728727E-2</v>
      </c>
    </row>
    <row r="666" spans="1:8">
      <c r="A666" s="375">
        <v>41410</v>
      </c>
      <c r="B666" s="379">
        <f t="shared" si="54"/>
        <v>663</v>
      </c>
      <c r="C666" s="28">
        <v>55.082332999999998</v>
      </c>
      <c r="D666" s="379">
        <f t="shared" si="50"/>
        <v>1.6022754560753223E-4</v>
      </c>
      <c r="E666" s="39">
        <v>1650.469971</v>
      </c>
      <c r="F666" s="379">
        <f t="shared" si="51"/>
        <v>-5.022331626565857E-3</v>
      </c>
      <c r="G666" s="379">
        <f t="shared" si="52"/>
        <v>1.6022754560753223E-4</v>
      </c>
      <c r="H666" s="379">
        <f t="shared" si="53"/>
        <v>-5.022331626565857E-3</v>
      </c>
    </row>
    <row r="667" spans="1:8">
      <c r="A667" s="375">
        <v>41409</v>
      </c>
      <c r="B667" s="379">
        <f t="shared" si="54"/>
        <v>664</v>
      </c>
      <c r="C667" s="28">
        <v>55.073507999999997</v>
      </c>
      <c r="D667" s="379">
        <f t="shared" si="50"/>
        <v>-1.0200962089395364E-2</v>
      </c>
      <c r="E667" s="39">
        <v>1658.780029</v>
      </c>
      <c r="F667" s="379">
        <f t="shared" si="51"/>
        <v>5.1011032023599856E-3</v>
      </c>
      <c r="G667" s="379">
        <f t="shared" si="52"/>
        <v>-1.0200962089395364E-2</v>
      </c>
      <c r="H667" s="379">
        <f t="shared" si="53"/>
        <v>5.1011032023599856E-3</v>
      </c>
    </row>
    <row r="668" spans="1:8">
      <c r="A668" s="375">
        <v>41408</v>
      </c>
      <c r="B668" s="379">
        <f t="shared" si="54"/>
        <v>665</v>
      </c>
      <c r="C668" s="28">
        <v>55.638185999999997</v>
      </c>
      <c r="D668" s="379">
        <f t="shared" si="50"/>
        <v>1.6952290100546368E-2</v>
      </c>
      <c r="E668" s="39">
        <v>1650.339966</v>
      </c>
      <c r="F668" s="379">
        <f t="shared" si="51"/>
        <v>1.0091066791116456E-2</v>
      </c>
      <c r="G668" s="379">
        <f t="shared" si="52"/>
        <v>1.6952290100546368E-2</v>
      </c>
      <c r="H668" s="379">
        <f t="shared" si="53"/>
        <v>1.0091066791116456E-2</v>
      </c>
    </row>
    <row r="669" spans="1:8">
      <c r="A669" s="375">
        <v>41407</v>
      </c>
      <c r="B669" s="379">
        <f t="shared" si="54"/>
        <v>666</v>
      </c>
      <c r="C669" s="28">
        <v>54.702941000000003</v>
      </c>
      <c r="D669" s="379">
        <f t="shared" si="50"/>
        <v>-3.7028087095929132E-3</v>
      </c>
      <c r="E669" s="39">
        <v>1633.7700199999999</v>
      </c>
      <c r="F669" s="379">
        <f t="shared" si="51"/>
        <v>4.2888840988592561E-5</v>
      </c>
      <c r="G669" s="379">
        <f t="shared" si="52"/>
        <v>-3.7028087095929132E-3</v>
      </c>
      <c r="H669" s="379">
        <f t="shared" si="53"/>
        <v>4.2888840988592561E-5</v>
      </c>
    </row>
    <row r="670" spans="1:8">
      <c r="A670" s="375">
        <v>41404</v>
      </c>
      <c r="B670" s="379">
        <f t="shared" si="54"/>
        <v>667</v>
      </c>
      <c r="C670" s="28">
        <v>54.905870999999998</v>
      </c>
      <c r="D670" s="379">
        <f t="shared" si="50"/>
        <v>-5.6085772671893158E-3</v>
      </c>
      <c r="E670" s="39">
        <v>1633.6999510000001</v>
      </c>
      <c r="F670" s="379">
        <f t="shared" si="51"/>
        <v>4.3123436327596621E-3</v>
      </c>
      <c r="G670" s="379">
        <f t="shared" si="52"/>
        <v>-5.6085772671893158E-3</v>
      </c>
      <c r="H670" s="379">
        <f t="shared" si="53"/>
        <v>4.3123436327596621E-3</v>
      </c>
    </row>
    <row r="671" spans="1:8">
      <c r="A671" s="375">
        <v>41403</v>
      </c>
      <c r="B671" s="379">
        <f t="shared" si="54"/>
        <v>668</v>
      </c>
      <c r="C671" s="28">
        <v>55.214680000000001</v>
      </c>
      <c r="D671" s="379">
        <f t="shared" si="50"/>
        <v>-1.597635864517432E-4</v>
      </c>
      <c r="E671" s="39">
        <v>1626.670044</v>
      </c>
      <c r="F671" s="379">
        <f t="shared" si="51"/>
        <v>-3.6939177463315705E-3</v>
      </c>
      <c r="G671" s="379">
        <f t="shared" si="52"/>
        <v>-1.597635864517432E-4</v>
      </c>
      <c r="H671" s="379">
        <f t="shared" si="53"/>
        <v>-3.6939177463315705E-3</v>
      </c>
    </row>
    <row r="672" spans="1:8">
      <c r="A672" s="375">
        <v>41402</v>
      </c>
      <c r="B672" s="379">
        <f t="shared" si="54"/>
        <v>669</v>
      </c>
      <c r="C672" s="28">
        <v>55.223502000000003</v>
      </c>
      <c r="D672" s="379">
        <f t="shared" si="50"/>
        <v>-3.9862856328474524E-3</v>
      </c>
      <c r="E672" s="39">
        <v>1632.6899410000001</v>
      </c>
      <c r="F672" s="379">
        <f t="shared" si="51"/>
        <v>4.1305385794354298E-3</v>
      </c>
      <c r="G672" s="379">
        <f t="shared" si="52"/>
        <v>-3.9862856328474524E-3</v>
      </c>
      <c r="H672" s="379">
        <f t="shared" si="53"/>
        <v>4.1305385794354298E-3</v>
      </c>
    </row>
    <row r="673" spans="1:8">
      <c r="A673" s="375">
        <v>41401</v>
      </c>
      <c r="B673" s="379">
        <f t="shared" si="54"/>
        <v>670</v>
      </c>
      <c r="C673" s="28">
        <v>55.444077999999998</v>
      </c>
      <c r="D673" s="379">
        <f t="shared" si="50"/>
        <v>9.9153143811089011E-3</v>
      </c>
      <c r="E673" s="39">
        <v>1625.959961</v>
      </c>
      <c r="F673" s="379">
        <f t="shared" si="51"/>
        <v>5.2166391982765761E-3</v>
      </c>
      <c r="G673" s="379">
        <f t="shared" si="52"/>
        <v>9.9153143811089011E-3</v>
      </c>
      <c r="H673" s="379">
        <f t="shared" si="53"/>
        <v>5.2166391982765761E-3</v>
      </c>
    </row>
    <row r="674" spans="1:8">
      <c r="A674" s="375">
        <v>41400</v>
      </c>
      <c r="B674" s="379">
        <f t="shared" si="54"/>
        <v>671</v>
      </c>
      <c r="C674" s="28">
        <v>54.897049000000003</v>
      </c>
      <c r="D674" s="379">
        <f t="shared" si="50"/>
        <v>4.833305133099949E-3</v>
      </c>
      <c r="E674" s="39">
        <v>1617.5</v>
      </c>
      <c r="F674" s="379">
        <f t="shared" si="51"/>
        <v>1.9059610946097118E-3</v>
      </c>
      <c r="G674" s="379">
        <f t="shared" si="52"/>
        <v>4.833305133099949E-3</v>
      </c>
      <c r="H674" s="379">
        <f t="shared" si="53"/>
        <v>1.9059610946097118E-3</v>
      </c>
    </row>
    <row r="675" spans="1:8">
      <c r="A675" s="375">
        <v>41397</v>
      </c>
      <c r="B675" s="379">
        <f t="shared" si="54"/>
        <v>672</v>
      </c>
      <c r="C675" s="28">
        <v>54.632354999999997</v>
      </c>
      <c r="D675" s="379">
        <f t="shared" si="50"/>
        <v>1.5625294554452784E-2</v>
      </c>
      <c r="E675" s="39">
        <v>1614.420044</v>
      </c>
      <c r="F675" s="379">
        <f t="shared" si="51"/>
        <v>1.0479563869570564E-2</v>
      </c>
      <c r="G675" s="379">
        <f t="shared" si="52"/>
        <v>1.5625294554452784E-2</v>
      </c>
      <c r="H675" s="379">
        <f t="shared" si="53"/>
        <v>1.0479563869570564E-2</v>
      </c>
    </row>
    <row r="676" spans="1:8">
      <c r="A676" s="375">
        <v>41396</v>
      </c>
      <c r="B676" s="379">
        <f t="shared" si="54"/>
        <v>673</v>
      </c>
      <c r="C676" s="28">
        <v>53.785342999999997</v>
      </c>
      <c r="D676" s="379">
        <f t="shared" si="50"/>
        <v>1.5706711096618527E-2</v>
      </c>
      <c r="E676" s="39">
        <v>1597.589966</v>
      </c>
      <c r="F676" s="379">
        <f t="shared" si="51"/>
        <v>9.3640040313908279E-3</v>
      </c>
      <c r="G676" s="379">
        <f t="shared" si="52"/>
        <v>1.5706711096618527E-2</v>
      </c>
      <c r="H676" s="379">
        <f t="shared" si="53"/>
        <v>9.3640040313908279E-3</v>
      </c>
    </row>
    <row r="677" spans="1:8">
      <c r="A677" s="375">
        <v>41395</v>
      </c>
      <c r="B677" s="379">
        <f t="shared" si="54"/>
        <v>674</v>
      </c>
      <c r="C677" s="28">
        <v>52.947152000000003</v>
      </c>
      <c r="D677" s="379">
        <f t="shared" si="50"/>
        <v>-7.3053918282832992E-3</v>
      </c>
      <c r="E677" s="39">
        <v>1582.6999510000001</v>
      </c>
      <c r="F677" s="379">
        <f t="shared" si="51"/>
        <v>-9.3514725772215965E-3</v>
      </c>
      <c r="G677" s="379">
        <f t="shared" si="52"/>
        <v>-7.3053918282832992E-3</v>
      </c>
      <c r="H677" s="379">
        <f t="shared" si="53"/>
        <v>-9.3514725772215965E-3</v>
      </c>
    </row>
    <row r="678" spans="1:8">
      <c r="A678" s="375">
        <v>41394</v>
      </c>
      <c r="B678" s="379">
        <f t="shared" si="54"/>
        <v>675</v>
      </c>
      <c r="C678" s="28">
        <v>53.335368000000003</v>
      </c>
      <c r="D678" s="379">
        <f t="shared" si="50"/>
        <v>9.1400524545405468E-3</v>
      </c>
      <c r="E678" s="39">
        <v>1597.5699460000001</v>
      </c>
      <c r="F678" s="379">
        <f t="shared" si="51"/>
        <v>2.4818174582509093E-3</v>
      </c>
      <c r="G678" s="379">
        <f t="shared" si="52"/>
        <v>9.1400524545405468E-3</v>
      </c>
      <c r="H678" s="379">
        <f t="shared" si="53"/>
        <v>2.4818174582509093E-3</v>
      </c>
    </row>
    <row r="679" spans="1:8">
      <c r="A679" s="375">
        <v>41393</v>
      </c>
      <c r="B679" s="379">
        <f t="shared" si="54"/>
        <v>676</v>
      </c>
      <c r="C679" s="28">
        <v>52.850101000000002</v>
      </c>
      <c r="D679" s="379">
        <f t="shared" si="50"/>
        <v>1.6665679012236818E-2</v>
      </c>
      <c r="E679" s="39">
        <v>1593.6099850000001</v>
      </c>
      <c r="F679" s="379">
        <f t="shared" si="51"/>
        <v>7.1603152969284267E-3</v>
      </c>
      <c r="G679" s="379">
        <f t="shared" si="52"/>
        <v>1.6665679012236818E-2</v>
      </c>
      <c r="H679" s="379">
        <f t="shared" si="53"/>
        <v>7.1603152969284267E-3</v>
      </c>
    </row>
    <row r="680" spans="1:8">
      <c r="A680" s="375">
        <v>41390</v>
      </c>
      <c r="B680" s="379">
        <f t="shared" si="54"/>
        <v>677</v>
      </c>
      <c r="C680" s="28">
        <v>51.976616999999997</v>
      </c>
      <c r="D680" s="379">
        <f t="shared" si="50"/>
        <v>9.2088163187195784E-3</v>
      </c>
      <c r="E680" s="39">
        <v>1582.23999</v>
      </c>
      <c r="F680" s="379">
        <f t="shared" si="51"/>
        <v>-1.8438118362902767E-3</v>
      </c>
      <c r="G680" s="379">
        <f t="shared" si="52"/>
        <v>9.2088163187195784E-3</v>
      </c>
      <c r="H680" s="379">
        <f t="shared" si="53"/>
        <v>-1.8438118362902767E-3</v>
      </c>
    </row>
    <row r="681" spans="1:8">
      <c r="A681" s="375">
        <v>41389</v>
      </c>
      <c r="B681" s="379">
        <f t="shared" si="54"/>
        <v>678</v>
      </c>
      <c r="C681" s="28">
        <v>51.500171000000002</v>
      </c>
      <c r="D681" s="379">
        <f t="shared" si="50"/>
        <v>1.8863154067150091E-3</v>
      </c>
      <c r="E681" s="39">
        <v>1585.160034</v>
      </c>
      <c r="F681" s="379">
        <f t="shared" si="51"/>
        <v>4.026614491222491E-3</v>
      </c>
      <c r="G681" s="379">
        <f t="shared" si="52"/>
        <v>1.8863154067150091E-3</v>
      </c>
      <c r="H681" s="379">
        <f t="shared" si="53"/>
        <v>4.026614491222491E-3</v>
      </c>
    </row>
    <row r="682" spans="1:8">
      <c r="A682" s="375">
        <v>41388</v>
      </c>
      <c r="B682" s="379">
        <f t="shared" si="54"/>
        <v>679</v>
      </c>
      <c r="C682" s="28">
        <v>51.403117000000002</v>
      </c>
      <c r="D682" s="379">
        <f t="shared" si="50"/>
        <v>8.2730441702662857E-3</v>
      </c>
      <c r="E682" s="39">
        <v>1578.790039</v>
      </c>
      <c r="F682" s="379">
        <f t="shared" si="51"/>
        <v>6.3403185262587251E-6</v>
      </c>
      <c r="G682" s="379">
        <f t="shared" si="52"/>
        <v>8.2730441702662857E-3</v>
      </c>
      <c r="H682" s="379">
        <f t="shared" si="53"/>
        <v>6.3403185262587251E-6</v>
      </c>
    </row>
    <row r="683" spans="1:8">
      <c r="A683" s="375">
        <v>41387</v>
      </c>
      <c r="B683" s="379">
        <f t="shared" si="54"/>
        <v>680</v>
      </c>
      <c r="C683" s="28">
        <v>50.979610999999998</v>
      </c>
      <c r="D683" s="379">
        <f t="shared" si="50"/>
        <v>6.7726201595225619E-3</v>
      </c>
      <c r="E683" s="39">
        <v>1578.780029</v>
      </c>
      <c r="F683" s="379">
        <f t="shared" si="51"/>
        <v>1.0365312617511991E-2</v>
      </c>
      <c r="G683" s="379">
        <f t="shared" si="52"/>
        <v>6.7726201595225619E-3</v>
      </c>
      <c r="H683" s="379">
        <f t="shared" si="53"/>
        <v>1.0365312617511991E-2</v>
      </c>
    </row>
    <row r="684" spans="1:8">
      <c r="A684" s="375">
        <v>41386</v>
      </c>
      <c r="B684" s="379">
        <f t="shared" si="54"/>
        <v>681</v>
      </c>
      <c r="C684" s="28">
        <v>50.635511999999999</v>
      </c>
      <c r="D684" s="379">
        <f t="shared" si="50"/>
        <v>-1.7409958379366755E-3</v>
      </c>
      <c r="E684" s="39">
        <v>1562.5</v>
      </c>
      <c r="F684" s="379">
        <f t="shared" si="51"/>
        <v>4.6507982154273889E-3</v>
      </c>
      <c r="G684" s="379">
        <f t="shared" si="52"/>
        <v>-1.7409958379366755E-3</v>
      </c>
      <c r="H684" s="379">
        <f t="shared" si="53"/>
        <v>4.6507982154273889E-3</v>
      </c>
    </row>
    <row r="685" spans="1:8">
      <c r="A685" s="375">
        <v>41383</v>
      </c>
      <c r="B685" s="379">
        <f t="shared" si="54"/>
        <v>682</v>
      </c>
      <c r="C685" s="28">
        <v>50.723745000000001</v>
      </c>
      <c r="D685" s="379">
        <f t="shared" si="50"/>
        <v>2.9614574011478452E-3</v>
      </c>
      <c r="E685" s="39">
        <v>1555.25</v>
      </c>
      <c r="F685" s="379">
        <f t="shared" si="51"/>
        <v>8.808989279103601E-3</v>
      </c>
      <c r="G685" s="379">
        <f t="shared" si="52"/>
        <v>2.9614574011478452E-3</v>
      </c>
      <c r="H685" s="379">
        <f t="shared" si="53"/>
        <v>8.808989279103601E-3</v>
      </c>
    </row>
    <row r="686" spans="1:8">
      <c r="A686" s="375">
        <v>41382</v>
      </c>
      <c r="B686" s="379">
        <f t="shared" si="54"/>
        <v>683</v>
      </c>
      <c r="C686" s="28">
        <v>50.573751000000001</v>
      </c>
      <c r="D686" s="379">
        <f t="shared" si="50"/>
        <v>8.9372004262337334E-3</v>
      </c>
      <c r="E686" s="39">
        <v>1541.6099850000001</v>
      </c>
      <c r="F686" s="379">
        <f t="shared" si="51"/>
        <v>-6.7235563486069934E-3</v>
      </c>
      <c r="G686" s="379">
        <f t="shared" si="52"/>
        <v>8.9372004262337334E-3</v>
      </c>
      <c r="H686" s="379">
        <f t="shared" si="53"/>
        <v>-6.7235563486069934E-3</v>
      </c>
    </row>
    <row r="687" spans="1:8">
      <c r="A687" s="375">
        <v>41381</v>
      </c>
      <c r="B687" s="379">
        <f t="shared" si="54"/>
        <v>684</v>
      </c>
      <c r="C687" s="28">
        <v>50.123776999999997</v>
      </c>
      <c r="D687" s="379">
        <f t="shared" si="50"/>
        <v>-1.1028509193987153E-2</v>
      </c>
      <c r="E687" s="39">
        <v>1552.01001</v>
      </c>
      <c r="F687" s="379">
        <f t="shared" si="51"/>
        <v>-1.4431313351388831E-2</v>
      </c>
      <c r="G687" s="379">
        <f t="shared" si="52"/>
        <v>-1.1028509193987153E-2</v>
      </c>
      <c r="H687" s="379">
        <f t="shared" si="53"/>
        <v>-1.4431313351388831E-2</v>
      </c>
    </row>
    <row r="688" spans="1:8">
      <c r="A688" s="375">
        <v>41380</v>
      </c>
      <c r="B688" s="379">
        <f t="shared" si="54"/>
        <v>685</v>
      </c>
      <c r="C688" s="28">
        <v>50.679627000000004</v>
      </c>
      <c r="D688" s="379">
        <f t="shared" si="50"/>
        <v>3.4879285335963242E-3</v>
      </c>
      <c r="E688" s="39">
        <v>1574.5699460000001</v>
      </c>
      <c r="F688" s="379">
        <f t="shared" si="51"/>
        <v>1.4205840870952304E-2</v>
      </c>
      <c r="G688" s="379">
        <f t="shared" si="52"/>
        <v>3.4879285335963242E-3</v>
      </c>
      <c r="H688" s="379">
        <f t="shared" si="53"/>
        <v>1.4205840870952304E-2</v>
      </c>
    </row>
    <row r="689" spans="1:8">
      <c r="A689" s="375">
        <v>41379</v>
      </c>
      <c r="B689" s="379">
        <f t="shared" si="54"/>
        <v>686</v>
      </c>
      <c r="C689" s="28">
        <v>50.503168000000002</v>
      </c>
      <c r="D689" s="379">
        <f t="shared" si="50"/>
        <v>-3.6367630734659658E-2</v>
      </c>
      <c r="E689" s="39">
        <v>1552.3599850000001</v>
      </c>
      <c r="F689" s="379">
        <f t="shared" si="51"/>
        <v>-2.3234125037439071E-2</v>
      </c>
      <c r="G689" s="379">
        <f t="shared" si="52"/>
        <v>-3.6367630734659658E-2</v>
      </c>
      <c r="H689" s="379">
        <f t="shared" si="53"/>
        <v>-2.3234125037439071E-2</v>
      </c>
    </row>
    <row r="690" spans="1:8">
      <c r="A690" s="375">
        <v>41376</v>
      </c>
      <c r="B690" s="379">
        <f t="shared" si="54"/>
        <v>687</v>
      </c>
      <c r="C690" s="28">
        <v>52.373654999999999</v>
      </c>
      <c r="D690" s="379">
        <f t="shared" si="50"/>
        <v>-1.3387073114563183E-2</v>
      </c>
      <c r="E690" s="39">
        <v>1588.849976</v>
      </c>
      <c r="F690" s="379">
        <f t="shared" si="51"/>
        <v>-2.8407979843970994E-3</v>
      </c>
      <c r="G690" s="379">
        <f t="shared" si="52"/>
        <v>-1.3387073114563183E-2</v>
      </c>
      <c r="H690" s="379">
        <f t="shared" si="53"/>
        <v>-2.8407979843970994E-3</v>
      </c>
    </row>
    <row r="691" spans="1:8">
      <c r="A691" s="375">
        <v>41375</v>
      </c>
      <c r="B691" s="379">
        <f t="shared" si="54"/>
        <v>688</v>
      </c>
      <c r="C691" s="28">
        <v>53.079498999999998</v>
      </c>
      <c r="D691" s="379">
        <f t="shared" si="50"/>
        <v>-1.4949022256220571E-3</v>
      </c>
      <c r="E691" s="39">
        <v>1593.369995</v>
      </c>
      <c r="F691" s="379">
        <f t="shared" si="51"/>
        <v>3.5459564012624576E-3</v>
      </c>
      <c r="G691" s="379">
        <f t="shared" si="52"/>
        <v>-1.4949022256220571E-3</v>
      </c>
      <c r="H691" s="379">
        <f t="shared" si="53"/>
        <v>3.5459564012624576E-3</v>
      </c>
    </row>
    <row r="692" spans="1:8">
      <c r="A692" s="375">
        <v>41374</v>
      </c>
      <c r="B692" s="379">
        <f t="shared" si="54"/>
        <v>689</v>
      </c>
      <c r="C692" s="28">
        <v>53.158906999999999</v>
      </c>
      <c r="D692" s="379">
        <f t="shared" si="50"/>
        <v>7.8314422501182673E-3</v>
      </c>
      <c r="E692" s="39">
        <v>1587.7299800000001</v>
      </c>
      <c r="F692" s="379">
        <f t="shared" si="51"/>
        <v>1.2115443258439667E-2</v>
      </c>
      <c r="G692" s="379">
        <f t="shared" si="52"/>
        <v>7.8314422501182673E-3</v>
      </c>
      <c r="H692" s="379">
        <f t="shared" si="53"/>
        <v>1.2115443258439667E-2</v>
      </c>
    </row>
    <row r="693" spans="1:8">
      <c r="A693" s="375">
        <v>41373</v>
      </c>
      <c r="B693" s="379">
        <f t="shared" si="54"/>
        <v>690</v>
      </c>
      <c r="C693" s="28">
        <v>52.744222000000001</v>
      </c>
      <c r="D693" s="379">
        <f t="shared" si="50"/>
        <v>7.8931817253633987E-3</v>
      </c>
      <c r="E693" s="39">
        <v>1568.6099850000001</v>
      </c>
      <c r="F693" s="379">
        <f t="shared" si="51"/>
        <v>3.5380657673862808E-3</v>
      </c>
      <c r="G693" s="379">
        <f t="shared" si="52"/>
        <v>7.8931817253633987E-3</v>
      </c>
      <c r="H693" s="379">
        <f t="shared" si="53"/>
        <v>3.5380657673862808E-3</v>
      </c>
    </row>
    <row r="694" spans="1:8">
      <c r="A694" s="375">
        <v>41372</v>
      </c>
      <c r="B694" s="379">
        <f t="shared" si="54"/>
        <v>691</v>
      </c>
      <c r="C694" s="28">
        <v>52.329540999999999</v>
      </c>
      <c r="D694" s="379">
        <f t="shared" si="50"/>
        <v>1.3067658946891594E-2</v>
      </c>
      <c r="E694" s="39">
        <v>1563.0699460000001</v>
      </c>
      <c r="F694" s="379">
        <f t="shared" si="51"/>
        <v>6.2829587714662467E-3</v>
      </c>
      <c r="G694" s="379">
        <f t="shared" si="52"/>
        <v>1.3067658946891594E-2</v>
      </c>
      <c r="H694" s="379">
        <f t="shared" si="53"/>
        <v>6.2829587714662467E-3</v>
      </c>
    </row>
    <row r="695" spans="1:8">
      <c r="A695" s="375">
        <v>41369</v>
      </c>
      <c r="B695" s="379">
        <f t="shared" si="54"/>
        <v>692</v>
      </c>
      <c r="C695" s="28">
        <v>51.650165000000001</v>
      </c>
      <c r="D695" s="379">
        <f t="shared" si="50"/>
        <v>-5.7911955441267123E-3</v>
      </c>
      <c r="E695" s="39">
        <v>1553.280029</v>
      </c>
      <c r="F695" s="379">
        <f t="shared" si="51"/>
        <v>-4.3041450595508414E-3</v>
      </c>
      <c r="G695" s="379">
        <f t="shared" si="52"/>
        <v>-5.7911955441267123E-3</v>
      </c>
      <c r="H695" s="379">
        <f t="shared" si="53"/>
        <v>-4.3041450595508414E-3</v>
      </c>
    </row>
    <row r="696" spans="1:8">
      <c r="A696" s="375">
        <v>41368</v>
      </c>
      <c r="B696" s="379">
        <f t="shared" si="54"/>
        <v>693</v>
      </c>
      <c r="C696" s="28">
        <v>51.950149000000003</v>
      </c>
      <c r="D696" s="379">
        <f t="shared" si="50"/>
        <v>-6.7704643540014656E-3</v>
      </c>
      <c r="E696" s="39">
        <v>1559.9799800000001</v>
      </c>
      <c r="F696" s="379">
        <f t="shared" si="51"/>
        <v>4.040278973726808E-3</v>
      </c>
      <c r="G696" s="379">
        <f t="shared" si="52"/>
        <v>-6.7704643540014656E-3</v>
      </c>
      <c r="H696" s="379">
        <f t="shared" si="53"/>
        <v>4.040278973726808E-3</v>
      </c>
    </row>
    <row r="697" spans="1:8">
      <c r="A697" s="375">
        <v>41367</v>
      </c>
      <c r="B697" s="379">
        <f t="shared" si="54"/>
        <v>694</v>
      </c>
      <c r="C697" s="28">
        <v>52.303069000000001</v>
      </c>
      <c r="D697" s="379">
        <f t="shared" si="50"/>
        <v>-1.2739060385849234E-2</v>
      </c>
      <c r="E697" s="39">
        <v>1553.6899410000001</v>
      </c>
      <c r="F697" s="379">
        <f t="shared" si="51"/>
        <v>-1.060213348031541E-2</v>
      </c>
      <c r="G697" s="379">
        <f t="shared" si="52"/>
        <v>-1.2739060385849234E-2</v>
      </c>
      <c r="H697" s="379">
        <f t="shared" si="53"/>
        <v>-1.060213348031541E-2</v>
      </c>
    </row>
    <row r="698" spans="1:8">
      <c r="A698" s="375">
        <v>41366</v>
      </c>
      <c r="B698" s="379">
        <f t="shared" si="54"/>
        <v>695</v>
      </c>
      <c r="C698" s="28">
        <v>52.973623000000003</v>
      </c>
      <c r="D698" s="379">
        <f t="shared" si="50"/>
        <v>-7.3016983881167919E-3</v>
      </c>
      <c r="E698" s="39">
        <v>1570.25</v>
      </c>
      <c r="F698" s="379">
        <f t="shared" si="51"/>
        <v>5.1589338638459801E-3</v>
      </c>
      <c r="G698" s="379">
        <f t="shared" si="52"/>
        <v>-7.3016983881167919E-3</v>
      </c>
      <c r="H698" s="379">
        <f t="shared" si="53"/>
        <v>5.1589338638459801E-3</v>
      </c>
    </row>
    <row r="699" spans="1:8">
      <c r="A699" s="375">
        <v>41365</v>
      </c>
      <c r="B699" s="379">
        <f t="shared" si="54"/>
        <v>696</v>
      </c>
      <c r="C699" s="28">
        <v>53.361835999999997</v>
      </c>
      <c r="D699" s="379">
        <f t="shared" si="50"/>
        <v>6.3029075671601261E-3</v>
      </c>
      <c r="E699" s="39">
        <v>1562.170044</v>
      </c>
      <c r="F699" s="379">
        <f t="shared" si="51"/>
        <v>-4.4836165714571777E-3</v>
      </c>
      <c r="G699" s="379">
        <f t="shared" si="52"/>
        <v>6.3029075671601261E-3</v>
      </c>
      <c r="H699" s="379">
        <f t="shared" si="53"/>
        <v>-4.4836165714571777E-3</v>
      </c>
    </row>
    <row r="700" spans="1:8">
      <c r="A700" s="375">
        <v>41361</v>
      </c>
      <c r="B700" s="379">
        <f t="shared" si="54"/>
        <v>697</v>
      </c>
      <c r="C700" s="28">
        <v>53.026558999999999</v>
      </c>
      <c r="D700" s="379">
        <f t="shared" si="50"/>
        <v>-4.6481290497949459E-3</v>
      </c>
      <c r="E700" s="39">
        <v>1569.1899410000001</v>
      </c>
      <c r="F700" s="379">
        <f t="shared" si="51"/>
        <v>4.04846287235908E-3</v>
      </c>
      <c r="G700" s="379">
        <f t="shared" si="52"/>
        <v>-4.6481290497949459E-3</v>
      </c>
      <c r="H700" s="379">
        <f t="shared" si="53"/>
        <v>4.04846287235908E-3</v>
      </c>
    </row>
    <row r="701" spans="1:8">
      <c r="A701" s="375">
        <v>41360</v>
      </c>
      <c r="B701" s="379">
        <f t="shared" si="54"/>
        <v>698</v>
      </c>
      <c r="C701" s="28">
        <v>53.273606999999998</v>
      </c>
      <c r="D701" s="379">
        <f t="shared" si="50"/>
        <v>-9.9316941582687545E-4</v>
      </c>
      <c r="E701" s="39">
        <v>1562.849976</v>
      </c>
      <c r="F701" s="379">
        <f t="shared" si="51"/>
        <v>-5.8852308738024711E-4</v>
      </c>
      <c r="G701" s="379">
        <f t="shared" si="52"/>
        <v>-9.9316941582687545E-4</v>
      </c>
      <c r="H701" s="379">
        <f t="shared" si="53"/>
        <v>-5.8852308738024711E-4</v>
      </c>
    </row>
    <row r="702" spans="1:8">
      <c r="A702" s="375">
        <v>41359</v>
      </c>
      <c r="B702" s="379">
        <f t="shared" si="54"/>
        <v>699</v>
      </c>
      <c r="C702" s="28">
        <v>53.326543000000001</v>
      </c>
      <c r="D702" s="379">
        <f t="shared" si="50"/>
        <v>3.8126622175156197E-3</v>
      </c>
      <c r="E702" s="39">
        <v>1563.7700199999999</v>
      </c>
      <c r="F702" s="379">
        <f t="shared" si="51"/>
        <v>7.7549637562026423E-3</v>
      </c>
      <c r="G702" s="379">
        <f t="shared" si="52"/>
        <v>3.8126622175156197E-3</v>
      </c>
      <c r="H702" s="379">
        <f t="shared" si="53"/>
        <v>7.7549637562026423E-3</v>
      </c>
    </row>
    <row r="703" spans="1:8">
      <c r="A703" s="375">
        <v>41358</v>
      </c>
      <c r="B703" s="379">
        <f t="shared" si="54"/>
        <v>700</v>
      </c>
      <c r="C703" s="28">
        <v>53.123614000000003</v>
      </c>
      <c r="D703" s="379">
        <f t="shared" si="50"/>
        <v>-1.155891619672148E-2</v>
      </c>
      <c r="E703" s="39">
        <v>1551.6899410000001</v>
      </c>
      <c r="F703" s="379">
        <f t="shared" si="51"/>
        <v>-3.345629788569204E-3</v>
      </c>
      <c r="G703" s="379">
        <f t="shared" si="52"/>
        <v>-1.155891619672148E-2</v>
      </c>
      <c r="H703" s="379">
        <f t="shared" si="53"/>
        <v>-3.345629788569204E-3</v>
      </c>
    </row>
    <row r="704" spans="1:8">
      <c r="A704" s="375">
        <v>41355</v>
      </c>
      <c r="B704" s="379">
        <f t="shared" si="54"/>
        <v>701</v>
      </c>
      <c r="C704" s="28">
        <v>53.741228</v>
      </c>
      <c r="D704" s="379">
        <f t="shared" si="50"/>
        <v>-4.9238704193067383E-4</v>
      </c>
      <c r="E704" s="39">
        <v>1556.8900149999999</v>
      </c>
      <c r="F704" s="379">
        <f t="shared" si="51"/>
        <v>7.1486439179223246E-3</v>
      </c>
      <c r="G704" s="379">
        <f t="shared" si="52"/>
        <v>-4.9238704193067383E-4</v>
      </c>
      <c r="H704" s="379">
        <f t="shared" si="53"/>
        <v>7.1486439179223246E-3</v>
      </c>
    </row>
    <row r="705" spans="1:8">
      <c r="A705" s="375">
        <v>41354</v>
      </c>
      <c r="B705" s="379">
        <f t="shared" si="54"/>
        <v>702</v>
      </c>
      <c r="C705" s="28">
        <v>53.767696000000001</v>
      </c>
      <c r="D705" s="379">
        <f t="shared" si="50"/>
        <v>8.2386410211365523E-3</v>
      </c>
      <c r="E705" s="39">
        <v>1545.8000489999999</v>
      </c>
      <c r="F705" s="379">
        <f t="shared" si="51"/>
        <v>-8.3169236849140009E-3</v>
      </c>
      <c r="G705" s="379">
        <f t="shared" si="52"/>
        <v>8.2386410211365523E-3</v>
      </c>
      <c r="H705" s="379">
        <f t="shared" si="53"/>
        <v>-8.3169236849140009E-3</v>
      </c>
    </row>
    <row r="706" spans="1:8">
      <c r="A706" s="375">
        <v>41353</v>
      </c>
      <c r="B706" s="379">
        <f t="shared" si="54"/>
        <v>703</v>
      </c>
      <c r="C706" s="28">
        <v>53.326543000000001</v>
      </c>
      <c r="D706" s="379">
        <f t="shared" si="50"/>
        <v>1.8873150623664355E-2</v>
      </c>
      <c r="E706" s="39">
        <v>1558.709961</v>
      </c>
      <c r="F706" s="379">
        <f t="shared" si="51"/>
        <v>6.6751637398633681E-3</v>
      </c>
      <c r="G706" s="379">
        <f t="shared" si="52"/>
        <v>1.8873150623664355E-2</v>
      </c>
      <c r="H706" s="379">
        <f t="shared" si="53"/>
        <v>6.6751637398633681E-3</v>
      </c>
    </row>
    <row r="707" spans="1:8">
      <c r="A707" s="375">
        <v>41352</v>
      </c>
      <c r="B707" s="379">
        <f t="shared" si="54"/>
        <v>704</v>
      </c>
      <c r="C707" s="28">
        <v>52.329540999999999</v>
      </c>
      <c r="D707" s="379">
        <f t="shared" si="50"/>
        <v>2.7013376328161734E-3</v>
      </c>
      <c r="E707" s="39">
        <v>1548.339966</v>
      </c>
      <c r="F707" s="379">
        <f t="shared" si="51"/>
        <v>-2.4254698776000881E-3</v>
      </c>
      <c r="G707" s="379">
        <f t="shared" si="52"/>
        <v>2.7013376328161734E-3</v>
      </c>
      <c r="H707" s="379">
        <f t="shared" si="53"/>
        <v>-2.4254698776000881E-3</v>
      </c>
    </row>
    <row r="708" spans="1:8">
      <c r="A708" s="375">
        <v>41351</v>
      </c>
      <c r="B708" s="379">
        <f t="shared" si="54"/>
        <v>705</v>
      </c>
      <c r="C708" s="28">
        <v>52.188372000000001</v>
      </c>
      <c r="D708" s="379">
        <f t="shared" ref="D708:D771" si="55">LN(C708/C709)</f>
        <v>1.3534389939841181E-3</v>
      </c>
      <c r="E708" s="39">
        <v>1552.099976</v>
      </c>
      <c r="F708" s="379">
        <f t="shared" ref="F708:F771" si="56">LN(E708/E709)</f>
        <v>-5.5255699581215744E-3</v>
      </c>
      <c r="G708" s="379">
        <f t="shared" ref="G708:G771" si="57">IF(B708&lt;$D$1+1,D708,0)</f>
        <v>1.3534389939841181E-3</v>
      </c>
      <c r="H708" s="379">
        <f t="shared" ref="H708:H771" si="58">IF(B708&lt;$D$1+1,F708,0)</f>
        <v>-5.5255699581215744E-3</v>
      </c>
    </row>
    <row r="709" spans="1:8">
      <c r="A709" s="375">
        <v>41348</v>
      </c>
      <c r="B709" s="379">
        <f t="shared" si="54"/>
        <v>706</v>
      </c>
      <c r="C709" s="28">
        <v>52.117786000000002</v>
      </c>
      <c r="D709" s="379">
        <f t="shared" si="55"/>
        <v>-7.5892191861872222E-3</v>
      </c>
      <c r="E709" s="39">
        <v>1560.6999510000001</v>
      </c>
      <c r="F709" s="379">
        <f t="shared" si="56"/>
        <v>-1.6197735602557614E-3</v>
      </c>
      <c r="G709" s="379">
        <f t="shared" si="57"/>
        <v>-7.5892191861872222E-3</v>
      </c>
      <c r="H709" s="379">
        <f t="shared" si="58"/>
        <v>-1.6197735602557614E-3</v>
      </c>
    </row>
    <row r="710" spans="1:8">
      <c r="A710" s="375">
        <v>41347</v>
      </c>
      <c r="B710" s="379">
        <f t="shared" ref="B710:B773" si="59">B709+1</f>
        <v>707</v>
      </c>
      <c r="C710" s="28">
        <v>52.514823999999997</v>
      </c>
      <c r="D710" s="379">
        <f t="shared" si="55"/>
        <v>1.2510766594843547E-2</v>
      </c>
      <c r="E710" s="39">
        <v>1563.2299800000001</v>
      </c>
      <c r="F710" s="379">
        <f t="shared" si="56"/>
        <v>5.5873515575722895E-3</v>
      </c>
      <c r="G710" s="379">
        <f t="shared" si="57"/>
        <v>1.2510766594843547E-2</v>
      </c>
      <c r="H710" s="379">
        <f t="shared" si="58"/>
        <v>5.5873515575722895E-3</v>
      </c>
    </row>
    <row r="711" spans="1:8">
      <c r="A711" s="375">
        <v>41346</v>
      </c>
      <c r="B711" s="379">
        <f t="shared" si="59"/>
        <v>708</v>
      </c>
      <c r="C711" s="28">
        <v>51.861916000000001</v>
      </c>
      <c r="D711" s="379">
        <f t="shared" si="55"/>
        <v>8.5096687207577594E-4</v>
      </c>
      <c r="E711" s="39">
        <v>1554.5200199999999</v>
      </c>
      <c r="F711" s="379">
        <f t="shared" si="56"/>
        <v>1.3131897606470596E-3</v>
      </c>
      <c r="G711" s="379">
        <f t="shared" si="57"/>
        <v>8.5096687207577594E-4</v>
      </c>
      <c r="H711" s="379">
        <f t="shared" si="58"/>
        <v>1.3131897606470596E-3</v>
      </c>
    </row>
    <row r="712" spans="1:8">
      <c r="A712" s="375">
        <v>41345</v>
      </c>
      <c r="B712" s="379">
        <f t="shared" si="59"/>
        <v>709</v>
      </c>
      <c r="C712" s="28">
        <v>51.817802</v>
      </c>
      <c r="D712" s="379">
        <f t="shared" si="55"/>
        <v>4.9501099021504328E-3</v>
      </c>
      <c r="E712" s="39">
        <v>1552.4799800000001</v>
      </c>
      <c r="F712" s="379">
        <f t="shared" si="56"/>
        <v>-2.4061458895049035E-3</v>
      </c>
      <c r="G712" s="379">
        <f t="shared" si="57"/>
        <v>4.9501099021504328E-3</v>
      </c>
      <c r="H712" s="379">
        <f t="shared" si="58"/>
        <v>-2.4061458895049035E-3</v>
      </c>
    </row>
    <row r="713" spans="1:8">
      <c r="A713" s="375">
        <v>41344</v>
      </c>
      <c r="B713" s="379">
        <f t="shared" si="59"/>
        <v>710</v>
      </c>
      <c r="C713" s="28">
        <v>51.561931999999999</v>
      </c>
      <c r="D713" s="379">
        <f t="shared" si="55"/>
        <v>8.5591986191574702E-4</v>
      </c>
      <c r="E713" s="39">
        <v>1556.219971</v>
      </c>
      <c r="F713" s="379">
        <f t="shared" si="56"/>
        <v>3.2438188702904572E-3</v>
      </c>
      <c r="G713" s="379">
        <f t="shared" si="57"/>
        <v>8.5591986191574702E-4</v>
      </c>
      <c r="H713" s="379">
        <f t="shared" si="58"/>
        <v>3.2438188702904572E-3</v>
      </c>
    </row>
    <row r="714" spans="1:8">
      <c r="A714" s="375">
        <v>41341</v>
      </c>
      <c r="B714" s="379">
        <f t="shared" si="59"/>
        <v>711</v>
      </c>
      <c r="C714" s="28">
        <v>51.517817999999998</v>
      </c>
      <c r="D714" s="379">
        <f t="shared" si="55"/>
        <v>9.1183248497034575E-3</v>
      </c>
      <c r="E714" s="39">
        <v>1551.1800539999999</v>
      </c>
      <c r="F714" s="379">
        <f t="shared" si="56"/>
        <v>4.4711287475333464E-3</v>
      </c>
      <c r="G714" s="379">
        <f t="shared" si="57"/>
        <v>9.1183248497034575E-3</v>
      </c>
      <c r="H714" s="379">
        <f t="shared" si="58"/>
        <v>4.4711287475333464E-3</v>
      </c>
    </row>
    <row r="715" spans="1:8">
      <c r="A715" s="375">
        <v>41340</v>
      </c>
      <c r="B715" s="379">
        <f t="shared" si="59"/>
        <v>712</v>
      </c>
      <c r="C715" s="28">
        <v>51.050196999999997</v>
      </c>
      <c r="D715" s="379">
        <f t="shared" si="55"/>
        <v>-2.4166959152367483E-3</v>
      </c>
      <c r="E715" s="39">
        <v>1544.26001</v>
      </c>
      <c r="F715" s="379">
        <f t="shared" si="56"/>
        <v>1.8148437284321399E-3</v>
      </c>
      <c r="G715" s="379">
        <f t="shared" si="57"/>
        <v>-2.4166959152367483E-3</v>
      </c>
      <c r="H715" s="379">
        <f t="shared" si="58"/>
        <v>1.8148437284321399E-3</v>
      </c>
    </row>
    <row r="716" spans="1:8">
      <c r="A716" s="375">
        <v>41339</v>
      </c>
      <c r="B716" s="379">
        <f t="shared" si="59"/>
        <v>713</v>
      </c>
      <c r="C716" s="28">
        <v>51.173718999999998</v>
      </c>
      <c r="D716" s="379">
        <f t="shared" si="55"/>
        <v>5.8793208915092201E-3</v>
      </c>
      <c r="E716" s="39">
        <v>1541.459961</v>
      </c>
      <c r="F716" s="379">
        <f t="shared" si="56"/>
        <v>1.0839251365506049E-3</v>
      </c>
      <c r="G716" s="379">
        <f t="shared" si="57"/>
        <v>5.8793208915092201E-3</v>
      </c>
      <c r="H716" s="379">
        <f t="shared" si="58"/>
        <v>1.0839251365506049E-3</v>
      </c>
    </row>
    <row r="717" spans="1:8">
      <c r="A717" s="375">
        <v>41338</v>
      </c>
      <c r="B717" s="379">
        <f t="shared" si="59"/>
        <v>714</v>
      </c>
      <c r="C717" s="28">
        <v>50.873735000000003</v>
      </c>
      <c r="D717" s="379">
        <f t="shared" si="55"/>
        <v>6.9397789836785127E-4</v>
      </c>
      <c r="E717" s="39">
        <v>1539.790039</v>
      </c>
      <c r="F717" s="379">
        <f t="shared" si="56"/>
        <v>9.5205519446000392E-3</v>
      </c>
      <c r="G717" s="379">
        <f t="shared" si="57"/>
        <v>6.9397789836785127E-4</v>
      </c>
      <c r="H717" s="379">
        <f t="shared" si="58"/>
        <v>9.5205519446000392E-3</v>
      </c>
    </row>
    <row r="718" spans="1:8">
      <c r="A718" s="375">
        <v>41337</v>
      </c>
      <c r="B718" s="379">
        <f t="shared" si="59"/>
        <v>715</v>
      </c>
      <c r="C718" s="28">
        <v>50.838442000000001</v>
      </c>
      <c r="D718" s="379">
        <f t="shared" si="55"/>
        <v>-1.1389259068867667E-2</v>
      </c>
      <c r="E718" s="39">
        <v>1525.1999510000001</v>
      </c>
      <c r="F718" s="379">
        <f t="shared" si="56"/>
        <v>4.6001265488692612E-3</v>
      </c>
      <c r="G718" s="379">
        <f t="shared" si="57"/>
        <v>-1.1389259068867667E-2</v>
      </c>
      <c r="H718" s="379">
        <f t="shared" si="58"/>
        <v>4.6001265488692612E-3</v>
      </c>
    </row>
    <row r="719" spans="1:8">
      <c r="A719" s="375">
        <v>41334</v>
      </c>
      <c r="B719" s="379">
        <f t="shared" si="59"/>
        <v>716</v>
      </c>
      <c r="C719" s="28">
        <v>51.420763999999998</v>
      </c>
      <c r="D719" s="379">
        <f t="shared" si="55"/>
        <v>5.6783761030197747E-3</v>
      </c>
      <c r="E719" s="39">
        <v>1518.1999510000001</v>
      </c>
      <c r="F719" s="379">
        <f t="shared" si="56"/>
        <v>2.3211591454764036E-3</v>
      </c>
      <c r="G719" s="379">
        <f t="shared" si="57"/>
        <v>5.6783761030197747E-3</v>
      </c>
      <c r="H719" s="379">
        <f t="shared" si="58"/>
        <v>2.3211591454764036E-3</v>
      </c>
    </row>
    <row r="720" spans="1:8">
      <c r="A720" s="375">
        <v>41333</v>
      </c>
      <c r="B720" s="379">
        <f t="shared" si="59"/>
        <v>717</v>
      </c>
      <c r="C720" s="28">
        <v>51.129604999999998</v>
      </c>
      <c r="D720" s="379">
        <f t="shared" si="55"/>
        <v>-1.5518485252910537E-3</v>
      </c>
      <c r="E720" s="39">
        <v>1514.6800539999999</v>
      </c>
      <c r="F720" s="379">
        <f t="shared" si="56"/>
        <v>-8.6445311601472609E-4</v>
      </c>
      <c r="G720" s="379">
        <f t="shared" si="57"/>
        <v>-1.5518485252910537E-3</v>
      </c>
      <c r="H720" s="379">
        <f t="shared" si="58"/>
        <v>-8.6445311601472609E-4</v>
      </c>
    </row>
    <row r="721" spans="1:8">
      <c r="A721" s="375">
        <v>41332</v>
      </c>
      <c r="B721" s="379">
        <f t="shared" si="59"/>
        <v>718</v>
      </c>
      <c r="C721" s="28">
        <v>51.209012000000001</v>
      </c>
      <c r="D721" s="379">
        <f t="shared" si="55"/>
        <v>5.0090864860753643E-3</v>
      </c>
      <c r="E721" s="39">
        <v>1515.98999</v>
      </c>
      <c r="F721" s="379">
        <f t="shared" si="56"/>
        <v>1.2645699235804539E-2</v>
      </c>
      <c r="G721" s="379">
        <f t="shared" si="57"/>
        <v>5.0090864860753643E-3</v>
      </c>
      <c r="H721" s="379">
        <f t="shared" si="58"/>
        <v>1.2645699235804539E-2</v>
      </c>
    </row>
    <row r="722" spans="1:8">
      <c r="A722" s="375">
        <v>41331</v>
      </c>
      <c r="B722" s="379">
        <f t="shared" si="59"/>
        <v>719</v>
      </c>
      <c r="C722" s="28">
        <v>50.953142999999997</v>
      </c>
      <c r="D722" s="379">
        <f t="shared" si="55"/>
        <v>1.5003775907181247E-2</v>
      </c>
      <c r="E722" s="39">
        <v>1496.9399410000001</v>
      </c>
      <c r="F722" s="379">
        <f t="shared" si="56"/>
        <v>6.0908763128847063E-3</v>
      </c>
      <c r="G722" s="379">
        <f t="shared" si="57"/>
        <v>1.5003775907181247E-2</v>
      </c>
      <c r="H722" s="379">
        <f t="shared" si="58"/>
        <v>6.0908763128847063E-3</v>
      </c>
    </row>
    <row r="723" spans="1:8">
      <c r="A723" s="375">
        <v>41330</v>
      </c>
      <c r="B723" s="379">
        <f t="shared" si="59"/>
        <v>720</v>
      </c>
      <c r="C723" s="28">
        <v>50.194360000000003</v>
      </c>
      <c r="D723" s="379">
        <f t="shared" si="55"/>
        <v>-2.2765791409682889E-2</v>
      </c>
      <c r="E723" s="39">
        <v>1487.849976</v>
      </c>
      <c r="F723" s="379">
        <f t="shared" si="56"/>
        <v>-1.8479275579678871E-2</v>
      </c>
      <c r="G723" s="379">
        <f t="shared" si="57"/>
        <v>-2.2765791409682889E-2</v>
      </c>
      <c r="H723" s="379">
        <f t="shared" si="58"/>
        <v>-1.8479275579678871E-2</v>
      </c>
    </row>
    <row r="724" spans="1:8">
      <c r="A724" s="375">
        <v>41327</v>
      </c>
      <c r="B724" s="379">
        <f t="shared" si="59"/>
        <v>721</v>
      </c>
      <c r="C724" s="28">
        <v>51.350180999999999</v>
      </c>
      <c r="D724" s="379">
        <f t="shared" si="55"/>
        <v>1.5475984728990542E-3</v>
      </c>
      <c r="E724" s="39">
        <v>1515.599976</v>
      </c>
      <c r="F724" s="379">
        <f t="shared" si="56"/>
        <v>8.7342136235753452E-3</v>
      </c>
      <c r="G724" s="379">
        <f t="shared" si="57"/>
        <v>1.5475984728990542E-3</v>
      </c>
      <c r="H724" s="379">
        <f t="shared" si="58"/>
        <v>8.7342136235753452E-3</v>
      </c>
    </row>
    <row r="725" spans="1:8">
      <c r="A725" s="375">
        <v>41326</v>
      </c>
      <c r="B725" s="379">
        <f t="shared" si="59"/>
        <v>722</v>
      </c>
      <c r="C725" s="28">
        <v>51.270772999999998</v>
      </c>
      <c r="D725" s="379">
        <f t="shared" si="55"/>
        <v>7.6006894528110065E-3</v>
      </c>
      <c r="E725" s="39">
        <v>1502.420044</v>
      </c>
      <c r="F725" s="379">
        <f t="shared" si="56"/>
        <v>-6.3230053155881221E-3</v>
      </c>
      <c r="G725" s="379">
        <f t="shared" si="57"/>
        <v>7.6006894528110065E-3</v>
      </c>
      <c r="H725" s="379">
        <f t="shared" si="58"/>
        <v>-6.3230053155881221E-3</v>
      </c>
    </row>
    <row r="726" spans="1:8">
      <c r="A726" s="375">
        <v>41325</v>
      </c>
      <c r="B726" s="379">
        <f t="shared" si="59"/>
        <v>723</v>
      </c>
      <c r="C726" s="28">
        <v>50.882556999999998</v>
      </c>
      <c r="D726" s="379">
        <f t="shared" si="55"/>
        <v>-1.5997587101010031E-2</v>
      </c>
      <c r="E726" s="39">
        <v>1511.9499510000001</v>
      </c>
      <c r="F726" s="379">
        <f t="shared" si="56"/>
        <v>-1.2481711278323742E-2</v>
      </c>
      <c r="G726" s="379">
        <f t="shared" si="57"/>
        <v>-1.5997587101010031E-2</v>
      </c>
      <c r="H726" s="379">
        <f t="shared" si="58"/>
        <v>-1.2481711278323742E-2</v>
      </c>
    </row>
    <row r="727" spans="1:8">
      <c r="A727" s="375">
        <v>41324</v>
      </c>
      <c r="B727" s="379">
        <f t="shared" si="59"/>
        <v>724</v>
      </c>
      <c r="C727" s="28">
        <v>51.703100999999997</v>
      </c>
      <c r="D727" s="379">
        <f t="shared" si="55"/>
        <v>2.7332580202798808E-2</v>
      </c>
      <c r="E727" s="39">
        <v>1530.9399410000001</v>
      </c>
      <c r="F727" s="379">
        <f t="shared" si="56"/>
        <v>7.309694217125475E-3</v>
      </c>
      <c r="G727" s="379">
        <f t="shared" si="57"/>
        <v>2.7332580202798808E-2</v>
      </c>
      <c r="H727" s="379">
        <f t="shared" si="58"/>
        <v>7.309694217125475E-3</v>
      </c>
    </row>
    <row r="728" spans="1:8">
      <c r="A728" s="375">
        <v>41320</v>
      </c>
      <c r="B728" s="379">
        <f t="shared" si="59"/>
        <v>725</v>
      </c>
      <c r="C728" s="28">
        <v>50.309060000000002</v>
      </c>
      <c r="D728" s="379">
        <f t="shared" si="55"/>
        <v>-1.566062631434843E-2</v>
      </c>
      <c r="E728" s="39">
        <v>1519.790039</v>
      </c>
      <c r="F728" s="379">
        <f t="shared" si="56"/>
        <v>-1.0456279141647954E-3</v>
      </c>
      <c r="G728" s="379">
        <f t="shared" si="57"/>
        <v>-1.566062631434843E-2</v>
      </c>
      <c r="H728" s="379">
        <f t="shared" si="58"/>
        <v>-1.0456279141647954E-3</v>
      </c>
    </row>
    <row r="729" spans="1:8">
      <c r="A729" s="375">
        <v>41319</v>
      </c>
      <c r="B729" s="379">
        <f t="shared" si="59"/>
        <v>726</v>
      </c>
      <c r="C729" s="28">
        <v>51.103133</v>
      </c>
      <c r="D729" s="379">
        <f t="shared" si="55"/>
        <v>-5.1783805515113351E-4</v>
      </c>
      <c r="E729" s="39">
        <v>1521.380005</v>
      </c>
      <c r="F729" s="379">
        <f t="shared" si="56"/>
        <v>6.9043337805155551E-4</v>
      </c>
      <c r="G729" s="379">
        <f t="shared" si="57"/>
        <v>-5.1783805515113351E-4</v>
      </c>
      <c r="H729" s="379">
        <f t="shared" si="58"/>
        <v>6.9043337805155551E-4</v>
      </c>
    </row>
    <row r="730" spans="1:8">
      <c r="A730" s="375">
        <v>41318</v>
      </c>
      <c r="B730" s="379">
        <f t="shared" si="59"/>
        <v>727</v>
      </c>
      <c r="C730" s="28">
        <v>51.129603000000003</v>
      </c>
      <c r="D730" s="379">
        <f t="shared" si="55"/>
        <v>6.1612541121013331E-3</v>
      </c>
      <c r="E730" s="39">
        <v>1520.329956</v>
      </c>
      <c r="F730" s="379">
        <f t="shared" si="56"/>
        <v>5.9208754857569565E-4</v>
      </c>
      <c r="G730" s="379">
        <f t="shared" si="57"/>
        <v>6.1612541121013331E-3</v>
      </c>
      <c r="H730" s="379">
        <f t="shared" si="58"/>
        <v>5.9208754857569565E-4</v>
      </c>
    </row>
    <row r="731" spans="1:8">
      <c r="A731" s="375">
        <v>41317</v>
      </c>
      <c r="B731" s="379">
        <f t="shared" si="59"/>
        <v>728</v>
      </c>
      <c r="C731" s="28">
        <v>50.815548999999997</v>
      </c>
      <c r="D731" s="379">
        <f t="shared" si="55"/>
        <v>1.1395147735667757E-2</v>
      </c>
      <c r="E731" s="39">
        <v>1519.4300539999999</v>
      </c>
      <c r="F731" s="379">
        <f t="shared" si="56"/>
        <v>1.5940011733503196E-3</v>
      </c>
      <c r="G731" s="379">
        <f t="shared" si="57"/>
        <v>1.1395147735667757E-2</v>
      </c>
      <c r="H731" s="379">
        <f t="shared" si="58"/>
        <v>1.5940011733503196E-3</v>
      </c>
    </row>
    <row r="732" spans="1:8">
      <c r="A732" s="375">
        <v>41316</v>
      </c>
      <c r="B732" s="379">
        <f t="shared" si="59"/>
        <v>729</v>
      </c>
      <c r="C732" s="28">
        <v>50.239784999999998</v>
      </c>
      <c r="D732" s="379">
        <f t="shared" si="55"/>
        <v>-4.850162500036539E-3</v>
      </c>
      <c r="E732" s="39">
        <v>1517.01001</v>
      </c>
      <c r="F732" s="379">
        <f t="shared" si="56"/>
        <v>-6.0630128357233104E-4</v>
      </c>
      <c r="G732" s="379">
        <f t="shared" si="57"/>
        <v>-4.850162500036539E-3</v>
      </c>
      <c r="H732" s="379">
        <f t="shared" si="58"/>
        <v>-6.0630128357233104E-4</v>
      </c>
    </row>
    <row r="733" spans="1:8">
      <c r="A733" s="375">
        <v>41313</v>
      </c>
      <c r="B733" s="379">
        <f t="shared" si="59"/>
        <v>730</v>
      </c>
      <c r="C733" s="28">
        <v>50.484048000000001</v>
      </c>
      <c r="D733" s="379">
        <f t="shared" si="55"/>
        <v>4.1558146555779061E-3</v>
      </c>
      <c r="E733" s="39">
        <v>1517.9300539999999</v>
      </c>
      <c r="F733" s="379">
        <f t="shared" si="56"/>
        <v>5.641994542558368E-3</v>
      </c>
      <c r="G733" s="379">
        <f t="shared" si="57"/>
        <v>4.1558146555779061E-3</v>
      </c>
      <c r="H733" s="379">
        <f t="shared" si="58"/>
        <v>5.641994542558368E-3</v>
      </c>
    </row>
    <row r="734" spans="1:8">
      <c r="A734" s="375">
        <v>41312</v>
      </c>
      <c r="B734" s="379">
        <f t="shared" si="59"/>
        <v>731</v>
      </c>
      <c r="C734" s="28">
        <v>50.274681000000001</v>
      </c>
      <c r="D734" s="379">
        <f t="shared" si="55"/>
        <v>6.9434784445857208E-4</v>
      </c>
      <c r="E734" s="39">
        <v>1509.3900149999999</v>
      </c>
      <c r="F734" s="379">
        <f t="shared" si="56"/>
        <v>-1.8070307454410902E-3</v>
      </c>
      <c r="G734" s="379">
        <f t="shared" si="57"/>
        <v>6.9434784445857208E-4</v>
      </c>
      <c r="H734" s="379">
        <f t="shared" si="58"/>
        <v>-1.8070307454410902E-3</v>
      </c>
    </row>
    <row r="735" spans="1:8">
      <c r="A735" s="375">
        <v>41311</v>
      </c>
      <c r="B735" s="379">
        <f t="shared" si="59"/>
        <v>732</v>
      </c>
      <c r="C735" s="28">
        <v>50.239784999999998</v>
      </c>
      <c r="D735" s="379">
        <f t="shared" si="55"/>
        <v>-2.2548104087705767E-3</v>
      </c>
      <c r="E735" s="39">
        <v>1512.119995</v>
      </c>
      <c r="F735" s="379">
        <f t="shared" si="56"/>
        <v>5.4901982299070617E-4</v>
      </c>
      <c r="G735" s="379">
        <f t="shared" si="57"/>
        <v>-2.2548104087705767E-3</v>
      </c>
      <c r="H735" s="379">
        <f t="shared" si="58"/>
        <v>5.4901982299070617E-4</v>
      </c>
    </row>
    <row r="736" spans="1:8">
      <c r="A736" s="375">
        <v>41310</v>
      </c>
      <c r="B736" s="379">
        <f t="shared" si="59"/>
        <v>733</v>
      </c>
      <c r="C736" s="28">
        <v>50.353194000000002</v>
      </c>
      <c r="D736" s="379">
        <f t="shared" si="55"/>
        <v>-5.3563509703101597E-3</v>
      </c>
      <c r="E736" s="39">
        <v>1511.290039</v>
      </c>
      <c r="F736" s="379">
        <f t="shared" si="56"/>
        <v>1.0362632138918E-2</v>
      </c>
      <c r="G736" s="379">
        <f t="shared" si="57"/>
        <v>-5.3563509703101597E-3</v>
      </c>
      <c r="H736" s="379">
        <f t="shared" si="58"/>
        <v>1.0362632138918E-2</v>
      </c>
    </row>
    <row r="737" spans="1:8">
      <c r="A737" s="375">
        <v>41309</v>
      </c>
      <c r="B737" s="379">
        <f t="shared" si="59"/>
        <v>734</v>
      </c>
      <c r="C737" s="28">
        <v>50.623626999999999</v>
      </c>
      <c r="D737" s="379">
        <f t="shared" si="55"/>
        <v>-1.3521829652911512E-2</v>
      </c>
      <c r="E737" s="39">
        <v>1495.709961</v>
      </c>
      <c r="F737" s="379">
        <f t="shared" si="56"/>
        <v>-1.1605832704006383E-2</v>
      </c>
      <c r="G737" s="379">
        <f t="shared" si="57"/>
        <v>-1.3521829652911512E-2</v>
      </c>
      <c r="H737" s="379">
        <f t="shared" si="58"/>
        <v>-1.1605832704006383E-2</v>
      </c>
    </row>
    <row r="738" spans="1:8">
      <c r="A738" s="375">
        <v>41306</v>
      </c>
      <c r="B738" s="379">
        <f t="shared" si="59"/>
        <v>735</v>
      </c>
      <c r="C738" s="28">
        <v>51.312800000000003</v>
      </c>
      <c r="D738" s="379">
        <f t="shared" si="55"/>
        <v>1.403891561067718E-2</v>
      </c>
      <c r="E738" s="39">
        <v>1513.170044</v>
      </c>
      <c r="F738" s="379">
        <f t="shared" si="56"/>
        <v>1.0002513494821156E-2</v>
      </c>
      <c r="G738" s="379">
        <f t="shared" si="57"/>
        <v>1.403891561067718E-2</v>
      </c>
      <c r="H738" s="379">
        <f t="shared" si="58"/>
        <v>1.0002513494821156E-2</v>
      </c>
    </row>
    <row r="739" spans="1:8">
      <c r="A739" s="375">
        <v>41305</v>
      </c>
      <c r="B739" s="379">
        <f t="shared" si="59"/>
        <v>736</v>
      </c>
      <c r="C739" s="28">
        <v>50.597456999999999</v>
      </c>
      <c r="D739" s="379">
        <f t="shared" si="55"/>
        <v>-5.1905173485038376E-2</v>
      </c>
      <c r="E739" s="39">
        <v>1498.1099850000001</v>
      </c>
      <c r="F739" s="379">
        <f t="shared" si="56"/>
        <v>-2.5665922346749968E-3</v>
      </c>
      <c r="G739" s="379">
        <f t="shared" si="57"/>
        <v>-5.1905173485038376E-2</v>
      </c>
      <c r="H739" s="379">
        <f t="shared" si="58"/>
        <v>-2.5665922346749968E-3</v>
      </c>
    </row>
    <row r="740" spans="1:8">
      <c r="A740" s="375">
        <v>41304</v>
      </c>
      <c r="B740" s="379">
        <f t="shared" si="59"/>
        <v>737</v>
      </c>
      <c r="C740" s="28">
        <v>53.293080000000003</v>
      </c>
      <c r="D740" s="379">
        <f t="shared" si="55"/>
        <v>-9.2872382278183611E-3</v>
      </c>
      <c r="E740" s="39">
        <v>1501.959961</v>
      </c>
      <c r="F740" s="379">
        <f t="shared" si="56"/>
        <v>-3.9072447493082472E-3</v>
      </c>
      <c r="G740" s="379">
        <f t="shared" si="57"/>
        <v>-9.2872382278183611E-3</v>
      </c>
      <c r="H740" s="379">
        <f t="shared" si="58"/>
        <v>-3.9072447493082472E-3</v>
      </c>
    </row>
    <row r="741" spans="1:8">
      <c r="A741" s="375">
        <v>41303</v>
      </c>
      <c r="B741" s="379">
        <f t="shared" si="59"/>
        <v>738</v>
      </c>
      <c r="C741" s="28">
        <v>53.790331000000002</v>
      </c>
      <c r="D741" s="379">
        <f t="shared" si="55"/>
        <v>1.4868346789229962E-2</v>
      </c>
      <c r="E741" s="39">
        <v>1507.839966</v>
      </c>
      <c r="F741" s="379">
        <f t="shared" si="56"/>
        <v>5.0930037076888724E-3</v>
      </c>
      <c r="G741" s="379">
        <f t="shared" si="57"/>
        <v>1.4868346789229962E-2</v>
      </c>
      <c r="H741" s="379">
        <f t="shared" si="58"/>
        <v>5.0930037076888724E-3</v>
      </c>
    </row>
    <row r="742" spans="1:8">
      <c r="A742" s="375">
        <v>41302</v>
      </c>
      <c r="B742" s="379">
        <f t="shared" si="59"/>
        <v>739</v>
      </c>
      <c r="C742" s="28">
        <v>52.996473999999999</v>
      </c>
      <c r="D742" s="379">
        <f t="shared" si="55"/>
        <v>-5.0899298267638067E-3</v>
      </c>
      <c r="E742" s="39">
        <v>1500.1800539999999</v>
      </c>
      <c r="F742" s="379">
        <f t="shared" si="56"/>
        <v>-1.8513341236916236E-3</v>
      </c>
      <c r="G742" s="379">
        <f t="shared" si="57"/>
        <v>-5.0899298267638067E-3</v>
      </c>
      <c r="H742" s="379">
        <f t="shared" si="58"/>
        <v>-1.8513341236916236E-3</v>
      </c>
    </row>
    <row r="743" spans="1:8">
      <c r="A743" s="375">
        <v>41299</v>
      </c>
      <c r="B743" s="379">
        <f t="shared" si="59"/>
        <v>740</v>
      </c>
      <c r="C743" s="28">
        <v>53.266910000000003</v>
      </c>
      <c r="D743" s="379">
        <f t="shared" si="55"/>
        <v>1.0702362063546472E-2</v>
      </c>
      <c r="E743" s="39">
        <v>1502.959961</v>
      </c>
      <c r="F743" s="379">
        <f t="shared" si="56"/>
        <v>5.4307088968290696E-3</v>
      </c>
      <c r="G743" s="379">
        <f t="shared" si="57"/>
        <v>1.0702362063546472E-2</v>
      </c>
      <c r="H743" s="379">
        <f t="shared" si="58"/>
        <v>5.4307088968290696E-3</v>
      </c>
    </row>
    <row r="744" spans="1:8">
      <c r="A744" s="375">
        <v>41298</v>
      </c>
      <c r="B744" s="379">
        <f t="shared" si="59"/>
        <v>741</v>
      </c>
      <c r="C744" s="28">
        <v>52.699868000000002</v>
      </c>
      <c r="D744" s="379">
        <f t="shared" si="55"/>
        <v>1.433835551338992E-2</v>
      </c>
      <c r="E744" s="39">
        <v>1494.8199460000001</v>
      </c>
      <c r="F744" s="379">
        <f t="shared" si="56"/>
        <v>6.6141963945740372E-6</v>
      </c>
      <c r="G744" s="379">
        <f t="shared" si="57"/>
        <v>1.433835551338992E-2</v>
      </c>
      <c r="H744" s="379">
        <f t="shared" si="58"/>
        <v>6.6141963945740372E-6</v>
      </c>
    </row>
    <row r="745" spans="1:8">
      <c r="A745" s="375">
        <v>41297</v>
      </c>
      <c r="B745" s="379">
        <f t="shared" si="59"/>
        <v>742</v>
      </c>
      <c r="C745" s="28">
        <v>51.949629999999999</v>
      </c>
      <c r="D745" s="379">
        <f t="shared" si="55"/>
        <v>-7.1948760914128367E-3</v>
      </c>
      <c r="E745" s="39">
        <v>1494.8100589999999</v>
      </c>
      <c r="F745" s="379">
        <f t="shared" si="56"/>
        <v>1.5063419238833973E-3</v>
      </c>
      <c r="G745" s="379">
        <f t="shared" si="57"/>
        <v>-7.1948760914128367E-3</v>
      </c>
      <c r="H745" s="379">
        <f t="shared" si="58"/>
        <v>1.5063419238833973E-3</v>
      </c>
    </row>
    <row r="746" spans="1:8">
      <c r="A746" s="375">
        <v>41296</v>
      </c>
      <c r="B746" s="379">
        <f t="shared" si="59"/>
        <v>743</v>
      </c>
      <c r="C746" s="28">
        <v>52.324748999999997</v>
      </c>
      <c r="D746" s="379">
        <f t="shared" si="55"/>
        <v>1.1907884807043249E-2</v>
      </c>
      <c r="E746" s="39">
        <v>1492.5600589999999</v>
      </c>
      <c r="F746" s="379">
        <f t="shared" si="56"/>
        <v>4.4183322153430642E-3</v>
      </c>
      <c r="G746" s="379">
        <f t="shared" si="57"/>
        <v>1.1907884807043249E-2</v>
      </c>
      <c r="H746" s="379">
        <f t="shared" si="58"/>
        <v>4.4183322153430642E-3</v>
      </c>
    </row>
    <row r="747" spans="1:8">
      <c r="A747" s="375">
        <v>41292</v>
      </c>
      <c r="B747" s="379">
        <f t="shared" si="59"/>
        <v>744</v>
      </c>
      <c r="C747" s="28">
        <v>51.705367000000003</v>
      </c>
      <c r="D747" s="379">
        <f t="shared" si="55"/>
        <v>2.1957789432838579E-3</v>
      </c>
      <c r="E747" s="39">
        <v>1485.9799800000001</v>
      </c>
      <c r="F747" s="379">
        <f t="shared" si="56"/>
        <v>3.3974923370216413E-3</v>
      </c>
      <c r="G747" s="379">
        <f t="shared" si="57"/>
        <v>2.1957789432838579E-3</v>
      </c>
      <c r="H747" s="379">
        <f t="shared" si="58"/>
        <v>3.3974923370216413E-3</v>
      </c>
    </row>
    <row r="748" spans="1:8">
      <c r="A748" s="375">
        <v>41291</v>
      </c>
      <c r="B748" s="379">
        <f t="shared" si="59"/>
        <v>745</v>
      </c>
      <c r="C748" s="28">
        <v>51.591957999999998</v>
      </c>
      <c r="D748" s="379">
        <f t="shared" si="55"/>
        <v>4.4060169668058476E-3</v>
      </c>
      <c r="E748" s="39">
        <v>1480.9399410000001</v>
      </c>
      <c r="F748" s="379">
        <f t="shared" si="56"/>
        <v>5.6270601874587175E-3</v>
      </c>
      <c r="G748" s="379">
        <f t="shared" si="57"/>
        <v>4.4060169668058476E-3</v>
      </c>
      <c r="H748" s="379">
        <f t="shared" si="58"/>
        <v>5.6270601874587175E-3</v>
      </c>
    </row>
    <row r="749" spans="1:8">
      <c r="A749" s="375">
        <v>41290</v>
      </c>
      <c r="B749" s="379">
        <f t="shared" si="59"/>
        <v>746</v>
      </c>
      <c r="C749" s="28">
        <v>51.365143000000003</v>
      </c>
      <c r="D749" s="379">
        <f t="shared" si="55"/>
        <v>-2.5442858321242639E-3</v>
      </c>
      <c r="E749" s="39">
        <v>1472.630005</v>
      </c>
      <c r="F749" s="379">
        <f t="shared" si="56"/>
        <v>1.9697246749126839E-4</v>
      </c>
      <c r="G749" s="379">
        <f t="shared" si="57"/>
        <v>-2.5442858321242639E-3</v>
      </c>
      <c r="H749" s="379">
        <f t="shared" si="58"/>
        <v>1.9697246749126839E-4</v>
      </c>
    </row>
    <row r="750" spans="1:8">
      <c r="A750" s="375">
        <v>41289</v>
      </c>
      <c r="B750" s="379">
        <f t="shared" si="59"/>
        <v>747</v>
      </c>
      <c r="C750" s="28">
        <v>51.495997000000003</v>
      </c>
      <c r="D750" s="379">
        <f t="shared" si="55"/>
        <v>9.5319446966269494E-3</v>
      </c>
      <c r="E750" s="39">
        <v>1472.339966</v>
      </c>
      <c r="F750" s="379">
        <f t="shared" si="56"/>
        <v>1.1280332207962908E-3</v>
      </c>
      <c r="G750" s="379">
        <f t="shared" si="57"/>
        <v>9.5319446966269494E-3</v>
      </c>
      <c r="H750" s="379">
        <f t="shared" si="58"/>
        <v>1.1280332207962908E-3</v>
      </c>
    </row>
    <row r="751" spans="1:8">
      <c r="A751" s="375">
        <v>41288</v>
      </c>
      <c r="B751" s="379">
        <f t="shared" si="59"/>
        <v>748</v>
      </c>
      <c r="C751" s="28">
        <v>51.007472</v>
      </c>
      <c r="D751" s="379">
        <f t="shared" si="55"/>
        <v>3.4264408327085525E-3</v>
      </c>
      <c r="E751" s="39">
        <v>1470.6800539999999</v>
      </c>
      <c r="F751" s="379">
        <f t="shared" si="56"/>
        <v>-9.3110482512851031E-4</v>
      </c>
      <c r="G751" s="379">
        <f t="shared" si="57"/>
        <v>3.4264408327085525E-3</v>
      </c>
      <c r="H751" s="379">
        <f t="shared" si="58"/>
        <v>-9.3110482512851031E-4</v>
      </c>
    </row>
    <row r="752" spans="1:8">
      <c r="A752" s="375">
        <v>41285</v>
      </c>
      <c r="B752" s="379">
        <f t="shared" si="59"/>
        <v>749</v>
      </c>
      <c r="C752" s="28">
        <v>50.832996999999999</v>
      </c>
      <c r="D752" s="379">
        <f t="shared" si="55"/>
        <v>-3.9393713476336394E-3</v>
      </c>
      <c r="E752" s="39">
        <v>1472.0500489999999</v>
      </c>
      <c r="F752" s="379">
        <f t="shared" si="56"/>
        <v>-4.7514918614037186E-5</v>
      </c>
      <c r="G752" s="379">
        <f t="shared" si="57"/>
        <v>-3.9393713476336394E-3</v>
      </c>
      <c r="H752" s="379">
        <f t="shared" si="58"/>
        <v>-4.7514918614037186E-5</v>
      </c>
    </row>
    <row r="753" spans="1:8">
      <c r="A753" s="375">
        <v>41284</v>
      </c>
      <c r="B753" s="379">
        <f t="shared" si="59"/>
        <v>750</v>
      </c>
      <c r="C753" s="28">
        <v>51.033642</v>
      </c>
      <c r="D753" s="379">
        <f t="shared" si="55"/>
        <v>4.2826718838038531E-3</v>
      </c>
      <c r="E753" s="39">
        <v>1472.119995</v>
      </c>
      <c r="F753" s="379">
        <f t="shared" si="56"/>
        <v>7.568699708768817E-3</v>
      </c>
      <c r="G753" s="379">
        <f t="shared" si="57"/>
        <v>4.2826718838038531E-3</v>
      </c>
      <c r="H753" s="379">
        <f t="shared" si="58"/>
        <v>7.568699708768817E-3</v>
      </c>
    </row>
    <row r="754" spans="1:8">
      <c r="A754" s="375">
        <v>41283</v>
      </c>
      <c r="B754" s="379">
        <f t="shared" si="59"/>
        <v>751</v>
      </c>
      <c r="C754" s="28">
        <v>50.815548999999997</v>
      </c>
      <c r="D754" s="379">
        <f t="shared" si="55"/>
        <v>-2.057959056066119E-3</v>
      </c>
      <c r="E754" s="39">
        <v>1461.0200199999999</v>
      </c>
      <c r="F754" s="379">
        <f t="shared" si="56"/>
        <v>2.6523459636782739E-3</v>
      </c>
      <c r="G754" s="379">
        <f t="shared" si="57"/>
        <v>-2.057959056066119E-3</v>
      </c>
      <c r="H754" s="379">
        <f t="shared" si="58"/>
        <v>2.6523459636782739E-3</v>
      </c>
    </row>
    <row r="755" spans="1:8">
      <c r="A755" s="375">
        <v>41282</v>
      </c>
      <c r="B755" s="379">
        <f t="shared" si="59"/>
        <v>752</v>
      </c>
      <c r="C755" s="28">
        <v>50.920233000000003</v>
      </c>
      <c r="D755" s="379">
        <f t="shared" si="55"/>
        <v>-1.3612579135394199E-2</v>
      </c>
      <c r="E755" s="39">
        <v>1457.150024</v>
      </c>
      <c r="F755" s="379">
        <f t="shared" si="56"/>
        <v>-3.247639705377111E-3</v>
      </c>
      <c r="G755" s="379">
        <f t="shared" si="57"/>
        <v>-1.3612579135394199E-2</v>
      </c>
      <c r="H755" s="379">
        <f t="shared" si="58"/>
        <v>-3.247639705377111E-3</v>
      </c>
    </row>
    <row r="756" spans="1:8">
      <c r="A756" s="375">
        <v>41281</v>
      </c>
      <c r="B756" s="379">
        <f t="shared" si="59"/>
        <v>753</v>
      </c>
      <c r="C756" s="28">
        <v>51.618127999999999</v>
      </c>
      <c r="D756" s="379">
        <f t="shared" si="55"/>
        <v>-1.109260540663386E-2</v>
      </c>
      <c r="E756" s="39">
        <v>1461.8900149999999</v>
      </c>
      <c r="F756" s="379">
        <f t="shared" si="56"/>
        <v>-3.1280032210797624E-3</v>
      </c>
      <c r="G756" s="379">
        <f t="shared" si="57"/>
        <v>-1.109260540663386E-2</v>
      </c>
      <c r="H756" s="379">
        <f t="shared" si="58"/>
        <v>-3.1280032210797624E-3</v>
      </c>
    </row>
    <row r="757" spans="1:8">
      <c r="A757" s="375">
        <v>41278</v>
      </c>
      <c r="B757" s="379">
        <f t="shared" si="59"/>
        <v>754</v>
      </c>
      <c r="C757" s="28">
        <v>52.193894999999998</v>
      </c>
      <c r="D757" s="379">
        <f t="shared" si="55"/>
        <v>1.109260540663371E-2</v>
      </c>
      <c r="E757" s="39">
        <v>1466.469971</v>
      </c>
      <c r="F757" s="379">
        <f t="shared" si="56"/>
        <v>4.8533002617231176E-3</v>
      </c>
      <c r="G757" s="379">
        <f t="shared" si="57"/>
        <v>1.109260540663371E-2</v>
      </c>
      <c r="H757" s="379">
        <f t="shared" si="58"/>
        <v>4.8533002617231176E-3</v>
      </c>
    </row>
    <row r="758" spans="1:8">
      <c r="A758" s="375">
        <v>41277</v>
      </c>
      <c r="B758" s="379">
        <f t="shared" si="59"/>
        <v>755</v>
      </c>
      <c r="C758" s="28">
        <v>51.618127999999999</v>
      </c>
      <c r="D758" s="379">
        <f t="shared" si="55"/>
        <v>-6.7581315115286121E-4</v>
      </c>
      <c r="E758" s="39">
        <v>1459.369995</v>
      </c>
      <c r="F758" s="379">
        <f t="shared" si="56"/>
        <v>-2.0877955412197577E-3</v>
      </c>
      <c r="G758" s="379">
        <f t="shared" si="57"/>
        <v>-6.7581315115286121E-4</v>
      </c>
      <c r="H758" s="379">
        <f t="shared" si="58"/>
        <v>-2.0877955412197577E-3</v>
      </c>
    </row>
    <row r="759" spans="1:8">
      <c r="A759" s="375">
        <v>41276</v>
      </c>
      <c r="B759" s="379">
        <f t="shared" si="59"/>
        <v>756</v>
      </c>
      <c r="C759" s="28">
        <v>51.653024000000002</v>
      </c>
      <c r="D759" s="379">
        <f t="shared" si="55"/>
        <v>2.081981872094063E-2</v>
      </c>
      <c r="E759" s="39">
        <v>1462.420044</v>
      </c>
      <c r="F759" s="379">
        <f t="shared" si="56"/>
        <v>2.5086116280942407E-2</v>
      </c>
      <c r="G759" s="379">
        <f t="shared" si="57"/>
        <v>2.081981872094063E-2</v>
      </c>
      <c r="H759" s="379">
        <f t="shared" si="58"/>
        <v>2.5086116280942407E-2</v>
      </c>
    </row>
    <row r="760" spans="1:8">
      <c r="A760" s="375">
        <v>41274</v>
      </c>
      <c r="B760" s="379">
        <f t="shared" si="59"/>
        <v>757</v>
      </c>
      <c r="C760" s="28">
        <v>50.588735</v>
      </c>
      <c r="D760" s="379">
        <f t="shared" si="55"/>
        <v>1.5992049977345001E-2</v>
      </c>
      <c r="E760" s="39">
        <v>1426.1899410000001</v>
      </c>
      <c r="F760" s="379">
        <f t="shared" si="56"/>
        <v>1.6800026778920622E-2</v>
      </c>
      <c r="G760" s="379">
        <f t="shared" si="57"/>
        <v>1.5992049977345001E-2</v>
      </c>
      <c r="H760" s="379">
        <f t="shared" si="58"/>
        <v>1.6800026778920622E-2</v>
      </c>
    </row>
    <row r="761" spans="1:8">
      <c r="A761" s="375">
        <v>41271</v>
      </c>
      <c r="B761" s="379">
        <f t="shared" si="59"/>
        <v>758</v>
      </c>
      <c r="C761" s="28">
        <v>49.786152000000001</v>
      </c>
      <c r="D761" s="379">
        <f t="shared" si="55"/>
        <v>-1.4438838769420002E-2</v>
      </c>
      <c r="E761" s="39">
        <v>1402.4300539999999</v>
      </c>
      <c r="F761" s="379">
        <f t="shared" si="56"/>
        <v>-1.1111445760830067E-2</v>
      </c>
      <c r="G761" s="379">
        <f t="shared" si="57"/>
        <v>-1.4438838769420002E-2</v>
      </c>
      <c r="H761" s="379">
        <f t="shared" si="58"/>
        <v>-1.1111445760830067E-2</v>
      </c>
    </row>
    <row r="762" spans="1:8">
      <c r="A762" s="375">
        <v>41270</v>
      </c>
      <c r="B762" s="379">
        <f t="shared" si="59"/>
        <v>759</v>
      </c>
      <c r="C762" s="28">
        <v>50.510221000000001</v>
      </c>
      <c r="D762" s="379">
        <f t="shared" si="55"/>
        <v>-8.6317535052945723E-4</v>
      </c>
      <c r="E762" s="39">
        <v>1418.099976</v>
      </c>
      <c r="F762" s="379">
        <f t="shared" si="56"/>
        <v>-1.2191845857655393E-3</v>
      </c>
      <c r="G762" s="379">
        <f t="shared" si="57"/>
        <v>-8.6317535052945723E-4</v>
      </c>
      <c r="H762" s="379">
        <f t="shared" si="58"/>
        <v>-1.2191845857655393E-3</v>
      </c>
    </row>
    <row r="763" spans="1:8">
      <c r="A763" s="375">
        <v>41269</v>
      </c>
      <c r="B763" s="379">
        <f t="shared" si="59"/>
        <v>760</v>
      </c>
      <c r="C763" s="28">
        <v>50.553839000000004</v>
      </c>
      <c r="D763" s="379">
        <f t="shared" si="55"/>
        <v>-8.4199723967965726E-3</v>
      </c>
      <c r="E763" s="39">
        <v>1419.829956</v>
      </c>
      <c r="F763" s="379">
        <f t="shared" si="56"/>
        <v>-4.7989567024928539E-3</v>
      </c>
      <c r="G763" s="379">
        <f t="shared" si="57"/>
        <v>0</v>
      </c>
      <c r="H763" s="379">
        <f t="shared" si="58"/>
        <v>0</v>
      </c>
    </row>
    <row r="764" spans="1:8">
      <c r="A764" s="375">
        <v>41267</v>
      </c>
      <c r="B764" s="379">
        <f t="shared" si="59"/>
        <v>761</v>
      </c>
      <c r="C764" s="28">
        <v>50.981298000000002</v>
      </c>
      <c r="D764" s="379">
        <f t="shared" si="55"/>
        <v>-2.9047849510278434E-3</v>
      </c>
      <c r="E764" s="39">
        <v>1426.660034</v>
      </c>
      <c r="F764" s="379">
        <f t="shared" si="56"/>
        <v>-2.4432788076923112E-3</v>
      </c>
      <c r="G764" s="379">
        <f t="shared" si="57"/>
        <v>0</v>
      </c>
      <c r="H764" s="379">
        <f t="shared" si="58"/>
        <v>0</v>
      </c>
    </row>
    <row r="765" spans="1:8">
      <c r="A765" s="375">
        <v>41264</v>
      </c>
      <c r="B765" s="379">
        <f t="shared" si="59"/>
        <v>762</v>
      </c>
      <c r="C765" s="28">
        <v>51.129603000000003</v>
      </c>
      <c r="D765" s="379">
        <f t="shared" si="55"/>
        <v>-1.136661435586305E-2</v>
      </c>
      <c r="E765" s="39">
        <v>1430.150024</v>
      </c>
      <c r="F765" s="379">
        <f t="shared" si="56"/>
        <v>-9.4229444582716784E-3</v>
      </c>
      <c r="G765" s="379">
        <f t="shared" si="57"/>
        <v>0</v>
      </c>
      <c r="H765" s="379">
        <f t="shared" si="58"/>
        <v>0</v>
      </c>
    </row>
    <row r="766" spans="1:8">
      <c r="A766" s="375">
        <v>41263</v>
      </c>
      <c r="B766" s="379">
        <f t="shared" si="59"/>
        <v>763</v>
      </c>
      <c r="C766" s="28">
        <v>51.714089000000001</v>
      </c>
      <c r="D766" s="379">
        <f t="shared" si="55"/>
        <v>1.3504082369212875E-3</v>
      </c>
      <c r="E766" s="39">
        <v>1443.6899410000001</v>
      </c>
      <c r="F766" s="379">
        <f t="shared" si="56"/>
        <v>5.473104129230565E-3</v>
      </c>
      <c r="G766" s="379">
        <f t="shared" si="57"/>
        <v>0</v>
      </c>
      <c r="H766" s="379">
        <f t="shared" si="58"/>
        <v>0</v>
      </c>
    </row>
    <row r="767" spans="1:8">
      <c r="A767" s="375">
        <v>41262</v>
      </c>
      <c r="B767" s="379">
        <f t="shared" si="59"/>
        <v>764</v>
      </c>
      <c r="C767" s="28">
        <v>51.644300999999999</v>
      </c>
      <c r="D767" s="379">
        <f t="shared" si="55"/>
        <v>-1.6877448811108578E-3</v>
      </c>
      <c r="E767" s="39">
        <v>1435.8100589999999</v>
      </c>
      <c r="F767" s="379">
        <f t="shared" si="56"/>
        <v>-7.6181452366808726E-3</v>
      </c>
      <c r="G767" s="379">
        <f t="shared" si="57"/>
        <v>0</v>
      </c>
      <c r="H767" s="379">
        <f t="shared" si="58"/>
        <v>0</v>
      </c>
    </row>
    <row r="768" spans="1:8">
      <c r="A768" s="375">
        <v>41261</v>
      </c>
      <c r="B768" s="379">
        <f t="shared" si="59"/>
        <v>765</v>
      </c>
      <c r="C768" s="28">
        <v>51.731537000000003</v>
      </c>
      <c r="D768" s="379">
        <f t="shared" si="55"/>
        <v>1.7350337831280153E-2</v>
      </c>
      <c r="E768" s="39">
        <v>1446.790039</v>
      </c>
      <c r="F768" s="379">
        <f t="shared" si="56"/>
        <v>1.1421185869362593E-2</v>
      </c>
      <c r="G768" s="379">
        <f t="shared" si="57"/>
        <v>0</v>
      </c>
      <c r="H768" s="379">
        <f t="shared" si="58"/>
        <v>0</v>
      </c>
    </row>
    <row r="769" spans="1:8">
      <c r="A769" s="375">
        <v>41260</v>
      </c>
      <c r="B769" s="379">
        <f t="shared" si="59"/>
        <v>766</v>
      </c>
      <c r="C769" s="28">
        <v>50.841718999999998</v>
      </c>
      <c r="D769" s="379">
        <f t="shared" si="55"/>
        <v>1.0175128022507229E-2</v>
      </c>
      <c r="E769" s="39">
        <v>1430.3599850000001</v>
      </c>
      <c r="F769" s="379">
        <f t="shared" si="56"/>
        <v>1.1800687830712153E-2</v>
      </c>
      <c r="G769" s="379">
        <f t="shared" si="57"/>
        <v>0</v>
      </c>
      <c r="H769" s="379">
        <f t="shared" si="58"/>
        <v>0</v>
      </c>
    </row>
    <row r="770" spans="1:8">
      <c r="A770" s="375">
        <v>41257</v>
      </c>
      <c r="B770" s="379">
        <f t="shared" si="59"/>
        <v>767</v>
      </c>
      <c r="C770" s="28">
        <v>50.327021000000002</v>
      </c>
      <c r="D770" s="379">
        <f t="shared" si="55"/>
        <v>-3.2880874431439862E-3</v>
      </c>
      <c r="E770" s="39">
        <v>1413.579956</v>
      </c>
      <c r="F770" s="379">
        <f t="shared" si="56"/>
        <v>-4.1439755970931981E-3</v>
      </c>
      <c r="G770" s="379">
        <f t="shared" si="57"/>
        <v>0</v>
      </c>
      <c r="H770" s="379">
        <f t="shared" si="58"/>
        <v>0</v>
      </c>
    </row>
    <row r="771" spans="1:8">
      <c r="A771" s="375">
        <v>41256</v>
      </c>
      <c r="B771" s="379">
        <f t="shared" si="59"/>
        <v>768</v>
      </c>
      <c r="C771" s="28">
        <v>50.492773</v>
      </c>
      <c r="D771" s="379">
        <f t="shared" si="55"/>
        <v>-5.5134453788606066E-3</v>
      </c>
      <c r="E771" s="39">
        <v>1419.4499510000001</v>
      </c>
      <c r="F771" s="379">
        <f t="shared" si="56"/>
        <v>-6.3414897699479037E-3</v>
      </c>
      <c r="G771" s="379">
        <f t="shared" si="57"/>
        <v>0</v>
      </c>
      <c r="H771" s="379">
        <f t="shared" si="58"/>
        <v>0</v>
      </c>
    </row>
    <row r="772" spans="1:8">
      <c r="A772" s="375">
        <v>41255</v>
      </c>
      <c r="B772" s="379">
        <f t="shared" si="59"/>
        <v>769</v>
      </c>
      <c r="C772" s="28">
        <v>50.771931000000002</v>
      </c>
      <c r="D772" s="379">
        <f t="shared" ref="D772:D835" si="60">LN(C772/C773)</f>
        <v>1.3755437288885913E-3</v>
      </c>
      <c r="E772" s="39">
        <v>1428.4799800000001</v>
      </c>
      <c r="F772" s="379">
        <f t="shared" ref="F772:F835" si="61">LN(E772/E773)</f>
        <v>4.4813887996507606E-4</v>
      </c>
      <c r="G772" s="379">
        <f t="shared" ref="G772:G835" si="62">IF(B772&lt;$D$1+1,D772,0)</f>
        <v>0</v>
      </c>
      <c r="H772" s="379">
        <f t="shared" ref="H772:H835" si="63">IF(B772&lt;$D$1+1,F772,0)</f>
        <v>0</v>
      </c>
    </row>
    <row r="773" spans="1:8">
      <c r="A773" s="375">
        <v>41254</v>
      </c>
      <c r="B773" s="379">
        <f t="shared" si="59"/>
        <v>770</v>
      </c>
      <c r="C773" s="28">
        <v>50.70214</v>
      </c>
      <c r="D773" s="379">
        <f t="shared" si="60"/>
        <v>4.1379016499721588E-3</v>
      </c>
      <c r="E773" s="39">
        <v>1427.839966</v>
      </c>
      <c r="F773" s="379">
        <f t="shared" si="61"/>
        <v>6.5275313199763116E-3</v>
      </c>
      <c r="G773" s="379">
        <f t="shared" si="62"/>
        <v>0</v>
      </c>
      <c r="H773" s="379">
        <f t="shared" si="63"/>
        <v>0</v>
      </c>
    </row>
    <row r="774" spans="1:8">
      <c r="A774" s="375">
        <v>41253</v>
      </c>
      <c r="B774" s="379">
        <f t="shared" ref="B774:B837" si="64">B773+1</f>
        <v>771</v>
      </c>
      <c r="C774" s="28">
        <v>50.492773</v>
      </c>
      <c r="D774" s="379">
        <f t="shared" si="60"/>
        <v>-1.0360471057715035E-3</v>
      </c>
      <c r="E774" s="39">
        <v>1418.5500489999999</v>
      </c>
      <c r="F774" s="379">
        <f t="shared" si="61"/>
        <v>3.3850357498046443E-4</v>
      </c>
      <c r="G774" s="379">
        <f t="shared" si="62"/>
        <v>0</v>
      </c>
      <c r="H774" s="379">
        <f t="shared" si="63"/>
        <v>0</v>
      </c>
    </row>
    <row r="775" spans="1:8">
      <c r="A775" s="375">
        <v>41250</v>
      </c>
      <c r="B775" s="379">
        <f t="shared" si="64"/>
        <v>772</v>
      </c>
      <c r="C775" s="28">
        <v>50.545113000000001</v>
      </c>
      <c r="D775" s="379">
        <f t="shared" si="60"/>
        <v>1.0235143746440887E-2</v>
      </c>
      <c r="E775" s="39">
        <v>1418.0699460000001</v>
      </c>
      <c r="F775" s="379">
        <f t="shared" si="61"/>
        <v>2.9166620828259197E-3</v>
      </c>
      <c r="G775" s="379">
        <f t="shared" si="62"/>
        <v>0</v>
      </c>
      <c r="H775" s="379">
        <f t="shared" si="63"/>
        <v>0</v>
      </c>
    </row>
    <row r="776" spans="1:8">
      <c r="A776" s="375">
        <v>41249</v>
      </c>
      <c r="B776" s="379">
        <f t="shared" si="64"/>
        <v>773</v>
      </c>
      <c r="C776" s="28">
        <v>50.030414999999998</v>
      </c>
      <c r="D776" s="379">
        <f t="shared" si="60"/>
        <v>2.9686188588213891E-3</v>
      </c>
      <c r="E776" s="39">
        <v>1413.9399410000001</v>
      </c>
      <c r="F776" s="379">
        <f t="shared" si="61"/>
        <v>3.3011357820488317E-3</v>
      </c>
      <c r="G776" s="379">
        <f t="shared" si="62"/>
        <v>0</v>
      </c>
      <c r="H776" s="379">
        <f t="shared" si="63"/>
        <v>0</v>
      </c>
    </row>
    <row r="777" spans="1:8">
      <c r="A777" s="375">
        <v>41248</v>
      </c>
      <c r="B777" s="379">
        <f t="shared" si="64"/>
        <v>774</v>
      </c>
      <c r="C777" s="28">
        <v>49.882114000000001</v>
      </c>
      <c r="D777" s="379">
        <f t="shared" si="60"/>
        <v>5.9638880104861533E-3</v>
      </c>
      <c r="E777" s="39">
        <v>1409.280029</v>
      </c>
      <c r="F777" s="379">
        <f t="shared" si="61"/>
        <v>1.583607321777076E-3</v>
      </c>
      <c r="G777" s="379">
        <f t="shared" si="62"/>
        <v>0</v>
      </c>
      <c r="H777" s="379">
        <f t="shared" si="63"/>
        <v>0</v>
      </c>
    </row>
    <row r="778" spans="1:8">
      <c r="A778" s="375">
        <v>41247</v>
      </c>
      <c r="B778" s="379">
        <f t="shared" si="64"/>
        <v>775</v>
      </c>
      <c r="C778" s="28">
        <v>49.585507999999997</v>
      </c>
      <c r="D778" s="379">
        <f t="shared" si="60"/>
        <v>-5.7889402663054016E-3</v>
      </c>
      <c r="E778" s="39">
        <v>1407.0500489999999</v>
      </c>
      <c r="F778" s="379">
        <f t="shared" si="61"/>
        <v>-1.7112757132447503E-3</v>
      </c>
      <c r="G778" s="379">
        <f t="shared" si="62"/>
        <v>0</v>
      </c>
      <c r="H778" s="379">
        <f t="shared" si="63"/>
        <v>0</v>
      </c>
    </row>
    <row r="779" spans="1:8">
      <c r="A779" s="375">
        <v>41246</v>
      </c>
      <c r="B779" s="379">
        <f t="shared" si="64"/>
        <v>776</v>
      </c>
      <c r="C779" s="28">
        <v>49.873387999999998</v>
      </c>
      <c r="D779" s="379">
        <f t="shared" si="60"/>
        <v>4.03120180967214E-3</v>
      </c>
      <c r="E779" s="39">
        <v>1409.459961</v>
      </c>
      <c r="F779" s="379">
        <f t="shared" si="61"/>
        <v>-4.7565193260310137E-3</v>
      </c>
      <c r="G779" s="379">
        <f t="shared" si="62"/>
        <v>0</v>
      </c>
      <c r="H779" s="379">
        <f t="shared" si="63"/>
        <v>0</v>
      </c>
    </row>
    <row r="780" spans="1:8">
      <c r="A780" s="375">
        <v>41243</v>
      </c>
      <c r="B780" s="379">
        <f t="shared" si="64"/>
        <v>777</v>
      </c>
      <c r="C780" s="28">
        <v>49.672742999999997</v>
      </c>
      <c r="D780" s="379">
        <f t="shared" si="60"/>
        <v>-7.0227142886578942E-4</v>
      </c>
      <c r="E780" s="39">
        <v>1416.1800539999999</v>
      </c>
      <c r="F780" s="379">
        <f t="shared" si="61"/>
        <v>1.6249465956725198E-4</v>
      </c>
      <c r="G780" s="379">
        <f t="shared" si="62"/>
        <v>0</v>
      </c>
      <c r="H780" s="379">
        <f t="shared" si="63"/>
        <v>0</v>
      </c>
    </row>
    <row r="781" spans="1:8">
      <c r="A781" s="375">
        <v>41242</v>
      </c>
      <c r="B781" s="379">
        <f t="shared" si="64"/>
        <v>778</v>
      </c>
      <c r="C781" s="28">
        <v>49.707639</v>
      </c>
      <c r="D781" s="379">
        <f t="shared" si="60"/>
        <v>-1.4030449423287719E-3</v>
      </c>
      <c r="E781" s="39">
        <v>1415.9499510000001</v>
      </c>
      <c r="F781" s="379">
        <f t="shared" si="61"/>
        <v>4.2605532404780952E-3</v>
      </c>
      <c r="G781" s="379">
        <f t="shared" si="62"/>
        <v>0</v>
      </c>
      <c r="H781" s="379">
        <f t="shared" si="63"/>
        <v>0</v>
      </c>
    </row>
    <row r="782" spans="1:8">
      <c r="A782" s="375">
        <v>41241</v>
      </c>
      <c r="B782" s="379">
        <f t="shared" si="64"/>
        <v>779</v>
      </c>
      <c r="C782" s="28">
        <v>49.777430000000003</v>
      </c>
      <c r="D782" s="379">
        <f t="shared" si="60"/>
        <v>1.5542532963193658E-2</v>
      </c>
      <c r="E782" s="39">
        <v>1409.9300539999999</v>
      </c>
      <c r="F782" s="379">
        <f t="shared" si="61"/>
        <v>7.8253312555425121E-3</v>
      </c>
      <c r="G782" s="379">
        <f t="shared" si="62"/>
        <v>0</v>
      </c>
      <c r="H782" s="379">
        <f t="shared" si="63"/>
        <v>0</v>
      </c>
    </row>
    <row r="783" spans="1:8">
      <c r="A783" s="375">
        <v>41240</v>
      </c>
      <c r="B783" s="379">
        <f t="shared" si="64"/>
        <v>780</v>
      </c>
      <c r="C783" s="28">
        <v>49.009743999999998</v>
      </c>
      <c r="D783" s="379">
        <f t="shared" si="60"/>
        <v>-1.0975476376143196E-2</v>
      </c>
      <c r="E783" s="39">
        <v>1398.9399410000001</v>
      </c>
      <c r="F783" s="379">
        <f t="shared" si="61"/>
        <v>-5.2402939311829893E-3</v>
      </c>
      <c r="G783" s="379">
        <f t="shared" si="62"/>
        <v>0</v>
      </c>
      <c r="H783" s="379">
        <f t="shared" si="63"/>
        <v>0</v>
      </c>
    </row>
    <row r="784" spans="1:8">
      <c r="A784" s="375">
        <v>41239</v>
      </c>
      <c r="B784" s="379">
        <f t="shared" si="64"/>
        <v>781</v>
      </c>
      <c r="C784" s="28">
        <v>49.550612000000001</v>
      </c>
      <c r="D784" s="379">
        <f t="shared" si="60"/>
        <v>2.2913739356742297E-3</v>
      </c>
      <c r="E784" s="39">
        <v>1406.290039</v>
      </c>
      <c r="F784" s="379">
        <f t="shared" si="61"/>
        <v>-2.0316440199310446E-3</v>
      </c>
      <c r="G784" s="379">
        <f t="shared" si="62"/>
        <v>0</v>
      </c>
      <c r="H784" s="379">
        <f t="shared" si="63"/>
        <v>0</v>
      </c>
    </row>
    <row r="785" spans="1:8">
      <c r="A785" s="375">
        <v>41236</v>
      </c>
      <c r="B785" s="379">
        <f t="shared" si="64"/>
        <v>782</v>
      </c>
      <c r="C785" s="28">
        <v>49.437202999999997</v>
      </c>
      <c r="D785" s="379">
        <f t="shared" si="60"/>
        <v>1.1000793127728578E-2</v>
      </c>
      <c r="E785" s="39">
        <v>1409.150024</v>
      </c>
      <c r="F785" s="379">
        <f t="shared" si="61"/>
        <v>1.2942201988550794E-2</v>
      </c>
      <c r="G785" s="379">
        <f t="shared" si="62"/>
        <v>0</v>
      </c>
      <c r="H785" s="379">
        <f t="shared" si="63"/>
        <v>0</v>
      </c>
    </row>
    <row r="786" spans="1:8">
      <c r="A786" s="375">
        <v>41234</v>
      </c>
      <c r="B786" s="379">
        <f t="shared" si="64"/>
        <v>783</v>
      </c>
      <c r="C786" s="28">
        <v>48.896335000000001</v>
      </c>
      <c r="D786" s="379">
        <f t="shared" si="60"/>
        <v>7.521497123217172E-3</v>
      </c>
      <c r="E786" s="39">
        <v>1391.030029</v>
      </c>
      <c r="F786" s="379">
        <f t="shared" si="61"/>
        <v>2.3174931548233398E-3</v>
      </c>
      <c r="G786" s="379">
        <f t="shared" si="62"/>
        <v>0</v>
      </c>
      <c r="H786" s="379">
        <f t="shared" si="63"/>
        <v>0</v>
      </c>
    </row>
    <row r="787" spans="1:8">
      <c r="A787" s="375">
        <v>41233</v>
      </c>
      <c r="B787" s="379">
        <f t="shared" si="64"/>
        <v>784</v>
      </c>
      <c r="C787" s="28">
        <v>48.529941000000001</v>
      </c>
      <c r="D787" s="379">
        <f t="shared" si="60"/>
        <v>-1.7959570030275922E-3</v>
      </c>
      <c r="E787" s="39">
        <v>1387.8100589999999</v>
      </c>
      <c r="F787" s="379">
        <f t="shared" si="61"/>
        <v>6.6316647506514334E-4</v>
      </c>
      <c r="G787" s="379">
        <f t="shared" si="62"/>
        <v>0</v>
      </c>
      <c r="H787" s="379">
        <f t="shared" si="63"/>
        <v>0</v>
      </c>
    </row>
    <row r="788" spans="1:8">
      <c r="A788" s="375">
        <v>41232</v>
      </c>
      <c r="B788" s="379">
        <f t="shared" si="64"/>
        <v>785</v>
      </c>
      <c r="C788" s="28">
        <v>48.617176999999998</v>
      </c>
      <c r="D788" s="379">
        <f t="shared" si="60"/>
        <v>1.2640132151374987E-2</v>
      </c>
      <c r="E788" s="39">
        <v>1386.8900149999999</v>
      </c>
      <c r="F788" s="379">
        <f t="shared" si="61"/>
        <v>1.9667376906862512E-2</v>
      </c>
      <c r="G788" s="379">
        <f t="shared" si="62"/>
        <v>0</v>
      </c>
      <c r="H788" s="379">
        <f t="shared" si="63"/>
        <v>0</v>
      </c>
    </row>
    <row r="789" spans="1:8">
      <c r="A789" s="375">
        <v>41229</v>
      </c>
      <c r="B789" s="379">
        <f t="shared" si="64"/>
        <v>786</v>
      </c>
      <c r="C789" s="28">
        <v>48.006517000000002</v>
      </c>
      <c r="D789" s="379">
        <f t="shared" si="60"/>
        <v>8.0277591676528749E-3</v>
      </c>
      <c r="E789" s="39">
        <v>1359.880005</v>
      </c>
      <c r="F789" s="379">
        <f t="shared" si="61"/>
        <v>4.8282748617601819E-3</v>
      </c>
      <c r="G789" s="379">
        <f t="shared" si="62"/>
        <v>0</v>
      </c>
      <c r="H789" s="379">
        <f t="shared" si="63"/>
        <v>0</v>
      </c>
    </row>
    <row r="790" spans="1:8">
      <c r="A790" s="375">
        <v>41228</v>
      </c>
      <c r="B790" s="379">
        <f t="shared" si="64"/>
        <v>787</v>
      </c>
      <c r="C790" s="28">
        <v>47.622675000000001</v>
      </c>
      <c r="D790" s="379">
        <f t="shared" si="60"/>
        <v>-3.2918916014546382E-3</v>
      </c>
      <c r="E790" s="39">
        <v>1353.329956</v>
      </c>
      <c r="F790" s="379">
        <f t="shared" si="61"/>
        <v>-1.5948158245184026E-3</v>
      </c>
      <c r="G790" s="379">
        <f t="shared" si="62"/>
        <v>0</v>
      </c>
      <c r="H790" s="379">
        <f t="shared" si="63"/>
        <v>0</v>
      </c>
    </row>
    <row r="791" spans="1:8">
      <c r="A791" s="375">
        <v>41227</v>
      </c>
      <c r="B791" s="379">
        <f t="shared" si="64"/>
        <v>788</v>
      </c>
      <c r="C791" s="28">
        <v>47.779702</v>
      </c>
      <c r="D791" s="379">
        <f t="shared" si="60"/>
        <v>-1.053402785890625E-2</v>
      </c>
      <c r="E791" s="39">
        <v>1355.48999</v>
      </c>
      <c r="F791" s="379">
        <f t="shared" si="61"/>
        <v>-1.3948870401252686E-2</v>
      </c>
      <c r="G791" s="379">
        <f t="shared" si="62"/>
        <v>0</v>
      </c>
      <c r="H791" s="379">
        <f t="shared" si="63"/>
        <v>0</v>
      </c>
    </row>
    <row r="792" spans="1:8">
      <c r="A792" s="375">
        <v>41226</v>
      </c>
      <c r="B792" s="379">
        <f t="shared" si="64"/>
        <v>789</v>
      </c>
      <c r="C792" s="28">
        <v>48.285674999999998</v>
      </c>
      <c r="D792" s="379">
        <f t="shared" si="60"/>
        <v>-5.2257228078309683E-3</v>
      </c>
      <c r="E792" s="39">
        <v>1374.530029</v>
      </c>
      <c r="F792" s="379">
        <f t="shared" si="61"/>
        <v>-3.9933834756060715E-3</v>
      </c>
      <c r="G792" s="379">
        <f t="shared" si="62"/>
        <v>0</v>
      </c>
      <c r="H792" s="379">
        <f t="shared" si="63"/>
        <v>0</v>
      </c>
    </row>
    <row r="793" spans="1:8">
      <c r="A793" s="375">
        <v>41225</v>
      </c>
      <c r="B793" s="379">
        <f t="shared" si="64"/>
        <v>790</v>
      </c>
      <c r="C793" s="28">
        <v>48.538663</v>
      </c>
      <c r="D793" s="379">
        <f t="shared" si="60"/>
        <v>-5.3901253222862007E-4</v>
      </c>
      <c r="E793" s="39">
        <v>1380.030029</v>
      </c>
      <c r="F793" s="379">
        <f t="shared" si="61"/>
        <v>1.3047886134862779E-4</v>
      </c>
      <c r="G793" s="379">
        <f t="shared" si="62"/>
        <v>0</v>
      </c>
      <c r="H793" s="379">
        <f t="shared" si="63"/>
        <v>0</v>
      </c>
    </row>
    <row r="794" spans="1:8">
      <c r="A794" s="375">
        <v>41222</v>
      </c>
      <c r="B794" s="379">
        <f t="shared" si="64"/>
        <v>791</v>
      </c>
      <c r="C794" s="28">
        <v>48.564833</v>
      </c>
      <c r="D794" s="379">
        <f t="shared" si="60"/>
        <v>-3.4072140714801057E-3</v>
      </c>
      <c r="E794" s="39">
        <v>1379.849976</v>
      </c>
      <c r="F794" s="379">
        <f t="shared" si="61"/>
        <v>1.6972514097554265E-3</v>
      </c>
      <c r="G794" s="379">
        <f t="shared" si="62"/>
        <v>0</v>
      </c>
      <c r="H794" s="379">
        <f t="shared" si="63"/>
        <v>0</v>
      </c>
    </row>
    <row r="795" spans="1:8">
      <c r="A795" s="375">
        <v>41221</v>
      </c>
      <c r="B795" s="379">
        <f t="shared" si="64"/>
        <v>792</v>
      </c>
      <c r="C795" s="28">
        <v>48.730586000000002</v>
      </c>
      <c r="D795" s="379">
        <f t="shared" si="60"/>
        <v>-1.6159443254844252E-2</v>
      </c>
      <c r="E795" s="39">
        <v>1377.51001</v>
      </c>
      <c r="F795" s="379">
        <f t="shared" si="61"/>
        <v>-1.2279932930479829E-2</v>
      </c>
      <c r="G795" s="379">
        <f t="shared" si="62"/>
        <v>0</v>
      </c>
      <c r="H795" s="379">
        <f t="shared" si="63"/>
        <v>0</v>
      </c>
    </row>
    <row r="796" spans="1:8">
      <c r="A796" s="375">
        <v>41220</v>
      </c>
      <c r="B796" s="379">
        <f t="shared" si="64"/>
        <v>793</v>
      </c>
      <c r="C796" s="28">
        <v>49.524442000000001</v>
      </c>
      <c r="D796" s="379">
        <f t="shared" si="60"/>
        <v>-2.5220932437812042E-2</v>
      </c>
      <c r="E796" s="39">
        <v>1394.530029</v>
      </c>
      <c r="F796" s="379">
        <f t="shared" si="61"/>
        <v>-2.3990484638215012E-2</v>
      </c>
      <c r="G796" s="379">
        <f t="shared" si="62"/>
        <v>0</v>
      </c>
      <c r="H796" s="379">
        <f t="shared" si="63"/>
        <v>0</v>
      </c>
    </row>
    <row r="797" spans="1:8">
      <c r="A797" s="375">
        <v>41219</v>
      </c>
      <c r="B797" s="379">
        <f t="shared" si="64"/>
        <v>794</v>
      </c>
      <c r="C797" s="28">
        <v>50.789378999999997</v>
      </c>
      <c r="D797" s="379">
        <f t="shared" si="60"/>
        <v>1.19224218820419E-2</v>
      </c>
      <c r="E797" s="39">
        <v>1428.3900149999999</v>
      </c>
      <c r="F797" s="379">
        <f t="shared" si="61"/>
        <v>7.822509203480283E-3</v>
      </c>
      <c r="G797" s="379">
        <f t="shared" si="62"/>
        <v>0</v>
      </c>
      <c r="H797" s="379">
        <f t="shared" si="63"/>
        <v>0</v>
      </c>
    </row>
    <row r="798" spans="1:8">
      <c r="A798" s="375">
        <v>41218</v>
      </c>
      <c r="B798" s="379">
        <f t="shared" si="64"/>
        <v>795</v>
      </c>
      <c r="C798" s="28">
        <v>50.187441999999997</v>
      </c>
      <c r="D798" s="379">
        <f t="shared" si="60"/>
        <v>-2.0837477078656857E-3</v>
      </c>
      <c r="E798" s="39">
        <v>1417.26001</v>
      </c>
      <c r="F798" s="379">
        <f t="shared" si="61"/>
        <v>2.1614716319645596E-3</v>
      </c>
      <c r="G798" s="379">
        <f t="shared" si="62"/>
        <v>0</v>
      </c>
      <c r="H798" s="379">
        <f t="shared" si="63"/>
        <v>0</v>
      </c>
    </row>
    <row r="799" spans="1:8">
      <c r="A799" s="375">
        <v>41215</v>
      </c>
      <c r="B799" s="379">
        <f t="shared" si="64"/>
        <v>796</v>
      </c>
      <c r="C799" s="28">
        <v>50.292129000000003</v>
      </c>
      <c r="D799" s="379">
        <f t="shared" si="60"/>
        <v>-1.326799373456586E-2</v>
      </c>
      <c r="E799" s="39">
        <v>1414.1999510000001</v>
      </c>
      <c r="F799" s="379">
        <f t="shared" si="61"/>
        <v>-9.4237184902954164E-3</v>
      </c>
      <c r="G799" s="379">
        <f t="shared" si="62"/>
        <v>0</v>
      </c>
      <c r="H799" s="379">
        <f t="shared" si="63"/>
        <v>0</v>
      </c>
    </row>
    <row r="800" spans="1:8">
      <c r="A800" s="375">
        <v>41214</v>
      </c>
      <c r="B800" s="379">
        <f t="shared" si="64"/>
        <v>797</v>
      </c>
      <c r="C800" s="28">
        <v>50.963850999999998</v>
      </c>
      <c r="D800" s="379">
        <f t="shared" si="60"/>
        <v>9.8048461520894355E-3</v>
      </c>
      <c r="E800" s="39">
        <v>1427.589966</v>
      </c>
      <c r="F800" s="379">
        <f t="shared" si="61"/>
        <v>1.0867212854096794E-2</v>
      </c>
      <c r="G800" s="379">
        <f t="shared" si="62"/>
        <v>0</v>
      </c>
      <c r="H800" s="379">
        <f t="shared" si="63"/>
        <v>0</v>
      </c>
    </row>
    <row r="801" spans="1:8">
      <c r="A801" s="375">
        <v>41213</v>
      </c>
      <c r="B801" s="379">
        <f t="shared" si="64"/>
        <v>798</v>
      </c>
      <c r="C801" s="28">
        <v>50.4666</v>
      </c>
      <c r="D801" s="379">
        <f t="shared" si="60"/>
        <v>9.3782699112022298E-3</v>
      </c>
      <c r="E801" s="39">
        <v>1412.160034</v>
      </c>
      <c r="F801" s="379">
        <f t="shared" si="61"/>
        <v>1.5586771176223611E-4</v>
      </c>
      <c r="G801" s="379">
        <f t="shared" si="62"/>
        <v>0</v>
      </c>
      <c r="H801" s="379">
        <f t="shared" si="63"/>
        <v>0</v>
      </c>
    </row>
    <row r="802" spans="1:8">
      <c r="A802" s="375">
        <v>41208</v>
      </c>
      <c r="B802" s="379">
        <f t="shared" si="64"/>
        <v>799</v>
      </c>
      <c r="C802" s="28">
        <v>49.995522999999999</v>
      </c>
      <c r="D802" s="379">
        <f t="shared" si="60"/>
        <v>2.6208056726309027E-3</v>
      </c>
      <c r="E802" s="39">
        <v>1411.9399410000001</v>
      </c>
      <c r="F802" s="379">
        <f t="shared" si="61"/>
        <v>-7.2924806647616078E-4</v>
      </c>
      <c r="G802" s="379">
        <f t="shared" si="62"/>
        <v>0</v>
      </c>
      <c r="H802" s="379">
        <f t="shared" si="63"/>
        <v>0</v>
      </c>
    </row>
    <row r="803" spans="1:8">
      <c r="A803" s="375">
        <v>41207</v>
      </c>
      <c r="B803" s="379">
        <f t="shared" si="64"/>
        <v>800</v>
      </c>
      <c r="C803" s="28">
        <v>49.864666</v>
      </c>
      <c r="D803" s="379">
        <f t="shared" si="60"/>
        <v>2.139590534999336E-2</v>
      </c>
      <c r="E803" s="39">
        <v>1412.969971</v>
      </c>
      <c r="F803" s="379">
        <f t="shared" si="61"/>
        <v>2.9910651585018625E-3</v>
      </c>
      <c r="G803" s="379">
        <f t="shared" si="62"/>
        <v>0</v>
      </c>
      <c r="H803" s="379">
        <f t="shared" si="63"/>
        <v>0</v>
      </c>
    </row>
    <row r="804" spans="1:8">
      <c r="A804" s="375">
        <v>41206</v>
      </c>
      <c r="B804" s="379">
        <f t="shared" si="64"/>
        <v>801</v>
      </c>
      <c r="C804" s="28">
        <v>48.809099000000003</v>
      </c>
      <c r="D804" s="379">
        <f t="shared" si="60"/>
        <v>-1.9641172135453841E-3</v>
      </c>
      <c r="E804" s="39">
        <v>1408.75</v>
      </c>
      <c r="F804" s="379">
        <f t="shared" si="61"/>
        <v>-3.0901522348015147E-3</v>
      </c>
      <c r="G804" s="379">
        <f t="shared" si="62"/>
        <v>0</v>
      </c>
      <c r="H804" s="379">
        <f t="shared" si="63"/>
        <v>0</v>
      </c>
    </row>
    <row r="805" spans="1:8">
      <c r="A805" s="375">
        <v>41205</v>
      </c>
      <c r="B805" s="379">
        <f t="shared" si="64"/>
        <v>802</v>
      </c>
      <c r="C805" s="28">
        <v>48.905059999999999</v>
      </c>
      <c r="D805" s="379">
        <f t="shared" si="60"/>
        <v>-1.7330219084402246E-2</v>
      </c>
      <c r="E805" s="39">
        <v>1413.1099850000001</v>
      </c>
      <c r="F805" s="379">
        <f t="shared" si="61"/>
        <v>-1.4549235017921323E-2</v>
      </c>
      <c r="G805" s="379">
        <f t="shared" si="62"/>
        <v>0</v>
      </c>
      <c r="H805" s="379">
        <f t="shared" si="63"/>
        <v>0</v>
      </c>
    </row>
    <row r="806" spans="1:8">
      <c r="A806" s="375">
        <v>41204</v>
      </c>
      <c r="B806" s="379">
        <f t="shared" si="64"/>
        <v>803</v>
      </c>
      <c r="C806" s="28">
        <v>49.759982000000001</v>
      </c>
      <c r="D806" s="379">
        <f t="shared" si="60"/>
        <v>-7.1622345762185034E-3</v>
      </c>
      <c r="E806" s="39">
        <v>1433.8199460000001</v>
      </c>
      <c r="F806" s="379">
        <f t="shared" si="61"/>
        <v>4.3948576040626187E-4</v>
      </c>
      <c r="G806" s="379">
        <f t="shared" si="62"/>
        <v>0</v>
      </c>
      <c r="H806" s="379">
        <f t="shared" si="63"/>
        <v>0</v>
      </c>
    </row>
    <row r="807" spans="1:8">
      <c r="A807" s="375">
        <v>41201</v>
      </c>
      <c r="B807" s="379">
        <f t="shared" si="64"/>
        <v>804</v>
      </c>
      <c r="C807" s="28">
        <v>50.117654000000002</v>
      </c>
      <c r="D807" s="379">
        <f t="shared" si="60"/>
        <v>-1.41723696932829E-2</v>
      </c>
      <c r="E807" s="39">
        <v>1433.1899410000001</v>
      </c>
      <c r="F807" s="379">
        <f t="shared" si="61"/>
        <v>-1.6710145006792722E-2</v>
      </c>
      <c r="G807" s="379">
        <f t="shared" si="62"/>
        <v>0</v>
      </c>
      <c r="H807" s="379">
        <f t="shared" si="63"/>
        <v>0</v>
      </c>
    </row>
    <row r="808" spans="1:8">
      <c r="A808" s="375">
        <v>41200</v>
      </c>
      <c r="B808" s="379">
        <f t="shared" si="64"/>
        <v>805</v>
      </c>
      <c r="C808" s="28">
        <v>50.832996999999999</v>
      </c>
      <c r="D808" s="379">
        <f t="shared" si="60"/>
        <v>2.5775721846876885E-3</v>
      </c>
      <c r="E808" s="39">
        <v>1457.339966</v>
      </c>
      <c r="F808" s="379">
        <f t="shared" si="61"/>
        <v>-2.4467196305996124E-3</v>
      </c>
      <c r="G808" s="379">
        <f t="shared" si="62"/>
        <v>0</v>
      </c>
      <c r="H808" s="379">
        <f t="shared" si="63"/>
        <v>0</v>
      </c>
    </row>
    <row r="809" spans="1:8">
      <c r="A809" s="375">
        <v>41199</v>
      </c>
      <c r="B809" s="379">
        <f t="shared" si="64"/>
        <v>806</v>
      </c>
      <c r="C809" s="28">
        <v>50.70214</v>
      </c>
      <c r="D809" s="379">
        <f t="shared" si="60"/>
        <v>8.6401097987486124E-3</v>
      </c>
      <c r="E809" s="39">
        <v>1460.910034</v>
      </c>
      <c r="F809" s="379">
        <f t="shared" si="61"/>
        <v>4.108605965369814E-3</v>
      </c>
      <c r="G809" s="379">
        <f t="shared" si="62"/>
        <v>0</v>
      </c>
      <c r="H809" s="379">
        <f t="shared" si="63"/>
        <v>0</v>
      </c>
    </row>
    <row r="810" spans="1:8">
      <c r="A810" s="375">
        <v>41198</v>
      </c>
      <c r="B810" s="379">
        <f t="shared" si="64"/>
        <v>807</v>
      </c>
      <c r="C810" s="28">
        <v>50.265954999999998</v>
      </c>
      <c r="D810" s="379">
        <f t="shared" si="60"/>
        <v>1.4509434658006502E-2</v>
      </c>
      <c r="E810" s="39">
        <v>1454.920044</v>
      </c>
      <c r="F810" s="379">
        <f t="shared" si="61"/>
        <v>1.0217555773385567E-2</v>
      </c>
      <c r="G810" s="379">
        <f t="shared" si="62"/>
        <v>0</v>
      </c>
      <c r="H810" s="379">
        <f t="shared" si="63"/>
        <v>0</v>
      </c>
    </row>
    <row r="811" spans="1:8">
      <c r="A811" s="375">
        <v>41197</v>
      </c>
      <c r="B811" s="379">
        <f t="shared" si="64"/>
        <v>808</v>
      </c>
      <c r="C811" s="28">
        <v>49.541890000000002</v>
      </c>
      <c r="D811" s="379">
        <f t="shared" si="60"/>
        <v>1.0977500917560085E-2</v>
      </c>
      <c r="E811" s="39">
        <v>1440.130005</v>
      </c>
      <c r="F811" s="379">
        <f t="shared" si="61"/>
        <v>8.0454707082601232E-3</v>
      </c>
      <c r="G811" s="379">
        <f t="shared" si="62"/>
        <v>0</v>
      </c>
      <c r="H811" s="379">
        <f t="shared" si="63"/>
        <v>0</v>
      </c>
    </row>
    <row r="812" spans="1:8">
      <c r="A812" s="375">
        <v>41194</v>
      </c>
      <c r="B812" s="379">
        <f t="shared" si="64"/>
        <v>809</v>
      </c>
      <c r="C812" s="28">
        <v>49.001018000000002</v>
      </c>
      <c r="D812" s="379">
        <f t="shared" si="60"/>
        <v>-8.1561310711577139E-3</v>
      </c>
      <c r="E812" s="39">
        <v>1428.589966</v>
      </c>
      <c r="F812" s="379">
        <f t="shared" si="61"/>
        <v>-2.9705449556433985E-3</v>
      </c>
      <c r="G812" s="379">
        <f t="shared" si="62"/>
        <v>0</v>
      </c>
      <c r="H812" s="379">
        <f t="shared" si="63"/>
        <v>0</v>
      </c>
    </row>
    <row r="813" spans="1:8">
      <c r="A813" s="375">
        <v>41193</v>
      </c>
      <c r="B813" s="379">
        <f t="shared" si="64"/>
        <v>810</v>
      </c>
      <c r="C813" s="28">
        <v>49.402310999999997</v>
      </c>
      <c r="D813" s="379">
        <f t="shared" si="60"/>
        <v>8.8328390007371457E-4</v>
      </c>
      <c r="E813" s="39">
        <v>1432.839966</v>
      </c>
      <c r="F813" s="379">
        <f t="shared" si="61"/>
        <v>1.953702788080363E-4</v>
      </c>
      <c r="G813" s="379">
        <f t="shared" si="62"/>
        <v>0</v>
      </c>
      <c r="H813" s="379">
        <f t="shared" si="63"/>
        <v>0</v>
      </c>
    </row>
    <row r="814" spans="1:8">
      <c r="A814" s="375">
        <v>41192</v>
      </c>
      <c r="B814" s="379">
        <f t="shared" si="64"/>
        <v>811</v>
      </c>
      <c r="C814" s="28">
        <v>49.358694</v>
      </c>
      <c r="D814" s="379">
        <f t="shared" si="60"/>
        <v>-9.735775226642639E-3</v>
      </c>
      <c r="E814" s="39">
        <v>1432.5600589999999</v>
      </c>
      <c r="F814" s="379">
        <f t="shared" si="61"/>
        <v>-6.2072549577114533E-3</v>
      </c>
      <c r="G814" s="379">
        <f t="shared" si="62"/>
        <v>0</v>
      </c>
      <c r="H814" s="379">
        <f t="shared" si="63"/>
        <v>0</v>
      </c>
    </row>
    <row r="815" spans="1:8">
      <c r="A815" s="375">
        <v>41191</v>
      </c>
      <c r="B815" s="379">
        <f t="shared" si="64"/>
        <v>812</v>
      </c>
      <c r="C815" s="28">
        <v>49.841586</v>
      </c>
      <c r="D815" s="379">
        <f t="shared" si="60"/>
        <v>3.1190457851700626E-3</v>
      </c>
      <c r="E815" s="39">
        <v>1441.4799800000001</v>
      </c>
      <c r="F815" s="379">
        <f t="shared" si="61"/>
        <v>-9.940182540820991E-3</v>
      </c>
      <c r="G815" s="379">
        <f t="shared" si="62"/>
        <v>0</v>
      </c>
      <c r="H815" s="379">
        <f t="shared" si="63"/>
        <v>0</v>
      </c>
    </row>
    <row r="816" spans="1:8">
      <c r="A816" s="375">
        <v>41190</v>
      </c>
      <c r="B816" s="379">
        <f t="shared" si="64"/>
        <v>813</v>
      </c>
      <c r="C816" s="28">
        <v>49.686369999999997</v>
      </c>
      <c r="D816" s="379">
        <f t="shared" si="60"/>
        <v>6.9439518787323162E-4</v>
      </c>
      <c r="E816" s="39">
        <v>1455.880005</v>
      </c>
      <c r="F816" s="379">
        <f t="shared" si="61"/>
        <v>-3.4627239647982812E-3</v>
      </c>
      <c r="G816" s="379">
        <f t="shared" si="62"/>
        <v>0</v>
      </c>
      <c r="H816" s="379">
        <f t="shared" si="63"/>
        <v>0</v>
      </c>
    </row>
    <row r="817" spans="1:8">
      <c r="A817" s="375">
        <v>41187</v>
      </c>
      <c r="B817" s="379">
        <f t="shared" si="64"/>
        <v>814</v>
      </c>
      <c r="C817" s="28">
        <v>49.651879999999998</v>
      </c>
      <c r="D817" s="379">
        <f t="shared" si="60"/>
        <v>3.1310016689112025E-3</v>
      </c>
      <c r="E817" s="39">
        <v>1460.9300539999999</v>
      </c>
      <c r="F817" s="379">
        <f t="shared" si="61"/>
        <v>-3.2164060288039127E-4</v>
      </c>
      <c r="G817" s="379">
        <f t="shared" si="62"/>
        <v>0</v>
      </c>
      <c r="H817" s="379">
        <f t="shared" si="63"/>
        <v>0</v>
      </c>
    </row>
    <row r="818" spans="1:8">
      <c r="A818" s="375">
        <v>41186</v>
      </c>
      <c r="B818" s="379">
        <f t="shared" si="64"/>
        <v>815</v>
      </c>
      <c r="C818" s="28">
        <v>49.496662999999998</v>
      </c>
      <c r="D818" s="379">
        <f t="shared" si="60"/>
        <v>1.1036305399623893E-2</v>
      </c>
      <c r="E818" s="39">
        <v>1461.400024</v>
      </c>
      <c r="F818" s="379">
        <f t="shared" si="61"/>
        <v>7.1488216098922665E-3</v>
      </c>
      <c r="G818" s="379">
        <f t="shared" si="62"/>
        <v>0</v>
      </c>
      <c r="H818" s="379">
        <f t="shared" si="63"/>
        <v>0</v>
      </c>
    </row>
    <row r="819" spans="1:8">
      <c r="A819" s="375">
        <v>41185</v>
      </c>
      <c r="B819" s="379">
        <f t="shared" si="64"/>
        <v>816</v>
      </c>
      <c r="C819" s="28">
        <v>48.953406000000001</v>
      </c>
      <c r="D819" s="379">
        <f t="shared" si="60"/>
        <v>-1.0513487053142345E-2</v>
      </c>
      <c r="E819" s="39">
        <v>1450.98999</v>
      </c>
      <c r="F819" s="379">
        <f t="shared" si="61"/>
        <v>3.617857131505876E-3</v>
      </c>
      <c r="G819" s="379">
        <f t="shared" si="62"/>
        <v>0</v>
      </c>
      <c r="H819" s="379">
        <f t="shared" si="63"/>
        <v>0</v>
      </c>
    </row>
    <row r="820" spans="1:8">
      <c r="A820" s="375">
        <v>41184</v>
      </c>
      <c r="B820" s="379">
        <f t="shared" si="64"/>
        <v>817</v>
      </c>
      <c r="C820" s="28">
        <v>49.470792000000003</v>
      </c>
      <c r="D820" s="379">
        <f t="shared" si="60"/>
        <v>-6.9699673783603063E-4</v>
      </c>
      <c r="E820" s="39">
        <v>1445.75</v>
      </c>
      <c r="F820" s="379">
        <f t="shared" si="61"/>
        <v>8.7190688952015695E-4</v>
      </c>
      <c r="G820" s="379">
        <f t="shared" si="62"/>
        <v>0</v>
      </c>
      <c r="H820" s="379">
        <f t="shared" si="63"/>
        <v>0</v>
      </c>
    </row>
    <row r="821" spans="1:8">
      <c r="A821" s="375">
        <v>41183</v>
      </c>
      <c r="B821" s="379">
        <f t="shared" si="64"/>
        <v>818</v>
      </c>
      <c r="C821" s="28">
        <v>49.505285000000001</v>
      </c>
      <c r="D821" s="379">
        <f t="shared" si="60"/>
        <v>4.0143056840591705E-3</v>
      </c>
      <c r="E821" s="39">
        <v>1444.48999</v>
      </c>
      <c r="F821" s="379">
        <f t="shared" si="61"/>
        <v>2.64799746778056E-3</v>
      </c>
      <c r="G821" s="379">
        <f t="shared" si="62"/>
        <v>0</v>
      </c>
      <c r="H821" s="379">
        <f t="shared" si="63"/>
        <v>0</v>
      </c>
    </row>
    <row r="822" spans="1:8">
      <c r="A822" s="375">
        <v>41180</v>
      </c>
      <c r="B822" s="379">
        <f t="shared" si="64"/>
        <v>819</v>
      </c>
      <c r="C822" s="28">
        <v>49.306953999999998</v>
      </c>
      <c r="D822" s="379">
        <f t="shared" si="60"/>
        <v>-3.665857937244867E-3</v>
      </c>
      <c r="E822" s="39">
        <v>1440.670044</v>
      </c>
      <c r="F822" s="379">
        <f t="shared" si="61"/>
        <v>-4.4878079126844167E-3</v>
      </c>
      <c r="G822" s="379">
        <f t="shared" si="62"/>
        <v>0</v>
      </c>
      <c r="H822" s="379">
        <f t="shared" si="63"/>
        <v>0</v>
      </c>
    </row>
    <row r="823" spans="1:8">
      <c r="A823" s="375">
        <v>41179</v>
      </c>
      <c r="B823" s="379">
        <f t="shared" si="64"/>
        <v>820</v>
      </c>
      <c r="C823" s="28">
        <v>49.488038000000003</v>
      </c>
      <c r="D823" s="379">
        <f t="shared" si="60"/>
        <v>6.6433964490558517E-3</v>
      </c>
      <c r="E823" s="39">
        <v>1447.150024</v>
      </c>
      <c r="F823" s="379">
        <f t="shared" si="61"/>
        <v>9.6027276237853117E-3</v>
      </c>
      <c r="G823" s="379">
        <f t="shared" si="62"/>
        <v>0</v>
      </c>
      <c r="H823" s="379">
        <f t="shared" si="63"/>
        <v>0</v>
      </c>
    </row>
    <row r="824" spans="1:8">
      <c r="A824" s="375">
        <v>41178</v>
      </c>
      <c r="B824" s="379">
        <f t="shared" si="64"/>
        <v>821</v>
      </c>
      <c r="C824" s="28">
        <v>49.160359</v>
      </c>
      <c r="D824" s="379">
        <f t="shared" si="60"/>
        <v>-6.991844195870141E-3</v>
      </c>
      <c r="E824" s="39">
        <v>1433.3199460000001</v>
      </c>
      <c r="F824" s="379">
        <f t="shared" si="61"/>
        <v>-5.7532535380596522E-3</v>
      </c>
      <c r="G824" s="379">
        <f t="shared" si="62"/>
        <v>0</v>
      </c>
      <c r="H824" s="379">
        <f t="shared" si="63"/>
        <v>0</v>
      </c>
    </row>
    <row r="825" spans="1:8">
      <c r="A825" s="375">
        <v>41177</v>
      </c>
      <c r="B825" s="379">
        <f t="shared" si="64"/>
        <v>822</v>
      </c>
      <c r="C825" s="28">
        <v>49.505285000000001</v>
      </c>
      <c r="D825" s="379">
        <f t="shared" si="60"/>
        <v>-9.5345902535951769E-3</v>
      </c>
      <c r="E825" s="39">
        <v>1441.589966</v>
      </c>
      <c r="F825" s="379">
        <f t="shared" si="61"/>
        <v>-1.0557389535232569E-2</v>
      </c>
      <c r="G825" s="379">
        <f t="shared" si="62"/>
        <v>0</v>
      </c>
      <c r="H825" s="379">
        <f t="shared" si="63"/>
        <v>0</v>
      </c>
    </row>
    <row r="826" spans="1:8">
      <c r="A826" s="375">
        <v>41176</v>
      </c>
      <c r="B826" s="379">
        <f t="shared" si="64"/>
        <v>823</v>
      </c>
      <c r="C826" s="28">
        <v>49.979554999999998</v>
      </c>
      <c r="D826" s="379">
        <f t="shared" si="60"/>
        <v>1.0405886837458918E-2</v>
      </c>
      <c r="E826" s="39">
        <v>1456.8900149999999</v>
      </c>
      <c r="F826" s="379">
        <f t="shared" si="61"/>
        <v>-2.2351495444944314E-3</v>
      </c>
      <c r="G826" s="379">
        <f t="shared" si="62"/>
        <v>0</v>
      </c>
      <c r="H826" s="379">
        <f t="shared" si="63"/>
        <v>0</v>
      </c>
    </row>
    <row r="827" spans="1:8">
      <c r="A827" s="375">
        <v>41173</v>
      </c>
      <c r="B827" s="379">
        <f t="shared" si="64"/>
        <v>824</v>
      </c>
      <c r="C827" s="28">
        <v>49.46217</v>
      </c>
      <c r="D827" s="379">
        <f t="shared" si="60"/>
        <v>-4.001733663341913E-3</v>
      </c>
      <c r="E827" s="39">
        <v>1460.150024</v>
      </c>
      <c r="F827" s="379">
        <f t="shared" si="61"/>
        <v>-7.5322299794522847E-5</v>
      </c>
      <c r="G827" s="379">
        <f t="shared" si="62"/>
        <v>0</v>
      </c>
      <c r="H827" s="379">
        <f t="shared" si="63"/>
        <v>0</v>
      </c>
    </row>
    <row r="828" spans="1:8">
      <c r="A828" s="375">
        <v>41172</v>
      </c>
      <c r="B828" s="379">
        <f t="shared" si="64"/>
        <v>825</v>
      </c>
      <c r="C828" s="28">
        <v>49.660500999999996</v>
      </c>
      <c r="D828" s="379">
        <f t="shared" si="60"/>
        <v>4.873790067019242E-3</v>
      </c>
      <c r="E828" s="39">
        <v>1460.26001</v>
      </c>
      <c r="F828" s="379">
        <f t="shared" si="61"/>
        <v>-5.4087994995709787E-4</v>
      </c>
      <c r="G828" s="379">
        <f t="shared" si="62"/>
        <v>0</v>
      </c>
      <c r="H828" s="379">
        <f t="shared" si="63"/>
        <v>0</v>
      </c>
    </row>
    <row r="829" spans="1:8">
      <c r="A829" s="375">
        <v>41171</v>
      </c>
      <c r="B829" s="379">
        <f t="shared" si="64"/>
        <v>826</v>
      </c>
      <c r="C829" s="28">
        <v>49.419055</v>
      </c>
      <c r="D829" s="379">
        <f t="shared" si="60"/>
        <v>-8.8595736647631013E-3</v>
      </c>
      <c r="E829" s="39">
        <v>1461.0500489999999</v>
      </c>
      <c r="F829" s="379">
        <f t="shared" si="61"/>
        <v>1.1848520600924431E-3</v>
      </c>
      <c r="G829" s="379">
        <f t="shared" si="62"/>
        <v>0</v>
      </c>
      <c r="H829" s="379">
        <f t="shared" si="63"/>
        <v>0</v>
      </c>
    </row>
    <row r="830" spans="1:8">
      <c r="A830" s="375">
        <v>41170</v>
      </c>
      <c r="B830" s="379">
        <f t="shared" si="64"/>
        <v>827</v>
      </c>
      <c r="C830" s="28">
        <v>49.858832</v>
      </c>
      <c r="D830" s="379">
        <f t="shared" si="60"/>
        <v>-8.2673495506132445E-3</v>
      </c>
      <c r="E830" s="39">
        <v>1459.3199460000001</v>
      </c>
      <c r="F830" s="379">
        <f t="shared" si="61"/>
        <v>-1.2805950521708822E-3</v>
      </c>
      <c r="G830" s="379">
        <f t="shared" si="62"/>
        <v>0</v>
      </c>
      <c r="H830" s="379">
        <f t="shared" si="63"/>
        <v>0</v>
      </c>
    </row>
    <row r="831" spans="1:8">
      <c r="A831" s="375">
        <v>41169</v>
      </c>
      <c r="B831" s="379">
        <f t="shared" si="64"/>
        <v>828</v>
      </c>
      <c r="C831" s="28">
        <v>50.272741000000003</v>
      </c>
      <c r="D831" s="379">
        <f t="shared" si="60"/>
        <v>1.5449319737039743E-3</v>
      </c>
      <c r="E831" s="39">
        <v>1461.1899410000001</v>
      </c>
      <c r="F831" s="379">
        <f t="shared" si="61"/>
        <v>-3.1295834580900429E-3</v>
      </c>
      <c r="G831" s="379">
        <f t="shared" si="62"/>
        <v>0</v>
      </c>
      <c r="H831" s="379">
        <f t="shared" si="63"/>
        <v>0</v>
      </c>
    </row>
    <row r="832" spans="1:8">
      <c r="A832" s="375">
        <v>41166</v>
      </c>
      <c r="B832" s="379">
        <f t="shared" si="64"/>
        <v>829</v>
      </c>
      <c r="C832" s="28">
        <v>50.195132999999998</v>
      </c>
      <c r="D832" s="379">
        <f t="shared" si="60"/>
        <v>9.6668692432979285E-3</v>
      </c>
      <c r="E832" s="39">
        <v>1465.7700199999999</v>
      </c>
      <c r="F832" s="379">
        <f t="shared" si="61"/>
        <v>3.9511357731378911E-3</v>
      </c>
      <c r="G832" s="379">
        <f t="shared" si="62"/>
        <v>0</v>
      </c>
      <c r="H832" s="379">
        <f t="shared" si="63"/>
        <v>0</v>
      </c>
    </row>
    <row r="833" spans="1:8">
      <c r="A833" s="375">
        <v>41165</v>
      </c>
      <c r="B833" s="379">
        <f t="shared" si="64"/>
        <v>830</v>
      </c>
      <c r="C833" s="28">
        <v>49.712240999999999</v>
      </c>
      <c r="D833" s="379">
        <f t="shared" si="60"/>
        <v>1.9441905973319986E-2</v>
      </c>
      <c r="E833" s="39">
        <v>1459.98999</v>
      </c>
      <c r="F833" s="379">
        <f t="shared" si="61"/>
        <v>1.6178171710518767E-2</v>
      </c>
      <c r="G833" s="379">
        <f t="shared" si="62"/>
        <v>0</v>
      </c>
      <c r="H833" s="379">
        <f t="shared" si="63"/>
        <v>0</v>
      </c>
    </row>
    <row r="834" spans="1:8">
      <c r="A834" s="375">
        <v>41164</v>
      </c>
      <c r="B834" s="379">
        <f t="shared" si="64"/>
        <v>831</v>
      </c>
      <c r="C834" s="28">
        <v>48.755074999999998</v>
      </c>
      <c r="D834" s="379">
        <f t="shared" si="60"/>
        <v>3.0112727348062932E-3</v>
      </c>
      <c r="E834" s="39">
        <v>1436.5600589999999</v>
      </c>
      <c r="F834" s="379">
        <f t="shared" si="61"/>
        <v>2.0905056020050954E-3</v>
      </c>
      <c r="G834" s="379">
        <f t="shared" si="62"/>
        <v>0</v>
      </c>
      <c r="H834" s="379">
        <f t="shared" si="63"/>
        <v>0</v>
      </c>
    </row>
    <row r="835" spans="1:8">
      <c r="A835" s="375">
        <v>41163</v>
      </c>
      <c r="B835" s="379">
        <f t="shared" si="64"/>
        <v>832</v>
      </c>
      <c r="C835" s="28">
        <v>48.608480999999998</v>
      </c>
      <c r="D835" s="379">
        <f t="shared" si="60"/>
        <v>3.376257226587747E-3</v>
      </c>
      <c r="E835" s="39">
        <v>1433.5600589999999</v>
      </c>
      <c r="F835" s="379">
        <f t="shared" si="61"/>
        <v>3.1300524231057353E-3</v>
      </c>
      <c r="G835" s="379">
        <f t="shared" si="62"/>
        <v>0</v>
      </c>
      <c r="H835" s="379">
        <f t="shared" si="63"/>
        <v>0</v>
      </c>
    </row>
    <row r="836" spans="1:8">
      <c r="A836" s="375">
        <v>41162</v>
      </c>
      <c r="B836" s="379">
        <f t="shared" si="64"/>
        <v>833</v>
      </c>
      <c r="C836" s="28">
        <v>48.444642999999999</v>
      </c>
      <c r="D836" s="379">
        <f t="shared" ref="D836:D899" si="65">LN(C836/C837)</f>
        <v>-8.154604158984835E-3</v>
      </c>
      <c r="E836" s="39">
        <v>1429.079956</v>
      </c>
      <c r="F836" s="379">
        <f t="shared" ref="F836:F899" si="66">LN(E836/E837)</f>
        <v>-6.1668057309528122E-3</v>
      </c>
      <c r="G836" s="379">
        <f t="shared" ref="G836:G899" si="67">IF(B836&lt;$D$1+1,D836,0)</f>
        <v>0</v>
      </c>
      <c r="H836" s="379">
        <f t="shared" ref="H836:H899" si="68">IF(B836&lt;$D$1+1,F836,0)</f>
        <v>0</v>
      </c>
    </row>
    <row r="837" spans="1:8">
      <c r="A837" s="375">
        <v>41159</v>
      </c>
      <c r="B837" s="379">
        <f t="shared" si="64"/>
        <v>834</v>
      </c>
      <c r="C837" s="28">
        <v>48.841304999999998</v>
      </c>
      <c r="D837" s="379">
        <f t="shared" si="65"/>
        <v>1.5120776359412962E-2</v>
      </c>
      <c r="E837" s="39">
        <v>1437.920044</v>
      </c>
      <c r="F837" s="379">
        <f t="shared" si="66"/>
        <v>4.0417951088033317E-3</v>
      </c>
      <c r="G837" s="379">
        <f t="shared" si="67"/>
        <v>0</v>
      </c>
      <c r="H837" s="379">
        <f t="shared" si="68"/>
        <v>0</v>
      </c>
    </row>
    <row r="838" spans="1:8">
      <c r="A838" s="375">
        <v>41158</v>
      </c>
      <c r="B838" s="379">
        <f t="shared" ref="B838:B901" si="69">B837+1</f>
        <v>835</v>
      </c>
      <c r="C838" s="28">
        <v>48.108342</v>
      </c>
      <c r="D838" s="379">
        <f t="shared" si="65"/>
        <v>1.662792657843562E-2</v>
      </c>
      <c r="E838" s="39">
        <v>1432.119995</v>
      </c>
      <c r="F838" s="379">
        <f t="shared" si="66"/>
        <v>2.0229536819646184E-2</v>
      </c>
      <c r="G838" s="379">
        <f t="shared" si="67"/>
        <v>0</v>
      </c>
      <c r="H838" s="379">
        <f t="shared" si="68"/>
        <v>0</v>
      </c>
    </row>
    <row r="839" spans="1:8">
      <c r="A839" s="375">
        <v>41157</v>
      </c>
      <c r="B839" s="379">
        <f t="shared" si="69"/>
        <v>836</v>
      </c>
      <c r="C839" s="28">
        <v>47.315013999999998</v>
      </c>
      <c r="D839" s="379">
        <f t="shared" si="65"/>
        <v>-2.412792655597909E-2</v>
      </c>
      <c r="E839" s="39">
        <v>1403.4399410000001</v>
      </c>
      <c r="F839" s="379">
        <f t="shared" si="66"/>
        <v>-1.0682316535977731E-3</v>
      </c>
      <c r="G839" s="379">
        <f t="shared" si="67"/>
        <v>0</v>
      </c>
      <c r="H839" s="379">
        <f t="shared" si="68"/>
        <v>0</v>
      </c>
    </row>
    <row r="840" spans="1:8">
      <c r="A840" s="375">
        <v>41156</v>
      </c>
      <c r="B840" s="379">
        <f t="shared" si="69"/>
        <v>837</v>
      </c>
      <c r="C840" s="28">
        <v>48.470511000000002</v>
      </c>
      <c r="D840" s="379">
        <f t="shared" si="65"/>
        <v>-1.0265607914646603E-2</v>
      </c>
      <c r="E840" s="39">
        <v>1404.9399410000001</v>
      </c>
      <c r="F840" s="379">
        <f t="shared" si="66"/>
        <v>-1.1666395729665923E-3</v>
      </c>
      <c r="G840" s="379">
        <f t="shared" si="67"/>
        <v>0</v>
      </c>
      <c r="H840" s="379">
        <f t="shared" si="68"/>
        <v>0</v>
      </c>
    </row>
    <row r="841" spans="1:8">
      <c r="A841" s="375">
        <v>41152</v>
      </c>
      <c r="B841" s="379">
        <f t="shared" si="69"/>
        <v>838</v>
      </c>
      <c r="C841" s="28">
        <v>48.970652999999999</v>
      </c>
      <c r="D841" s="379">
        <f t="shared" si="65"/>
        <v>1.2046212074801221E-2</v>
      </c>
      <c r="E841" s="39">
        <v>1406.579956</v>
      </c>
      <c r="F841" s="379">
        <f t="shared" si="66"/>
        <v>5.060470063711105E-3</v>
      </c>
      <c r="G841" s="379">
        <f t="shared" si="67"/>
        <v>0</v>
      </c>
      <c r="H841" s="379">
        <f t="shared" si="68"/>
        <v>0</v>
      </c>
    </row>
    <row r="842" spans="1:8">
      <c r="A842" s="375">
        <v>41151</v>
      </c>
      <c r="B842" s="379">
        <f t="shared" si="69"/>
        <v>839</v>
      </c>
      <c r="C842" s="28">
        <v>48.384281000000001</v>
      </c>
      <c r="D842" s="379">
        <f t="shared" si="65"/>
        <v>-4.2681560221564854E-3</v>
      </c>
      <c r="E842" s="39">
        <v>1399.4799800000001</v>
      </c>
      <c r="F842" s="379">
        <f t="shared" si="66"/>
        <v>-7.836429898453557E-3</v>
      </c>
      <c r="G842" s="379">
        <f t="shared" si="67"/>
        <v>0</v>
      </c>
      <c r="H842" s="379">
        <f t="shared" si="68"/>
        <v>0</v>
      </c>
    </row>
    <row r="843" spans="1:8">
      <c r="A843" s="375">
        <v>41150</v>
      </c>
      <c r="B843" s="379">
        <f t="shared" si="69"/>
        <v>840</v>
      </c>
      <c r="C843" s="28">
        <v>48.591234</v>
      </c>
      <c r="D843" s="379">
        <f t="shared" si="65"/>
        <v>-1.9501981990867083E-3</v>
      </c>
      <c r="E843" s="39">
        <v>1410.48999</v>
      </c>
      <c r="F843" s="379">
        <f t="shared" si="66"/>
        <v>8.4399267617631276E-4</v>
      </c>
      <c r="G843" s="379">
        <f t="shared" si="67"/>
        <v>0</v>
      </c>
      <c r="H843" s="379">
        <f t="shared" si="68"/>
        <v>0</v>
      </c>
    </row>
    <row r="844" spans="1:8">
      <c r="A844" s="375">
        <v>41149</v>
      </c>
      <c r="B844" s="379">
        <f t="shared" si="69"/>
        <v>841</v>
      </c>
      <c r="C844" s="28">
        <v>48.686089000000003</v>
      </c>
      <c r="D844" s="379">
        <f t="shared" si="65"/>
        <v>1.417918749052663E-3</v>
      </c>
      <c r="E844" s="39">
        <v>1409.3000489999999</v>
      </c>
      <c r="F844" s="379">
        <f t="shared" si="66"/>
        <v>-8.0850863280795967E-4</v>
      </c>
      <c r="G844" s="379">
        <f t="shared" si="67"/>
        <v>0</v>
      </c>
      <c r="H844" s="379">
        <f t="shared" si="68"/>
        <v>0</v>
      </c>
    </row>
    <row r="845" spans="1:8">
      <c r="A845" s="375">
        <v>41148</v>
      </c>
      <c r="B845" s="379">
        <f t="shared" si="69"/>
        <v>842</v>
      </c>
      <c r="C845" s="28">
        <v>48.617105000000002</v>
      </c>
      <c r="D845" s="379">
        <f t="shared" si="65"/>
        <v>3.5479404974861101E-4</v>
      </c>
      <c r="E845" s="39">
        <v>1410.4399410000001</v>
      </c>
      <c r="F845" s="379">
        <f t="shared" si="66"/>
        <v>-4.8913479159822231E-4</v>
      </c>
      <c r="G845" s="379">
        <f t="shared" si="67"/>
        <v>0</v>
      </c>
      <c r="H845" s="379">
        <f t="shared" si="68"/>
        <v>0</v>
      </c>
    </row>
    <row r="846" spans="1:8">
      <c r="A846" s="375">
        <v>41145</v>
      </c>
      <c r="B846" s="379">
        <f t="shared" si="69"/>
        <v>843</v>
      </c>
      <c r="C846" s="28">
        <v>48.599859000000002</v>
      </c>
      <c r="D846" s="379">
        <f t="shared" si="65"/>
        <v>3.5549430235202284E-3</v>
      </c>
      <c r="E846" s="39">
        <v>1411.130005</v>
      </c>
      <c r="F846" s="379">
        <f t="shared" si="66"/>
        <v>6.4339884653119859E-3</v>
      </c>
      <c r="G846" s="379">
        <f t="shared" si="67"/>
        <v>0</v>
      </c>
      <c r="H846" s="379">
        <f t="shared" si="68"/>
        <v>0</v>
      </c>
    </row>
    <row r="847" spans="1:8">
      <c r="A847" s="375">
        <v>41144</v>
      </c>
      <c r="B847" s="379">
        <f t="shared" si="69"/>
        <v>844</v>
      </c>
      <c r="C847" s="28">
        <v>48.427396000000002</v>
      </c>
      <c r="D847" s="379">
        <f t="shared" si="65"/>
        <v>-9.2166588938173422E-3</v>
      </c>
      <c r="E847" s="39">
        <v>1402.079956</v>
      </c>
      <c r="F847" s="379">
        <f t="shared" si="66"/>
        <v>-8.1049994709141097E-3</v>
      </c>
      <c r="G847" s="379">
        <f t="shared" si="67"/>
        <v>0</v>
      </c>
      <c r="H847" s="379">
        <f t="shared" si="68"/>
        <v>0</v>
      </c>
    </row>
    <row r="848" spans="1:8">
      <c r="A848" s="375">
        <v>41143</v>
      </c>
      <c r="B848" s="379">
        <f t="shared" si="69"/>
        <v>845</v>
      </c>
      <c r="C848" s="28">
        <v>48.875798000000003</v>
      </c>
      <c r="D848" s="379">
        <f t="shared" si="65"/>
        <v>8.8252324377726971E-4</v>
      </c>
      <c r="E848" s="39">
        <v>1413.48999</v>
      </c>
      <c r="F848" s="379">
        <f t="shared" si="66"/>
        <v>2.2637741894539467E-4</v>
      </c>
      <c r="G848" s="379">
        <f t="shared" si="67"/>
        <v>0</v>
      </c>
      <c r="H848" s="379">
        <f t="shared" si="68"/>
        <v>0</v>
      </c>
    </row>
    <row r="849" spans="1:8">
      <c r="A849" s="375">
        <v>41142</v>
      </c>
      <c r="B849" s="379">
        <f t="shared" si="69"/>
        <v>846</v>
      </c>
      <c r="C849" s="28">
        <v>48.832683000000003</v>
      </c>
      <c r="D849" s="379">
        <f t="shared" si="65"/>
        <v>-7.0385349845046019E-3</v>
      </c>
      <c r="E849" s="39">
        <v>1413.170044</v>
      </c>
      <c r="F849" s="379">
        <f t="shared" si="66"/>
        <v>-3.5036668583813906E-3</v>
      </c>
      <c r="G849" s="379">
        <f t="shared" si="67"/>
        <v>0</v>
      </c>
      <c r="H849" s="379">
        <f t="shared" si="68"/>
        <v>0</v>
      </c>
    </row>
    <row r="850" spans="1:8">
      <c r="A850" s="375">
        <v>41141</v>
      </c>
      <c r="B850" s="379">
        <f t="shared" si="69"/>
        <v>847</v>
      </c>
      <c r="C850" s="28">
        <v>49.177605999999997</v>
      </c>
      <c r="D850" s="379">
        <f t="shared" si="65"/>
        <v>-6.2926265266390925E-3</v>
      </c>
      <c r="E850" s="39">
        <v>1418.130005</v>
      </c>
      <c r="F850" s="379">
        <f t="shared" si="66"/>
        <v>-2.1174844312951057E-5</v>
      </c>
      <c r="G850" s="379">
        <f t="shared" si="67"/>
        <v>0</v>
      </c>
      <c r="H850" s="379">
        <f t="shared" si="68"/>
        <v>0</v>
      </c>
    </row>
    <row r="851" spans="1:8">
      <c r="A851" s="375">
        <v>41138</v>
      </c>
      <c r="B851" s="379">
        <f t="shared" si="69"/>
        <v>848</v>
      </c>
      <c r="C851" s="28">
        <v>49.488038000000003</v>
      </c>
      <c r="D851" s="379">
        <f t="shared" si="65"/>
        <v>-2.784067338295621E-3</v>
      </c>
      <c r="E851" s="39">
        <v>1418.160034</v>
      </c>
      <c r="F851" s="379">
        <f t="shared" si="66"/>
        <v>1.8703834471956854E-3</v>
      </c>
      <c r="G851" s="379">
        <f t="shared" si="67"/>
        <v>0</v>
      </c>
      <c r="H851" s="379">
        <f t="shared" si="68"/>
        <v>0</v>
      </c>
    </row>
    <row r="852" spans="1:8">
      <c r="A852" s="375">
        <v>41137</v>
      </c>
      <c r="B852" s="379">
        <f t="shared" si="69"/>
        <v>849</v>
      </c>
      <c r="C852" s="28">
        <v>49.626007999999999</v>
      </c>
      <c r="D852" s="379">
        <f t="shared" si="65"/>
        <v>5.4011305675240569E-3</v>
      </c>
      <c r="E852" s="39">
        <v>1415.51001</v>
      </c>
      <c r="F852" s="379">
        <f t="shared" si="66"/>
        <v>7.0754207643009236E-3</v>
      </c>
      <c r="G852" s="379">
        <f t="shared" si="67"/>
        <v>0</v>
      </c>
      <c r="H852" s="379">
        <f t="shared" si="68"/>
        <v>0</v>
      </c>
    </row>
    <row r="853" spans="1:8">
      <c r="A853" s="375">
        <v>41136</v>
      </c>
      <c r="B853" s="379">
        <f t="shared" si="69"/>
        <v>850</v>
      </c>
      <c r="C853" s="28">
        <v>49.358694</v>
      </c>
      <c r="D853" s="379">
        <f t="shared" si="65"/>
        <v>-1.9198234974286148E-3</v>
      </c>
      <c r="E853" s="39">
        <v>1405.530029</v>
      </c>
      <c r="F853" s="379">
        <f t="shared" si="66"/>
        <v>1.1389912123344658E-3</v>
      </c>
      <c r="G853" s="379">
        <f t="shared" si="67"/>
        <v>0</v>
      </c>
      <c r="H853" s="379">
        <f t="shared" si="68"/>
        <v>0</v>
      </c>
    </row>
    <row r="854" spans="1:8">
      <c r="A854" s="375">
        <v>41135</v>
      </c>
      <c r="B854" s="379">
        <f t="shared" si="69"/>
        <v>851</v>
      </c>
      <c r="C854" s="28">
        <v>49.453544999999998</v>
      </c>
      <c r="D854" s="379">
        <f t="shared" si="65"/>
        <v>6.9766550892692077E-4</v>
      </c>
      <c r="E854" s="39">
        <v>1403.9300539999999</v>
      </c>
      <c r="F854" s="379">
        <f t="shared" si="66"/>
        <v>-1.2815415574377143E-4</v>
      </c>
      <c r="G854" s="379">
        <f t="shared" si="67"/>
        <v>0</v>
      </c>
      <c r="H854" s="379">
        <f t="shared" si="68"/>
        <v>0</v>
      </c>
    </row>
    <row r="855" spans="1:8">
      <c r="A855" s="375">
        <v>41134</v>
      </c>
      <c r="B855" s="379">
        <f t="shared" si="69"/>
        <v>852</v>
      </c>
      <c r="C855" s="28">
        <v>49.419055</v>
      </c>
      <c r="D855" s="379">
        <f t="shared" si="65"/>
        <v>5.2363959875771399E-4</v>
      </c>
      <c r="E855" s="39">
        <v>1404.1099850000001</v>
      </c>
      <c r="F855" s="379">
        <f t="shared" si="66"/>
        <v>-1.2526852452191702E-3</v>
      </c>
      <c r="G855" s="379">
        <f t="shared" si="67"/>
        <v>0</v>
      </c>
      <c r="H855" s="379">
        <f t="shared" si="68"/>
        <v>0</v>
      </c>
    </row>
    <row r="856" spans="1:8">
      <c r="A856" s="375">
        <v>41131</v>
      </c>
      <c r="B856" s="379">
        <f t="shared" si="69"/>
        <v>853</v>
      </c>
      <c r="C856" s="28">
        <v>49.393183999999998</v>
      </c>
      <c r="D856" s="379">
        <f t="shared" si="65"/>
        <v>3.3225298665543169E-3</v>
      </c>
      <c r="E856" s="39">
        <v>1405.869995</v>
      </c>
      <c r="F856" s="379">
        <f t="shared" si="66"/>
        <v>2.1860504612261716E-3</v>
      </c>
      <c r="G856" s="379">
        <f t="shared" si="67"/>
        <v>0</v>
      </c>
      <c r="H856" s="379">
        <f t="shared" si="68"/>
        <v>0</v>
      </c>
    </row>
    <row r="857" spans="1:8">
      <c r="A857" s="375">
        <v>41130</v>
      </c>
      <c r="B857" s="379">
        <f t="shared" si="69"/>
        <v>854</v>
      </c>
      <c r="C857" s="28">
        <v>49.229346</v>
      </c>
      <c r="D857" s="379">
        <f t="shared" si="65"/>
        <v>-1.400276851588832E-3</v>
      </c>
      <c r="E857" s="39">
        <v>1402.8000489999999</v>
      </c>
      <c r="F857" s="379">
        <f t="shared" si="66"/>
        <v>4.1359990597796258E-4</v>
      </c>
      <c r="G857" s="379">
        <f t="shared" si="67"/>
        <v>0</v>
      </c>
      <c r="H857" s="379">
        <f t="shared" si="68"/>
        <v>0</v>
      </c>
    </row>
    <row r="858" spans="1:8">
      <c r="A858" s="375">
        <v>41129</v>
      </c>
      <c r="B858" s="379">
        <f t="shared" si="69"/>
        <v>855</v>
      </c>
      <c r="C858" s="28">
        <v>49.298329000000003</v>
      </c>
      <c r="D858" s="379">
        <f t="shared" si="65"/>
        <v>1.2673952874758752E-2</v>
      </c>
      <c r="E858" s="39">
        <v>1402.219971</v>
      </c>
      <c r="F858" s="379">
        <f t="shared" si="66"/>
        <v>6.2063372369711937E-4</v>
      </c>
      <c r="G858" s="379">
        <f t="shared" si="67"/>
        <v>0</v>
      </c>
      <c r="H858" s="379">
        <f t="shared" si="68"/>
        <v>0</v>
      </c>
    </row>
    <row r="859" spans="1:8">
      <c r="A859" s="375">
        <v>41128</v>
      </c>
      <c r="B859" s="379">
        <f t="shared" si="69"/>
        <v>856</v>
      </c>
      <c r="C859" s="28">
        <v>48.677467</v>
      </c>
      <c r="D859" s="379">
        <f t="shared" si="65"/>
        <v>9.969832468900864E-3</v>
      </c>
      <c r="E859" s="39">
        <v>1401.349976</v>
      </c>
      <c r="F859" s="379">
        <f t="shared" si="66"/>
        <v>5.0937633742738596E-3</v>
      </c>
      <c r="G859" s="379">
        <f t="shared" si="67"/>
        <v>0</v>
      </c>
      <c r="H859" s="379">
        <f t="shared" si="68"/>
        <v>0</v>
      </c>
    </row>
    <row r="860" spans="1:8">
      <c r="A860" s="375">
        <v>41127</v>
      </c>
      <c r="B860" s="379">
        <f t="shared" si="69"/>
        <v>857</v>
      </c>
      <c r="C860" s="28">
        <v>48.194572000000001</v>
      </c>
      <c r="D860" s="379">
        <f t="shared" si="65"/>
        <v>3.2258297969840772E-3</v>
      </c>
      <c r="E860" s="39">
        <v>1394.2299800000001</v>
      </c>
      <c r="F860" s="379">
        <f t="shared" si="66"/>
        <v>2.3265605563456818E-3</v>
      </c>
      <c r="G860" s="379">
        <f t="shared" si="67"/>
        <v>0</v>
      </c>
      <c r="H860" s="379">
        <f t="shared" si="68"/>
        <v>0</v>
      </c>
    </row>
    <row r="861" spans="1:8">
      <c r="A861" s="375">
        <v>41124</v>
      </c>
      <c r="B861" s="379">
        <f t="shared" si="69"/>
        <v>858</v>
      </c>
      <c r="C861" s="28">
        <v>48.039355</v>
      </c>
      <c r="D861" s="379">
        <f t="shared" si="65"/>
        <v>1.9210389254406865E-2</v>
      </c>
      <c r="E861" s="39">
        <v>1390.98999</v>
      </c>
      <c r="F861" s="379">
        <f t="shared" si="66"/>
        <v>1.8861288016807361E-2</v>
      </c>
      <c r="G861" s="379">
        <f t="shared" si="67"/>
        <v>0</v>
      </c>
      <c r="H861" s="379">
        <f t="shared" si="68"/>
        <v>0</v>
      </c>
    </row>
    <row r="862" spans="1:8">
      <c r="A862" s="375">
        <v>41123</v>
      </c>
      <c r="B862" s="379">
        <f t="shared" si="69"/>
        <v>859</v>
      </c>
      <c r="C862" s="28">
        <v>47.125307999999997</v>
      </c>
      <c r="D862" s="379">
        <f t="shared" si="65"/>
        <v>-1.0375983613567298E-2</v>
      </c>
      <c r="E862" s="39">
        <v>1365</v>
      </c>
      <c r="F862" s="379">
        <f t="shared" si="66"/>
        <v>-7.5319634139576893E-3</v>
      </c>
      <c r="G862" s="379">
        <f t="shared" si="67"/>
        <v>0</v>
      </c>
      <c r="H862" s="379">
        <f t="shared" si="68"/>
        <v>0</v>
      </c>
    </row>
    <row r="863" spans="1:8">
      <c r="A863" s="375">
        <v>41122</v>
      </c>
      <c r="B863" s="379">
        <f t="shared" si="69"/>
        <v>860</v>
      </c>
      <c r="C863" s="28">
        <v>47.616824999999999</v>
      </c>
      <c r="D863" s="379">
        <f t="shared" si="65"/>
        <v>1.4226076784911185E-2</v>
      </c>
      <c r="E863" s="39">
        <v>1375.3199460000001</v>
      </c>
      <c r="F863" s="379">
        <f t="shared" si="66"/>
        <v>-2.9041929023549294E-3</v>
      </c>
      <c r="G863" s="379">
        <f t="shared" si="67"/>
        <v>0</v>
      </c>
      <c r="H863" s="379">
        <f t="shared" si="68"/>
        <v>0</v>
      </c>
    </row>
    <row r="864" spans="1:8">
      <c r="A864" s="375">
        <v>41121</v>
      </c>
      <c r="B864" s="379">
        <f t="shared" si="69"/>
        <v>861</v>
      </c>
      <c r="C864" s="28">
        <v>46.944220000000001</v>
      </c>
      <c r="D864" s="379">
        <f t="shared" si="65"/>
        <v>-7.6853354038763774E-3</v>
      </c>
      <c r="E864" s="39">
        <v>1379.3199460000001</v>
      </c>
      <c r="F864" s="379">
        <f t="shared" si="66"/>
        <v>-4.326173099859644E-3</v>
      </c>
      <c r="G864" s="379">
        <f t="shared" si="67"/>
        <v>0</v>
      </c>
      <c r="H864" s="379">
        <f t="shared" si="68"/>
        <v>0</v>
      </c>
    </row>
    <row r="865" spans="1:8">
      <c r="A865" s="375">
        <v>41120</v>
      </c>
      <c r="B865" s="379">
        <f t="shared" si="69"/>
        <v>862</v>
      </c>
      <c r="C865" s="28">
        <v>47.306392000000002</v>
      </c>
      <c r="D865" s="379">
        <f t="shared" si="65"/>
        <v>-2.0031125834911474E-3</v>
      </c>
      <c r="E865" s="39">
        <v>1385.3000489999999</v>
      </c>
      <c r="F865" s="379">
        <f t="shared" si="66"/>
        <v>-4.8347653474023201E-4</v>
      </c>
      <c r="G865" s="379">
        <f t="shared" si="67"/>
        <v>0</v>
      </c>
      <c r="H865" s="379">
        <f t="shared" si="68"/>
        <v>0</v>
      </c>
    </row>
    <row r="866" spans="1:8">
      <c r="A866" s="375">
        <v>41117</v>
      </c>
      <c r="B866" s="379">
        <f t="shared" si="69"/>
        <v>863</v>
      </c>
      <c r="C866" s="28">
        <v>47.401246999999998</v>
      </c>
      <c r="D866" s="379">
        <f t="shared" si="65"/>
        <v>1.0423419750464931E-2</v>
      </c>
      <c r="E866" s="39">
        <v>1385.969971</v>
      </c>
      <c r="F866" s="379">
        <f t="shared" si="66"/>
        <v>1.8900814359986393E-2</v>
      </c>
      <c r="G866" s="379">
        <f t="shared" si="67"/>
        <v>0</v>
      </c>
      <c r="H866" s="379">
        <f t="shared" si="68"/>
        <v>0</v>
      </c>
    </row>
    <row r="867" spans="1:8">
      <c r="A867" s="375">
        <v>41116</v>
      </c>
      <c r="B867" s="379">
        <f t="shared" si="69"/>
        <v>864</v>
      </c>
      <c r="C867" s="28">
        <v>46.909730000000003</v>
      </c>
      <c r="D867" s="379">
        <f t="shared" si="65"/>
        <v>2.1554160174824318E-2</v>
      </c>
      <c r="E867" s="39">
        <v>1360.0200199999999</v>
      </c>
      <c r="F867" s="379">
        <f t="shared" si="66"/>
        <v>1.6405662946841319E-2</v>
      </c>
      <c r="G867" s="379">
        <f t="shared" si="67"/>
        <v>0</v>
      </c>
      <c r="H867" s="379">
        <f t="shared" si="68"/>
        <v>0</v>
      </c>
    </row>
    <row r="868" spans="1:8">
      <c r="A868" s="375">
        <v>41115</v>
      </c>
      <c r="B868" s="379">
        <f t="shared" si="69"/>
        <v>865</v>
      </c>
      <c r="C868" s="28">
        <v>45.909449000000002</v>
      </c>
      <c r="D868" s="379">
        <f t="shared" si="65"/>
        <v>-2.5956185682093978E-2</v>
      </c>
      <c r="E868" s="39">
        <v>1337.8900149999999</v>
      </c>
      <c r="F868" s="379">
        <f t="shared" si="66"/>
        <v>-3.1391076289847745E-4</v>
      </c>
      <c r="G868" s="379">
        <f t="shared" si="67"/>
        <v>0</v>
      </c>
      <c r="H868" s="379">
        <f t="shared" si="68"/>
        <v>0</v>
      </c>
    </row>
    <row r="869" spans="1:8">
      <c r="A869" s="375">
        <v>41114</v>
      </c>
      <c r="B869" s="379">
        <f t="shared" si="69"/>
        <v>866</v>
      </c>
      <c r="C869" s="28">
        <v>47.116683000000002</v>
      </c>
      <c r="D869" s="379">
        <f t="shared" si="65"/>
        <v>-7.4756355881930945E-3</v>
      </c>
      <c r="E869" s="39">
        <v>1338.3100589999999</v>
      </c>
      <c r="F869" s="379">
        <f t="shared" si="66"/>
        <v>-9.0820502359581987E-3</v>
      </c>
      <c r="G869" s="379">
        <f t="shared" si="67"/>
        <v>0</v>
      </c>
      <c r="H869" s="379">
        <f t="shared" si="68"/>
        <v>0</v>
      </c>
    </row>
    <row r="870" spans="1:8">
      <c r="A870" s="375">
        <v>41113</v>
      </c>
      <c r="B870" s="379">
        <f t="shared" si="69"/>
        <v>867</v>
      </c>
      <c r="C870" s="28">
        <v>47.470230000000001</v>
      </c>
      <c r="D870" s="379">
        <f t="shared" si="65"/>
        <v>-1.6931291944308605E-2</v>
      </c>
      <c r="E870" s="39">
        <v>1350.5200199999999</v>
      </c>
      <c r="F870" s="379">
        <f t="shared" si="66"/>
        <v>-8.9489785247535963E-3</v>
      </c>
      <c r="G870" s="379">
        <f t="shared" si="67"/>
        <v>0</v>
      </c>
      <c r="H870" s="379">
        <f t="shared" si="68"/>
        <v>0</v>
      </c>
    </row>
    <row r="871" spans="1:8">
      <c r="A871" s="375">
        <v>41110</v>
      </c>
      <c r="B871" s="379">
        <f t="shared" si="69"/>
        <v>868</v>
      </c>
      <c r="C871" s="28">
        <v>48.280805000000001</v>
      </c>
      <c r="D871" s="379">
        <f t="shared" si="65"/>
        <v>-6.7639521936914389E-3</v>
      </c>
      <c r="E871" s="39">
        <v>1362.660034</v>
      </c>
      <c r="F871" s="379">
        <f t="shared" si="66"/>
        <v>-1.0112620836301853E-2</v>
      </c>
      <c r="G871" s="379">
        <f t="shared" si="67"/>
        <v>0</v>
      </c>
      <c r="H871" s="379">
        <f t="shared" si="68"/>
        <v>0</v>
      </c>
    </row>
    <row r="872" spans="1:8">
      <c r="A872" s="375">
        <v>41109</v>
      </c>
      <c r="B872" s="379">
        <f t="shared" si="69"/>
        <v>869</v>
      </c>
      <c r="C872" s="28">
        <v>48.608480999999998</v>
      </c>
      <c r="D872" s="379">
        <f t="shared" si="65"/>
        <v>4.6230749453665372E-3</v>
      </c>
      <c r="E872" s="39">
        <v>1376.51001</v>
      </c>
      <c r="F872" s="379">
        <f t="shared" si="66"/>
        <v>2.7134156350371252E-3</v>
      </c>
      <c r="G872" s="379">
        <f t="shared" si="67"/>
        <v>0</v>
      </c>
      <c r="H872" s="379">
        <f t="shared" si="68"/>
        <v>0</v>
      </c>
    </row>
    <row r="873" spans="1:8">
      <c r="A873" s="375">
        <v>41108</v>
      </c>
      <c r="B873" s="379">
        <f t="shared" si="69"/>
        <v>870</v>
      </c>
      <c r="C873" s="28">
        <v>48.384278999999999</v>
      </c>
      <c r="D873" s="379">
        <f t="shared" si="65"/>
        <v>8.6688232131373263E-3</v>
      </c>
      <c r="E873" s="39">
        <v>1372.780029</v>
      </c>
      <c r="F873" s="379">
        <f t="shared" si="66"/>
        <v>6.65827507372362E-3</v>
      </c>
      <c r="G873" s="379">
        <f t="shared" si="67"/>
        <v>0</v>
      </c>
      <c r="H873" s="379">
        <f t="shared" si="68"/>
        <v>0</v>
      </c>
    </row>
    <row r="874" spans="1:8">
      <c r="A874" s="375">
        <v>41107</v>
      </c>
      <c r="B874" s="379">
        <f t="shared" si="69"/>
        <v>871</v>
      </c>
      <c r="C874" s="28">
        <v>47.966656999999998</v>
      </c>
      <c r="D874" s="379">
        <f t="shared" si="65"/>
        <v>1.4677180773821227E-2</v>
      </c>
      <c r="E874" s="39">
        <v>1363.670044</v>
      </c>
      <c r="F874" s="379">
        <f t="shared" si="66"/>
        <v>7.3823555902986617E-3</v>
      </c>
      <c r="G874" s="379">
        <f t="shared" si="67"/>
        <v>0</v>
      </c>
      <c r="H874" s="379">
        <f t="shared" si="68"/>
        <v>0</v>
      </c>
    </row>
    <row r="875" spans="1:8">
      <c r="A875" s="375">
        <v>41106</v>
      </c>
      <c r="B875" s="379">
        <f t="shared" si="69"/>
        <v>872</v>
      </c>
      <c r="C875" s="28">
        <v>47.267783000000001</v>
      </c>
      <c r="D875" s="379">
        <f t="shared" si="65"/>
        <v>8.692551209148764E-3</v>
      </c>
      <c r="E875" s="39">
        <v>1353.6400149999999</v>
      </c>
      <c r="F875" s="379">
        <f t="shared" si="66"/>
        <v>-2.3169954130956559E-3</v>
      </c>
      <c r="G875" s="379">
        <f t="shared" si="67"/>
        <v>0</v>
      </c>
      <c r="H875" s="379">
        <f t="shared" si="68"/>
        <v>0</v>
      </c>
    </row>
    <row r="876" spans="1:8">
      <c r="A876" s="375">
        <v>41103</v>
      </c>
      <c r="B876" s="379">
        <f t="shared" si="69"/>
        <v>873</v>
      </c>
      <c r="C876" s="28">
        <v>46.858685999999999</v>
      </c>
      <c r="D876" s="379">
        <f t="shared" si="65"/>
        <v>1.8355874467246507E-2</v>
      </c>
      <c r="E876" s="39">
        <v>1356.780029</v>
      </c>
      <c r="F876" s="379">
        <f t="shared" si="66"/>
        <v>1.6362758853171448E-2</v>
      </c>
      <c r="G876" s="379">
        <f t="shared" si="67"/>
        <v>0</v>
      </c>
      <c r="H876" s="379">
        <f t="shared" si="68"/>
        <v>0</v>
      </c>
    </row>
    <row r="877" spans="1:8">
      <c r="A877" s="375">
        <v>41102</v>
      </c>
      <c r="B877" s="379">
        <f t="shared" si="69"/>
        <v>874</v>
      </c>
      <c r="C877" s="28">
        <v>46.006399999999999</v>
      </c>
      <c r="D877" s="379">
        <f t="shared" si="65"/>
        <v>-7.0150099228320139E-3</v>
      </c>
      <c r="E877" s="39">
        <v>1334.76001</v>
      </c>
      <c r="F877" s="379">
        <f t="shared" si="66"/>
        <v>-4.9995740487394713E-3</v>
      </c>
      <c r="G877" s="379">
        <f t="shared" si="67"/>
        <v>0</v>
      </c>
      <c r="H877" s="379">
        <f t="shared" si="68"/>
        <v>0</v>
      </c>
    </row>
    <row r="878" spans="1:8">
      <c r="A878" s="375">
        <v>41101</v>
      </c>
      <c r="B878" s="379">
        <f t="shared" si="69"/>
        <v>875</v>
      </c>
      <c r="C878" s="28">
        <v>46.330269999999999</v>
      </c>
      <c r="D878" s="379">
        <f t="shared" si="65"/>
        <v>1.6320864929414636E-2</v>
      </c>
      <c r="E878" s="39">
        <v>1341.4499510000001</v>
      </c>
      <c r="F878" s="379">
        <f t="shared" si="66"/>
        <v>-1.4924038422614223E-5</v>
      </c>
      <c r="G878" s="379">
        <f t="shared" si="67"/>
        <v>0</v>
      </c>
      <c r="H878" s="379">
        <f t="shared" si="68"/>
        <v>0</v>
      </c>
    </row>
    <row r="879" spans="1:8">
      <c r="A879" s="375">
        <v>41100</v>
      </c>
      <c r="B879" s="379">
        <f t="shared" si="69"/>
        <v>876</v>
      </c>
      <c r="C879" s="28">
        <v>45.580257000000003</v>
      </c>
      <c r="D879" s="379">
        <f t="shared" si="65"/>
        <v>-1.5768848771861022E-2</v>
      </c>
      <c r="E879" s="39">
        <v>1341.469971</v>
      </c>
      <c r="F879" s="379">
        <f t="shared" si="66"/>
        <v>-8.1591216144970367E-3</v>
      </c>
      <c r="G879" s="379">
        <f t="shared" si="67"/>
        <v>0</v>
      </c>
      <c r="H879" s="379">
        <f t="shared" si="68"/>
        <v>0</v>
      </c>
    </row>
    <row r="880" spans="1:8">
      <c r="A880" s="375">
        <v>41099</v>
      </c>
      <c r="B880" s="379">
        <f t="shared" si="69"/>
        <v>877</v>
      </c>
      <c r="C880" s="28">
        <v>46.304701999999999</v>
      </c>
      <c r="D880" s="379">
        <f t="shared" si="65"/>
        <v>-7.7007835313984696E-3</v>
      </c>
      <c r="E880" s="39">
        <v>1352.459961</v>
      </c>
      <c r="F880" s="379">
        <f t="shared" si="66"/>
        <v>-1.6401763376865891E-3</v>
      </c>
      <c r="G880" s="379">
        <f t="shared" si="67"/>
        <v>0</v>
      </c>
      <c r="H880" s="379">
        <f t="shared" si="68"/>
        <v>0</v>
      </c>
    </row>
    <row r="881" spans="1:8">
      <c r="A881" s="375">
        <v>41096</v>
      </c>
      <c r="B881" s="379">
        <f t="shared" si="69"/>
        <v>878</v>
      </c>
      <c r="C881" s="28">
        <v>46.662661</v>
      </c>
      <c r="D881" s="379">
        <f t="shared" si="65"/>
        <v>-9.6337767137263317E-3</v>
      </c>
      <c r="E881" s="39">
        <v>1354.6800539999999</v>
      </c>
      <c r="F881" s="379">
        <f t="shared" si="66"/>
        <v>-9.4774184022127991E-3</v>
      </c>
      <c r="G881" s="379">
        <f t="shared" si="67"/>
        <v>0</v>
      </c>
      <c r="H881" s="379">
        <f t="shared" si="68"/>
        <v>0</v>
      </c>
    </row>
    <row r="882" spans="1:8">
      <c r="A882" s="375">
        <v>41095</v>
      </c>
      <c r="B882" s="379">
        <f t="shared" si="69"/>
        <v>879</v>
      </c>
      <c r="C882" s="28">
        <v>47.114370999999998</v>
      </c>
      <c r="D882" s="379">
        <f t="shared" si="65"/>
        <v>-2.0235284957119657E-2</v>
      </c>
      <c r="E882" s="39">
        <v>1367.579956</v>
      </c>
      <c r="F882" s="379">
        <f t="shared" si="66"/>
        <v>-4.6980419474619405E-3</v>
      </c>
      <c r="G882" s="379">
        <f t="shared" si="67"/>
        <v>0</v>
      </c>
      <c r="H882" s="379">
        <f t="shared" si="68"/>
        <v>0</v>
      </c>
    </row>
    <row r="883" spans="1:8">
      <c r="A883" s="375">
        <v>41093</v>
      </c>
      <c r="B883" s="379">
        <f t="shared" si="69"/>
        <v>880</v>
      </c>
      <c r="C883" s="28">
        <v>48.077455</v>
      </c>
      <c r="D883" s="379">
        <f t="shared" si="65"/>
        <v>1.2127835623131434E-2</v>
      </c>
      <c r="E883" s="39">
        <v>1374.0200199999999</v>
      </c>
      <c r="F883" s="379">
        <f t="shared" si="66"/>
        <v>6.212771737937388E-3</v>
      </c>
      <c r="G883" s="379">
        <f t="shared" si="67"/>
        <v>0</v>
      </c>
      <c r="H883" s="379">
        <f t="shared" si="68"/>
        <v>0</v>
      </c>
    </row>
    <row r="884" spans="1:8">
      <c r="A884" s="375">
        <v>41092</v>
      </c>
      <c r="B884" s="379">
        <f t="shared" si="69"/>
        <v>881</v>
      </c>
      <c r="C884" s="28">
        <v>47.497900999999999</v>
      </c>
      <c r="D884" s="379">
        <f t="shared" si="65"/>
        <v>-2.6879557786056245E-3</v>
      </c>
      <c r="E884" s="39">
        <v>1365.51001</v>
      </c>
      <c r="F884" s="379">
        <f t="shared" si="66"/>
        <v>2.456292462259558E-3</v>
      </c>
      <c r="G884" s="379">
        <f t="shared" si="67"/>
        <v>0</v>
      </c>
      <c r="H884" s="379">
        <f t="shared" si="68"/>
        <v>0</v>
      </c>
    </row>
    <row r="885" spans="1:8">
      <c r="A885" s="375">
        <v>41089</v>
      </c>
      <c r="B885" s="379">
        <f t="shared" si="69"/>
        <v>882</v>
      </c>
      <c r="C885" s="28">
        <v>47.625745000000002</v>
      </c>
      <c r="D885" s="379">
        <f t="shared" si="65"/>
        <v>2.4455564607030369E-2</v>
      </c>
      <c r="E885" s="39">
        <v>1362.160034</v>
      </c>
      <c r="F885" s="379">
        <f t="shared" si="66"/>
        <v>2.461479365003303E-2</v>
      </c>
      <c r="G885" s="379">
        <f t="shared" si="67"/>
        <v>0</v>
      </c>
      <c r="H885" s="379">
        <f t="shared" si="68"/>
        <v>0</v>
      </c>
    </row>
    <row r="886" spans="1:8">
      <c r="A886" s="375">
        <v>41088</v>
      </c>
      <c r="B886" s="379">
        <f t="shared" si="69"/>
        <v>883</v>
      </c>
      <c r="C886" s="28">
        <v>46.475157000000003</v>
      </c>
      <c r="D886" s="379">
        <f t="shared" si="65"/>
        <v>1.4681190029582074E-3</v>
      </c>
      <c r="E886" s="39">
        <v>1329.040039</v>
      </c>
      <c r="F886" s="379">
        <f t="shared" si="66"/>
        <v>-2.1120287036858554E-3</v>
      </c>
      <c r="G886" s="379">
        <f t="shared" si="67"/>
        <v>0</v>
      </c>
      <c r="H886" s="379">
        <f t="shared" si="68"/>
        <v>0</v>
      </c>
    </row>
    <row r="887" spans="1:8">
      <c r="A887" s="375">
        <v>41087</v>
      </c>
      <c r="B887" s="379">
        <f t="shared" si="69"/>
        <v>884</v>
      </c>
      <c r="C887" s="28">
        <v>46.406976</v>
      </c>
      <c r="D887" s="379">
        <f t="shared" si="65"/>
        <v>1.4987819202684025E-2</v>
      </c>
      <c r="E887" s="39">
        <v>1331.849976</v>
      </c>
      <c r="F887" s="379">
        <f t="shared" si="66"/>
        <v>8.944781908068293E-3</v>
      </c>
      <c r="G887" s="379">
        <f t="shared" si="67"/>
        <v>0</v>
      </c>
      <c r="H887" s="379">
        <f t="shared" si="68"/>
        <v>0</v>
      </c>
    </row>
    <row r="888" spans="1:8">
      <c r="A888" s="375">
        <v>41086</v>
      </c>
      <c r="B888" s="379">
        <f t="shared" si="69"/>
        <v>885</v>
      </c>
      <c r="C888" s="28">
        <v>45.716622999999998</v>
      </c>
      <c r="D888" s="379">
        <f t="shared" si="65"/>
        <v>1.275815775470808E-2</v>
      </c>
      <c r="E888" s="39">
        <v>1319.98999</v>
      </c>
      <c r="F888" s="379">
        <f t="shared" si="66"/>
        <v>4.7613677574816406E-3</v>
      </c>
      <c r="G888" s="379">
        <f t="shared" si="67"/>
        <v>0</v>
      </c>
      <c r="H888" s="379">
        <f t="shared" si="68"/>
        <v>0</v>
      </c>
    </row>
    <row r="889" spans="1:8">
      <c r="A889" s="375">
        <v>41085</v>
      </c>
      <c r="B889" s="379">
        <f t="shared" si="69"/>
        <v>886</v>
      </c>
      <c r="C889" s="28">
        <v>45.137067999999999</v>
      </c>
      <c r="D889" s="379">
        <f t="shared" si="65"/>
        <v>-8.4610890445558171E-3</v>
      </c>
      <c r="E889" s="39">
        <v>1313.719971</v>
      </c>
      <c r="F889" s="379">
        <f t="shared" si="66"/>
        <v>-1.6083502515740949E-2</v>
      </c>
      <c r="G889" s="379">
        <f t="shared" si="67"/>
        <v>0</v>
      </c>
      <c r="H889" s="379">
        <f t="shared" si="68"/>
        <v>0</v>
      </c>
    </row>
    <row r="890" spans="1:8">
      <c r="A890" s="375">
        <v>41082</v>
      </c>
      <c r="B890" s="379">
        <f t="shared" si="69"/>
        <v>887</v>
      </c>
      <c r="C890" s="28">
        <v>45.520597000000002</v>
      </c>
      <c r="D890" s="379">
        <f t="shared" si="65"/>
        <v>1.2244690494237523E-2</v>
      </c>
      <c r="E890" s="39">
        <v>1335.0200199999999</v>
      </c>
      <c r="F890" s="379">
        <f t="shared" si="66"/>
        <v>7.1489894088038386E-3</v>
      </c>
      <c r="G890" s="379">
        <f t="shared" si="67"/>
        <v>0</v>
      </c>
      <c r="H890" s="379">
        <f t="shared" si="68"/>
        <v>0</v>
      </c>
    </row>
    <row r="891" spans="1:8">
      <c r="A891" s="375">
        <v>41081</v>
      </c>
      <c r="B891" s="379">
        <f t="shared" si="69"/>
        <v>888</v>
      </c>
      <c r="C891" s="28">
        <v>44.966610000000003</v>
      </c>
      <c r="D891" s="379">
        <f t="shared" si="65"/>
        <v>-3.1345860702203313E-2</v>
      </c>
      <c r="E891" s="39">
        <v>1325.51001</v>
      </c>
      <c r="F891" s="379">
        <f t="shared" si="66"/>
        <v>-2.2513207706894238E-2</v>
      </c>
      <c r="G891" s="379">
        <f t="shared" si="67"/>
        <v>0</v>
      </c>
      <c r="H891" s="379">
        <f t="shared" si="68"/>
        <v>0</v>
      </c>
    </row>
    <row r="892" spans="1:8">
      <c r="A892" s="375">
        <v>41080</v>
      </c>
      <c r="B892" s="379">
        <f t="shared" si="69"/>
        <v>889</v>
      </c>
      <c r="C892" s="28">
        <v>46.398451000000001</v>
      </c>
      <c r="D892" s="379">
        <f t="shared" si="65"/>
        <v>-2.1803205602872057E-2</v>
      </c>
      <c r="E892" s="39">
        <v>1355.6899410000001</v>
      </c>
      <c r="F892" s="379">
        <f t="shared" si="66"/>
        <v>-1.6877804672527561E-3</v>
      </c>
      <c r="G892" s="379">
        <f t="shared" si="67"/>
        <v>0</v>
      </c>
      <c r="H892" s="379">
        <f t="shared" si="68"/>
        <v>0</v>
      </c>
    </row>
    <row r="893" spans="1:8">
      <c r="A893" s="375">
        <v>41079</v>
      </c>
      <c r="B893" s="379">
        <f t="shared" si="69"/>
        <v>890</v>
      </c>
      <c r="C893" s="28">
        <v>47.421194999999997</v>
      </c>
      <c r="D893" s="379">
        <f t="shared" si="65"/>
        <v>1.0297262926931722E-2</v>
      </c>
      <c r="E893" s="39">
        <v>1357.9799800000001</v>
      </c>
      <c r="F893" s="379">
        <f t="shared" si="66"/>
        <v>9.7678342931920813E-3</v>
      </c>
      <c r="G893" s="379">
        <f t="shared" si="67"/>
        <v>0</v>
      </c>
      <c r="H893" s="379">
        <f t="shared" si="68"/>
        <v>0</v>
      </c>
    </row>
    <row r="894" spans="1:8">
      <c r="A894" s="375">
        <v>41078</v>
      </c>
      <c r="B894" s="379">
        <f t="shared" si="69"/>
        <v>891</v>
      </c>
      <c r="C894" s="28">
        <v>46.935392</v>
      </c>
      <c r="D894" s="379">
        <f t="shared" si="65"/>
        <v>-7.0569251923166803E-3</v>
      </c>
      <c r="E894" s="39">
        <v>1344.780029</v>
      </c>
      <c r="F894" s="379">
        <f t="shared" si="66"/>
        <v>1.4437036043627751E-3</v>
      </c>
      <c r="G894" s="379">
        <f t="shared" si="67"/>
        <v>0</v>
      </c>
      <c r="H894" s="379">
        <f t="shared" si="68"/>
        <v>0</v>
      </c>
    </row>
    <row r="895" spans="1:8">
      <c r="A895" s="375">
        <v>41075</v>
      </c>
      <c r="B895" s="379">
        <f t="shared" si="69"/>
        <v>892</v>
      </c>
      <c r="C895" s="28">
        <v>47.267783000000001</v>
      </c>
      <c r="D895" s="379">
        <f t="shared" si="65"/>
        <v>1.4164004722836071E-2</v>
      </c>
      <c r="E895" s="39">
        <v>1342.839966</v>
      </c>
      <c r="F895" s="379">
        <f t="shared" si="66"/>
        <v>1.0284745474422378E-2</v>
      </c>
      <c r="G895" s="379">
        <f t="shared" si="67"/>
        <v>0</v>
      </c>
      <c r="H895" s="379">
        <f t="shared" si="68"/>
        <v>0</v>
      </c>
    </row>
    <row r="896" spans="1:8">
      <c r="A896" s="375">
        <v>41074</v>
      </c>
      <c r="B896" s="379">
        <f t="shared" si="69"/>
        <v>893</v>
      </c>
      <c r="C896" s="28">
        <v>46.603000999999999</v>
      </c>
      <c r="D896" s="379">
        <f t="shared" si="65"/>
        <v>1.0663849714034369E-2</v>
      </c>
      <c r="E896" s="39">
        <v>1329.099976</v>
      </c>
      <c r="F896" s="379">
        <f t="shared" si="66"/>
        <v>1.0756592872281524E-2</v>
      </c>
      <c r="G896" s="379">
        <f t="shared" si="67"/>
        <v>0</v>
      </c>
      <c r="H896" s="379">
        <f t="shared" si="68"/>
        <v>0</v>
      </c>
    </row>
    <row r="897" spans="1:8">
      <c r="A897" s="375">
        <v>41073</v>
      </c>
      <c r="B897" s="379">
        <f t="shared" si="69"/>
        <v>894</v>
      </c>
      <c r="C897" s="28">
        <v>46.108674000000001</v>
      </c>
      <c r="D897" s="379">
        <f t="shared" si="65"/>
        <v>-1.1212333465642809E-2</v>
      </c>
      <c r="E897" s="39">
        <v>1314.880005</v>
      </c>
      <c r="F897" s="379">
        <f t="shared" si="66"/>
        <v>-7.0480302002755551E-3</v>
      </c>
      <c r="G897" s="379">
        <f t="shared" si="67"/>
        <v>0</v>
      </c>
      <c r="H897" s="379">
        <f t="shared" si="68"/>
        <v>0</v>
      </c>
    </row>
    <row r="898" spans="1:8">
      <c r="A898" s="375">
        <v>41072</v>
      </c>
      <c r="B898" s="379">
        <f t="shared" si="69"/>
        <v>895</v>
      </c>
      <c r="C898" s="28">
        <v>46.628568999999999</v>
      </c>
      <c r="D898" s="379">
        <f t="shared" si="65"/>
        <v>1.5287125841159098E-2</v>
      </c>
      <c r="E898" s="39">
        <v>1324.1800539999999</v>
      </c>
      <c r="F898" s="379">
        <f t="shared" si="66"/>
        <v>1.1583389898696603E-2</v>
      </c>
      <c r="G898" s="379">
        <f t="shared" si="67"/>
        <v>0</v>
      </c>
      <c r="H898" s="379">
        <f t="shared" si="68"/>
        <v>0</v>
      </c>
    </row>
    <row r="899" spans="1:8">
      <c r="A899" s="375">
        <v>41071</v>
      </c>
      <c r="B899" s="379">
        <f t="shared" si="69"/>
        <v>896</v>
      </c>
      <c r="C899" s="28">
        <v>45.921173000000003</v>
      </c>
      <c r="D899" s="379">
        <f t="shared" si="65"/>
        <v>-1.6689906202593402E-3</v>
      </c>
      <c r="E899" s="39">
        <v>1308.9300539999999</v>
      </c>
      <c r="F899" s="379">
        <f t="shared" si="66"/>
        <v>-1.2700423459016714E-2</v>
      </c>
      <c r="G899" s="379">
        <f t="shared" si="67"/>
        <v>0</v>
      </c>
      <c r="H899" s="379">
        <f t="shared" si="68"/>
        <v>0</v>
      </c>
    </row>
    <row r="900" spans="1:8">
      <c r="A900" s="375">
        <v>41068</v>
      </c>
      <c r="B900" s="379">
        <f t="shared" si="69"/>
        <v>897</v>
      </c>
      <c r="C900" s="28">
        <v>45.997878999999998</v>
      </c>
      <c r="D900" s="379">
        <f t="shared" ref="D900:D963" si="70">LN(C900/C901)</f>
        <v>2.9690181309484703E-3</v>
      </c>
      <c r="E900" s="39">
        <v>1325.660034</v>
      </c>
      <c r="F900" s="379">
        <f t="shared" ref="F900:F963" si="71">LN(E900/E901)</f>
        <v>8.0814208426770347E-3</v>
      </c>
      <c r="G900" s="379">
        <f t="shared" ref="G900:G963" si="72">IF(B900&lt;$D$1+1,D900,0)</f>
        <v>0</v>
      </c>
      <c r="H900" s="379">
        <f t="shared" ref="H900:H963" si="73">IF(B900&lt;$D$1+1,F900,0)</f>
        <v>0</v>
      </c>
    </row>
    <row r="901" spans="1:8">
      <c r="A901" s="375">
        <v>41067</v>
      </c>
      <c r="B901" s="379">
        <f t="shared" si="69"/>
        <v>898</v>
      </c>
      <c r="C901" s="28">
        <v>45.861513000000002</v>
      </c>
      <c r="D901" s="379">
        <f t="shared" si="70"/>
        <v>4.2834419915080075E-3</v>
      </c>
      <c r="E901" s="39">
        <v>1314.98999</v>
      </c>
      <c r="F901" s="379">
        <f t="shared" si="71"/>
        <v>-1.0647042750778646E-4</v>
      </c>
      <c r="G901" s="379">
        <f t="shared" si="72"/>
        <v>0</v>
      </c>
      <c r="H901" s="379">
        <f t="shared" si="73"/>
        <v>0</v>
      </c>
    </row>
    <row r="902" spans="1:8">
      <c r="A902" s="375">
        <v>41066</v>
      </c>
      <c r="B902" s="379">
        <f t="shared" ref="B902:B965" si="74">B901+1</f>
        <v>899</v>
      </c>
      <c r="C902" s="28">
        <v>45.665488000000003</v>
      </c>
      <c r="D902" s="379">
        <f t="shared" si="70"/>
        <v>3.2435339282508871E-2</v>
      </c>
      <c r="E902" s="39">
        <v>1315.130005</v>
      </c>
      <c r="F902" s="379">
        <f t="shared" si="71"/>
        <v>2.2787776137155467E-2</v>
      </c>
      <c r="G902" s="379">
        <f t="shared" si="72"/>
        <v>0</v>
      </c>
      <c r="H902" s="379">
        <f t="shared" si="73"/>
        <v>0</v>
      </c>
    </row>
    <row r="903" spans="1:8">
      <c r="A903" s="375">
        <v>41065</v>
      </c>
      <c r="B903" s="379">
        <f t="shared" si="74"/>
        <v>900</v>
      </c>
      <c r="C903" s="28">
        <v>44.208075999999998</v>
      </c>
      <c r="D903" s="379">
        <f t="shared" si="70"/>
        <v>1.1049835432574893E-2</v>
      </c>
      <c r="E903" s="39">
        <v>1285.5</v>
      </c>
      <c r="F903" s="379">
        <f t="shared" si="71"/>
        <v>5.7105143682074332E-3</v>
      </c>
      <c r="G903" s="379">
        <f t="shared" si="72"/>
        <v>0</v>
      </c>
      <c r="H903" s="379">
        <f t="shared" si="73"/>
        <v>0</v>
      </c>
    </row>
    <row r="904" spans="1:8">
      <c r="A904" s="375">
        <v>41064</v>
      </c>
      <c r="B904" s="379">
        <f t="shared" si="74"/>
        <v>901</v>
      </c>
      <c r="C904" s="28">
        <v>43.722273000000001</v>
      </c>
      <c r="D904" s="379">
        <f t="shared" si="70"/>
        <v>2.1465640254790101E-3</v>
      </c>
      <c r="E904" s="39">
        <v>1278.1800539999999</v>
      </c>
      <c r="F904" s="379">
        <f t="shared" si="71"/>
        <v>1.0954847004250914E-4</v>
      </c>
      <c r="G904" s="379">
        <f t="shared" si="72"/>
        <v>0</v>
      </c>
      <c r="H904" s="379">
        <f t="shared" si="73"/>
        <v>0</v>
      </c>
    </row>
    <row r="905" spans="1:8">
      <c r="A905" s="375">
        <v>41061</v>
      </c>
      <c r="B905" s="379">
        <f t="shared" si="74"/>
        <v>902</v>
      </c>
      <c r="C905" s="28">
        <v>43.628520999999999</v>
      </c>
      <c r="D905" s="379">
        <f t="shared" si="70"/>
        <v>-1.8771752408948798E-2</v>
      </c>
      <c r="E905" s="39">
        <v>1278.040039</v>
      </c>
      <c r="F905" s="379">
        <f t="shared" si="71"/>
        <v>-2.4951295421528887E-2</v>
      </c>
      <c r="G905" s="379">
        <f t="shared" si="72"/>
        <v>0</v>
      </c>
      <c r="H905" s="379">
        <f t="shared" si="73"/>
        <v>0</v>
      </c>
    </row>
    <row r="906" spans="1:8">
      <c r="A906" s="375">
        <v>41060</v>
      </c>
      <c r="B906" s="379">
        <f t="shared" si="74"/>
        <v>903</v>
      </c>
      <c r="C906" s="28">
        <v>44.455240000000003</v>
      </c>
      <c r="D906" s="379">
        <f t="shared" si="70"/>
        <v>2.3032566430529252E-3</v>
      </c>
      <c r="E906" s="39">
        <v>1310.329956</v>
      </c>
      <c r="F906" s="379">
        <f t="shared" si="71"/>
        <v>-2.2792608816784216E-3</v>
      </c>
      <c r="G906" s="379">
        <f t="shared" si="72"/>
        <v>0</v>
      </c>
      <c r="H906" s="379">
        <f t="shared" si="73"/>
        <v>0</v>
      </c>
    </row>
    <row r="907" spans="1:8">
      <c r="A907" s="375">
        <v>41059</v>
      </c>
      <c r="B907" s="379">
        <f t="shared" si="74"/>
        <v>904</v>
      </c>
      <c r="C907" s="28">
        <v>44.352966000000002</v>
      </c>
      <c r="D907" s="379">
        <f t="shared" si="70"/>
        <v>-2.3360670797559342E-2</v>
      </c>
      <c r="E907" s="39">
        <v>1313.3199460000001</v>
      </c>
      <c r="F907" s="379">
        <f t="shared" si="71"/>
        <v>-1.4438629565941524E-2</v>
      </c>
      <c r="G907" s="379">
        <f t="shared" si="72"/>
        <v>0</v>
      </c>
      <c r="H907" s="379">
        <f t="shared" si="73"/>
        <v>0</v>
      </c>
    </row>
    <row r="908" spans="1:8">
      <c r="A908" s="375">
        <v>41058</v>
      </c>
      <c r="B908" s="379">
        <f t="shared" si="74"/>
        <v>905</v>
      </c>
      <c r="C908" s="28">
        <v>45.401277999999998</v>
      </c>
      <c r="D908" s="379">
        <f t="shared" si="70"/>
        <v>2.2016456048597234E-2</v>
      </c>
      <c r="E908" s="39">
        <v>1332.420044</v>
      </c>
      <c r="F908" s="379">
        <f t="shared" si="71"/>
        <v>1.1018055539220986E-2</v>
      </c>
      <c r="G908" s="379">
        <f t="shared" si="72"/>
        <v>0</v>
      </c>
      <c r="H908" s="379">
        <f t="shared" si="73"/>
        <v>0</v>
      </c>
    </row>
    <row r="909" spans="1:8">
      <c r="A909" s="375">
        <v>41054</v>
      </c>
      <c r="B909" s="379">
        <f t="shared" si="74"/>
        <v>906</v>
      </c>
      <c r="C909" s="28">
        <v>44.412626000000003</v>
      </c>
      <c r="D909" s="379">
        <f t="shared" si="70"/>
        <v>-5.7552649949076107E-4</v>
      </c>
      <c r="E909" s="39">
        <v>1317.8199460000001</v>
      </c>
      <c r="F909" s="379">
        <f t="shared" si="71"/>
        <v>-2.1679811409836308E-3</v>
      </c>
      <c r="G909" s="379">
        <f t="shared" si="72"/>
        <v>0</v>
      </c>
      <c r="H909" s="379">
        <f t="shared" si="73"/>
        <v>0</v>
      </c>
    </row>
    <row r="910" spans="1:8">
      <c r="A910" s="375">
        <v>41053</v>
      </c>
      <c r="B910" s="379">
        <f t="shared" si="74"/>
        <v>907</v>
      </c>
      <c r="C910" s="28">
        <v>44.438194000000003</v>
      </c>
      <c r="D910" s="379">
        <f t="shared" si="70"/>
        <v>9.5940994848957631E-4</v>
      </c>
      <c r="E910" s="39">
        <v>1320.6800539999999</v>
      </c>
      <c r="F910" s="379">
        <f t="shared" si="71"/>
        <v>1.3790806440273197E-3</v>
      </c>
      <c r="G910" s="379">
        <f t="shared" si="72"/>
        <v>0</v>
      </c>
      <c r="H910" s="379">
        <f t="shared" si="73"/>
        <v>0</v>
      </c>
    </row>
    <row r="911" spans="1:8">
      <c r="A911" s="375">
        <v>41052</v>
      </c>
      <c r="B911" s="379">
        <f t="shared" si="74"/>
        <v>908</v>
      </c>
      <c r="C911" s="28">
        <v>44.395580000000002</v>
      </c>
      <c r="D911" s="379">
        <f t="shared" si="70"/>
        <v>8.0956917349905618E-3</v>
      </c>
      <c r="E911" s="39">
        <v>1318.8599850000001</v>
      </c>
      <c r="F911" s="379">
        <f t="shared" si="71"/>
        <v>1.6922701589776837E-3</v>
      </c>
      <c r="G911" s="379">
        <f t="shared" si="72"/>
        <v>0</v>
      </c>
      <c r="H911" s="379">
        <f t="shared" si="73"/>
        <v>0</v>
      </c>
    </row>
    <row r="912" spans="1:8">
      <c r="A912" s="375">
        <v>41051</v>
      </c>
      <c r="B912" s="379">
        <f t="shared" si="74"/>
        <v>909</v>
      </c>
      <c r="C912" s="28">
        <v>44.037618000000002</v>
      </c>
      <c r="D912" s="379">
        <f t="shared" si="70"/>
        <v>-1.9335429916367691E-3</v>
      </c>
      <c r="E912" s="39">
        <v>1316.630005</v>
      </c>
      <c r="F912" s="379">
        <f t="shared" si="71"/>
        <v>4.8621906224531267E-4</v>
      </c>
      <c r="G912" s="379">
        <f t="shared" si="72"/>
        <v>0</v>
      </c>
      <c r="H912" s="379">
        <f t="shared" si="73"/>
        <v>0</v>
      </c>
    </row>
    <row r="913" spans="1:8">
      <c r="A913" s="375">
        <v>41050</v>
      </c>
      <c r="B913" s="379">
        <f t="shared" si="74"/>
        <v>910</v>
      </c>
      <c r="C913" s="28">
        <v>44.122849000000002</v>
      </c>
      <c r="D913" s="379">
        <f t="shared" si="70"/>
        <v>1.8520881857956847E-2</v>
      </c>
      <c r="E913" s="39">
        <v>1315.98999</v>
      </c>
      <c r="F913" s="379">
        <f t="shared" si="71"/>
        <v>1.59086839885332E-2</v>
      </c>
      <c r="G913" s="379">
        <f t="shared" si="72"/>
        <v>0</v>
      </c>
      <c r="H913" s="379">
        <f t="shared" si="73"/>
        <v>0</v>
      </c>
    </row>
    <row r="914" spans="1:8">
      <c r="A914" s="375">
        <v>41047</v>
      </c>
      <c r="B914" s="379">
        <f t="shared" si="74"/>
        <v>911</v>
      </c>
      <c r="C914" s="28">
        <v>43.313175999999999</v>
      </c>
      <c r="D914" s="379">
        <f t="shared" si="70"/>
        <v>-7.2542035354513559E-3</v>
      </c>
      <c r="E914" s="39">
        <v>1295.219971</v>
      </c>
      <c r="F914" s="379">
        <f t="shared" si="71"/>
        <v>-7.4152013281213241E-3</v>
      </c>
      <c r="G914" s="379">
        <f t="shared" si="72"/>
        <v>0</v>
      </c>
      <c r="H914" s="379">
        <f t="shared" si="73"/>
        <v>0</v>
      </c>
    </row>
    <row r="915" spans="1:8">
      <c r="A915" s="375">
        <v>41046</v>
      </c>
      <c r="B915" s="379">
        <f t="shared" si="74"/>
        <v>912</v>
      </c>
      <c r="C915" s="28">
        <v>43.628520999999999</v>
      </c>
      <c r="D915" s="379">
        <f t="shared" si="70"/>
        <v>-9.1396229459320705E-3</v>
      </c>
      <c r="E915" s="39">
        <v>1304.8599850000001</v>
      </c>
      <c r="F915" s="379">
        <f t="shared" si="71"/>
        <v>-1.5165797804766351E-2</v>
      </c>
      <c r="G915" s="379">
        <f t="shared" si="72"/>
        <v>0</v>
      </c>
      <c r="H915" s="379">
        <f t="shared" si="73"/>
        <v>0</v>
      </c>
    </row>
    <row r="916" spans="1:8">
      <c r="A916" s="375">
        <v>41045</v>
      </c>
      <c r="B916" s="379">
        <f t="shared" si="74"/>
        <v>913</v>
      </c>
      <c r="C916" s="28">
        <v>44.029097</v>
      </c>
      <c r="D916" s="379">
        <f t="shared" si="70"/>
        <v>-4.0057211887363948E-3</v>
      </c>
      <c r="E916" s="39">
        <v>1324.8000489999999</v>
      </c>
      <c r="F916" s="379">
        <f t="shared" si="71"/>
        <v>-4.4135436641749987E-3</v>
      </c>
      <c r="G916" s="379">
        <f t="shared" si="72"/>
        <v>0</v>
      </c>
      <c r="H916" s="379">
        <f t="shared" si="73"/>
        <v>0</v>
      </c>
    </row>
    <row r="917" spans="1:8">
      <c r="A917" s="375">
        <v>41044</v>
      </c>
      <c r="B917" s="379">
        <f t="shared" si="74"/>
        <v>914</v>
      </c>
      <c r="C917" s="28">
        <v>44.205818999999998</v>
      </c>
      <c r="D917" s="379">
        <f t="shared" si="70"/>
        <v>-7.5858758419054418E-3</v>
      </c>
      <c r="E917" s="39">
        <v>1330.660034</v>
      </c>
      <c r="F917" s="379">
        <f t="shared" si="71"/>
        <v>-5.7624087209215804E-3</v>
      </c>
      <c r="G917" s="379">
        <f t="shared" si="72"/>
        <v>0</v>
      </c>
      <c r="H917" s="379">
        <f t="shared" si="73"/>
        <v>0</v>
      </c>
    </row>
    <row r="918" spans="1:8">
      <c r="A918" s="375">
        <v>41043</v>
      </c>
      <c r="B918" s="379">
        <f t="shared" si="74"/>
        <v>915</v>
      </c>
      <c r="C918" s="28">
        <v>44.542434</v>
      </c>
      <c r="D918" s="379">
        <f t="shared" si="70"/>
        <v>-1.0711350172375561E-2</v>
      </c>
      <c r="E918" s="39">
        <v>1338.349976</v>
      </c>
      <c r="F918" s="379">
        <f t="shared" si="71"/>
        <v>-1.1175073052719999E-2</v>
      </c>
      <c r="G918" s="379">
        <f t="shared" si="72"/>
        <v>0</v>
      </c>
      <c r="H918" s="379">
        <f t="shared" si="73"/>
        <v>0</v>
      </c>
    </row>
    <row r="919" spans="1:8">
      <c r="A919" s="375">
        <v>41040</v>
      </c>
      <c r="B919" s="379">
        <f t="shared" si="74"/>
        <v>916</v>
      </c>
      <c r="C919" s="28">
        <v>45.022108000000003</v>
      </c>
      <c r="D919" s="379">
        <f t="shared" si="70"/>
        <v>-1.3368211978409801E-2</v>
      </c>
      <c r="E919" s="39">
        <v>1353.3900149999999</v>
      </c>
      <c r="F919" s="379">
        <f t="shared" si="71"/>
        <v>-3.3930909019277778E-3</v>
      </c>
      <c r="G919" s="379">
        <f t="shared" si="72"/>
        <v>0</v>
      </c>
      <c r="H919" s="379">
        <f t="shared" si="73"/>
        <v>0</v>
      </c>
    </row>
    <row r="920" spans="1:8">
      <c r="A920" s="375">
        <v>41039</v>
      </c>
      <c r="B920" s="379">
        <f t="shared" si="74"/>
        <v>917</v>
      </c>
      <c r="C920" s="28">
        <v>45.628014</v>
      </c>
      <c r="D920" s="379">
        <f t="shared" si="70"/>
        <v>1.3929093765468199E-2</v>
      </c>
      <c r="E920" s="39">
        <v>1357.98999</v>
      </c>
      <c r="F920" s="379">
        <f t="shared" si="71"/>
        <v>2.5142472741679048E-3</v>
      </c>
      <c r="G920" s="379">
        <f t="shared" si="72"/>
        <v>0</v>
      </c>
      <c r="H920" s="379">
        <f t="shared" si="73"/>
        <v>0</v>
      </c>
    </row>
    <row r="921" spans="1:8">
      <c r="A921" s="375">
        <v>41038</v>
      </c>
      <c r="B921" s="379">
        <f t="shared" si="74"/>
        <v>918</v>
      </c>
      <c r="C921" s="28">
        <v>44.996862999999998</v>
      </c>
      <c r="D921" s="379">
        <f t="shared" si="70"/>
        <v>-1.5587640837304994E-2</v>
      </c>
      <c r="E921" s="39">
        <v>1354.579956</v>
      </c>
      <c r="F921" s="379">
        <f t="shared" si="71"/>
        <v>-6.7248277898492026E-3</v>
      </c>
      <c r="G921" s="379">
        <f t="shared" si="72"/>
        <v>0</v>
      </c>
      <c r="H921" s="379">
        <f t="shared" si="73"/>
        <v>0</v>
      </c>
    </row>
    <row r="922" spans="1:8">
      <c r="A922" s="375">
        <v>41037</v>
      </c>
      <c r="B922" s="379">
        <f t="shared" si="74"/>
        <v>919</v>
      </c>
      <c r="C922" s="28">
        <v>45.703752999999999</v>
      </c>
      <c r="D922" s="379">
        <f t="shared" si="70"/>
        <v>1.7834452815287144E-2</v>
      </c>
      <c r="E922" s="39">
        <v>1363.719971</v>
      </c>
      <c r="F922" s="379">
        <f t="shared" si="71"/>
        <v>-4.2878528773442146E-3</v>
      </c>
      <c r="G922" s="379">
        <f t="shared" si="72"/>
        <v>0</v>
      </c>
      <c r="H922" s="379">
        <f t="shared" si="73"/>
        <v>0</v>
      </c>
    </row>
    <row r="923" spans="1:8">
      <c r="A923" s="375">
        <v>41036</v>
      </c>
      <c r="B923" s="379">
        <f t="shared" si="74"/>
        <v>920</v>
      </c>
      <c r="C923" s="28">
        <v>44.895876999999999</v>
      </c>
      <c r="D923" s="379">
        <f t="shared" si="70"/>
        <v>3.3796670258552826E-3</v>
      </c>
      <c r="E923" s="39">
        <v>1369.579956</v>
      </c>
      <c r="F923" s="379">
        <f t="shared" si="71"/>
        <v>3.5051924053340915E-4</v>
      </c>
      <c r="G923" s="379">
        <f t="shared" si="72"/>
        <v>0</v>
      </c>
      <c r="H923" s="379">
        <f t="shared" si="73"/>
        <v>0</v>
      </c>
    </row>
    <row r="924" spans="1:8">
      <c r="A924" s="375">
        <v>41033</v>
      </c>
      <c r="B924" s="379">
        <f t="shared" si="74"/>
        <v>921</v>
      </c>
      <c r="C924" s="28">
        <v>44.744399999999999</v>
      </c>
      <c r="D924" s="379">
        <f t="shared" si="70"/>
        <v>-2.0292983590425952E-2</v>
      </c>
      <c r="E924" s="39">
        <v>1369.099976</v>
      </c>
      <c r="F924" s="379">
        <f t="shared" si="71"/>
        <v>-1.6278995211432022E-2</v>
      </c>
      <c r="G924" s="379">
        <f t="shared" si="72"/>
        <v>0</v>
      </c>
      <c r="H924" s="379">
        <f t="shared" si="73"/>
        <v>0</v>
      </c>
    </row>
    <row r="925" spans="1:8">
      <c r="A925" s="375">
        <v>41032</v>
      </c>
      <c r="B925" s="379">
        <f t="shared" si="74"/>
        <v>922</v>
      </c>
      <c r="C925" s="28">
        <v>45.661673</v>
      </c>
      <c r="D925" s="379">
        <f t="shared" si="70"/>
        <v>-6.0634422576631656E-3</v>
      </c>
      <c r="E925" s="39">
        <v>1391.5699460000001</v>
      </c>
      <c r="F925" s="379">
        <f t="shared" si="71"/>
        <v>-7.6883516009313684E-3</v>
      </c>
      <c r="G925" s="379">
        <f t="shared" si="72"/>
        <v>0</v>
      </c>
      <c r="H925" s="379">
        <f t="shared" si="73"/>
        <v>0</v>
      </c>
    </row>
    <row r="926" spans="1:8">
      <c r="A926" s="375">
        <v>41031</v>
      </c>
      <c r="B926" s="379">
        <f t="shared" si="74"/>
        <v>923</v>
      </c>
      <c r="C926" s="28">
        <v>45.939380999999997</v>
      </c>
      <c r="D926" s="379">
        <f t="shared" si="70"/>
        <v>-3.4566862420973989E-2</v>
      </c>
      <c r="E926" s="39">
        <v>1402.3100589999999</v>
      </c>
      <c r="F926" s="379">
        <f t="shared" si="71"/>
        <v>-2.4998050813398887E-3</v>
      </c>
      <c r="G926" s="379">
        <f t="shared" si="72"/>
        <v>0</v>
      </c>
      <c r="H926" s="379">
        <f t="shared" si="73"/>
        <v>0</v>
      </c>
    </row>
    <row r="927" spans="1:8">
      <c r="A927" s="375">
        <v>41030</v>
      </c>
      <c r="B927" s="379">
        <f t="shared" si="74"/>
        <v>924</v>
      </c>
      <c r="C927" s="28">
        <v>47.555126000000001</v>
      </c>
      <c r="D927" s="379">
        <f t="shared" si="70"/>
        <v>3.4297652543152278E-2</v>
      </c>
      <c r="E927" s="39">
        <v>1405.8199460000001</v>
      </c>
      <c r="F927" s="379">
        <f t="shared" si="71"/>
        <v>5.6424356426058335E-3</v>
      </c>
      <c r="G927" s="379">
        <f t="shared" si="72"/>
        <v>0</v>
      </c>
      <c r="H927" s="379">
        <f t="shared" si="73"/>
        <v>0</v>
      </c>
    </row>
    <row r="928" spans="1:8">
      <c r="A928" s="375">
        <v>41029</v>
      </c>
      <c r="B928" s="379">
        <f t="shared" si="74"/>
        <v>925</v>
      </c>
      <c r="C928" s="28">
        <v>45.951749999999997</v>
      </c>
      <c r="D928" s="379">
        <f t="shared" si="70"/>
        <v>-4.8743350339302619E-3</v>
      </c>
      <c r="E928" s="39">
        <v>1397.910034</v>
      </c>
      <c r="F928" s="379">
        <f t="shared" si="71"/>
        <v>-3.8910621533950053E-3</v>
      </c>
      <c r="G928" s="379">
        <f t="shared" si="72"/>
        <v>0</v>
      </c>
      <c r="H928" s="379">
        <f t="shared" si="73"/>
        <v>0</v>
      </c>
    </row>
    <row r="929" spans="1:8">
      <c r="A929" s="375">
        <v>41026</v>
      </c>
      <c r="B929" s="379">
        <f t="shared" si="74"/>
        <v>926</v>
      </c>
      <c r="C929" s="28">
        <v>46.176281000000003</v>
      </c>
      <c r="D929" s="379">
        <f t="shared" si="70"/>
        <v>-2.9131163236736602E-3</v>
      </c>
      <c r="E929" s="39">
        <v>1403.3599850000001</v>
      </c>
      <c r="F929" s="379">
        <f t="shared" si="71"/>
        <v>2.4114140133343781E-3</v>
      </c>
      <c r="G929" s="379">
        <f t="shared" si="72"/>
        <v>0</v>
      </c>
      <c r="H929" s="379">
        <f t="shared" si="73"/>
        <v>0</v>
      </c>
    </row>
    <row r="930" spans="1:8">
      <c r="A930" s="375">
        <v>41025</v>
      </c>
      <c r="B930" s="379">
        <f t="shared" si="74"/>
        <v>927</v>
      </c>
      <c r="C930" s="28">
        <v>46.310994000000001</v>
      </c>
      <c r="D930" s="379">
        <f t="shared" si="70"/>
        <v>1.6340005210769375E-2</v>
      </c>
      <c r="E930" s="39">
        <v>1399.9799800000001</v>
      </c>
      <c r="F930" s="379">
        <f t="shared" si="71"/>
        <v>6.6579520908027967E-3</v>
      </c>
      <c r="G930" s="379">
        <f t="shared" si="72"/>
        <v>0</v>
      </c>
      <c r="H930" s="379">
        <f t="shared" si="73"/>
        <v>0</v>
      </c>
    </row>
    <row r="931" spans="1:8">
      <c r="A931" s="375">
        <v>41024</v>
      </c>
      <c r="B931" s="379">
        <f t="shared" si="74"/>
        <v>928</v>
      </c>
      <c r="C931" s="28">
        <v>45.560420999999998</v>
      </c>
      <c r="D931" s="379">
        <f t="shared" si="70"/>
        <v>-1.2036486447558056E-2</v>
      </c>
      <c r="E931" s="39">
        <v>1390.6899410000001</v>
      </c>
      <c r="F931" s="379">
        <f t="shared" si="71"/>
        <v>1.3552342390234307E-2</v>
      </c>
      <c r="G931" s="379">
        <f t="shared" si="72"/>
        <v>0</v>
      </c>
      <c r="H931" s="379">
        <f t="shared" si="73"/>
        <v>0</v>
      </c>
    </row>
    <row r="932" spans="1:8">
      <c r="A932" s="375">
        <v>41023</v>
      </c>
      <c r="B932" s="379">
        <f t="shared" si="74"/>
        <v>929</v>
      </c>
      <c r="C932" s="28">
        <v>46.112121999999999</v>
      </c>
      <c r="D932" s="379">
        <f t="shared" si="70"/>
        <v>-6.2410288793012204E-3</v>
      </c>
      <c r="E932" s="39">
        <v>1371.969971</v>
      </c>
      <c r="F932" s="379">
        <f t="shared" si="71"/>
        <v>3.6730201552113684E-3</v>
      </c>
      <c r="G932" s="379">
        <f t="shared" si="72"/>
        <v>0</v>
      </c>
      <c r="H932" s="379">
        <f t="shared" si="73"/>
        <v>0</v>
      </c>
    </row>
    <row r="933" spans="1:8">
      <c r="A933" s="375">
        <v>41022</v>
      </c>
      <c r="B933" s="379">
        <f t="shared" si="74"/>
        <v>930</v>
      </c>
      <c r="C933" s="28">
        <v>46.400809000000002</v>
      </c>
      <c r="D933" s="379">
        <f t="shared" si="70"/>
        <v>-7.5751764637932116E-3</v>
      </c>
      <c r="E933" s="39">
        <v>1366.9399410000001</v>
      </c>
      <c r="F933" s="379">
        <f t="shared" si="71"/>
        <v>-8.4431131847278185E-3</v>
      </c>
      <c r="G933" s="379">
        <f t="shared" si="72"/>
        <v>0</v>
      </c>
      <c r="H933" s="379">
        <f t="shared" si="73"/>
        <v>0</v>
      </c>
    </row>
    <row r="934" spans="1:8">
      <c r="A934" s="375">
        <v>41019</v>
      </c>
      <c r="B934" s="379">
        <f t="shared" si="74"/>
        <v>931</v>
      </c>
      <c r="C934" s="28">
        <v>46.753638000000002</v>
      </c>
      <c r="D934" s="379">
        <f t="shared" si="70"/>
        <v>-1.3717777600384546E-4</v>
      </c>
      <c r="E934" s="39">
        <v>1378.530029</v>
      </c>
      <c r="F934" s="379">
        <f t="shared" si="71"/>
        <v>1.1685823662640762E-3</v>
      </c>
      <c r="G934" s="379">
        <f t="shared" si="72"/>
        <v>0</v>
      </c>
      <c r="H934" s="379">
        <f t="shared" si="73"/>
        <v>0</v>
      </c>
    </row>
    <row r="935" spans="1:8">
      <c r="A935" s="375">
        <v>41018</v>
      </c>
      <c r="B935" s="379">
        <f t="shared" si="74"/>
        <v>932</v>
      </c>
      <c r="C935" s="28">
        <v>46.760052000000002</v>
      </c>
      <c r="D935" s="379">
        <f t="shared" si="70"/>
        <v>-5.4727370522980592E-3</v>
      </c>
      <c r="E935" s="39">
        <v>1376.920044</v>
      </c>
      <c r="F935" s="379">
        <f t="shared" si="71"/>
        <v>-5.9520756912950466E-3</v>
      </c>
      <c r="G935" s="379">
        <f t="shared" si="72"/>
        <v>0</v>
      </c>
      <c r="H935" s="379">
        <f t="shared" si="73"/>
        <v>0</v>
      </c>
    </row>
    <row r="936" spans="1:8">
      <c r="A936" s="375">
        <v>41017</v>
      </c>
      <c r="B936" s="379">
        <f t="shared" si="74"/>
        <v>933</v>
      </c>
      <c r="C936" s="28">
        <v>47.016658999999997</v>
      </c>
      <c r="D936" s="379">
        <f t="shared" si="70"/>
        <v>-1.3148382365118904E-2</v>
      </c>
      <c r="E936" s="39">
        <v>1385.1400149999999</v>
      </c>
      <c r="F936" s="379">
        <f t="shared" si="71"/>
        <v>-4.0635332944765944E-3</v>
      </c>
      <c r="G936" s="379">
        <f t="shared" si="72"/>
        <v>0</v>
      </c>
      <c r="H936" s="379">
        <f t="shared" si="73"/>
        <v>0</v>
      </c>
    </row>
    <row r="937" spans="1:8">
      <c r="A937" s="375">
        <v>41016</v>
      </c>
      <c r="B937" s="379">
        <f t="shared" si="74"/>
        <v>934</v>
      </c>
      <c r="C937" s="28">
        <v>47.638933999999999</v>
      </c>
      <c r="D937" s="379">
        <f t="shared" si="70"/>
        <v>5.8073880643127445E-3</v>
      </c>
      <c r="E937" s="39">
        <v>1390.780029</v>
      </c>
      <c r="F937" s="379">
        <f t="shared" si="71"/>
        <v>1.5367979155556181E-2</v>
      </c>
      <c r="G937" s="379">
        <f t="shared" si="72"/>
        <v>0</v>
      </c>
      <c r="H937" s="379">
        <f t="shared" si="73"/>
        <v>0</v>
      </c>
    </row>
    <row r="938" spans="1:8">
      <c r="A938" s="375">
        <v>41015</v>
      </c>
      <c r="B938" s="379">
        <f t="shared" si="74"/>
        <v>935</v>
      </c>
      <c r="C938" s="28">
        <v>47.363078000000002</v>
      </c>
      <c r="D938" s="379">
        <f t="shared" si="70"/>
        <v>2.7125155417819669E-3</v>
      </c>
      <c r="E938" s="39">
        <v>1369.5699460000001</v>
      </c>
      <c r="F938" s="379">
        <f t="shared" si="71"/>
        <v>-5.0372762227827148E-4</v>
      </c>
      <c r="G938" s="379">
        <f t="shared" si="72"/>
        <v>0</v>
      </c>
      <c r="H938" s="379">
        <f t="shared" si="73"/>
        <v>0</v>
      </c>
    </row>
    <row r="939" spans="1:8">
      <c r="A939" s="375">
        <v>41012</v>
      </c>
      <c r="B939" s="379">
        <f t="shared" si="74"/>
        <v>936</v>
      </c>
      <c r="C939" s="28">
        <v>47.234779000000003</v>
      </c>
      <c r="D939" s="379">
        <f t="shared" si="70"/>
        <v>-1.2149054924908531E-2</v>
      </c>
      <c r="E939" s="39">
        <v>1370.26001</v>
      </c>
      <c r="F939" s="379">
        <f t="shared" si="71"/>
        <v>-1.2553466745689194E-2</v>
      </c>
      <c r="G939" s="379">
        <f t="shared" si="72"/>
        <v>0</v>
      </c>
      <c r="H939" s="379">
        <f t="shared" si="73"/>
        <v>0</v>
      </c>
    </row>
    <row r="940" spans="1:8">
      <c r="A940" s="375">
        <v>41011</v>
      </c>
      <c r="B940" s="379">
        <f t="shared" si="74"/>
        <v>937</v>
      </c>
      <c r="C940" s="28">
        <v>47.812137</v>
      </c>
      <c r="D940" s="379">
        <f t="shared" si="70"/>
        <v>1.3236281502071734E-2</v>
      </c>
      <c r="E940" s="39">
        <v>1387.5699460000001</v>
      </c>
      <c r="F940" s="379">
        <f t="shared" si="71"/>
        <v>1.3685314981989711E-2</v>
      </c>
      <c r="G940" s="379">
        <f t="shared" si="72"/>
        <v>0</v>
      </c>
      <c r="H940" s="379">
        <f t="shared" si="73"/>
        <v>0</v>
      </c>
    </row>
    <row r="941" spans="1:8">
      <c r="A941" s="375">
        <v>41010</v>
      </c>
      <c r="B941" s="379">
        <f t="shared" si="74"/>
        <v>938</v>
      </c>
      <c r="C941" s="28">
        <v>47.183452000000003</v>
      </c>
      <c r="D941" s="379">
        <f t="shared" si="70"/>
        <v>-1.9017815814302552E-3</v>
      </c>
      <c r="E941" s="39">
        <v>1368.709961</v>
      </c>
      <c r="F941" s="379">
        <f t="shared" si="71"/>
        <v>7.421289713527038E-3</v>
      </c>
      <c r="G941" s="379">
        <f t="shared" si="72"/>
        <v>0</v>
      </c>
      <c r="H941" s="379">
        <f t="shared" si="73"/>
        <v>0</v>
      </c>
    </row>
    <row r="942" spans="1:8">
      <c r="A942" s="375">
        <v>41009</v>
      </c>
      <c r="B942" s="379">
        <f t="shared" si="74"/>
        <v>939</v>
      </c>
      <c r="C942" s="28">
        <v>47.273269999999997</v>
      </c>
      <c r="D942" s="379">
        <f t="shared" si="70"/>
        <v>-1.8287454396998949E-2</v>
      </c>
      <c r="E942" s="39">
        <v>1358.589966</v>
      </c>
      <c r="F942" s="379">
        <f t="shared" si="71"/>
        <v>-1.722902502057664E-2</v>
      </c>
      <c r="G942" s="379">
        <f t="shared" si="72"/>
        <v>0</v>
      </c>
      <c r="H942" s="379">
        <f t="shared" si="73"/>
        <v>0</v>
      </c>
    </row>
    <row r="943" spans="1:8">
      <c r="A943" s="375">
        <v>41008</v>
      </c>
      <c r="B943" s="379">
        <f t="shared" si="74"/>
        <v>940</v>
      </c>
      <c r="C943" s="28">
        <v>48.145730999999998</v>
      </c>
      <c r="D943" s="379">
        <f t="shared" si="70"/>
        <v>-4.1221182134229461E-3</v>
      </c>
      <c r="E943" s="39">
        <v>1382.1999510000001</v>
      </c>
      <c r="F943" s="379">
        <f t="shared" si="71"/>
        <v>-1.1423438084775318E-2</v>
      </c>
      <c r="G943" s="379">
        <f t="shared" si="72"/>
        <v>0</v>
      </c>
      <c r="H943" s="379">
        <f t="shared" si="73"/>
        <v>0</v>
      </c>
    </row>
    <row r="944" spans="1:8">
      <c r="A944" s="375">
        <v>41004</v>
      </c>
      <c r="B944" s="379">
        <f t="shared" si="74"/>
        <v>941</v>
      </c>
      <c r="C944" s="28">
        <v>48.344602999999999</v>
      </c>
      <c r="D944" s="379">
        <f t="shared" si="70"/>
        <v>-1.0822317385269451E-2</v>
      </c>
      <c r="E944" s="39">
        <v>1398.079956</v>
      </c>
      <c r="F944" s="379">
        <f t="shared" si="71"/>
        <v>-6.2924023621356768E-4</v>
      </c>
      <c r="G944" s="379">
        <f t="shared" si="72"/>
        <v>0</v>
      </c>
      <c r="H944" s="379">
        <f t="shared" si="73"/>
        <v>0</v>
      </c>
    </row>
    <row r="945" spans="1:8">
      <c r="A945" s="375">
        <v>41003</v>
      </c>
      <c r="B945" s="379">
        <f t="shared" si="74"/>
        <v>942</v>
      </c>
      <c r="C945" s="28">
        <v>48.870645000000003</v>
      </c>
      <c r="D945" s="379">
        <f t="shared" si="70"/>
        <v>-1.7049688645379227E-3</v>
      </c>
      <c r="E945" s="39">
        <v>1398.959961</v>
      </c>
      <c r="F945" s="379">
        <f t="shared" si="71"/>
        <v>-1.0254926890774988E-2</v>
      </c>
      <c r="G945" s="379">
        <f t="shared" si="72"/>
        <v>0</v>
      </c>
      <c r="H945" s="379">
        <f t="shared" si="73"/>
        <v>0</v>
      </c>
    </row>
    <row r="946" spans="1:8">
      <c r="A946" s="375">
        <v>41002</v>
      </c>
      <c r="B946" s="379">
        <f t="shared" si="74"/>
        <v>943</v>
      </c>
      <c r="C946" s="28">
        <v>48.954039000000002</v>
      </c>
      <c r="D946" s="379">
        <f t="shared" si="70"/>
        <v>-7.3115984663708975E-3</v>
      </c>
      <c r="E946" s="39">
        <v>1413.380005</v>
      </c>
      <c r="F946" s="379">
        <f t="shared" si="71"/>
        <v>-3.9966116931843456E-3</v>
      </c>
      <c r="G946" s="379">
        <f t="shared" si="72"/>
        <v>0</v>
      </c>
      <c r="H946" s="379">
        <f t="shared" si="73"/>
        <v>0</v>
      </c>
    </row>
    <row r="947" spans="1:8">
      <c r="A947" s="375">
        <v>41001</v>
      </c>
      <c r="B947" s="379">
        <f t="shared" si="74"/>
        <v>944</v>
      </c>
      <c r="C947" s="28">
        <v>49.313282999999998</v>
      </c>
      <c r="D947" s="379">
        <f t="shared" si="70"/>
        <v>1.1250728093531545E-2</v>
      </c>
      <c r="E947" s="39">
        <v>1419.040039</v>
      </c>
      <c r="F947" s="379">
        <f t="shared" si="71"/>
        <v>7.4766258661601226E-3</v>
      </c>
      <c r="G947" s="379">
        <f t="shared" si="72"/>
        <v>0</v>
      </c>
      <c r="H947" s="379">
        <f t="shared" si="73"/>
        <v>0</v>
      </c>
    </row>
    <row r="948" spans="1:8">
      <c r="A948" s="375">
        <v>40998</v>
      </c>
      <c r="B948" s="379">
        <f t="shared" si="74"/>
        <v>945</v>
      </c>
      <c r="C948" s="28">
        <v>48.761581999999997</v>
      </c>
      <c r="D948" s="379">
        <f t="shared" si="70"/>
        <v>2.7665104955764907E-3</v>
      </c>
      <c r="E948" s="39">
        <v>1408.469971</v>
      </c>
      <c r="F948" s="379">
        <f t="shared" si="71"/>
        <v>3.6916140439576272E-3</v>
      </c>
      <c r="G948" s="379">
        <f t="shared" si="72"/>
        <v>0</v>
      </c>
      <c r="H948" s="379">
        <f t="shared" si="73"/>
        <v>0</v>
      </c>
    </row>
    <row r="949" spans="1:8">
      <c r="A949" s="375">
        <v>40997</v>
      </c>
      <c r="B949" s="379">
        <f t="shared" si="74"/>
        <v>946</v>
      </c>
      <c r="C949" s="28">
        <v>48.626868999999999</v>
      </c>
      <c r="D949" s="379">
        <f t="shared" si="70"/>
        <v>-2.3717366106963404E-3</v>
      </c>
      <c r="E949" s="39">
        <v>1403.280029</v>
      </c>
      <c r="F949" s="379">
        <f t="shared" si="71"/>
        <v>-1.6092241104783904E-3</v>
      </c>
      <c r="G949" s="379">
        <f t="shared" si="72"/>
        <v>0</v>
      </c>
      <c r="H949" s="379">
        <f t="shared" si="73"/>
        <v>0</v>
      </c>
    </row>
    <row r="950" spans="1:8">
      <c r="A950" s="375">
        <v>40996</v>
      </c>
      <c r="B950" s="379">
        <f t="shared" si="74"/>
        <v>947</v>
      </c>
      <c r="C950" s="28">
        <v>48.742336000000002</v>
      </c>
      <c r="D950" s="379">
        <f t="shared" si="70"/>
        <v>-1.1255165844153328E-2</v>
      </c>
      <c r="E950" s="39">
        <v>1405.540039</v>
      </c>
      <c r="F950" s="379">
        <f t="shared" si="71"/>
        <v>-4.9537590596095138E-3</v>
      </c>
      <c r="G950" s="379">
        <f t="shared" si="72"/>
        <v>0</v>
      </c>
      <c r="H950" s="379">
        <f t="shared" si="73"/>
        <v>0</v>
      </c>
    </row>
    <row r="951" spans="1:8">
      <c r="A951" s="375">
        <v>40995</v>
      </c>
      <c r="B951" s="379">
        <f t="shared" si="74"/>
        <v>948</v>
      </c>
      <c r="C951" s="28">
        <v>49.294038</v>
      </c>
      <c r="D951" s="379">
        <f t="shared" si="70"/>
        <v>-6.7445742613084555E-3</v>
      </c>
      <c r="E951" s="39">
        <v>1412.5200199999999</v>
      </c>
      <c r="F951" s="379">
        <f t="shared" si="71"/>
        <v>-2.8207495878521307E-3</v>
      </c>
      <c r="G951" s="379">
        <f t="shared" si="72"/>
        <v>0</v>
      </c>
      <c r="H951" s="379">
        <f t="shared" si="73"/>
        <v>0</v>
      </c>
    </row>
    <row r="952" spans="1:8">
      <c r="A952" s="375">
        <v>40994</v>
      </c>
      <c r="B952" s="379">
        <f t="shared" si="74"/>
        <v>949</v>
      </c>
      <c r="C952" s="28">
        <v>49.627628999999999</v>
      </c>
      <c r="D952" s="379">
        <f t="shared" si="70"/>
        <v>1.1048398592353707E-2</v>
      </c>
      <c r="E952" s="39">
        <v>1416.51001</v>
      </c>
      <c r="F952" s="379">
        <f t="shared" si="71"/>
        <v>1.3790300381183415E-2</v>
      </c>
      <c r="G952" s="379">
        <f t="shared" si="72"/>
        <v>0</v>
      </c>
      <c r="H952" s="379">
        <f t="shared" si="73"/>
        <v>0</v>
      </c>
    </row>
    <row r="953" spans="1:8">
      <c r="A953" s="375">
        <v>40991</v>
      </c>
      <c r="B953" s="379">
        <f t="shared" si="74"/>
        <v>950</v>
      </c>
      <c r="C953" s="28">
        <v>49.082341</v>
      </c>
      <c r="D953" s="379">
        <f t="shared" si="70"/>
        <v>8.1365991084948412E-3</v>
      </c>
      <c r="E953" s="39">
        <v>1397.1099850000001</v>
      </c>
      <c r="F953" s="379">
        <f t="shared" si="71"/>
        <v>3.1040359690735629E-3</v>
      </c>
      <c r="G953" s="379">
        <f t="shared" si="72"/>
        <v>0</v>
      </c>
      <c r="H953" s="379">
        <f t="shared" si="73"/>
        <v>0</v>
      </c>
    </row>
    <row r="954" spans="1:8">
      <c r="A954" s="375">
        <v>40990</v>
      </c>
      <c r="B954" s="379">
        <f t="shared" si="74"/>
        <v>951</v>
      </c>
      <c r="C954" s="28">
        <v>48.684598000000001</v>
      </c>
      <c r="D954" s="379">
        <f t="shared" si="70"/>
        <v>-1.8279769541571213E-2</v>
      </c>
      <c r="E954" s="39">
        <v>1392.780029</v>
      </c>
      <c r="F954" s="379">
        <f t="shared" si="71"/>
        <v>-7.2326346906493744E-3</v>
      </c>
      <c r="G954" s="379">
        <f t="shared" si="72"/>
        <v>0</v>
      </c>
      <c r="H954" s="379">
        <f t="shared" si="73"/>
        <v>0</v>
      </c>
    </row>
    <row r="955" spans="1:8">
      <c r="A955" s="375">
        <v>40989</v>
      </c>
      <c r="B955" s="379">
        <f t="shared" si="74"/>
        <v>952</v>
      </c>
      <c r="C955" s="28">
        <v>49.582725000000003</v>
      </c>
      <c r="D955" s="379">
        <f t="shared" si="70"/>
        <v>-3.6162073245929148E-3</v>
      </c>
      <c r="E955" s="39">
        <v>1402.8900149999999</v>
      </c>
      <c r="F955" s="379">
        <f t="shared" si="71"/>
        <v>-1.872949986681948E-3</v>
      </c>
      <c r="G955" s="379">
        <f t="shared" si="72"/>
        <v>0</v>
      </c>
      <c r="H955" s="379">
        <f t="shared" si="73"/>
        <v>0</v>
      </c>
    </row>
    <row r="956" spans="1:8">
      <c r="A956" s="375">
        <v>40988</v>
      </c>
      <c r="B956" s="379">
        <f t="shared" si="74"/>
        <v>953</v>
      </c>
      <c r="C956" s="28">
        <v>49.762351000000002</v>
      </c>
      <c r="D956" s="379">
        <f t="shared" si="70"/>
        <v>-6.4249517019434304E-3</v>
      </c>
      <c r="E956" s="39">
        <v>1405.5200199999999</v>
      </c>
      <c r="F956" s="379">
        <f t="shared" si="71"/>
        <v>-3.0050284008838741E-3</v>
      </c>
      <c r="G956" s="379">
        <f t="shared" si="72"/>
        <v>0</v>
      </c>
      <c r="H956" s="379">
        <f t="shared" si="73"/>
        <v>0</v>
      </c>
    </row>
    <row r="957" spans="1:8">
      <c r="A957" s="375">
        <v>40987</v>
      </c>
      <c r="B957" s="379">
        <f t="shared" si="74"/>
        <v>954</v>
      </c>
      <c r="C957" s="28">
        <v>50.083100999999999</v>
      </c>
      <c r="D957" s="379">
        <f t="shared" si="70"/>
        <v>1.1465450814970019E-2</v>
      </c>
      <c r="E957" s="39">
        <v>1409.75</v>
      </c>
      <c r="F957" s="379">
        <f t="shared" si="71"/>
        <v>3.9659714751247568E-3</v>
      </c>
      <c r="G957" s="379">
        <f t="shared" si="72"/>
        <v>0</v>
      </c>
      <c r="H957" s="379">
        <f t="shared" si="73"/>
        <v>0</v>
      </c>
    </row>
    <row r="958" spans="1:8">
      <c r="A958" s="375">
        <v>40984</v>
      </c>
      <c r="B958" s="379">
        <f t="shared" si="74"/>
        <v>955</v>
      </c>
      <c r="C958" s="28">
        <v>49.512155</v>
      </c>
      <c r="D958" s="379">
        <f t="shared" si="70"/>
        <v>7.1516410581475001E-3</v>
      </c>
      <c r="E958" s="39">
        <v>1404.170044</v>
      </c>
      <c r="F958" s="379">
        <f t="shared" si="71"/>
        <v>1.1187722204363244E-3</v>
      </c>
      <c r="G958" s="379">
        <f t="shared" si="72"/>
        <v>0</v>
      </c>
      <c r="H958" s="379">
        <f t="shared" si="73"/>
        <v>0</v>
      </c>
    </row>
    <row r="959" spans="1:8">
      <c r="A959" s="375">
        <v>40983</v>
      </c>
      <c r="B959" s="379">
        <f t="shared" si="74"/>
        <v>956</v>
      </c>
      <c r="C959" s="28">
        <v>49.159325000000003</v>
      </c>
      <c r="D959" s="379">
        <f t="shared" si="70"/>
        <v>-1.141830423335331E-2</v>
      </c>
      <c r="E959" s="39">
        <v>1402.599976</v>
      </c>
      <c r="F959" s="379">
        <f t="shared" si="71"/>
        <v>5.9494662096943049E-3</v>
      </c>
      <c r="G959" s="379">
        <f t="shared" si="72"/>
        <v>0</v>
      </c>
      <c r="H959" s="379">
        <f t="shared" si="73"/>
        <v>0</v>
      </c>
    </row>
    <row r="960" spans="1:8">
      <c r="A960" s="375">
        <v>40982</v>
      </c>
      <c r="B960" s="379">
        <f t="shared" si="74"/>
        <v>957</v>
      </c>
      <c r="C960" s="28">
        <v>49.723858</v>
      </c>
      <c r="D960" s="379">
        <f t="shared" si="70"/>
        <v>-3.2202430008360008E-3</v>
      </c>
      <c r="E960" s="39">
        <v>1394.280029</v>
      </c>
      <c r="F960" s="379">
        <f t="shared" si="71"/>
        <v>-1.1969781783957077E-3</v>
      </c>
      <c r="G960" s="379">
        <f t="shared" si="72"/>
        <v>0</v>
      </c>
      <c r="H960" s="379">
        <f t="shared" si="73"/>
        <v>0</v>
      </c>
    </row>
    <row r="961" spans="1:8">
      <c r="A961" s="375">
        <v>40981</v>
      </c>
      <c r="B961" s="379">
        <f t="shared" si="74"/>
        <v>958</v>
      </c>
      <c r="C961" s="28">
        <v>49.884239000000001</v>
      </c>
      <c r="D961" s="379">
        <f t="shared" si="70"/>
        <v>5.8040093614415283E-3</v>
      </c>
      <c r="E961" s="39">
        <v>1395.9499510000001</v>
      </c>
      <c r="F961" s="379">
        <f t="shared" si="71"/>
        <v>1.7969132836255664E-2</v>
      </c>
      <c r="G961" s="379">
        <f t="shared" si="72"/>
        <v>0</v>
      </c>
      <c r="H961" s="379">
        <f t="shared" si="73"/>
        <v>0</v>
      </c>
    </row>
    <row r="962" spans="1:8">
      <c r="A962" s="375">
        <v>40980</v>
      </c>
      <c r="B962" s="379">
        <f t="shared" si="74"/>
        <v>959</v>
      </c>
      <c r="C962" s="28">
        <v>49.595548999999998</v>
      </c>
      <c r="D962" s="379">
        <f t="shared" si="70"/>
        <v>1.9419576714639832E-3</v>
      </c>
      <c r="E962" s="39">
        <v>1371.089966</v>
      </c>
      <c r="F962" s="379">
        <f t="shared" si="71"/>
        <v>1.6044800332657864E-4</v>
      </c>
      <c r="G962" s="379">
        <f t="shared" si="72"/>
        <v>0</v>
      </c>
      <c r="H962" s="379">
        <f t="shared" si="73"/>
        <v>0</v>
      </c>
    </row>
    <row r="963" spans="1:8">
      <c r="A963" s="375">
        <v>40977</v>
      </c>
      <c r="B963" s="379">
        <f t="shared" si="74"/>
        <v>960</v>
      </c>
      <c r="C963" s="28">
        <v>49.49933</v>
      </c>
      <c r="D963" s="379">
        <f t="shared" si="70"/>
        <v>-7.7716299930792707E-4</v>
      </c>
      <c r="E963" s="39">
        <v>1370.869995</v>
      </c>
      <c r="F963" s="379">
        <f t="shared" si="71"/>
        <v>3.6246730667990343E-3</v>
      </c>
      <c r="G963" s="379">
        <f t="shared" si="72"/>
        <v>0</v>
      </c>
      <c r="H963" s="379">
        <f t="shared" si="73"/>
        <v>0</v>
      </c>
    </row>
    <row r="964" spans="1:8">
      <c r="A964" s="375">
        <v>40976</v>
      </c>
      <c r="B964" s="379">
        <f t="shared" si="74"/>
        <v>961</v>
      </c>
      <c r="C964" s="28">
        <v>49.537813999999997</v>
      </c>
      <c r="D964" s="379">
        <f t="shared" ref="D964:D1008" si="75">LN(C964/C965)</f>
        <v>2.5933408631380801E-3</v>
      </c>
      <c r="E964" s="39">
        <v>1365.910034</v>
      </c>
      <c r="F964" s="379">
        <f t="shared" ref="F964:F1009" si="76">LN(E964/E965)</f>
        <v>9.7700489565339787E-3</v>
      </c>
      <c r="G964" s="379">
        <f t="shared" ref="G964:G1009" si="77">IF(B964&lt;$D$1+1,D964,0)</f>
        <v>0</v>
      </c>
      <c r="H964" s="379">
        <f t="shared" ref="H964:H1009" si="78">IF(B964&lt;$D$1+1,F964,0)</f>
        <v>0</v>
      </c>
    </row>
    <row r="965" spans="1:8">
      <c r="A965" s="375">
        <v>40975</v>
      </c>
      <c r="B965" s="379">
        <f t="shared" si="74"/>
        <v>962</v>
      </c>
      <c r="C965" s="28">
        <v>49.409511999999999</v>
      </c>
      <c r="D965" s="379">
        <f t="shared" si="75"/>
        <v>7.4282011581468998E-3</v>
      </c>
      <c r="E965" s="39">
        <v>1352.630005</v>
      </c>
      <c r="F965" s="379">
        <f t="shared" si="76"/>
        <v>6.8769220713346818E-3</v>
      </c>
      <c r="G965" s="379">
        <f t="shared" si="77"/>
        <v>0</v>
      </c>
      <c r="H965" s="379">
        <f t="shared" si="78"/>
        <v>0</v>
      </c>
    </row>
    <row r="966" spans="1:8">
      <c r="A966" s="375">
        <v>40974</v>
      </c>
      <c r="B966" s="379">
        <f t="shared" ref="B966:B1009" si="79">B965+1</f>
        <v>963</v>
      </c>
      <c r="C966" s="28">
        <v>49.043847999999997</v>
      </c>
      <c r="D966" s="379">
        <f t="shared" si="75"/>
        <v>-1.4414917471803049E-2</v>
      </c>
      <c r="E966" s="39">
        <v>1343.3599850000001</v>
      </c>
      <c r="F966" s="379">
        <f t="shared" si="76"/>
        <v>-1.5489506349164149E-2</v>
      </c>
      <c r="G966" s="379">
        <f t="shared" si="77"/>
        <v>0</v>
      </c>
      <c r="H966" s="379">
        <f t="shared" si="78"/>
        <v>0</v>
      </c>
    </row>
    <row r="967" spans="1:8">
      <c r="A967" s="375">
        <v>40973</v>
      </c>
      <c r="B967" s="379">
        <f t="shared" si="79"/>
        <v>964</v>
      </c>
      <c r="C967" s="28">
        <v>49.755930999999997</v>
      </c>
      <c r="D967" s="379">
        <f t="shared" si="75"/>
        <v>-1.1596914763162751E-3</v>
      </c>
      <c r="E967" s="39">
        <v>1364.329956</v>
      </c>
      <c r="F967" s="379">
        <f t="shared" si="76"/>
        <v>-3.8772006284662321E-3</v>
      </c>
      <c r="G967" s="379">
        <f t="shared" si="77"/>
        <v>0</v>
      </c>
      <c r="H967" s="379">
        <f t="shared" si="78"/>
        <v>0</v>
      </c>
    </row>
    <row r="968" spans="1:8">
      <c r="A968" s="375">
        <v>40970</v>
      </c>
      <c r="B968" s="379">
        <f t="shared" si="79"/>
        <v>965</v>
      </c>
      <c r="C968" s="28">
        <v>49.813665999999998</v>
      </c>
      <c r="D968" s="379">
        <f t="shared" si="75"/>
        <v>-7.3138248604494418E-3</v>
      </c>
      <c r="E968" s="39">
        <v>1369.630005</v>
      </c>
      <c r="F968" s="379">
        <f t="shared" si="76"/>
        <v>-3.2510350730651405E-3</v>
      </c>
      <c r="G968" s="379">
        <f t="shared" si="77"/>
        <v>0</v>
      </c>
      <c r="H968" s="379">
        <f t="shared" si="78"/>
        <v>0</v>
      </c>
    </row>
    <row r="969" spans="1:8">
      <c r="A969" s="375">
        <v>40969</v>
      </c>
      <c r="B969" s="379">
        <f t="shared" si="79"/>
        <v>966</v>
      </c>
      <c r="C969" s="28">
        <v>50.17933</v>
      </c>
      <c r="D969" s="379">
        <f t="shared" si="75"/>
        <v>2.1581234597503988E-2</v>
      </c>
      <c r="E969" s="39">
        <v>1374.089966</v>
      </c>
      <c r="F969" s="379">
        <f t="shared" si="76"/>
        <v>6.1391564636395259E-3</v>
      </c>
      <c r="G969" s="379">
        <f t="shared" si="77"/>
        <v>0</v>
      </c>
      <c r="H969" s="379">
        <f t="shared" si="78"/>
        <v>0</v>
      </c>
    </row>
    <row r="970" spans="1:8">
      <c r="A970" s="375">
        <v>40968</v>
      </c>
      <c r="B970" s="379">
        <f t="shared" si="79"/>
        <v>967</v>
      </c>
      <c r="C970" s="28">
        <v>49.107999999999997</v>
      </c>
      <c r="D970" s="379">
        <f t="shared" si="75"/>
        <v>-9.3616991479120604E-3</v>
      </c>
      <c r="E970" s="39">
        <v>1365.6800539999999</v>
      </c>
      <c r="F970" s="379">
        <f t="shared" si="76"/>
        <v>-4.7482427559507661E-3</v>
      </c>
      <c r="G970" s="379">
        <f t="shared" si="77"/>
        <v>0</v>
      </c>
      <c r="H970" s="379">
        <f t="shared" si="78"/>
        <v>0</v>
      </c>
    </row>
    <row r="971" spans="1:8">
      <c r="A971" s="375">
        <v>40967</v>
      </c>
      <c r="B971" s="379">
        <f t="shared" si="79"/>
        <v>968</v>
      </c>
      <c r="C971" s="28">
        <v>49.569893</v>
      </c>
      <c r="D971" s="379">
        <f t="shared" si="75"/>
        <v>1.0930555615873708E-2</v>
      </c>
      <c r="E971" s="39">
        <v>1372.1800539999999</v>
      </c>
      <c r="F971" s="379">
        <f t="shared" si="76"/>
        <v>3.3507135715839884E-3</v>
      </c>
      <c r="G971" s="379">
        <f t="shared" si="77"/>
        <v>0</v>
      </c>
      <c r="H971" s="379">
        <f t="shared" si="78"/>
        <v>0</v>
      </c>
    </row>
    <row r="972" spans="1:8">
      <c r="A972" s="375">
        <v>40966</v>
      </c>
      <c r="B972" s="379">
        <f t="shared" si="79"/>
        <v>969</v>
      </c>
      <c r="C972" s="28">
        <v>49.031016999999999</v>
      </c>
      <c r="D972" s="379">
        <f t="shared" si="75"/>
        <v>6.3000322907148729E-3</v>
      </c>
      <c r="E972" s="39">
        <v>1367.589966</v>
      </c>
      <c r="F972" s="379">
        <f t="shared" si="76"/>
        <v>1.353642854879183E-3</v>
      </c>
      <c r="G972" s="379">
        <f t="shared" si="77"/>
        <v>0</v>
      </c>
      <c r="H972" s="379">
        <f t="shared" si="78"/>
        <v>0</v>
      </c>
    </row>
    <row r="973" spans="1:8">
      <c r="A973" s="375">
        <v>40963</v>
      </c>
      <c r="B973" s="379">
        <f t="shared" si="79"/>
        <v>970</v>
      </c>
      <c r="C973" s="28">
        <v>48.723090999999997</v>
      </c>
      <c r="D973" s="379">
        <f t="shared" si="75"/>
        <v>1.5123673544372388E-2</v>
      </c>
      <c r="E973" s="39">
        <v>1365.73999</v>
      </c>
      <c r="F973" s="379">
        <f t="shared" si="76"/>
        <v>1.6708409580589543E-3</v>
      </c>
      <c r="G973" s="379">
        <f t="shared" si="77"/>
        <v>0</v>
      </c>
      <c r="H973" s="379">
        <f t="shared" si="78"/>
        <v>0</v>
      </c>
    </row>
    <row r="974" spans="1:8">
      <c r="A974" s="375">
        <v>40962</v>
      </c>
      <c r="B974" s="379">
        <f t="shared" si="79"/>
        <v>971</v>
      </c>
      <c r="C974" s="28">
        <v>47.991762999999999</v>
      </c>
      <c r="D974" s="379">
        <f t="shared" si="75"/>
        <v>9.1311849850050485E-3</v>
      </c>
      <c r="E974" s="39">
        <v>1363.459961</v>
      </c>
      <c r="F974" s="379">
        <f t="shared" si="76"/>
        <v>4.2629033587965317E-3</v>
      </c>
      <c r="G974" s="379">
        <f t="shared" si="77"/>
        <v>0</v>
      </c>
      <c r="H974" s="379">
        <f t="shared" si="78"/>
        <v>0</v>
      </c>
    </row>
    <row r="975" spans="1:8">
      <c r="A975" s="375">
        <v>40961</v>
      </c>
      <c r="B975" s="379">
        <f t="shared" si="79"/>
        <v>972</v>
      </c>
      <c r="C975" s="28">
        <v>47.555535999999996</v>
      </c>
      <c r="D975" s="379">
        <f t="shared" si="75"/>
        <v>4.0552270125946699E-3</v>
      </c>
      <c r="E975" s="39">
        <v>1357.660034</v>
      </c>
      <c r="F975" s="379">
        <f t="shared" si="76"/>
        <v>-3.3456975903777483E-3</v>
      </c>
      <c r="G975" s="379">
        <f t="shared" si="77"/>
        <v>0</v>
      </c>
      <c r="H975" s="379">
        <f t="shared" si="78"/>
        <v>0</v>
      </c>
    </row>
    <row r="976" spans="1:8">
      <c r="A976" s="375">
        <v>40960</v>
      </c>
      <c r="B976" s="379">
        <f t="shared" si="79"/>
        <v>973</v>
      </c>
      <c r="C976" s="28">
        <v>47.363078000000002</v>
      </c>
      <c r="D976" s="379">
        <f t="shared" si="75"/>
        <v>6.3863631018253441E-3</v>
      </c>
      <c r="E976" s="39">
        <v>1362.209961</v>
      </c>
      <c r="F976" s="379">
        <f t="shared" si="76"/>
        <v>7.1966414793485541E-4</v>
      </c>
      <c r="G976" s="379">
        <f t="shared" si="77"/>
        <v>0</v>
      </c>
      <c r="H976" s="379">
        <f t="shared" si="78"/>
        <v>0</v>
      </c>
    </row>
    <row r="977" spans="1:8">
      <c r="A977" s="375">
        <v>40956</v>
      </c>
      <c r="B977" s="379">
        <f t="shared" si="79"/>
        <v>974</v>
      </c>
      <c r="C977" s="28">
        <v>47.061563999999997</v>
      </c>
      <c r="D977" s="379">
        <f t="shared" si="75"/>
        <v>7.9375525209016261E-3</v>
      </c>
      <c r="E977" s="39">
        <v>1361.2299800000001</v>
      </c>
      <c r="F977" s="379">
        <f t="shared" si="76"/>
        <v>2.3461755846049363E-3</v>
      </c>
      <c r="G977" s="379">
        <f t="shared" si="77"/>
        <v>0</v>
      </c>
      <c r="H977" s="379">
        <f t="shared" si="78"/>
        <v>0</v>
      </c>
    </row>
    <row r="978" spans="1:8">
      <c r="A978" s="375">
        <v>40955</v>
      </c>
      <c r="B978" s="379">
        <f t="shared" si="79"/>
        <v>975</v>
      </c>
      <c r="C978" s="28">
        <v>46.689489000000002</v>
      </c>
      <c r="D978" s="379">
        <f t="shared" si="75"/>
        <v>-1.3732340808505635E-4</v>
      </c>
      <c r="E978" s="39">
        <v>1358.040039</v>
      </c>
      <c r="F978" s="379">
        <f t="shared" si="76"/>
        <v>1.096536613622677E-2</v>
      </c>
      <c r="G978" s="379">
        <f t="shared" si="77"/>
        <v>0</v>
      </c>
      <c r="H978" s="379">
        <f t="shared" si="78"/>
        <v>0</v>
      </c>
    </row>
    <row r="979" spans="1:8">
      <c r="A979" s="375">
        <v>40954</v>
      </c>
      <c r="B979" s="379">
        <f t="shared" si="79"/>
        <v>976</v>
      </c>
      <c r="C979" s="28">
        <v>46.695900999999999</v>
      </c>
      <c r="D979" s="379">
        <f t="shared" si="75"/>
        <v>-2.0401524007514931E-3</v>
      </c>
      <c r="E979" s="39">
        <v>1343.2299800000001</v>
      </c>
      <c r="F979" s="379">
        <f t="shared" si="76"/>
        <v>-5.3977478851888559E-3</v>
      </c>
      <c r="G979" s="379">
        <f t="shared" si="77"/>
        <v>0</v>
      </c>
      <c r="H979" s="379">
        <f t="shared" si="78"/>
        <v>0</v>
      </c>
    </row>
    <row r="980" spans="1:8">
      <c r="A980" s="375">
        <v>40953</v>
      </c>
      <c r="B980" s="379">
        <f t="shared" si="79"/>
        <v>977</v>
      </c>
      <c r="C980" s="28">
        <v>46.791265000000003</v>
      </c>
      <c r="D980" s="379">
        <f t="shared" si="75"/>
        <v>1.0791713057431136E-2</v>
      </c>
      <c r="E980" s="39">
        <v>1350.5</v>
      </c>
      <c r="F980" s="379">
        <f t="shared" si="76"/>
        <v>-9.3996535069348723E-4</v>
      </c>
      <c r="G980" s="379">
        <f t="shared" si="77"/>
        <v>0</v>
      </c>
      <c r="H980" s="379">
        <f t="shared" si="78"/>
        <v>0</v>
      </c>
    </row>
    <row r="981" spans="1:8">
      <c r="A981" s="375">
        <v>40952</v>
      </c>
      <c r="B981" s="379">
        <f t="shared" si="79"/>
        <v>978</v>
      </c>
      <c r="C981" s="28">
        <v>46.289022000000003</v>
      </c>
      <c r="D981" s="379">
        <f t="shared" si="75"/>
        <v>7.7210141555554106E-3</v>
      </c>
      <c r="E981" s="39">
        <v>1351.7700199999999</v>
      </c>
      <c r="F981" s="379">
        <f t="shared" si="76"/>
        <v>6.777023411420619E-3</v>
      </c>
      <c r="G981" s="379">
        <f t="shared" si="77"/>
        <v>0</v>
      </c>
      <c r="H981" s="379">
        <f t="shared" si="78"/>
        <v>0</v>
      </c>
    </row>
    <row r="982" spans="1:8">
      <c r="A982" s="375">
        <v>40949</v>
      </c>
      <c r="B982" s="379">
        <f t="shared" si="79"/>
        <v>979</v>
      </c>
      <c r="C982" s="28">
        <v>45.933</v>
      </c>
      <c r="D982" s="379">
        <f t="shared" si="75"/>
        <v>9.7357637104095989E-3</v>
      </c>
      <c r="E982" s="39">
        <v>1342.6400149999999</v>
      </c>
      <c r="F982" s="379">
        <f t="shared" si="76"/>
        <v>-6.9101222546409163E-3</v>
      </c>
      <c r="G982" s="379">
        <f t="shared" si="77"/>
        <v>0</v>
      </c>
      <c r="H982" s="379">
        <f t="shared" si="78"/>
        <v>0</v>
      </c>
    </row>
    <row r="983" spans="1:8">
      <c r="A983" s="375">
        <v>40948</v>
      </c>
      <c r="B983" s="379">
        <f t="shared" si="79"/>
        <v>980</v>
      </c>
      <c r="C983" s="28">
        <v>45.487977000000001</v>
      </c>
      <c r="D983" s="379">
        <f t="shared" si="75"/>
        <v>-9.7357637104094914E-3</v>
      </c>
      <c r="E983" s="39">
        <v>1351.9499510000001</v>
      </c>
      <c r="F983" s="379">
        <f t="shared" si="76"/>
        <v>1.4730249524499133E-3</v>
      </c>
      <c r="G983" s="379">
        <f t="shared" si="77"/>
        <v>0</v>
      </c>
      <c r="H983" s="379">
        <f t="shared" si="78"/>
        <v>0</v>
      </c>
    </row>
    <row r="984" spans="1:8">
      <c r="A984" s="375">
        <v>40947</v>
      </c>
      <c r="B984" s="379">
        <f t="shared" si="79"/>
        <v>981</v>
      </c>
      <c r="C984" s="28">
        <v>45.933</v>
      </c>
      <c r="D984" s="379">
        <f t="shared" si="75"/>
        <v>4.5778540382350151E-3</v>
      </c>
      <c r="E984" s="39">
        <v>1349.959961</v>
      </c>
      <c r="F984" s="379">
        <f t="shared" si="76"/>
        <v>2.1578808520291556E-3</v>
      </c>
      <c r="G984" s="379">
        <f t="shared" si="77"/>
        <v>0</v>
      </c>
      <c r="H984" s="379">
        <f t="shared" si="78"/>
        <v>0</v>
      </c>
    </row>
    <row r="985" spans="1:8">
      <c r="A985" s="375">
        <v>40946</v>
      </c>
      <c r="B985" s="379">
        <f t="shared" si="79"/>
        <v>982</v>
      </c>
      <c r="C985" s="28">
        <v>45.723205999999998</v>
      </c>
      <c r="D985" s="379">
        <f t="shared" si="75"/>
        <v>8.3776070795590855E-3</v>
      </c>
      <c r="E985" s="39">
        <v>1347.0500489999999</v>
      </c>
      <c r="F985" s="379">
        <f t="shared" si="76"/>
        <v>2.021337693743905E-3</v>
      </c>
      <c r="G985" s="379">
        <f t="shared" si="77"/>
        <v>0</v>
      </c>
      <c r="H985" s="379">
        <f t="shared" si="78"/>
        <v>0</v>
      </c>
    </row>
    <row r="986" spans="1:8">
      <c r="A986" s="375">
        <v>40945</v>
      </c>
      <c r="B986" s="379">
        <f t="shared" si="79"/>
        <v>983</v>
      </c>
      <c r="C986" s="28">
        <v>45.341754999999999</v>
      </c>
      <c r="D986" s="379">
        <f t="shared" si="75"/>
        <v>1.2131781175892961E-2</v>
      </c>
      <c r="E986" s="39">
        <v>1344.329956</v>
      </c>
      <c r="F986" s="379">
        <f t="shared" si="76"/>
        <v>-4.2396374633528287E-4</v>
      </c>
      <c r="G986" s="379">
        <f t="shared" si="77"/>
        <v>0</v>
      </c>
      <c r="H986" s="379">
        <f t="shared" si="78"/>
        <v>0</v>
      </c>
    </row>
    <row r="987" spans="1:8">
      <c r="A987" s="375">
        <v>40942</v>
      </c>
      <c r="B987" s="379">
        <f t="shared" si="79"/>
        <v>984</v>
      </c>
      <c r="C987" s="28">
        <v>44.795001999999997</v>
      </c>
      <c r="D987" s="379">
        <f t="shared" si="75"/>
        <v>7.836383629989058E-3</v>
      </c>
      <c r="E987" s="39">
        <v>1344.900024</v>
      </c>
      <c r="F987" s="379">
        <f t="shared" si="76"/>
        <v>1.449972568738235E-2</v>
      </c>
      <c r="G987" s="379">
        <f t="shared" si="77"/>
        <v>0</v>
      </c>
      <c r="H987" s="379">
        <f t="shared" si="78"/>
        <v>0</v>
      </c>
    </row>
    <row r="988" spans="1:8">
      <c r="A988" s="375">
        <v>40941</v>
      </c>
      <c r="B988" s="379">
        <f t="shared" si="79"/>
        <v>985</v>
      </c>
      <c r="C988" s="28">
        <v>44.445343000000001</v>
      </c>
      <c r="D988" s="379">
        <f t="shared" si="75"/>
        <v>8.4752581273476475E-3</v>
      </c>
      <c r="E988" s="39">
        <v>1325.540039</v>
      </c>
      <c r="F988" s="379">
        <f t="shared" si="76"/>
        <v>1.0945476478100317E-3</v>
      </c>
      <c r="G988" s="379">
        <f t="shared" si="77"/>
        <v>0</v>
      </c>
      <c r="H988" s="379">
        <f t="shared" si="78"/>
        <v>0</v>
      </c>
    </row>
    <row r="989" spans="1:8">
      <c r="A989" s="375">
        <v>40940</v>
      </c>
      <c r="B989" s="379">
        <f t="shared" si="79"/>
        <v>986</v>
      </c>
      <c r="C989" s="28">
        <v>44.070248999999997</v>
      </c>
      <c r="D989" s="379">
        <f t="shared" si="75"/>
        <v>1.614231904533658E-2</v>
      </c>
      <c r="E989" s="39">
        <v>1324.089966</v>
      </c>
      <c r="F989" s="379">
        <f t="shared" si="76"/>
        <v>8.8602377468863999E-3</v>
      </c>
      <c r="G989" s="379">
        <f t="shared" si="77"/>
        <v>0</v>
      </c>
      <c r="H989" s="379">
        <f t="shared" si="78"/>
        <v>0</v>
      </c>
    </row>
    <row r="990" spans="1:8">
      <c r="A990" s="375">
        <v>40939</v>
      </c>
      <c r="B990" s="379">
        <f t="shared" si="79"/>
        <v>987</v>
      </c>
      <c r="C990" s="28">
        <v>43.364564000000001</v>
      </c>
      <c r="D990" s="379">
        <f t="shared" si="75"/>
        <v>-7.4491206736948534E-3</v>
      </c>
      <c r="E990" s="39">
        <v>1312.410034</v>
      </c>
      <c r="F990" s="379">
        <f t="shared" si="76"/>
        <v>-4.5705144349420662E-4</v>
      </c>
      <c r="G990" s="379">
        <f t="shared" si="77"/>
        <v>0</v>
      </c>
      <c r="H990" s="379">
        <f t="shared" si="78"/>
        <v>0</v>
      </c>
    </row>
    <row r="991" spans="1:8">
      <c r="A991" s="375">
        <v>40938</v>
      </c>
      <c r="B991" s="379">
        <f t="shared" si="79"/>
        <v>988</v>
      </c>
      <c r="C991" s="28">
        <v>43.688797999999998</v>
      </c>
      <c r="D991" s="379">
        <f t="shared" si="75"/>
        <v>-9.8466674884047506E-3</v>
      </c>
      <c r="E991" s="39">
        <v>1313.01001</v>
      </c>
      <c r="F991" s="379">
        <f t="shared" si="76"/>
        <v>-2.5253088662979617E-3</v>
      </c>
      <c r="G991" s="379">
        <f t="shared" si="77"/>
        <v>0</v>
      </c>
      <c r="H991" s="379">
        <f t="shared" si="78"/>
        <v>0</v>
      </c>
    </row>
    <row r="992" spans="1:8">
      <c r="A992" s="375">
        <v>40935</v>
      </c>
      <c r="B992" s="379">
        <f t="shared" si="79"/>
        <v>989</v>
      </c>
      <c r="C992" s="28">
        <v>44.121111999999997</v>
      </c>
      <c r="D992" s="379">
        <f t="shared" si="75"/>
        <v>-1.8713874145502268E-3</v>
      </c>
      <c r="E992" s="39">
        <v>1316.329956</v>
      </c>
      <c r="F992" s="379">
        <f t="shared" si="76"/>
        <v>-1.5941478060837427E-3</v>
      </c>
      <c r="G992" s="379">
        <f t="shared" si="77"/>
        <v>0</v>
      </c>
      <c r="H992" s="379">
        <f t="shared" si="78"/>
        <v>0</v>
      </c>
    </row>
    <row r="993" spans="1:8">
      <c r="A993" s="375">
        <v>40934</v>
      </c>
      <c r="B993" s="379">
        <f t="shared" si="79"/>
        <v>990</v>
      </c>
      <c r="C993" s="28">
        <v>44.203757000000003</v>
      </c>
      <c r="D993" s="379">
        <f t="shared" si="75"/>
        <v>-6.4511304574716823E-3</v>
      </c>
      <c r="E993" s="39">
        <v>1318.4300539999999</v>
      </c>
      <c r="F993" s="379">
        <f t="shared" si="76"/>
        <v>-5.7705083751002249E-3</v>
      </c>
      <c r="G993" s="379">
        <f t="shared" si="77"/>
        <v>0</v>
      </c>
      <c r="H993" s="379">
        <f t="shared" si="78"/>
        <v>0</v>
      </c>
    </row>
    <row r="994" spans="1:8">
      <c r="A994" s="375">
        <v>40933</v>
      </c>
      <c r="B994" s="379">
        <f t="shared" si="79"/>
        <v>991</v>
      </c>
      <c r="C994" s="28">
        <v>44.489843</v>
      </c>
      <c r="D994" s="379">
        <f t="shared" si="75"/>
        <v>-8.9623569247891804E-3</v>
      </c>
      <c r="E994" s="39">
        <v>1326.0600589999999</v>
      </c>
      <c r="F994" s="379">
        <f t="shared" si="76"/>
        <v>8.6416953385148598E-3</v>
      </c>
      <c r="G994" s="379">
        <f t="shared" si="77"/>
        <v>0</v>
      </c>
      <c r="H994" s="379">
        <f t="shared" si="78"/>
        <v>0</v>
      </c>
    </row>
    <row r="995" spans="1:8">
      <c r="A995" s="375">
        <v>40932</v>
      </c>
      <c r="B995" s="379">
        <f t="shared" si="79"/>
        <v>992</v>
      </c>
      <c r="C995" s="28">
        <v>44.890369</v>
      </c>
      <c r="D995" s="379">
        <f t="shared" si="75"/>
        <v>7.0830912821634917E-4</v>
      </c>
      <c r="E995" s="39">
        <v>1314.650024</v>
      </c>
      <c r="F995" s="379">
        <f t="shared" si="76"/>
        <v>-1.0263441401837825E-3</v>
      </c>
      <c r="G995" s="379">
        <f t="shared" si="77"/>
        <v>0</v>
      </c>
      <c r="H995" s="379">
        <f t="shared" si="78"/>
        <v>0</v>
      </c>
    </row>
    <row r="996" spans="1:8">
      <c r="A996" s="375">
        <v>40931</v>
      </c>
      <c r="B996" s="379">
        <f t="shared" si="79"/>
        <v>993</v>
      </c>
      <c r="C996" s="28">
        <v>44.858584</v>
      </c>
      <c r="D996" s="379">
        <f t="shared" si="75"/>
        <v>-9.0293718031746826E-3</v>
      </c>
      <c r="E996" s="39">
        <v>1316</v>
      </c>
      <c r="F996" s="379">
        <f t="shared" si="76"/>
        <v>4.7123183295080719E-4</v>
      </c>
      <c r="G996" s="379">
        <f t="shared" si="77"/>
        <v>0</v>
      </c>
      <c r="H996" s="379">
        <f t="shared" si="78"/>
        <v>0</v>
      </c>
    </row>
    <row r="997" spans="1:8">
      <c r="A997" s="375">
        <v>40928</v>
      </c>
      <c r="B997" s="379">
        <f t="shared" si="79"/>
        <v>994</v>
      </c>
      <c r="C997" s="28">
        <v>45.265462999999997</v>
      </c>
      <c r="D997" s="379">
        <f t="shared" si="75"/>
        <v>-9.8262862356029361E-4</v>
      </c>
      <c r="E997" s="39">
        <v>1315.380005</v>
      </c>
      <c r="F997" s="379">
        <f t="shared" si="76"/>
        <v>6.6923588237600517E-4</v>
      </c>
      <c r="G997" s="379">
        <f t="shared" si="77"/>
        <v>0</v>
      </c>
      <c r="H997" s="379">
        <f t="shared" si="78"/>
        <v>0</v>
      </c>
    </row>
    <row r="998" spans="1:8">
      <c r="A998" s="375">
        <v>40927</v>
      </c>
      <c r="B998" s="379">
        <f t="shared" si="79"/>
        <v>995</v>
      </c>
      <c r="C998" s="28">
        <v>45.309964000000001</v>
      </c>
      <c r="D998" s="379">
        <f t="shared" si="75"/>
        <v>-3.2219308211777231E-3</v>
      </c>
      <c r="E998" s="39">
        <v>1314.5</v>
      </c>
      <c r="F998" s="379">
        <f t="shared" si="76"/>
        <v>4.9265017650254083E-3</v>
      </c>
      <c r="G998" s="379">
        <f t="shared" si="77"/>
        <v>0</v>
      </c>
      <c r="H998" s="379">
        <f t="shared" si="78"/>
        <v>0</v>
      </c>
    </row>
    <row r="999" spans="1:8">
      <c r="A999" s="375">
        <v>40926</v>
      </c>
      <c r="B999" s="379">
        <f t="shared" si="79"/>
        <v>996</v>
      </c>
      <c r="C999" s="28">
        <v>45.456184999999998</v>
      </c>
      <c r="D999" s="379">
        <f t="shared" si="75"/>
        <v>9.8383915164871744E-3</v>
      </c>
      <c r="E999" s="39">
        <v>1308.040039</v>
      </c>
      <c r="F999" s="379">
        <f t="shared" si="76"/>
        <v>1.1046689040167881E-2</v>
      </c>
      <c r="G999" s="379">
        <f t="shared" si="77"/>
        <v>0</v>
      </c>
      <c r="H999" s="379">
        <f t="shared" si="78"/>
        <v>0</v>
      </c>
    </row>
    <row r="1000" spans="1:8">
      <c r="A1000" s="375">
        <v>40925</v>
      </c>
      <c r="B1000" s="379">
        <f t="shared" si="79"/>
        <v>997</v>
      </c>
      <c r="C1000" s="28">
        <v>45.011161999999999</v>
      </c>
      <c r="D1000" s="379">
        <f t="shared" si="75"/>
        <v>6.5183199218664467E-3</v>
      </c>
      <c r="E1000" s="39">
        <v>1293.670044</v>
      </c>
      <c r="F1000" s="379">
        <f t="shared" si="76"/>
        <v>3.5466576710562565E-3</v>
      </c>
      <c r="G1000" s="379">
        <f t="shared" si="77"/>
        <v>0</v>
      </c>
      <c r="H1000" s="379">
        <f t="shared" si="78"/>
        <v>0</v>
      </c>
    </row>
    <row r="1001" spans="1:8">
      <c r="A1001" s="375">
        <v>40921</v>
      </c>
      <c r="B1001" s="379">
        <f t="shared" si="79"/>
        <v>998</v>
      </c>
      <c r="C1001" s="28">
        <v>44.718719</v>
      </c>
      <c r="D1001" s="379">
        <f t="shared" si="75"/>
        <v>-5.953211521699529E-3</v>
      </c>
      <c r="E1001" s="39">
        <v>1289.089966</v>
      </c>
      <c r="F1001" s="379">
        <f t="shared" si="76"/>
        <v>-4.9602043084784322E-3</v>
      </c>
      <c r="G1001" s="379">
        <f t="shared" si="77"/>
        <v>0</v>
      </c>
      <c r="H1001" s="379">
        <f t="shared" si="78"/>
        <v>0</v>
      </c>
    </row>
    <row r="1002" spans="1:8">
      <c r="A1002" s="375">
        <v>40920</v>
      </c>
      <c r="B1002" s="379">
        <f t="shared" si="79"/>
        <v>999</v>
      </c>
      <c r="C1002" s="28">
        <v>44.985733000000003</v>
      </c>
      <c r="D1002" s="379">
        <f t="shared" si="75"/>
        <v>-1.7511224797991318E-2</v>
      </c>
      <c r="E1002" s="39">
        <v>1295.5</v>
      </c>
      <c r="F1002" s="379">
        <f t="shared" si="76"/>
        <v>2.3338831012438607E-3</v>
      </c>
      <c r="G1002" s="379">
        <f t="shared" si="77"/>
        <v>0</v>
      </c>
      <c r="H1002" s="379">
        <f t="shared" si="78"/>
        <v>0</v>
      </c>
    </row>
    <row r="1003" spans="1:8">
      <c r="A1003" s="375">
        <v>40919</v>
      </c>
      <c r="B1003" s="379">
        <f t="shared" si="79"/>
        <v>1000</v>
      </c>
      <c r="C1003" s="28">
        <v>45.780425999999999</v>
      </c>
      <c r="D1003" s="379">
        <f t="shared" si="75"/>
        <v>-1.7482663976266292E-2</v>
      </c>
      <c r="E1003" s="39">
        <v>1292.4799800000001</v>
      </c>
      <c r="F1003" s="379">
        <f t="shared" si="76"/>
        <v>3.09549024282574E-4</v>
      </c>
      <c r="G1003" s="379">
        <f t="shared" si="77"/>
        <v>0</v>
      </c>
      <c r="H1003" s="379">
        <f t="shared" si="78"/>
        <v>0</v>
      </c>
    </row>
    <row r="1004" spans="1:8">
      <c r="A1004" s="375">
        <v>40918</v>
      </c>
      <c r="B1004" s="379">
        <f t="shared" si="79"/>
        <v>1001</v>
      </c>
      <c r="C1004" s="28">
        <v>46.587826999999997</v>
      </c>
      <c r="D1004" s="379">
        <f t="shared" si="75"/>
        <v>4.650571411406782E-3</v>
      </c>
      <c r="E1004" s="39">
        <v>1292.079956</v>
      </c>
      <c r="F1004" s="379">
        <f t="shared" si="76"/>
        <v>8.8465237049391698E-3</v>
      </c>
      <c r="G1004" s="379">
        <f t="shared" si="77"/>
        <v>0</v>
      </c>
      <c r="H1004" s="379">
        <f t="shared" si="78"/>
        <v>0</v>
      </c>
    </row>
    <row r="1005" spans="1:8">
      <c r="A1005" s="375">
        <v>40917</v>
      </c>
      <c r="B1005" s="379">
        <f t="shared" si="79"/>
        <v>1002</v>
      </c>
      <c r="C1005" s="28">
        <v>46.371670000000002</v>
      </c>
      <c r="D1005" s="379">
        <f t="shared" si="75"/>
        <v>3.846196481853555E-3</v>
      </c>
      <c r="E1005" s="39">
        <v>1280.6999510000001</v>
      </c>
      <c r="F1005" s="379">
        <f t="shared" si="76"/>
        <v>2.2590439104781031E-3</v>
      </c>
      <c r="G1005" s="379">
        <f t="shared" si="77"/>
        <v>0</v>
      </c>
      <c r="H1005" s="379">
        <f t="shared" si="78"/>
        <v>0</v>
      </c>
    </row>
    <row r="1006" spans="1:8">
      <c r="A1006" s="375">
        <v>40914</v>
      </c>
      <c r="B1006" s="379">
        <f t="shared" si="79"/>
        <v>1003</v>
      </c>
      <c r="C1006" s="28">
        <v>46.193657999999999</v>
      </c>
      <c r="D1006" s="379">
        <f t="shared" si="75"/>
        <v>-7.8141464040814446E-3</v>
      </c>
      <c r="E1006" s="39">
        <v>1277.8100589999999</v>
      </c>
      <c r="F1006" s="379">
        <f t="shared" si="76"/>
        <v>-2.5401850017326196E-3</v>
      </c>
      <c r="G1006" s="379">
        <f t="shared" si="77"/>
        <v>0</v>
      </c>
      <c r="H1006" s="379">
        <f t="shared" si="78"/>
        <v>0</v>
      </c>
    </row>
    <row r="1007" spans="1:8">
      <c r="A1007" s="375">
        <v>40913</v>
      </c>
      <c r="B1007" s="379">
        <f t="shared" si="79"/>
        <v>1004</v>
      </c>
      <c r="C1007" s="28">
        <v>46.556035999999999</v>
      </c>
      <c r="D1007" s="379">
        <f t="shared" si="75"/>
        <v>-8.0246095128208798E-3</v>
      </c>
      <c r="E1007" s="39">
        <v>1281.0600589999999</v>
      </c>
      <c r="F1007" s="379">
        <f t="shared" si="76"/>
        <v>2.9393928520528899E-3</v>
      </c>
      <c r="G1007" s="379">
        <f t="shared" si="77"/>
        <v>0</v>
      </c>
      <c r="H1007" s="379">
        <f t="shared" si="78"/>
        <v>0</v>
      </c>
    </row>
    <row r="1008" spans="1:8">
      <c r="A1008" s="375">
        <v>40912</v>
      </c>
      <c r="B1008" s="379">
        <f t="shared" si="79"/>
        <v>1005</v>
      </c>
      <c r="C1008" s="28">
        <v>46.931133000000003</v>
      </c>
      <c r="D1008" s="379">
        <f t="shared" si="75"/>
        <v>-4.7299982910953831E-3</v>
      </c>
      <c r="E1008" s="39">
        <v>1277.3000489999999</v>
      </c>
      <c r="F1008" s="379">
        <f t="shared" si="76"/>
        <v>1.879061608850855E-4</v>
      </c>
      <c r="G1008" s="379">
        <f t="shared" si="77"/>
        <v>0</v>
      </c>
      <c r="H1008" s="379">
        <f t="shared" si="78"/>
        <v>0</v>
      </c>
    </row>
    <row r="1009" spans="1:8">
      <c r="A1009" s="375">
        <v>40911</v>
      </c>
      <c r="B1009" s="379">
        <f t="shared" si="79"/>
        <v>1006</v>
      </c>
      <c r="C1009" s="28">
        <v>47.153643000000002</v>
      </c>
      <c r="D1009" s="379">
        <f>LN(C1009/B1010)</f>
        <v>-3.0613196225729071</v>
      </c>
      <c r="E1009" s="39">
        <v>1277.0600589999999</v>
      </c>
      <c r="F1009" s="379">
        <f t="shared" si="76"/>
        <v>1.5355483659043021E-2</v>
      </c>
      <c r="G1009" s="379">
        <f t="shared" si="77"/>
        <v>0</v>
      </c>
      <c r="H1009" s="379">
        <f t="shared" si="78"/>
        <v>0</v>
      </c>
    </row>
    <row r="1010" spans="1:8">
      <c r="A1010" s="376">
        <v>40907</v>
      </c>
      <c r="B1010" s="380">
        <v>1007</v>
      </c>
      <c r="C1010" s="47">
        <v>46.327170000000002</v>
      </c>
      <c r="D1010" s="380"/>
      <c r="E1010" s="226">
        <v>1257.599976</v>
      </c>
      <c r="F1010" s="380"/>
      <c r="G1010" s="47"/>
      <c r="H1010" s="47"/>
    </row>
  </sheetData>
  <mergeCells count="3">
    <mergeCell ref="C2:D2"/>
    <mergeCell ref="E2:F2"/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/>
  <dimension ref="A1:O57"/>
  <sheetViews>
    <sheetView workbookViewId="0">
      <selection activeCell="A39" sqref="A39:C39"/>
    </sheetView>
  </sheetViews>
  <sheetFormatPr baseColWidth="10" defaultColWidth="11" defaultRowHeight="16"/>
  <sheetData>
    <row r="1" spans="1:15">
      <c r="A1" s="534" t="s">
        <v>243</v>
      </c>
      <c r="B1" s="534"/>
      <c r="C1" s="534"/>
    </row>
    <row r="2" spans="1:15" ht="17" thickBot="1"/>
    <row r="3" spans="1:15">
      <c r="A3" s="11" t="s">
        <v>216</v>
      </c>
      <c r="B3" s="11"/>
    </row>
    <row r="4" spans="1:15">
      <c r="A4" s="8" t="s">
        <v>217</v>
      </c>
      <c r="B4" s="8">
        <v>0.62104127567805845</v>
      </c>
    </row>
    <row r="5" spans="1:15">
      <c r="A5" s="8" t="s">
        <v>218</v>
      </c>
      <c r="B5" s="8">
        <v>0.38569226609583013</v>
      </c>
    </row>
    <row r="6" spans="1:15">
      <c r="A6" s="8" t="s">
        <v>219</v>
      </c>
      <c r="B6" s="8">
        <v>0.38323503516021346</v>
      </c>
    </row>
    <row r="7" spans="1:15">
      <c r="A7" s="8" t="s">
        <v>220</v>
      </c>
      <c r="B7" s="8">
        <v>1.5492272613071394E-2</v>
      </c>
    </row>
    <row r="8" spans="1:15" ht="17" thickBot="1">
      <c r="A8" s="9" t="s">
        <v>221</v>
      </c>
      <c r="B8" s="9">
        <v>252</v>
      </c>
    </row>
    <row r="9" spans="1:15" ht="17" thickBot="1">
      <c r="M9" s="12" t="s">
        <v>241</v>
      </c>
      <c r="N9" s="13" t="s">
        <v>213</v>
      </c>
      <c r="O9" s="14" t="s">
        <v>242</v>
      </c>
    </row>
    <row r="10" spans="1:15" ht="17" thickBot="1">
      <c r="A10" t="s">
        <v>222</v>
      </c>
      <c r="M10" s="15">
        <v>12</v>
      </c>
      <c r="N10" s="6">
        <f>B18</f>
        <v>1.2539683187934703</v>
      </c>
      <c r="O10" s="16">
        <f>B5</f>
        <v>0.38569226609583013</v>
      </c>
    </row>
    <row r="11" spans="1:15">
      <c r="A11" s="10"/>
      <c r="B11" s="10" t="s">
        <v>226</v>
      </c>
      <c r="C11" s="10" t="s">
        <v>227</v>
      </c>
      <c r="D11" s="10" t="s">
        <v>228</v>
      </c>
      <c r="E11" s="10" t="s">
        <v>229</v>
      </c>
      <c r="F11" s="10" t="s">
        <v>230</v>
      </c>
      <c r="M11" s="134">
        <v>24</v>
      </c>
      <c r="N11" s="1">
        <f>B37</f>
        <v>1.1980287048228326</v>
      </c>
      <c r="O11" s="135">
        <f>B24</f>
        <v>0.37231793142900504</v>
      </c>
    </row>
    <row r="12" spans="1:15" ht="17" thickBot="1">
      <c r="A12" s="8" t="s">
        <v>223</v>
      </c>
      <c r="B12" s="8">
        <v>1</v>
      </c>
      <c r="C12" s="8">
        <v>3.7672567288553942E-2</v>
      </c>
      <c r="D12" s="8">
        <v>3.7672567288553942E-2</v>
      </c>
      <c r="E12" s="8">
        <v>156.96215626515169</v>
      </c>
      <c r="F12" s="8">
        <v>2.8507553955674389E-28</v>
      </c>
      <c r="M12" s="213">
        <v>36</v>
      </c>
      <c r="N12" s="214">
        <f>B57</f>
        <v>1.1317437491647382</v>
      </c>
      <c r="O12" s="215">
        <f>B44</f>
        <v>0.37635177203379799</v>
      </c>
    </row>
    <row r="13" spans="1:15">
      <c r="A13" s="8" t="s">
        <v>224</v>
      </c>
      <c r="B13" s="8">
        <v>250</v>
      </c>
      <c r="C13" s="8">
        <v>6.0002627679430494E-2</v>
      </c>
      <c r="D13" s="8">
        <v>2.4001051071772197E-4</v>
      </c>
      <c r="E13" s="8"/>
      <c r="F13" s="8"/>
    </row>
    <row r="14" spans="1:15" ht="17" thickBot="1">
      <c r="A14" s="9" t="s">
        <v>207</v>
      </c>
      <c r="B14" s="9">
        <v>251</v>
      </c>
      <c r="C14" s="9">
        <v>9.7675194967984436E-2</v>
      </c>
      <c r="D14" s="9"/>
      <c r="E14" s="9"/>
      <c r="F14" s="9"/>
    </row>
    <row r="15" spans="1:15" ht="17" thickBot="1"/>
    <row r="16" spans="1:15">
      <c r="A16" s="10"/>
      <c r="B16" s="10" t="s">
        <v>231</v>
      </c>
      <c r="C16" s="10" t="s">
        <v>220</v>
      </c>
      <c r="D16" s="10" t="s">
        <v>232</v>
      </c>
      <c r="E16" s="10" t="s">
        <v>233</v>
      </c>
      <c r="F16" s="10" t="s">
        <v>234</v>
      </c>
      <c r="G16" s="10" t="s">
        <v>235</v>
      </c>
      <c r="H16" s="10" t="s">
        <v>236</v>
      </c>
      <c r="I16" s="10" t="s">
        <v>237</v>
      </c>
    </row>
    <row r="17" spans="1:9">
      <c r="A17" s="8" t="s">
        <v>225</v>
      </c>
      <c r="B17" s="8">
        <v>-1.3231717461364403E-3</v>
      </c>
      <c r="C17" s="8">
        <v>9.7592574052204027E-4</v>
      </c>
      <c r="D17" s="8">
        <v>-1.3558119139563343</v>
      </c>
      <c r="E17" s="8">
        <v>0.17638245546462547</v>
      </c>
      <c r="F17" s="8">
        <v>-3.2452559241929425E-3</v>
      </c>
      <c r="G17" s="8">
        <v>5.9891243192006184E-4</v>
      </c>
      <c r="H17" s="8">
        <v>-3.2452559241929425E-3</v>
      </c>
      <c r="I17" s="8">
        <v>5.9891243192006184E-4</v>
      </c>
    </row>
    <row r="18" spans="1:9" ht="17" thickBot="1">
      <c r="A18" s="9" t="s">
        <v>238</v>
      </c>
      <c r="B18" s="9">
        <v>1.2539683187934703</v>
      </c>
      <c r="C18" s="9">
        <v>0.10008963055096785</v>
      </c>
      <c r="D18" s="9">
        <v>12.528453865707116</v>
      </c>
      <c r="E18" s="9">
        <v>2.8507553955675214E-28</v>
      </c>
      <c r="F18" s="9">
        <v>1.0568419522252228</v>
      </c>
      <c r="G18" s="9">
        <v>1.4510946853617177</v>
      </c>
      <c r="H18" s="9">
        <v>1.0568419522252228</v>
      </c>
      <c r="I18" s="9">
        <v>1.4510946853617177</v>
      </c>
    </row>
    <row r="20" spans="1:9">
      <c r="A20" s="534" t="s">
        <v>239</v>
      </c>
      <c r="B20" s="534"/>
      <c r="C20" s="534"/>
    </row>
    <row r="21" spans="1:9" ht="17" thickBot="1"/>
    <row r="22" spans="1:9">
      <c r="A22" s="11" t="s">
        <v>216</v>
      </c>
      <c r="B22" s="11"/>
    </row>
    <row r="23" spans="1:9">
      <c r="A23" s="8" t="s">
        <v>217</v>
      </c>
      <c r="B23" s="8">
        <v>0.61017860617118092</v>
      </c>
    </row>
    <row r="24" spans="1:9">
      <c r="A24" s="8" t="s">
        <v>218</v>
      </c>
      <c r="B24" s="8">
        <v>0.37231793142900504</v>
      </c>
    </row>
    <row r="25" spans="1:9">
      <c r="A25" s="8" t="s">
        <v>219</v>
      </c>
      <c r="B25" s="8">
        <v>0.37106756874260866</v>
      </c>
    </row>
    <row r="26" spans="1:9">
      <c r="A26" s="8" t="s">
        <v>220</v>
      </c>
      <c r="B26" s="8">
        <v>1.3334485318938667E-2</v>
      </c>
    </row>
    <row r="27" spans="1:9" ht="17" thickBot="1">
      <c r="A27" s="9" t="s">
        <v>221</v>
      </c>
      <c r="B27" s="9">
        <v>504</v>
      </c>
    </row>
    <row r="29" spans="1:9" ht="17" thickBot="1">
      <c r="A29" t="s">
        <v>222</v>
      </c>
    </row>
    <row r="30" spans="1:9">
      <c r="A30" s="10"/>
      <c r="B30" s="10" t="s">
        <v>226</v>
      </c>
      <c r="C30" s="10" t="s">
        <v>227</v>
      </c>
      <c r="D30" s="10" t="s">
        <v>228</v>
      </c>
      <c r="E30" s="10" t="s">
        <v>229</v>
      </c>
      <c r="F30" s="10" t="s">
        <v>230</v>
      </c>
    </row>
    <row r="31" spans="1:9">
      <c r="A31" s="8" t="s">
        <v>223</v>
      </c>
      <c r="B31" s="8">
        <v>1</v>
      </c>
      <c r="C31" s="8">
        <v>5.2945671807506506E-2</v>
      </c>
      <c r="D31" s="8">
        <v>5.2945671807506506E-2</v>
      </c>
      <c r="E31" s="8">
        <v>297.76794803597375</v>
      </c>
      <c r="F31" s="8">
        <v>9.9344621821434898E-53</v>
      </c>
    </row>
    <row r="32" spans="1:9">
      <c r="A32" s="8" t="s">
        <v>224</v>
      </c>
      <c r="B32" s="8">
        <v>502</v>
      </c>
      <c r="C32" s="8">
        <v>8.9259866357937395E-2</v>
      </c>
      <c r="D32" s="8">
        <v>1.7780849872099083E-4</v>
      </c>
      <c r="E32" s="8"/>
      <c r="F32" s="8"/>
    </row>
    <row r="33" spans="1:9" ht="17" thickBot="1">
      <c r="A33" s="9" t="s">
        <v>207</v>
      </c>
      <c r="B33" s="9">
        <v>503</v>
      </c>
      <c r="C33" s="9">
        <v>0.1422055381654439</v>
      </c>
      <c r="D33" s="9"/>
      <c r="E33" s="9"/>
      <c r="F33" s="9"/>
    </row>
    <row r="34" spans="1:9" ht="17" thickBot="1"/>
    <row r="35" spans="1:9">
      <c r="A35" s="10"/>
      <c r="B35" s="10" t="s">
        <v>231</v>
      </c>
      <c r="C35" s="10" t="s">
        <v>220</v>
      </c>
      <c r="D35" s="10" t="s">
        <v>232</v>
      </c>
      <c r="E35" s="10" t="s">
        <v>233</v>
      </c>
      <c r="F35" s="10" t="s">
        <v>234</v>
      </c>
      <c r="G35" s="10" t="s">
        <v>235</v>
      </c>
      <c r="H35" s="10" t="s">
        <v>236</v>
      </c>
      <c r="I35" s="10" t="s">
        <v>237</v>
      </c>
    </row>
    <row r="36" spans="1:9">
      <c r="A36" s="8" t="s">
        <v>225</v>
      </c>
      <c r="B36" s="8">
        <v>-8.8905780367914847E-4</v>
      </c>
      <c r="C36" s="8">
        <v>5.9412675910472661E-4</v>
      </c>
      <c r="D36" s="8">
        <v>-1.4964109763694964</v>
      </c>
      <c r="E36" s="8">
        <v>0.1351750124357631</v>
      </c>
      <c r="F36" s="8">
        <v>-2.056339149259831E-3</v>
      </c>
      <c r="G36" s="8">
        <v>2.7822354190153414E-4</v>
      </c>
      <c r="H36" s="8">
        <v>-2.056339149259831E-3</v>
      </c>
      <c r="I36" s="8">
        <v>2.7822354190153414E-4</v>
      </c>
    </row>
    <row r="37" spans="1:9" ht="17" thickBot="1">
      <c r="A37" s="9" t="s">
        <v>238</v>
      </c>
      <c r="B37" s="9">
        <v>1.1980287048228326</v>
      </c>
      <c r="C37" s="9">
        <v>6.9426976083498695E-2</v>
      </c>
      <c r="D37" s="9">
        <v>17.255953988000037</v>
      </c>
      <c r="E37" s="9">
        <v>9.9344621821416482E-53</v>
      </c>
      <c r="F37" s="9">
        <v>1.0616254662539077</v>
      </c>
      <c r="G37" s="9">
        <v>1.3344319433917575</v>
      </c>
      <c r="H37" s="9">
        <v>1.0616254662539077</v>
      </c>
      <c r="I37" s="9">
        <v>1.3344319433917575</v>
      </c>
    </row>
    <row r="39" spans="1:9">
      <c r="A39" s="534" t="s">
        <v>240</v>
      </c>
      <c r="B39" s="534"/>
      <c r="C39" s="534"/>
    </row>
    <row r="41" spans="1:9" ht="17" thickBot="1"/>
    <row r="42" spans="1:9">
      <c r="A42" s="11" t="s">
        <v>216</v>
      </c>
      <c r="B42" s="11"/>
    </row>
    <row r="43" spans="1:9">
      <c r="A43" s="8" t="s">
        <v>217</v>
      </c>
      <c r="B43" s="8">
        <v>0.61347516007887226</v>
      </c>
    </row>
    <row r="44" spans="1:9">
      <c r="A44" s="8" t="s">
        <v>218</v>
      </c>
      <c r="B44" s="8">
        <v>0.37635177203379799</v>
      </c>
    </row>
    <row r="45" spans="1:9">
      <c r="A45" s="8" t="s">
        <v>219</v>
      </c>
      <c r="B45" s="8">
        <v>0.37552465236806032</v>
      </c>
    </row>
    <row r="46" spans="1:9">
      <c r="A46" s="8" t="s">
        <v>220</v>
      </c>
      <c r="B46" s="8">
        <v>1.1769881356795769E-2</v>
      </c>
    </row>
    <row r="47" spans="1:9" ht="17" thickBot="1">
      <c r="A47" s="9" t="s">
        <v>221</v>
      </c>
      <c r="B47" s="9">
        <v>756</v>
      </c>
    </row>
    <row r="49" spans="1:9" ht="17" thickBot="1">
      <c r="A49" t="s">
        <v>222</v>
      </c>
    </row>
    <row r="50" spans="1:9">
      <c r="A50" s="10"/>
      <c r="B50" s="10" t="s">
        <v>226</v>
      </c>
      <c r="C50" s="10" t="s">
        <v>227</v>
      </c>
      <c r="D50" s="10" t="s">
        <v>228</v>
      </c>
      <c r="E50" s="10" t="s">
        <v>229</v>
      </c>
      <c r="F50" s="10" t="s">
        <v>230</v>
      </c>
    </row>
    <row r="51" spans="1:9">
      <c r="A51" s="8" t="s">
        <v>223</v>
      </c>
      <c r="B51" s="8">
        <v>1</v>
      </c>
      <c r="C51" s="8">
        <v>6.3033262859956446E-2</v>
      </c>
      <c r="D51" s="8">
        <v>6.3033262859956446E-2</v>
      </c>
      <c r="E51" s="8">
        <v>455.01490004852906</v>
      </c>
      <c r="F51" s="8">
        <v>2.3261127204639995E-79</v>
      </c>
    </row>
    <row r="52" spans="1:9">
      <c r="A52" s="8" t="s">
        <v>224</v>
      </c>
      <c r="B52" s="8">
        <v>754</v>
      </c>
      <c r="C52" s="8">
        <v>0.10445170079339866</v>
      </c>
      <c r="D52" s="8">
        <v>1.3853010715304863E-4</v>
      </c>
      <c r="E52" s="8"/>
      <c r="F52" s="8"/>
    </row>
    <row r="53" spans="1:9" ht="17" thickBot="1">
      <c r="A53" s="9" t="s">
        <v>207</v>
      </c>
      <c r="B53" s="9">
        <v>755</v>
      </c>
      <c r="C53" s="9">
        <v>0.16748496365335511</v>
      </c>
      <c r="D53" s="9"/>
      <c r="E53" s="9"/>
      <c r="F53" s="9"/>
    </row>
    <row r="54" spans="1:9" ht="17" thickBot="1"/>
    <row r="55" spans="1:9">
      <c r="A55" s="10"/>
      <c r="B55" s="10" t="s">
        <v>231</v>
      </c>
      <c r="C55" s="10" t="s">
        <v>220</v>
      </c>
      <c r="D55" s="10" t="s">
        <v>232</v>
      </c>
      <c r="E55" s="10" t="s">
        <v>233</v>
      </c>
      <c r="F55" s="10" t="s">
        <v>234</v>
      </c>
      <c r="G55" s="10" t="s">
        <v>235</v>
      </c>
      <c r="H55" s="10" t="s">
        <v>236</v>
      </c>
      <c r="I55" s="10" t="s">
        <v>237</v>
      </c>
    </row>
    <row r="56" spans="1:9">
      <c r="A56" s="8" t="s">
        <v>225</v>
      </c>
      <c r="B56" s="8">
        <v>-6.5508347425256006E-4</v>
      </c>
      <c r="C56" s="8">
        <v>4.2881084632082262E-4</v>
      </c>
      <c r="D56" s="8">
        <v>-1.5276746842416562</v>
      </c>
      <c r="E56" s="8">
        <v>0.12701269737825252</v>
      </c>
      <c r="F56" s="8">
        <v>-1.4968885660910727E-3</v>
      </c>
      <c r="G56" s="8">
        <v>1.8672161758595258E-4</v>
      </c>
      <c r="H56" s="8">
        <v>-1.4968885660910727E-3</v>
      </c>
      <c r="I56" s="8">
        <v>1.8672161758595258E-4</v>
      </c>
    </row>
    <row r="57" spans="1:9" ht="17" thickBot="1">
      <c r="A57" s="9" t="s">
        <v>238</v>
      </c>
      <c r="B57" s="9">
        <v>1.1317437491647382</v>
      </c>
      <c r="C57" s="9">
        <v>5.3056096601367286E-2</v>
      </c>
      <c r="D57" s="9">
        <v>21.331078267366781</v>
      </c>
      <c r="E57" s="9">
        <v>2.3261127204652579E-79</v>
      </c>
      <c r="F57" s="9">
        <v>1.0275885192881795</v>
      </c>
      <c r="G57" s="9">
        <v>1.2358989790412969</v>
      </c>
      <c r="H57" s="9">
        <v>1.0275885192881795</v>
      </c>
      <c r="I57" s="9">
        <v>1.2358989790412969</v>
      </c>
    </row>
  </sheetData>
  <mergeCells count="3">
    <mergeCell ref="A20:C20"/>
    <mergeCell ref="A39:C39"/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K91"/>
  <sheetViews>
    <sheetView workbookViewId="0">
      <selection activeCell="J29" sqref="J29"/>
    </sheetView>
  </sheetViews>
  <sheetFormatPr baseColWidth="10" defaultColWidth="10.83203125" defaultRowHeight="16"/>
  <cols>
    <col min="1" max="3" width="10.83203125" style="19"/>
    <col min="4" max="4" width="13.5" style="19" bestFit="1" customWidth="1"/>
    <col min="5" max="5" width="10.6640625" style="19" bestFit="1" customWidth="1"/>
    <col min="6" max="6" width="13.5" style="19" bestFit="1" customWidth="1"/>
    <col min="7" max="8" width="10.83203125" style="19"/>
    <col min="9" max="9" width="18.6640625" style="19" bestFit="1" customWidth="1"/>
    <col min="10" max="10" width="10.83203125" style="19"/>
    <col min="11" max="11" width="19.1640625" style="19" bestFit="1" customWidth="1"/>
    <col min="12" max="16384" width="10.83203125" style="19"/>
  </cols>
  <sheetData>
    <row r="1" spans="1:11">
      <c r="A1" s="244"/>
      <c r="B1" s="537" t="s">
        <v>304</v>
      </c>
      <c r="C1" s="538"/>
      <c r="D1" s="539"/>
      <c r="E1" s="535" t="s">
        <v>308</v>
      </c>
      <c r="F1" s="536"/>
      <c r="G1" s="540" t="s">
        <v>310</v>
      </c>
    </row>
    <row r="2" spans="1:11" ht="17" thickBot="1">
      <c r="A2" s="410" t="s">
        <v>198</v>
      </c>
      <c r="B2" s="411" t="s">
        <v>304</v>
      </c>
      <c r="C2" s="411" t="s">
        <v>206</v>
      </c>
      <c r="D2" s="411" t="s">
        <v>305</v>
      </c>
      <c r="E2" s="411" t="s">
        <v>306</v>
      </c>
      <c r="F2" s="411" t="s">
        <v>307</v>
      </c>
      <c r="G2" s="540"/>
    </row>
    <row r="3" spans="1:11" ht="17" thickBot="1">
      <c r="A3" s="386">
        <v>1927</v>
      </c>
      <c r="B3" s="386">
        <v>17.66</v>
      </c>
      <c r="C3" s="387">
        <f>D3*B3</f>
        <v>0.61810000000000009</v>
      </c>
      <c r="D3" s="388">
        <v>3.5000000000000003E-2</v>
      </c>
      <c r="E3" s="389">
        <v>3.1699999999999999E-2</v>
      </c>
      <c r="F3" s="386"/>
      <c r="G3" s="18"/>
      <c r="I3" s="390"/>
      <c r="J3" s="391" t="s">
        <v>198</v>
      </c>
      <c r="K3" s="392" t="s">
        <v>202</v>
      </c>
    </row>
    <row r="4" spans="1:11" ht="17" thickTop="1">
      <c r="A4" s="386">
        <v>1928</v>
      </c>
      <c r="B4" s="386">
        <v>24.35</v>
      </c>
      <c r="C4" s="387">
        <f t="shared" ref="C4:C35" si="0">D4*B4</f>
        <v>1.04705</v>
      </c>
      <c r="D4" s="388">
        <v>4.2999999999999997E-2</v>
      </c>
      <c r="E4" s="389">
        <v>3.4500000000000003E-2</v>
      </c>
      <c r="F4" s="388">
        <f t="shared" ref="F4:F38" si="1">((E3*(1-(1+E4)^(-10))/E4+1/(1+E4)^10)-1)+E3</f>
        <v>8.354708589799302E-3</v>
      </c>
      <c r="G4" s="393">
        <f>(B4+C4-B3)/B3</f>
        <v>0.43811155152887882</v>
      </c>
      <c r="I4" s="179" t="s">
        <v>310</v>
      </c>
      <c r="J4" s="47" t="s">
        <v>366</v>
      </c>
      <c r="K4" s="394">
        <f>AVERAGE(G88:G91)</f>
        <v>0.1573001055922712</v>
      </c>
    </row>
    <row r="5" spans="1:11">
      <c r="A5" s="386">
        <v>1929</v>
      </c>
      <c r="B5" s="386">
        <v>21.45</v>
      </c>
      <c r="C5" s="387">
        <f t="shared" si="0"/>
        <v>0.87944999999999995</v>
      </c>
      <c r="D5" s="388">
        <v>4.1000000000000002E-2</v>
      </c>
      <c r="E5" s="389">
        <v>3.3599999999999998E-2</v>
      </c>
      <c r="F5" s="388">
        <f t="shared" si="1"/>
        <v>4.2038041563204259E-2</v>
      </c>
      <c r="G5" s="393">
        <f t="shared" ref="G5:G68" si="2">(B5+C5-B4)/B4</f>
        <v>-8.2979466119096651E-2</v>
      </c>
      <c r="I5" s="175" t="s">
        <v>309</v>
      </c>
      <c r="J5" s="18" t="s">
        <v>366</v>
      </c>
      <c r="K5" s="395">
        <f>AVERAGE(E88:E91)</f>
        <v>2.3089999999999999E-2</v>
      </c>
    </row>
    <row r="6" spans="1:11">
      <c r="A6" s="386">
        <v>1930</v>
      </c>
      <c r="B6" s="386">
        <v>15.34</v>
      </c>
      <c r="C6" s="387">
        <f t="shared" si="0"/>
        <v>0.72097999999999995</v>
      </c>
      <c r="D6" s="388">
        <v>4.7E-2</v>
      </c>
      <c r="E6" s="389">
        <v>3.2199999999999999E-2</v>
      </c>
      <c r="F6" s="388">
        <f t="shared" si="1"/>
        <v>4.5409314348970366E-2</v>
      </c>
      <c r="G6" s="393">
        <f t="shared" si="2"/>
        <v>-0.25123636363636359</v>
      </c>
      <c r="I6" s="175" t="s">
        <v>311</v>
      </c>
      <c r="J6" s="18" t="s">
        <v>366</v>
      </c>
      <c r="K6" s="395">
        <f>K4-K5</f>
        <v>0.1342101055922712</v>
      </c>
    </row>
    <row r="7" spans="1:11" ht="17" thickBot="1">
      <c r="A7" s="386">
        <v>1931</v>
      </c>
      <c r="B7" s="386">
        <v>8.1199999999999992</v>
      </c>
      <c r="C7" s="387">
        <f t="shared" si="0"/>
        <v>0.49531999999999993</v>
      </c>
      <c r="D7" s="388">
        <v>6.0999999999999999E-2</v>
      </c>
      <c r="E7" s="389">
        <v>3.9300000000000002E-2</v>
      </c>
      <c r="F7" s="388">
        <f t="shared" si="1"/>
        <v>-2.5588559619422531E-2</v>
      </c>
      <c r="G7" s="393">
        <f t="shared" si="2"/>
        <v>-0.43837548891786188</v>
      </c>
      <c r="I7" s="396" t="s">
        <v>213</v>
      </c>
      <c r="J7" s="397"/>
      <c r="K7" s="398">
        <f>'Beta Estimation - II'!N12</f>
        <v>1.1317437491647382</v>
      </c>
    </row>
    <row r="8" spans="1:11">
      <c r="A8" s="386">
        <v>1932</v>
      </c>
      <c r="B8" s="386">
        <v>6.92</v>
      </c>
      <c r="C8" s="387">
        <f t="shared" si="0"/>
        <v>0.49823999999999996</v>
      </c>
      <c r="D8" s="388">
        <v>7.1999999999999995E-2</v>
      </c>
      <c r="E8" s="389">
        <v>3.3500000000000002E-2</v>
      </c>
      <c r="F8" s="388">
        <f t="shared" si="1"/>
        <v>8.7903069904773257E-2</v>
      </c>
      <c r="G8" s="393">
        <f t="shared" si="2"/>
        <v>-8.642364532019696E-2</v>
      </c>
    </row>
    <row r="9" spans="1:11" ht="17" thickBot="1">
      <c r="A9" s="386">
        <v>1933</v>
      </c>
      <c r="B9" s="386">
        <v>9.9700000000000006</v>
      </c>
      <c r="C9" s="387">
        <f t="shared" si="0"/>
        <v>0.40877000000000002</v>
      </c>
      <c r="D9" s="388">
        <v>4.1000000000000002E-2</v>
      </c>
      <c r="E9" s="389">
        <v>3.5299999999999998E-2</v>
      </c>
      <c r="F9" s="388">
        <f t="shared" si="1"/>
        <v>1.8552720891857361E-2</v>
      </c>
      <c r="G9" s="393">
        <f t="shared" si="2"/>
        <v>0.49982225433526029</v>
      </c>
    </row>
    <row r="10" spans="1:11" ht="17" thickBot="1">
      <c r="A10" s="386">
        <v>1934</v>
      </c>
      <c r="B10" s="386">
        <v>9.5</v>
      </c>
      <c r="C10" s="387">
        <f t="shared" si="0"/>
        <v>0.35149999999999998</v>
      </c>
      <c r="D10" s="388">
        <v>3.6999999999999998E-2</v>
      </c>
      <c r="E10" s="389">
        <v>3.0099999999999998E-2</v>
      </c>
      <c r="F10" s="388">
        <f t="shared" si="1"/>
        <v>7.9634426179656104E-2</v>
      </c>
      <c r="G10" s="393">
        <f t="shared" si="2"/>
        <v>-1.1885656970912831E-2</v>
      </c>
      <c r="I10" s="399" t="s">
        <v>312</v>
      </c>
      <c r="J10" s="400"/>
      <c r="K10" s="401">
        <f>K5+K6*K7</f>
        <v>0.1749814480787924</v>
      </c>
    </row>
    <row r="11" spans="1:11">
      <c r="A11" s="386">
        <v>1935</v>
      </c>
      <c r="B11" s="386">
        <v>13.43</v>
      </c>
      <c r="C11" s="387">
        <f t="shared" si="0"/>
        <v>0.51034000000000002</v>
      </c>
      <c r="D11" s="388">
        <v>3.7999999999999999E-2</v>
      </c>
      <c r="E11" s="389">
        <v>2.8400000000000002E-2</v>
      </c>
      <c r="F11" s="388">
        <f t="shared" si="1"/>
        <v>4.4720477296566127E-2</v>
      </c>
      <c r="G11" s="393">
        <f t="shared" si="2"/>
        <v>0.4674042105263157</v>
      </c>
    </row>
    <row r="12" spans="1:11">
      <c r="A12" s="386">
        <v>1936</v>
      </c>
      <c r="B12" s="386">
        <v>17.18</v>
      </c>
      <c r="C12" s="387">
        <v>0.54</v>
      </c>
      <c r="D12" s="388">
        <f>C12/B12</f>
        <v>3.1431897555296857E-2</v>
      </c>
      <c r="E12" s="389">
        <v>2.5899999999999999E-2</v>
      </c>
      <c r="F12" s="388">
        <f t="shared" si="1"/>
        <v>5.0178754045450601E-2</v>
      </c>
      <c r="G12" s="393">
        <f t="shared" si="2"/>
        <v>0.31943410275502598</v>
      </c>
    </row>
    <row r="13" spans="1:11">
      <c r="A13" s="386">
        <v>1937</v>
      </c>
      <c r="B13" s="386">
        <v>10.55</v>
      </c>
      <c r="C13" s="387">
        <f t="shared" si="0"/>
        <v>0.55915000000000004</v>
      </c>
      <c r="D13" s="388">
        <v>5.2999999999999999E-2</v>
      </c>
      <c r="E13" s="389">
        <v>2.7300000000000001E-2</v>
      </c>
      <c r="F13" s="388">
        <f t="shared" si="1"/>
        <v>1.379146059646038E-2</v>
      </c>
      <c r="G13" s="393">
        <f t="shared" si="2"/>
        <v>-0.35336728754365532</v>
      </c>
    </row>
    <row r="14" spans="1:11">
      <c r="A14" s="386">
        <v>1938</v>
      </c>
      <c r="B14" s="386">
        <v>13.14</v>
      </c>
      <c r="C14" s="387">
        <f t="shared" si="0"/>
        <v>0.49931999999999999</v>
      </c>
      <c r="D14" s="388">
        <v>3.7999999999999999E-2</v>
      </c>
      <c r="E14" s="389">
        <v>2.5600000000000001E-2</v>
      </c>
      <c r="F14" s="388">
        <f t="shared" si="1"/>
        <v>4.2132485322046068E-2</v>
      </c>
      <c r="G14" s="393">
        <f t="shared" si="2"/>
        <v>0.29282654028436023</v>
      </c>
    </row>
    <row r="15" spans="1:11">
      <c r="A15" s="386">
        <v>1939</v>
      </c>
      <c r="B15" s="386">
        <v>12.46</v>
      </c>
      <c r="C15" s="387">
        <f t="shared" si="0"/>
        <v>0.53578000000000003</v>
      </c>
      <c r="D15" s="388">
        <v>4.2999999999999997E-2</v>
      </c>
      <c r="E15" s="389">
        <v>2.35E-2</v>
      </c>
      <c r="F15" s="388">
        <f t="shared" si="1"/>
        <v>4.4122613942060671E-2</v>
      </c>
      <c r="G15" s="393">
        <f t="shared" si="2"/>
        <v>-1.0975646879756384E-2</v>
      </c>
    </row>
    <row r="16" spans="1:11">
      <c r="A16" s="386">
        <v>1940</v>
      </c>
      <c r="B16" s="386">
        <v>10.58</v>
      </c>
      <c r="C16" s="387">
        <f t="shared" si="0"/>
        <v>0.55015999999999998</v>
      </c>
      <c r="D16" s="388">
        <v>5.1999999999999998E-2</v>
      </c>
      <c r="E16" s="389">
        <v>2.01E-2</v>
      </c>
      <c r="F16" s="388">
        <f t="shared" si="1"/>
        <v>5.4024815962845509E-2</v>
      </c>
      <c r="G16" s="393">
        <f t="shared" si="2"/>
        <v>-0.10672873194221515</v>
      </c>
    </row>
    <row r="17" spans="1:7">
      <c r="A17" s="386">
        <v>1941</v>
      </c>
      <c r="B17" s="386">
        <v>8.69</v>
      </c>
      <c r="C17" s="387">
        <f t="shared" si="0"/>
        <v>0.53877999999999993</v>
      </c>
      <c r="D17" s="388">
        <v>6.2E-2</v>
      </c>
      <c r="E17" s="389">
        <v>2.47E-2</v>
      </c>
      <c r="F17" s="388">
        <f t="shared" si="1"/>
        <v>-2.0221975848580105E-2</v>
      </c>
      <c r="G17" s="393">
        <f t="shared" si="2"/>
        <v>-0.12771455576559559</v>
      </c>
    </row>
    <row r="18" spans="1:7">
      <c r="A18" s="386">
        <v>1942</v>
      </c>
      <c r="B18" s="386">
        <v>9.77</v>
      </c>
      <c r="C18" s="387">
        <f t="shared" si="0"/>
        <v>0.58619999999999994</v>
      </c>
      <c r="D18" s="388">
        <v>0.06</v>
      </c>
      <c r="E18" s="389">
        <v>2.4899999999999999E-2</v>
      </c>
      <c r="F18" s="388">
        <f t="shared" si="1"/>
        <v>2.2948682374484164E-2</v>
      </c>
      <c r="G18" s="393">
        <f t="shared" si="2"/>
        <v>0.19173762945914843</v>
      </c>
    </row>
    <row r="19" spans="1:7">
      <c r="A19" s="386">
        <v>1943</v>
      </c>
      <c r="B19" s="386">
        <v>11.67</v>
      </c>
      <c r="C19" s="387">
        <f t="shared" si="0"/>
        <v>0.54849000000000003</v>
      </c>
      <c r="D19" s="388">
        <v>4.7E-2</v>
      </c>
      <c r="E19" s="389">
        <v>2.4899999999999999E-2</v>
      </c>
      <c r="F19" s="388">
        <f t="shared" si="1"/>
        <v>2.4899999999999999E-2</v>
      </c>
      <c r="G19" s="393">
        <f t="shared" si="2"/>
        <v>0.25061310133060388</v>
      </c>
    </row>
    <row r="20" spans="1:7">
      <c r="A20" s="386">
        <v>1944</v>
      </c>
      <c r="B20" s="386">
        <v>13.28</v>
      </c>
      <c r="C20" s="387">
        <f t="shared" si="0"/>
        <v>0.61087999999999998</v>
      </c>
      <c r="D20" s="388">
        <v>4.5999999999999999E-2</v>
      </c>
      <c r="E20" s="389">
        <v>2.4799999999999999E-2</v>
      </c>
      <c r="F20" s="388">
        <f t="shared" si="1"/>
        <v>2.5776111579070303E-2</v>
      </c>
      <c r="G20" s="393">
        <f t="shared" si="2"/>
        <v>0.19030676949443009</v>
      </c>
    </row>
    <row r="21" spans="1:7">
      <c r="A21" s="386">
        <v>1945</v>
      </c>
      <c r="B21" s="386">
        <v>17.36</v>
      </c>
      <c r="C21" s="387">
        <f t="shared" si="0"/>
        <v>0.67703999999999998</v>
      </c>
      <c r="D21" s="388">
        <v>3.9E-2</v>
      </c>
      <c r="E21" s="389">
        <v>2.3300000000000001E-2</v>
      </c>
      <c r="F21" s="388">
        <f t="shared" si="1"/>
        <v>3.8044173419237229E-2</v>
      </c>
      <c r="G21" s="393">
        <f t="shared" si="2"/>
        <v>0.35821084337349413</v>
      </c>
    </row>
    <row r="22" spans="1:7">
      <c r="A22" s="386">
        <v>1946</v>
      </c>
      <c r="B22" s="386">
        <v>15.3</v>
      </c>
      <c r="C22" s="387">
        <f t="shared" si="0"/>
        <v>0.59670000000000001</v>
      </c>
      <c r="D22" s="388">
        <v>3.9E-2</v>
      </c>
      <c r="E22" s="389">
        <v>2.24E-2</v>
      </c>
      <c r="F22" s="388">
        <f t="shared" si="1"/>
        <v>3.1283745375695685E-2</v>
      </c>
      <c r="G22" s="393">
        <f t="shared" si="2"/>
        <v>-8.4291474654377793E-2</v>
      </c>
    </row>
    <row r="23" spans="1:7">
      <c r="A23" s="386">
        <v>1947</v>
      </c>
      <c r="B23" s="386">
        <v>15.3</v>
      </c>
      <c r="C23" s="387">
        <f t="shared" si="0"/>
        <v>0.79559999999999997</v>
      </c>
      <c r="D23" s="388">
        <v>5.1999999999999998E-2</v>
      </c>
      <c r="E23" s="389">
        <v>2.3900000000000001E-2</v>
      </c>
      <c r="F23" s="388">
        <f t="shared" si="1"/>
        <v>9.1969680628322358E-3</v>
      </c>
      <c r="G23" s="393">
        <f t="shared" si="2"/>
        <v>5.2000000000000018E-2</v>
      </c>
    </row>
    <row r="24" spans="1:7">
      <c r="A24" s="386">
        <v>1948</v>
      </c>
      <c r="B24" s="386">
        <v>15.2</v>
      </c>
      <c r="C24" s="387">
        <f t="shared" si="0"/>
        <v>0.9728</v>
      </c>
      <c r="D24" s="388">
        <v>6.4000000000000001E-2</v>
      </c>
      <c r="E24" s="389">
        <v>2.4400000000000002E-2</v>
      </c>
      <c r="F24" s="388">
        <f t="shared" si="1"/>
        <v>1.9510369413175046E-2</v>
      </c>
      <c r="G24" s="393">
        <f t="shared" si="2"/>
        <v>5.7045751633986799E-2</v>
      </c>
    </row>
    <row r="25" spans="1:7">
      <c r="A25" s="386">
        <v>1949</v>
      </c>
      <c r="B25" s="386">
        <v>16.79</v>
      </c>
      <c r="C25" s="387">
        <f t="shared" si="0"/>
        <v>1.1920899999999999</v>
      </c>
      <c r="D25" s="388">
        <v>7.0999999999999994E-2</v>
      </c>
      <c r="E25" s="389">
        <v>2.1899999999999999E-2</v>
      </c>
      <c r="F25" s="388">
        <f t="shared" si="1"/>
        <v>4.6634851827973139E-2</v>
      </c>
      <c r="G25" s="393">
        <f t="shared" si="2"/>
        <v>0.18303223684210529</v>
      </c>
    </row>
    <row r="26" spans="1:7">
      <c r="A26" s="386">
        <v>1950</v>
      </c>
      <c r="B26" s="386">
        <v>20.43</v>
      </c>
      <c r="C26" s="387">
        <f t="shared" si="0"/>
        <v>1.5322499999999999</v>
      </c>
      <c r="D26" s="388">
        <v>7.4999999999999997E-2</v>
      </c>
      <c r="E26" s="389">
        <v>2.3900000000000001E-2</v>
      </c>
      <c r="F26" s="388">
        <f t="shared" si="1"/>
        <v>4.2959574171096103E-3</v>
      </c>
      <c r="G26" s="393">
        <f t="shared" si="2"/>
        <v>0.30805539011316274</v>
      </c>
    </row>
    <row r="27" spans="1:7">
      <c r="A27" s="386">
        <v>1951</v>
      </c>
      <c r="B27" s="386">
        <v>23.77</v>
      </c>
      <c r="C27" s="387">
        <f t="shared" si="0"/>
        <v>1.4975099999999999</v>
      </c>
      <c r="D27" s="388">
        <v>6.3E-2</v>
      </c>
      <c r="E27" s="389">
        <v>2.7E-2</v>
      </c>
      <c r="F27" s="388">
        <f t="shared" si="1"/>
        <v>-2.9531392208319886E-3</v>
      </c>
      <c r="G27" s="393">
        <f t="shared" si="2"/>
        <v>0.23678463044542331</v>
      </c>
    </row>
    <row r="28" spans="1:7">
      <c r="A28" s="386">
        <v>1952</v>
      </c>
      <c r="B28" s="386">
        <v>26.57</v>
      </c>
      <c r="C28" s="387">
        <f t="shared" si="0"/>
        <v>1.5144900000000001</v>
      </c>
      <c r="D28" s="388">
        <v>5.7000000000000002E-2</v>
      </c>
      <c r="E28" s="389">
        <v>2.75E-2</v>
      </c>
      <c r="F28" s="388">
        <f t="shared" si="1"/>
        <v>2.2679961918305656E-2</v>
      </c>
      <c r="G28" s="393">
        <f t="shared" si="2"/>
        <v>0.18150988641144297</v>
      </c>
    </row>
    <row r="29" spans="1:7">
      <c r="A29" s="386">
        <v>1953</v>
      </c>
      <c r="B29" s="386">
        <v>24.81</v>
      </c>
      <c r="C29" s="387">
        <f t="shared" si="0"/>
        <v>1.4389799999999999</v>
      </c>
      <c r="D29" s="388">
        <v>5.8000000000000003E-2</v>
      </c>
      <c r="E29" s="389">
        <v>2.5899999999999999E-2</v>
      </c>
      <c r="F29" s="388">
        <f t="shared" si="1"/>
        <v>4.1438402589088513E-2</v>
      </c>
      <c r="G29" s="393">
        <f t="shared" si="2"/>
        <v>-1.2082047421904432E-2</v>
      </c>
    </row>
    <row r="30" spans="1:7">
      <c r="A30" s="386">
        <v>1954</v>
      </c>
      <c r="B30" s="386">
        <v>35.979999999999997</v>
      </c>
      <c r="C30" s="387">
        <f t="shared" si="0"/>
        <v>1.8709599999999997</v>
      </c>
      <c r="D30" s="388">
        <v>5.1999999999999998E-2</v>
      </c>
      <c r="E30" s="389">
        <v>2.5100000000000001E-2</v>
      </c>
      <c r="F30" s="388">
        <f t="shared" si="1"/>
        <v>3.2898034558095555E-2</v>
      </c>
      <c r="G30" s="393">
        <f t="shared" si="2"/>
        <v>0.5256332124143489</v>
      </c>
    </row>
    <row r="31" spans="1:7">
      <c r="A31" s="386">
        <v>1955</v>
      </c>
      <c r="B31" s="386">
        <v>45.48</v>
      </c>
      <c r="C31" s="387">
        <f t="shared" si="0"/>
        <v>2.2285200000000001</v>
      </c>
      <c r="D31" s="388">
        <v>4.9000000000000002E-2</v>
      </c>
      <c r="E31" s="389">
        <v>2.9600000000000001E-2</v>
      </c>
      <c r="F31" s="388">
        <f t="shared" si="1"/>
        <v>-1.3364391288618781E-2</v>
      </c>
      <c r="G31" s="393">
        <f t="shared" si="2"/>
        <v>0.32597331851028361</v>
      </c>
    </row>
    <row r="32" spans="1:7">
      <c r="A32" s="386">
        <v>1956</v>
      </c>
      <c r="B32" s="386">
        <v>46.67</v>
      </c>
      <c r="C32" s="387">
        <f t="shared" si="0"/>
        <v>2.1934900000000002</v>
      </c>
      <c r="D32" s="388">
        <v>4.7E-2</v>
      </c>
      <c r="E32" s="389">
        <v>3.5900000000000001E-2</v>
      </c>
      <c r="F32" s="388">
        <f t="shared" si="1"/>
        <v>-2.2557738173154165E-2</v>
      </c>
      <c r="G32" s="393">
        <f t="shared" si="2"/>
        <v>7.4395118733509277E-2</v>
      </c>
    </row>
    <row r="33" spans="1:7">
      <c r="A33" s="386">
        <v>1957</v>
      </c>
      <c r="B33" s="386">
        <v>39.99</v>
      </c>
      <c r="C33" s="387">
        <f t="shared" si="0"/>
        <v>1.79955</v>
      </c>
      <c r="D33" s="388">
        <v>4.4999999999999998E-2</v>
      </c>
      <c r="E33" s="389">
        <v>3.2099999999999997E-2</v>
      </c>
      <c r="F33" s="388">
        <f t="shared" si="1"/>
        <v>6.7970128466249904E-2</v>
      </c>
      <c r="G33" s="393">
        <f t="shared" si="2"/>
        <v>-0.10457360188557951</v>
      </c>
    </row>
    <row r="34" spans="1:7">
      <c r="A34" s="386">
        <v>1958</v>
      </c>
      <c r="B34" s="386">
        <v>55.21</v>
      </c>
      <c r="C34" s="387">
        <f t="shared" si="0"/>
        <v>2.2636100000000003</v>
      </c>
      <c r="D34" s="388">
        <v>4.1000000000000002E-2</v>
      </c>
      <c r="E34" s="389">
        <v>3.8600000000000002E-2</v>
      </c>
      <c r="F34" s="388">
        <f t="shared" si="1"/>
        <v>-2.0990181755274694E-2</v>
      </c>
      <c r="G34" s="393">
        <f t="shared" si="2"/>
        <v>0.43719954988747184</v>
      </c>
    </row>
    <row r="35" spans="1:7">
      <c r="A35" s="386">
        <v>1959</v>
      </c>
      <c r="B35" s="386">
        <v>59.89</v>
      </c>
      <c r="C35" s="387">
        <f t="shared" si="0"/>
        <v>1.9763700000000002</v>
      </c>
      <c r="D35" s="388">
        <v>3.3000000000000002E-2</v>
      </c>
      <c r="E35" s="389">
        <v>4.6899999999999997E-2</v>
      </c>
      <c r="F35" s="388">
        <f t="shared" si="1"/>
        <v>-2.6466312591385065E-2</v>
      </c>
      <c r="G35" s="393">
        <f t="shared" si="2"/>
        <v>0.12056457163557331</v>
      </c>
    </row>
    <row r="36" spans="1:7">
      <c r="A36" s="386">
        <v>1960</v>
      </c>
      <c r="B36" s="386">
        <v>58.11</v>
      </c>
      <c r="C36" s="387">
        <v>1.9815510000000001</v>
      </c>
      <c r="D36" s="388">
        <f t="shared" ref="D36:D91" si="3">C36/B36</f>
        <v>3.4099999999999998E-2</v>
      </c>
      <c r="E36" s="389">
        <v>3.8399999999999997E-2</v>
      </c>
      <c r="F36" s="388">
        <f t="shared" si="1"/>
        <v>0.11639503690963365</v>
      </c>
      <c r="G36" s="393">
        <f t="shared" si="2"/>
        <v>3.3653531474370016E-3</v>
      </c>
    </row>
    <row r="37" spans="1:7">
      <c r="A37" s="386">
        <v>1961</v>
      </c>
      <c r="B37" s="386">
        <v>71.55</v>
      </c>
      <c r="C37" s="387">
        <v>2.0391750000000002</v>
      </c>
      <c r="D37" s="388">
        <f t="shared" si="3"/>
        <v>2.8500000000000004E-2</v>
      </c>
      <c r="E37" s="389">
        <v>4.0599999999999997E-2</v>
      </c>
      <c r="F37" s="388">
        <f t="shared" si="1"/>
        <v>2.0609208076323167E-2</v>
      </c>
      <c r="G37" s="393">
        <f t="shared" si="2"/>
        <v>0.26637712958182752</v>
      </c>
    </row>
    <row r="38" spans="1:7">
      <c r="A38" s="386">
        <v>1962</v>
      </c>
      <c r="B38" s="386">
        <v>63.1</v>
      </c>
      <c r="C38" s="387">
        <v>2.1454</v>
      </c>
      <c r="D38" s="388">
        <f t="shared" si="3"/>
        <v>3.3999999999999996E-2</v>
      </c>
      <c r="E38" s="389">
        <v>3.8600000000000002E-2</v>
      </c>
      <c r="F38" s="388">
        <f t="shared" si="1"/>
        <v>5.693544054008462E-2</v>
      </c>
      <c r="G38" s="393">
        <f t="shared" si="2"/>
        <v>-8.8114605171208851E-2</v>
      </c>
    </row>
    <row r="39" spans="1:7">
      <c r="A39" s="386">
        <v>1963</v>
      </c>
      <c r="B39" s="386">
        <v>75.02</v>
      </c>
      <c r="C39" s="387">
        <v>2.3481260000000002</v>
      </c>
      <c r="D39" s="388">
        <f t="shared" si="3"/>
        <v>3.1300000000000001E-2</v>
      </c>
      <c r="E39" s="389">
        <v>4.1300000000000003E-2</v>
      </c>
      <c r="F39" s="388">
        <f>((E38*(1-(1+E39)^(-10))/E39+1/(1+E39)^10)-1)+E38</f>
        <v>1.6841620739546127E-2</v>
      </c>
      <c r="G39" s="393">
        <f t="shared" si="2"/>
        <v>0.22611927099841503</v>
      </c>
    </row>
    <row r="40" spans="1:7">
      <c r="A40" s="386">
        <v>1964</v>
      </c>
      <c r="B40" s="386">
        <v>84.75</v>
      </c>
      <c r="C40" s="387">
        <v>2.5848749999999998</v>
      </c>
      <c r="D40" s="388">
        <f t="shared" si="3"/>
        <v>3.0499999999999999E-2</v>
      </c>
      <c r="E40" s="389">
        <v>4.1799999999999997E-2</v>
      </c>
      <c r="F40" s="388">
        <f t="shared" ref="F40:F89" si="4">((E39*(1-(1+E40)^(-10))/E40+1/(1+E40)^10)-1)+E39</f>
        <v>3.7280648911540815E-2</v>
      </c>
      <c r="G40" s="393">
        <f t="shared" si="2"/>
        <v>0.16415455878432419</v>
      </c>
    </row>
    <row r="41" spans="1:7">
      <c r="A41" s="386">
        <v>1965</v>
      </c>
      <c r="B41" s="386">
        <v>92.43</v>
      </c>
      <c r="C41" s="387">
        <v>2.8283580000000001</v>
      </c>
      <c r="D41" s="388">
        <f t="shared" si="3"/>
        <v>3.0599999999999999E-2</v>
      </c>
      <c r="E41" s="389">
        <v>4.6199999999999998E-2</v>
      </c>
      <c r="F41" s="388">
        <f t="shared" si="4"/>
        <v>7.1885509359262342E-3</v>
      </c>
      <c r="G41" s="393">
        <f t="shared" si="2"/>
        <v>0.12399242477876107</v>
      </c>
    </row>
    <row r="42" spans="1:7">
      <c r="A42" s="386">
        <v>1966</v>
      </c>
      <c r="B42" s="386">
        <v>80.33</v>
      </c>
      <c r="C42" s="387">
        <v>2.8838469999999998</v>
      </c>
      <c r="D42" s="388">
        <f t="shared" si="3"/>
        <v>3.5900000000000001E-2</v>
      </c>
      <c r="E42" s="389">
        <v>4.8399999999999999E-2</v>
      </c>
      <c r="F42" s="388">
        <f t="shared" si="4"/>
        <v>2.9079409324299622E-2</v>
      </c>
      <c r="G42" s="393">
        <f t="shared" si="2"/>
        <v>-9.9709542356377856E-2</v>
      </c>
    </row>
    <row r="43" spans="1:7">
      <c r="A43" s="386">
        <v>1967</v>
      </c>
      <c r="B43" s="386">
        <v>96.47</v>
      </c>
      <c r="C43" s="387">
        <v>2.9809230000000002</v>
      </c>
      <c r="D43" s="388">
        <f t="shared" si="3"/>
        <v>3.0900000000000004E-2</v>
      </c>
      <c r="E43" s="389">
        <v>5.7000000000000002E-2</v>
      </c>
      <c r="F43" s="388">
        <f t="shared" si="4"/>
        <v>-1.5806209932824666E-2</v>
      </c>
      <c r="G43" s="393">
        <f t="shared" si="2"/>
        <v>0.23802966513133331</v>
      </c>
    </row>
    <row r="44" spans="1:7">
      <c r="A44" s="386">
        <v>1968</v>
      </c>
      <c r="B44" s="386">
        <v>103.86</v>
      </c>
      <c r="C44" s="387">
        <v>3.0430980000000001</v>
      </c>
      <c r="D44" s="388">
        <f t="shared" si="3"/>
        <v>2.93E-2</v>
      </c>
      <c r="E44" s="389">
        <v>6.0299999999999999E-2</v>
      </c>
      <c r="F44" s="388">
        <f t="shared" si="4"/>
        <v>3.2746196950768365E-2</v>
      </c>
      <c r="G44" s="393">
        <f t="shared" si="2"/>
        <v>0.10814862651601535</v>
      </c>
    </row>
    <row r="45" spans="1:7">
      <c r="A45" s="386">
        <v>1969</v>
      </c>
      <c r="B45" s="386">
        <v>92.06</v>
      </c>
      <c r="C45" s="387">
        <v>3.2405119999999998</v>
      </c>
      <c r="D45" s="388">
        <f t="shared" si="3"/>
        <v>3.5199999999999995E-2</v>
      </c>
      <c r="E45" s="389">
        <v>7.6499999999999999E-2</v>
      </c>
      <c r="F45" s="388">
        <f t="shared" si="4"/>
        <v>-5.0140493209926106E-2</v>
      </c>
      <c r="G45" s="393">
        <f t="shared" si="2"/>
        <v>-8.241371076449068E-2</v>
      </c>
    </row>
    <row r="46" spans="1:7">
      <c r="A46" s="386">
        <v>1970</v>
      </c>
      <c r="B46" s="386">
        <v>92.15</v>
      </c>
      <c r="C46" s="387">
        <v>3.1883900000000001</v>
      </c>
      <c r="D46" s="388">
        <f t="shared" si="3"/>
        <v>3.4599999999999999E-2</v>
      </c>
      <c r="E46" s="389">
        <v>6.3899999999999998E-2</v>
      </c>
      <c r="F46" s="388">
        <f t="shared" si="4"/>
        <v>0.16754737183412338</v>
      </c>
      <c r="G46" s="393">
        <f t="shared" si="2"/>
        <v>3.5611449054964169E-2</v>
      </c>
    </row>
    <row r="47" spans="1:7">
      <c r="A47" s="386">
        <v>1971</v>
      </c>
      <c r="B47" s="386">
        <v>102.09</v>
      </c>
      <c r="C47" s="387">
        <v>3.16479</v>
      </c>
      <c r="D47" s="388">
        <f t="shared" si="3"/>
        <v>3.1E-2</v>
      </c>
      <c r="E47" s="389">
        <v>5.9299999999999999E-2</v>
      </c>
      <c r="F47" s="388">
        <f t="shared" si="4"/>
        <v>9.7868966197122972E-2</v>
      </c>
      <c r="G47" s="393">
        <f t="shared" si="2"/>
        <v>0.14221150298426471</v>
      </c>
    </row>
    <row r="48" spans="1:7">
      <c r="A48" s="386">
        <v>1972</v>
      </c>
      <c r="B48" s="386">
        <v>118.05</v>
      </c>
      <c r="C48" s="387">
        <v>3.1873499999999999</v>
      </c>
      <c r="D48" s="388">
        <f t="shared" si="3"/>
        <v>2.7E-2</v>
      </c>
      <c r="E48" s="389">
        <v>6.3600000000000004E-2</v>
      </c>
      <c r="F48" s="388">
        <f t="shared" si="4"/>
        <v>2.818449050444969E-2</v>
      </c>
      <c r="G48" s="393">
        <f t="shared" si="2"/>
        <v>0.18755362915074922</v>
      </c>
    </row>
    <row r="49" spans="1:7">
      <c r="A49" s="386">
        <v>1973</v>
      </c>
      <c r="B49" s="386">
        <v>97.55</v>
      </c>
      <c r="C49" s="387">
        <v>3.6093500000000001</v>
      </c>
      <c r="D49" s="388">
        <f t="shared" si="3"/>
        <v>3.7000000000000005E-2</v>
      </c>
      <c r="E49" s="389">
        <v>6.7400000000000002E-2</v>
      </c>
      <c r="F49" s="388">
        <f t="shared" si="4"/>
        <v>3.6586646024150085E-2</v>
      </c>
      <c r="G49" s="393">
        <f t="shared" si="2"/>
        <v>-0.14308047437526467</v>
      </c>
    </row>
    <row r="50" spans="1:7">
      <c r="A50" s="386">
        <v>1974</v>
      </c>
      <c r="B50" s="386">
        <v>68.56</v>
      </c>
      <c r="C50" s="387">
        <v>3.7228080000000001</v>
      </c>
      <c r="D50" s="388">
        <f t="shared" si="3"/>
        <v>5.4300000000000001E-2</v>
      </c>
      <c r="E50" s="389">
        <v>7.4300000000000005E-2</v>
      </c>
      <c r="F50" s="388">
        <f t="shared" si="4"/>
        <v>1.9886086932378574E-2</v>
      </c>
      <c r="G50" s="393">
        <f t="shared" si="2"/>
        <v>-0.25901785750896972</v>
      </c>
    </row>
    <row r="51" spans="1:7">
      <c r="A51" s="386">
        <v>1975</v>
      </c>
      <c r="B51" s="386">
        <v>90.19</v>
      </c>
      <c r="C51" s="387">
        <v>3.7338659999999999</v>
      </c>
      <c r="D51" s="388">
        <f t="shared" si="3"/>
        <v>4.1399999999999999E-2</v>
      </c>
      <c r="E51" s="389">
        <v>0.08</v>
      </c>
      <c r="F51" s="388">
        <f t="shared" si="4"/>
        <v>3.6052536026033838E-2</v>
      </c>
      <c r="G51" s="393">
        <f t="shared" si="2"/>
        <v>0.36995137106184367</v>
      </c>
    </row>
    <row r="52" spans="1:7">
      <c r="A52" s="386">
        <v>1976</v>
      </c>
      <c r="B52" s="386">
        <v>107.46</v>
      </c>
      <c r="C52" s="387">
        <v>4.2231779999999999</v>
      </c>
      <c r="D52" s="388">
        <f t="shared" si="3"/>
        <v>3.9300000000000002E-2</v>
      </c>
      <c r="E52" s="389">
        <v>6.8699999999999997E-2</v>
      </c>
      <c r="F52" s="388">
        <f t="shared" si="4"/>
        <v>0.1598456074290921</v>
      </c>
      <c r="G52" s="393">
        <f t="shared" si="2"/>
        <v>0.23830999002106665</v>
      </c>
    </row>
    <row r="53" spans="1:7">
      <c r="A53" s="386">
        <v>1977</v>
      </c>
      <c r="B53" s="386">
        <v>95.1</v>
      </c>
      <c r="C53" s="387">
        <v>4.85961</v>
      </c>
      <c r="D53" s="388">
        <f t="shared" si="3"/>
        <v>5.11E-2</v>
      </c>
      <c r="E53" s="389">
        <v>7.6899999999999996E-2</v>
      </c>
      <c r="F53" s="388">
        <f t="shared" si="4"/>
        <v>1.2899606071070449E-2</v>
      </c>
      <c r="G53" s="393">
        <f t="shared" si="2"/>
        <v>-6.979704075935228E-2</v>
      </c>
    </row>
    <row r="54" spans="1:7">
      <c r="A54" s="386">
        <v>1978</v>
      </c>
      <c r="B54" s="386">
        <v>96.11</v>
      </c>
      <c r="C54" s="387">
        <v>5.1803290000000004</v>
      </c>
      <c r="D54" s="388">
        <f t="shared" si="3"/>
        <v>5.3900000000000003E-2</v>
      </c>
      <c r="E54" s="389">
        <v>9.01E-2</v>
      </c>
      <c r="F54" s="388">
        <f t="shared" si="4"/>
        <v>-7.7758069075086478E-3</v>
      </c>
      <c r="G54" s="393">
        <f t="shared" si="2"/>
        <v>6.50928391167193E-2</v>
      </c>
    </row>
    <row r="55" spans="1:7">
      <c r="A55" s="386">
        <v>1979</v>
      </c>
      <c r="B55" s="386">
        <v>107.94</v>
      </c>
      <c r="C55" s="387">
        <v>5.9690820000000002</v>
      </c>
      <c r="D55" s="388">
        <f t="shared" si="3"/>
        <v>5.5300000000000002E-2</v>
      </c>
      <c r="E55" s="389">
        <v>0.10390000000000001</v>
      </c>
      <c r="F55" s="388">
        <f t="shared" si="4"/>
        <v>6.7072031247235459E-3</v>
      </c>
      <c r="G55" s="393">
        <f t="shared" si="2"/>
        <v>0.18519490167516386</v>
      </c>
    </row>
    <row r="56" spans="1:7">
      <c r="A56" s="386">
        <v>1980</v>
      </c>
      <c r="B56" s="386">
        <v>135.76</v>
      </c>
      <c r="C56" s="387">
        <v>6.4350240000000003</v>
      </c>
      <c r="D56" s="388">
        <f t="shared" si="3"/>
        <v>4.7400000000000005E-2</v>
      </c>
      <c r="E56" s="389">
        <v>0.12839999999999999</v>
      </c>
      <c r="F56" s="388">
        <f t="shared" si="4"/>
        <v>-2.989744251999403E-2</v>
      </c>
      <c r="G56" s="393">
        <f t="shared" si="2"/>
        <v>0.3173524550676301</v>
      </c>
    </row>
    <row r="57" spans="1:7">
      <c r="A57" s="386">
        <v>1981</v>
      </c>
      <c r="B57" s="386">
        <v>122.55</v>
      </c>
      <c r="C57" s="387">
        <v>6.8260350000000001</v>
      </c>
      <c r="D57" s="388">
        <f t="shared" si="3"/>
        <v>5.57E-2</v>
      </c>
      <c r="E57" s="389">
        <v>0.13719999999999999</v>
      </c>
      <c r="F57" s="388">
        <f t="shared" si="4"/>
        <v>8.1992153358923542E-2</v>
      </c>
      <c r="G57" s="393">
        <f t="shared" si="2"/>
        <v>-4.7023902474955727E-2</v>
      </c>
    </row>
    <row r="58" spans="1:7">
      <c r="A58" s="386">
        <v>1982</v>
      </c>
      <c r="B58" s="386">
        <v>140.63999999999999</v>
      </c>
      <c r="C58" s="387">
        <v>6.9335519999999997</v>
      </c>
      <c r="D58" s="388">
        <f t="shared" si="3"/>
        <v>4.9300000000000004E-2</v>
      </c>
      <c r="E58" s="389">
        <v>0.10539999999999999</v>
      </c>
      <c r="F58" s="388">
        <f t="shared" si="4"/>
        <v>0.32814549486295586</v>
      </c>
      <c r="G58" s="393">
        <f t="shared" si="2"/>
        <v>0.20419055079559348</v>
      </c>
    </row>
    <row r="59" spans="1:7">
      <c r="A59" s="386">
        <v>1983</v>
      </c>
      <c r="B59" s="386">
        <v>164.93</v>
      </c>
      <c r="C59" s="387">
        <v>7.1249760000000002</v>
      </c>
      <c r="D59" s="388">
        <f t="shared" si="3"/>
        <v>4.3200000000000002E-2</v>
      </c>
      <c r="E59" s="389">
        <v>0.1183</v>
      </c>
      <c r="F59" s="388">
        <f t="shared" si="4"/>
        <v>3.2002094451429264E-2</v>
      </c>
      <c r="G59" s="393">
        <f t="shared" si="2"/>
        <v>0.22337155858930621</v>
      </c>
    </row>
    <row r="60" spans="1:7">
      <c r="A60" s="386">
        <v>1984</v>
      </c>
      <c r="B60" s="386">
        <v>167.24</v>
      </c>
      <c r="C60" s="387">
        <v>7.8268319999999996</v>
      </c>
      <c r="D60" s="388">
        <f t="shared" si="3"/>
        <v>4.6799999999999994E-2</v>
      </c>
      <c r="E60" s="389">
        <v>0.115</v>
      </c>
      <c r="F60" s="388">
        <f t="shared" si="4"/>
        <v>0.13733364344102345</v>
      </c>
      <c r="G60" s="393">
        <f t="shared" si="2"/>
        <v>6.1461419996362079E-2</v>
      </c>
    </row>
    <row r="61" spans="1:7">
      <c r="A61" s="386">
        <v>1985</v>
      </c>
      <c r="B61" s="386">
        <v>211.28</v>
      </c>
      <c r="C61" s="387">
        <v>8.1976639999999996</v>
      </c>
      <c r="D61" s="388">
        <f t="shared" si="3"/>
        <v>3.8800000000000001E-2</v>
      </c>
      <c r="E61" s="389">
        <v>9.2600000000000002E-2</v>
      </c>
      <c r="F61" s="388">
        <f t="shared" si="4"/>
        <v>0.2571248821260641</v>
      </c>
      <c r="G61" s="393">
        <f t="shared" si="2"/>
        <v>0.31235149485768948</v>
      </c>
    </row>
    <row r="62" spans="1:7">
      <c r="A62" s="386">
        <v>1986</v>
      </c>
      <c r="B62" s="386">
        <v>242.17</v>
      </c>
      <c r="C62" s="387">
        <v>8.1853459999999991</v>
      </c>
      <c r="D62" s="388">
        <f t="shared" si="3"/>
        <v>3.3799999999999997E-2</v>
      </c>
      <c r="E62" s="389">
        <v>7.1099999999999997E-2</v>
      </c>
      <c r="F62" s="388">
        <f t="shared" si="4"/>
        <v>0.24284215141767618</v>
      </c>
      <c r="G62" s="393">
        <f t="shared" si="2"/>
        <v>0.18494578758046193</v>
      </c>
    </row>
    <row r="63" spans="1:7">
      <c r="A63" s="386">
        <v>1987</v>
      </c>
      <c r="B63" s="386">
        <v>247.08</v>
      </c>
      <c r="C63" s="387">
        <v>9.1666679999999996</v>
      </c>
      <c r="D63" s="388">
        <f t="shared" si="3"/>
        <v>3.7099999999999994E-2</v>
      </c>
      <c r="E63" s="389">
        <v>8.9899999999999994E-2</v>
      </c>
      <c r="F63" s="388">
        <f t="shared" si="4"/>
        <v>-4.9605089379262279E-2</v>
      </c>
      <c r="G63" s="393">
        <f t="shared" si="2"/>
        <v>5.8127216418218663E-2</v>
      </c>
    </row>
    <row r="64" spans="1:7">
      <c r="A64" s="386">
        <v>1988</v>
      </c>
      <c r="B64" s="386">
        <v>277.72000000000003</v>
      </c>
      <c r="C64" s="387">
        <v>10.220096</v>
      </c>
      <c r="D64" s="388">
        <f t="shared" si="3"/>
        <v>3.6799999999999992E-2</v>
      </c>
      <c r="E64" s="389">
        <v>9.11E-2</v>
      </c>
      <c r="F64" s="388">
        <f t="shared" si="4"/>
        <v>8.2235958434841674E-2</v>
      </c>
      <c r="G64" s="393">
        <f t="shared" si="2"/>
        <v>0.16537192812044693</v>
      </c>
    </row>
    <row r="65" spans="1:7">
      <c r="A65" s="386">
        <v>1989</v>
      </c>
      <c r="B65" s="386">
        <v>353.4</v>
      </c>
      <c r="C65" s="387">
        <v>11.73288</v>
      </c>
      <c r="D65" s="388">
        <f t="shared" si="3"/>
        <v>3.32E-2</v>
      </c>
      <c r="E65" s="389">
        <v>7.8399999999999997E-2</v>
      </c>
      <c r="F65" s="388">
        <f t="shared" si="4"/>
        <v>0.17693647159446219</v>
      </c>
      <c r="G65" s="393">
        <f t="shared" si="2"/>
        <v>0.3147518363819673</v>
      </c>
    </row>
    <row r="66" spans="1:7">
      <c r="A66" s="386">
        <v>1990</v>
      </c>
      <c r="B66" s="386">
        <v>330.22</v>
      </c>
      <c r="C66" s="387">
        <v>12.350228</v>
      </c>
      <c r="D66" s="388">
        <f t="shared" si="3"/>
        <v>3.7399999999999996E-2</v>
      </c>
      <c r="E66" s="389">
        <v>8.0799999999999997E-2</v>
      </c>
      <c r="F66" s="388">
        <f t="shared" si="4"/>
        <v>6.2353753335533363E-2</v>
      </c>
      <c r="G66" s="393">
        <f t="shared" si="2"/>
        <v>-3.0644516129032073E-2</v>
      </c>
    </row>
    <row r="67" spans="1:7">
      <c r="A67" s="386">
        <v>1991</v>
      </c>
      <c r="B67" s="386">
        <v>417.09</v>
      </c>
      <c r="C67" s="387">
        <v>12.971499</v>
      </c>
      <c r="D67" s="388">
        <f t="shared" si="3"/>
        <v>3.1100000000000003E-2</v>
      </c>
      <c r="E67" s="389">
        <v>7.0900000000000005E-2</v>
      </c>
      <c r="F67" s="388">
        <f t="shared" si="4"/>
        <v>0.15004510019517303</v>
      </c>
      <c r="G67" s="393">
        <f t="shared" si="2"/>
        <v>0.30234843134879757</v>
      </c>
    </row>
    <row r="68" spans="1:7">
      <c r="A68" s="386">
        <v>1992</v>
      </c>
      <c r="B68" s="386">
        <v>435.71</v>
      </c>
      <c r="C68" s="387">
        <v>12.635590000000001</v>
      </c>
      <c r="D68" s="388">
        <f t="shared" si="3"/>
        <v>2.9000000000000001E-2</v>
      </c>
      <c r="E68" s="389">
        <v>6.7699999999999996E-2</v>
      </c>
      <c r="F68" s="388">
        <f t="shared" si="4"/>
        <v>9.3616373162079422E-2</v>
      </c>
      <c r="G68" s="393">
        <f t="shared" si="2"/>
        <v>7.4937279723800584E-2</v>
      </c>
    </row>
    <row r="69" spans="1:7">
      <c r="A69" s="386">
        <v>1993</v>
      </c>
      <c r="B69" s="386">
        <v>466.45</v>
      </c>
      <c r="C69" s="387">
        <v>12.68744</v>
      </c>
      <c r="D69" s="388">
        <f t="shared" si="3"/>
        <v>2.7200000000000002E-2</v>
      </c>
      <c r="E69" s="389">
        <v>5.7700000000000001E-2</v>
      </c>
      <c r="F69" s="388">
        <f t="shared" si="4"/>
        <v>0.14210957589263107</v>
      </c>
      <c r="G69" s="393">
        <f t="shared" ref="G69:G91" si="5">(B69+C69-B68)/B68</f>
        <v>9.9670514791948758E-2</v>
      </c>
    </row>
    <row r="70" spans="1:7">
      <c r="A70" s="386">
        <v>1994</v>
      </c>
      <c r="B70" s="386">
        <v>459.27</v>
      </c>
      <c r="C70" s="387">
        <v>13.364757000000001</v>
      </c>
      <c r="D70" s="388">
        <f t="shared" si="3"/>
        <v>2.9100000000000004E-2</v>
      </c>
      <c r="E70" s="389">
        <v>7.8100000000000003E-2</v>
      </c>
      <c r="F70" s="388">
        <f t="shared" si="4"/>
        <v>-8.0366555509985921E-2</v>
      </c>
      <c r="G70" s="393">
        <f t="shared" si="5"/>
        <v>1.3259206774573888E-2</v>
      </c>
    </row>
    <row r="71" spans="1:7">
      <c r="A71" s="386">
        <v>1995</v>
      </c>
      <c r="B71" s="386">
        <v>615.92999999999995</v>
      </c>
      <c r="C71" s="387">
        <v>14.16639</v>
      </c>
      <c r="D71" s="388">
        <f t="shared" si="3"/>
        <v>2.3000000000000003E-2</v>
      </c>
      <c r="E71" s="389">
        <v>5.7099999999999998E-2</v>
      </c>
      <c r="F71" s="388">
        <f t="shared" si="4"/>
        <v>0.23480780112538907</v>
      </c>
      <c r="G71" s="393">
        <f t="shared" si="5"/>
        <v>0.37195198902606302</v>
      </c>
    </row>
    <row r="72" spans="1:7">
      <c r="A72" s="386">
        <v>1996</v>
      </c>
      <c r="B72" s="386">
        <v>740.74</v>
      </c>
      <c r="C72" s="387">
        <v>14.888873999999999</v>
      </c>
      <c r="D72" s="388">
        <f t="shared" si="3"/>
        <v>2.01E-2</v>
      </c>
      <c r="E72" s="389">
        <v>6.3E-2</v>
      </c>
      <c r="F72" s="388">
        <f t="shared" si="4"/>
        <v>1.428607793401844E-2</v>
      </c>
      <c r="G72" s="393">
        <f t="shared" si="5"/>
        <v>0.22680966018865789</v>
      </c>
    </row>
    <row r="73" spans="1:7">
      <c r="A73" s="386">
        <v>1997</v>
      </c>
      <c r="B73" s="386">
        <v>970.43</v>
      </c>
      <c r="C73" s="387">
        <v>15.522</v>
      </c>
      <c r="D73" s="388">
        <f t="shared" si="3"/>
        <v>1.5994971301381864E-2</v>
      </c>
      <c r="E73" s="389">
        <v>5.8099999999999999E-2</v>
      </c>
      <c r="F73" s="388">
        <f t="shared" si="4"/>
        <v>9.939130272977531E-2</v>
      </c>
      <c r="G73" s="393">
        <f t="shared" si="5"/>
        <v>0.33103653103653102</v>
      </c>
    </row>
    <row r="74" spans="1:7">
      <c r="A74" s="386">
        <v>1998</v>
      </c>
      <c r="B74" s="386">
        <v>1229.23</v>
      </c>
      <c r="C74" s="387">
        <v>16.2</v>
      </c>
      <c r="D74" s="388">
        <f t="shared" si="3"/>
        <v>1.3178981964319126E-2</v>
      </c>
      <c r="E74" s="389">
        <v>4.65E-2</v>
      </c>
      <c r="F74" s="388">
        <f t="shared" si="4"/>
        <v>0.14921431922606215</v>
      </c>
      <c r="G74" s="393">
        <f t="shared" si="5"/>
        <v>0.28337953278443589</v>
      </c>
    </row>
    <row r="75" spans="1:7">
      <c r="A75" s="386">
        <v>1999</v>
      </c>
      <c r="B75" s="386">
        <v>1469.25</v>
      </c>
      <c r="C75" s="387">
        <v>16.709</v>
      </c>
      <c r="D75" s="388">
        <f t="shared" si="3"/>
        <v>1.1372468946741534E-2</v>
      </c>
      <c r="E75" s="389">
        <v>6.4399999999999999E-2</v>
      </c>
      <c r="F75" s="388">
        <f t="shared" si="4"/>
        <v>-8.2542147962685761E-2</v>
      </c>
      <c r="G75" s="393">
        <f t="shared" si="5"/>
        <v>0.20885350992084478</v>
      </c>
    </row>
    <row r="76" spans="1:7">
      <c r="A76" s="386">
        <v>2000</v>
      </c>
      <c r="B76" s="386">
        <v>1320.28</v>
      </c>
      <c r="C76" s="386">
        <v>16.27</v>
      </c>
      <c r="D76" s="389">
        <f t="shared" si="3"/>
        <v>1.2323143575605175E-2</v>
      </c>
      <c r="E76" s="389">
        <v>5.11E-2</v>
      </c>
      <c r="F76" s="388">
        <f t="shared" si="4"/>
        <v>0.16655267125397488</v>
      </c>
      <c r="G76" s="393">
        <f t="shared" si="5"/>
        <v>-9.0318189552492795E-2</v>
      </c>
    </row>
    <row r="77" spans="1:7">
      <c r="A77" s="386">
        <v>2001</v>
      </c>
      <c r="B77" s="386">
        <v>1148.0899999999999</v>
      </c>
      <c r="C77" s="386">
        <v>15.74</v>
      </c>
      <c r="D77" s="389">
        <f t="shared" si="3"/>
        <v>1.3709726589378883E-2</v>
      </c>
      <c r="E77" s="389">
        <v>5.0500000000000003E-2</v>
      </c>
      <c r="F77" s="388">
        <f t="shared" si="4"/>
        <v>5.5721811892492555E-2</v>
      </c>
      <c r="G77" s="393">
        <f t="shared" si="5"/>
        <v>-0.11849759142000185</v>
      </c>
    </row>
    <row r="78" spans="1:7">
      <c r="A78" s="386">
        <v>2002</v>
      </c>
      <c r="B78" s="386">
        <v>879.82</v>
      </c>
      <c r="C78" s="386">
        <v>16.079999999999998</v>
      </c>
      <c r="D78" s="389">
        <f t="shared" si="3"/>
        <v>1.8276465640699232E-2</v>
      </c>
      <c r="E78" s="389">
        <v>3.8199999999999998E-2</v>
      </c>
      <c r="F78" s="388">
        <f t="shared" si="4"/>
        <v>0.15116400378109285</v>
      </c>
      <c r="G78" s="393">
        <f t="shared" si="5"/>
        <v>-0.21966047957912693</v>
      </c>
    </row>
    <row r="79" spans="1:7">
      <c r="A79" s="386">
        <v>2003</v>
      </c>
      <c r="B79" s="386">
        <v>1111.9100000000001</v>
      </c>
      <c r="C79" s="386">
        <v>17.39</v>
      </c>
      <c r="D79" s="389">
        <f t="shared" si="3"/>
        <v>1.5639755016143394E-2</v>
      </c>
      <c r="E79" s="389">
        <v>4.2500000000000003E-2</v>
      </c>
      <c r="F79" s="388">
        <f t="shared" si="4"/>
        <v>3.7531858817758529E-3</v>
      </c>
      <c r="G79" s="393">
        <f t="shared" si="5"/>
        <v>0.28355800050010244</v>
      </c>
    </row>
    <row r="80" spans="1:7">
      <c r="A80" s="386">
        <v>2004</v>
      </c>
      <c r="B80" s="386">
        <v>1211.92</v>
      </c>
      <c r="C80" s="386">
        <v>19.440000000000001</v>
      </c>
      <c r="D80" s="389">
        <f t="shared" si="3"/>
        <v>1.6040662750016504E-2</v>
      </c>
      <c r="E80" s="389">
        <v>4.2200000000000001E-2</v>
      </c>
      <c r="F80" s="388">
        <f t="shared" si="4"/>
        <v>4.490683702274547E-2</v>
      </c>
      <c r="G80" s="393">
        <f t="shared" si="5"/>
        <v>0.10742775944096199</v>
      </c>
    </row>
    <row r="81" spans="1:7">
      <c r="A81" s="386">
        <v>2005</v>
      </c>
      <c r="B81" s="386">
        <v>1248.29</v>
      </c>
      <c r="C81" s="387">
        <v>22.22</v>
      </c>
      <c r="D81" s="389">
        <f t="shared" si="3"/>
        <v>1.7800350880003844E-2</v>
      </c>
      <c r="E81" s="389">
        <v>4.3900000000000002E-2</v>
      </c>
      <c r="F81" s="388">
        <f t="shared" si="4"/>
        <v>2.8675329597779506E-2</v>
      </c>
      <c r="G81" s="393">
        <f t="shared" si="5"/>
        <v>4.8344775232688555E-2</v>
      </c>
    </row>
    <row r="82" spans="1:7">
      <c r="A82" s="386">
        <v>2006</v>
      </c>
      <c r="B82" s="386">
        <v>1418.3</v>
      </c>
      <c r="C82" s="386">
        <v>24.88</v>
      </c>
      <c r="D82" s="389">
        <f t="shared" si="3"/>
        <v>1.7542127899598109E-2</v>
      </c>
      <c r="E82" s="389">
        <v>4.7E-2</v>
      </c>
      <c r="F82" s="388">
        <f t="shared" si="4"/>
        <v>1.9610012417568386E-2</v>
      </c>
      <c r="G82" s="393">
        <f t="shared" si="5"/>
        <v>0.15612557979315711</v>
      </c>
    </row>
    <row r="83" spans="1:7">
      <c r="A83" s="386">
        <v>2007</v>
      </c>
      <c r="B83" s="140">
        <v>1468.36</v>
      </c>
      <c r="C83" s="386">
        <v>27.73</v>
      </c>
      <c r="D83" s="402">
        <f t="shared" si="3"/>
        <v>1.8885014574082652E-2</v>
      </c>
      <c r="E83" s="402">
        <v>4.02E-2</v>
      </c>
      <c r="F83" s="388">
        <f t="shared" si="4"/>
        <v>0.10209921930012807</v>
      </c>
      <c r="G83" s="393">
        <f t="shared" si="5"/>
        <v>5.4847352464217701E-2</v>
      </c>
    </row>
    <row r="84" spans="1:7">
      <c r="A84" s="403">
        <v>2008</v>
      </c>
      <c r="B84" s="403">
        <v>903.25</v>
      </c>
      <c r="C84" s="403">
        <v>28.39</v>
      </c>
      <c r="D84" s="404">
        <f t="shared" si="3"/>
        <v>3.1430943814004984E-2</v>
      </c>
      <c r="E84" s="402">
        <v>2.2100000000000002E-2</v>
      </c>
      <c r="F84" s="388">
        <f t="shared" si="4"/>
        <v>0.20101279926977011</v>
      </c>
      <c r="G84" s="393">
        <f t="shared" si="5"/>
        <v>-0.36552344111798191</v>
      </c>
    </row>
    <row r="85" spans="1:7">
      <c r="A85" s="403">
        <v>2009</v>
      </c>
      <c r="B85" s="403">
        <v>1115.0999999999999</v>
      </c>
      <c r="C85" s="403">
        <v>22.41</v>
      </c>
      <c r="D85" s="404">
        <f t="shared" si="3"/>
        <v>2.0096852300242132E-2</v>
      </c>
      <c r="E85" s="402">
        <v>3.8399999999999997E-2</v>
      </c>
      <c r="F85" s="388">
        <f t="shared" si="4"/>
        <v>-0.11116695313259162</v>
      </c>
      <c r="G85" s="393">
        <f t="shared" si="5"/>
        <v>0.25935233877663988</v>
      </c>
    </row>
    <row r="86" spans="1:7">
      <c r="A86" s="403">
        <v>2010</v>
      </c>
      <c r="B86" s="403">
        <v>1257.6400000000001</v>
      </c>
      <c r="C86" s="403">
        <v>22.73</v>
      </c>
      <c r="D86" s="404">
        <f t="shared" si="3"/>
        <v>1.8073534556788905E-2</v>
      </c>
      <c r="E86" s="402">
        <v>3.2899999999999999E-2</v>
      </c>
      <c r="F86" s="405">
        <f t="shared" si="4"/>
        <v>8.4629338803557719E-2</v>
      </c>
      <c r="G86" s="393">
        <f t="shared" si="5"/>
        <v>0.14821092278719417</v>
      </c>
    </row>
    <row r="87" spans="1:7">
      <c r="A87" s="403">
        <v>2011</v>
      </c>
      <c r="B87" s="403">
        <v>1257.5999999999999</v>
      </c>
      <c r="C87" s="403">
        <v>26.43</v>
      </c>
      <c r="D87" s="404">
        <f t="shared" si="3"/>
        <v>2.1016221374045803E-2</v>
      </c>
      <c r="E87" s="402">
        <v>1.8800000000000001E-2</v>
      </c>
      <c r="F87" s="405">
        <f t="shared" si="4"/>
        <v>0.16035334999461354</v>
      </c>
      <c r="G87" s="393">
        <f t="shared" si="5"/>
        <v>2.0983747336280549E-2</v>
      </c>
    </row>
    <row r="88" spans="1:7">
      <c r="A88" s="403">
        <v>2012</v>
      </c>
      <c r="B88" s="403">
        <v>1426.19</v>
      </c>
      <c r="C88" s="403">
        <v>31.25</v>
      </c>
      <c r="D88" s="404">
        <f t="shared" si="3"/>
        <v>2.1911526514700005E-2</v>
      </c>
      <c r="E88" s="402">
        <v>1.7600000000000001E-2</v>
      </c>
      <c r="F88" s="405">
        <f t="shared" si="4"/>
        <v>2.971571978018946E-2</v>
      </c>
      <c r="G88" s="393">
        <f t="shared" si="5"/>
        <v>0.15890585241730293</v>
      </c>
    </row>
    <row r="89" spans="1:7">
      <c r="A89" s="403">
        <v>2013</v>
      </c>
      <c r="B89" s="403">
        <v>1848.36</v>
      </c>
      <c r="C89" s="403">
        <v>36.28</v>
      </c>
      <c r="D89" s="404">
        <f t="shared" si="3"/>
        <v>1.962821095457595E-2</v>
      </c>
      <c r="E89" s="402">
        <v>3.0360000000000002E-2</v>
      </c>
      <c r="F89" s="405">
        <f t="shared" si="4"/>
        <v>-9.104568794347262E-2</v>
      </c>
      <c r="G89" s="393">
        <f t="shared" si="5"/>
        <v>0.32145085858125483</v>
      </c>
    </row>
    <row r="90" spans="1:7">
      <c r="A90" s="403">
        <v>2014</v>
      </c>
      <c r="B90" s="406">
        <v>2058.9</v>
      </c>
      <c r="C90" s="407">
        <v>39.44</v>
      </c>
      <c r="D90" s="404">
        <f t="shared" si="3"/>
        <v>1.9155859925202776E-2</v>
      </c>
      <c r="E90" s="409">
        <v>2.1700000000000001E-2</v>
      </c>
      <c r="F90" s="405">
        <f>((E89*(1-(1+E90)^(-10))/E90+1/(1+E90)^10)-1)+E89</f>
        <v>0.10746180452004755</v>
      </c>
      <c r="G90" s="393">
        <f t="shared" si="5"/>
        <v>0.1352442164946224</v>
      </c>
    </row>
    <row r="91" spans="1:7">
      <c r="A91" s="403">
        <v>2015</v>
      </c>
      <c r="B91" s="403">
        <v>2043.9</v>
      </c>
      <c r="C91" s="408">
        <v>43</v>
      </c>
      <c r="D91" s="404">
        <f t="shared" si="3"/>
        <v>2.1038211262781936E-2</v>
      </c>
      <c r="E91" s="402">
        <v>2.2700000000000001E-2</v>
      </c>
      <c r="F91" s="405">
        <f>((E90*(1-(1+E91)^(-10))/E91+1/(1+E91)^10)-1)+E90</f>
        <v>1.2842996709792224E-2</v>
      </c>
      <c r="G91" s="393">
        <f t="shared" si="5"/>
        <v>1.3599494875904609E-2</v>
      </c>
    </row>
  </sheetData>
  <mergeCells count="3">
    <mergeCell ref="E1:F1"/>
    <mergeCell ref="B1:D1"/>
    <mergeCell ref="G1: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M24"/>
  <sheetViews>
    <sheetView workbookViewId="0">
      <selection activeCell="B17" sqref="B17"/>
    </sheetView>
  </sheetViews>
  <sheetFormatPr baseColWidth="10" defaultColWidth="10.83203125" defaultRowHeight="16"/>
  <cols>
    <col min="1" max="1" width="19.1640625" style="19" bestFit="1" customWidth="1"/>
    <col min="2" max="3" width="15" style="19" bestFit="1" customWidth="1"/>
    <col min="4" max="4" width="10.83203125" style="19"/>
    <col min="5" max="5" width="13.5" style="19" bestFit="1" customWidth="1"/>
    <col min="6" max="6" width="14.83203125" style="19" bestFit="1" customWidth="1"/>
    <col min="7" max="9" width="10.83203125" style="19"/>
    <col min="10" max="10" width="13.6640625" style="19" bestFit="1" customWidth="1"/>
    <col min="11" max="16384" width="10.83203125" style="19"/>
  </cols>
  <sheetData>
    <row r="1" spans="1:13" ht="23">
      <c r="A1" s="541" t="str">
        <f>CorpName</f>
        <v>ConocoPhilips</v>
      </c>
      <c r="B1" s="541"/>
      <c r="C1" s="541"/>
    </row>
    <row r="3" spans="1:13" ht="17" thickBot="1"/>
    <row r="4" spans="1:13" ht="17" thickBot="1">
      <c r="A4" s="513" t="s">
        <v>334</v>
      </c>
      <c r="B4" s="514"/>
      <c r="C4" s="515"/>
    </row>
    <row r="5" spans="1:13">
      <c r="A5" s="412" t="s">
        <v>333</v>
      </c>
      <c r="B5" s="413">
        <f>IF(LatestYear&lt;&gt;"",LatestYear,"")</f>
        <v>2015</v>
      </c>
      <c r="C5" s="414">
        <f>B5-1</f>
        <v>2014</v>
      </c>
    </row>
    <row r="6" spans="1:13">
      <c r="A6" s="175" t="s">
        <v>327</v>
      </c>
      <c r="B6" s="18">
        <f>'Historic Income Statement'!K23</f>
        <v>920000</v>
      </c>
      <c r="C6" s="415"/>
    </row>
    <row r="7" spans="1:13">
      <c r="A7" s="175" t="s">
        <v>315</v>
      </c>
      <c r="B7" s="18">
        <f>'Historic Balance Sheet'!K36</f>
        <v>23453000</v>
      </c>
      <c r="C7" s="415">
        <f>'Historic Balance Sheet'!J36</f>
        <v>22383000</v>
      </c>
    </row>
    <row r="8" spans="1:13">
      <c r="A8" s="175"/>
      <c r="B8" s="18"/>
      <c r="C8" s="415"/>
    </row>
    <row r="9" spans="1:13">
      <c r="A9" s="175" t="s">
        <v>301</v>
      </c>
      <c r="B9" s="256">
        <f>B6/AVERAGE(B7:C7)</f>
        <v>4.0143118945806792E-2</v>
      </c>
      <c r="C9" s="415"/>
    </row>
    <row r="10" spans="1:13">
      <c r="A10" s="175" t="s">
        <v>184</v>
      </c>
      <c r="B10" s="416">
        <f>'Key Assumptions'!B2</f>
        <v>0.43856386242841899</v>
      </c>
      <c r="C10" s="415"/>
    </row>
    <row r="11" spans="1:13" ht="17" thickBot="1">
      <c r="A11" s="177" t="s">
        <v>314</v>
      </c>
      <c r="B11" s="417">
        <f>(1-B10)*B9</f>
        <v>2.2537797651010324E-2</v>
      </c>
      <c r="C11" s="418"/>
    </row>
    <row r="12" spans="1:13" ht="17" thickBot="1">
      <c r="E12" s="545" t="s">
        <v>365</v>
      </c>
      <c r="F12" s="545"/>
      <c r="G12" s="545"/>
      <c r="H12" s="545"/>
      <c r="I12" s="545"/>
      <c r="J12" s="545"/>
      <c r="K12" s="545"/>
      <c r="L12" s="545"/>
      <c r="M12" s="545"/>
    </row>
    <row r="13" spans="1:13" ht="17" thickBot="1">
      <c r="A13" s="513" t="s">
        <v>335</v>
      </c>
      <c r="B13" s="514"/>
      <c r="C13" s="515"/>
      <c r="E13" s="412" t="s">
        <v>363</v>
      </c>
      <c r="F13" s="413" t="s">
        <v>340</v>
      </c>
      <c r="G13" s="413" t="s">
        <v>341</v>
      </c>
      <c r="H13" s="413" t="s">
        <v>342</v>
      </c>
      <c r="I13" s="413" t="s">
        <v>343</v>
      </c>
      <c r="J13" s="413" t="s">
        <v>344</v>
      </c>
      <c r="K13" s="413" t="s">
        <v>345</v>
      </c>
      <c r="L13" s="413" t="s">
        <v>346</v>
      </c>
      <c r="M13" s="414" t="s">
        <v>347</v>
      </c>
    </row>
    <row r="14" spans="1:13">
      <c r="A14" s="412"/>
      <c r="B14" s="413"/>
      <c r="C14" s="414"/>
      <c r="E14" s="419" t="s">
        <v>348</v>
      </c>
      <c r="F14" s="28" t="s">
        <v>349</v>
      </c>
      <c r="G14" s="28" t="s">
        <v>350</v>
      </c>
      <c r="H14" s="27">
        <v>6.9500000000000006E-2</v>
      </c>
      <c r="I14" s="420">
        <v>5.8000000000000003E-2</v>
      </c>
      <c r="J14" s="114" t="s">
        <v>351</v>
      </c>
      <c r="K14" s="421">
        <v>47223</v>
      </c>
      <c r="L14" s="114">
        <v>111.13</v>
      </c>
      <c r="M14" s="216">
        <v>112.17</v>
      </c>
    </row>
    <row r="15" spans="1:13">
      <c r="A15" s="175" t="s">
        <v>336</v>
      </c>
      <c r="B15" s="422" t="s">
        <v>337</v>
      </c>
      <c r="C15" s="216"/>
      <c r="E15" s="419" t="s">
        <v>348</v>
      </c>
      <c r="F15" s="28" t="s">
        <v>352</v>
      </c>
      <c r="G15" s="28" t="s">
        <v>350</v>
      </c>
      <c r="H15" s="27">
        <v>5.8999999999999997E-2</v>
      </c>
      <c r="I15" s="251">
        <v>5.7299999999999997E-2</v>
      </c>
      <c r="J15" s="28" t="s">
        <v>351</v>
      </c>
      <c r="K15" s="375">
        <v>48502</v>
      </c>
      <c r="L15" s="28"/>
      <c r="M15" s="216">
        <v>104.56</v>
      </c>
    </row>
    <row r="16" spans="1:13">
      <c r="A16" s="423" t="s">
        <v>338</v>
      </c>
      <c r="B16" s="18"/>
      <c r="C16" s="415"/>
      <c r="E16" s="419" t="s">
        <v>348</v>
      </c>
      <c r="F16" s="28" t="s">
        <v>353</v>
      </c>
      <c r="G16" s="28" t="s">
        <v>350</v>
      </c>
      <c r="H16" s="27">
        <v>5.1999999999999998E-2</v>
      </c>
      <c r="I16" s="251">
        <v>4.3400000000000001E-2</v>
      </c>
      <c r="J16" s="28" t="s">
        <v>351</v>
      </c>
      <c r="K16" s="375">
        <v>43235</v>
      </c>
      <c r="L16" s="28">
        <v>101.83</v>
      </c>
      <c r="M16" s="216">
        <v>106.5</v>
      </c>
    </row>
    <row r="17" spans="1:13">
      <c r="A17" s="175" t="s">
        <v>339</v>
      </c>
      <c r="B17" s="416">
        <f>AVERAGE(I14:I23)</f>
        <v>4.4499999999999998E-2</v>
      </c>
      <c r="C17" s="415"/>
      <c r="E17" s="419" t="s">
        <v>348</v>
      </c>
      <c r="F17" s="28" t="s">
        <v>354</v>
      </c>
      <c r="G17" s="28" t="s">
        <v>350</v>
      </c>
      <c r="H17" s="27">
        <v>5.8999999999999997E-2</v>
      </c>
      <c r="I17" s="251">
        <v>5.6599999999999998E-2</v>
      </c>
      <c r="J17" s="28" t="s">
        <v>351</v>
      </c>
      <c r="K17" s="375">
        <v>50540</v>
      </c>
      <c r="L17" s="28">
        <v>99.85</v>
      </c>
      <c r="M17" s="216">
        <v>108.2</v>
      </c>
    </row>
    <row r="18" spans="1:13">
      <c r="A18" s="175" t="s">
        <v>331</v>
      </c>
      <c r="B18" s="256">
        <f>(1-B10)*B17</f>
        <v>2.4983908121935357E-2</v>
      </c>
      <c r="C18" s="415"/>
      <c r="E18" s="419" t="s">
        <v>348</v>
      </c>
      <c r="F18" s="28" t="s">
        <v>355</v>
      </c>
      <c r="G18" s="28" t="s">
        <v>350</v>
      </c>
      <c r="H18" s="27">
        <v>6.5000000000000002E-2</v>
      </c>
      <c r="I18" s="251">
        <v>5.7500000000000002E-2</v>
      </c>
      <c r="J18" s="28" t="s">
        <v>351</v>
      </c>
      <c r="K18" s="375">
        <v>50802</v>
      </c>
      <c r="L18" s="28">
        <v>95.32</v>
      </c>
      <c r="M18" s="216"/>
    </row>
    <row r="19" spans="1:13" ht="17" thickBot="1">
      <c r="A19" s="177"/>
      <c r="B19" s="424"/>
      <c r="C19" s="418"/>
      <c r="E19" s="419" t="s">
        <v>348</v>
      </c>
      <c r="F19" s="28" t="s">
        <v>356</v>
      </c>
      <c r="G19" s="28" t="s">
        <v>350</v>
      </c>
      <c r="H19" s="27">
        <v>5.7500000000000002E-2</v>
      </c>
      <c r="I19" s="251">
        <v>2.8899999999999999E-2</v>
      </c>
      <c r="J19" s="28" t="s">
        <v>351</v>
      </c>
      <c r="K19" s="375">
        <v>43497</v>
      </c>
      <c r="L19" s="28">
        <v>107.52</v>
      </c>
      <c r="M19" s="216">
        <v>108.09</v>
      </c>
    </row>
    <row r="20" spans="1:13" ht="17" thickBot="1">
      <c r="A20" s="22"/>
      <c r="B20" s="22"/>
      <c r="C20" s="22"/>
      <c r="E20" s="419" t="s">
        <v>348</v>
      </c>
      <c r="F20" s="28" t="s">
        <v>357</v>
      </c>
      <c r="G20" s="28" t="s">
        <v>350</v>
      </c>
      <c r="H20" s="27">
        <v>0.06</v>
      </c>
      <c r="I20" s="251">
        <v>3.1699999999999999E-2</v>
      </c>
      <c r="J20" s="28" t="s">
        <v>351</v>
      </c>
      <c r="K20" s="375">
        <v>43845</v>
      </c>
      <c r="L20" s="28">
        <v>110.08</v>
      </c>
      <c r="M20" s="216">
        <v>111.65</v>
      </c>
    </row>
    <row r="21" spans="1:13">
      <c r="A21" s="542" t="s">
        <v>364</v>
      </c>
      <c r="B21" s="425"/>
      <c r="C21" s="22"/>
      <c r="E21" s="419" t="s">
        <v>348</v>
      </c>
      <c r="F21" s="28" t="s">
        <v>358</v>
      </c>
      <c r="G21" s="28" t="s">
        <v>350</v>
      </c>
      <c r="H21" s="27">
        <v>2.4E-2</v>
      </c>
      <c r="I21" s="251">
        <v>3.6799999999999999E-2</v>
      </c>
      <c r="J21" s="28" t="s">
        <v>351</v>
      </c>
      <c r="K21" s="375">
        <v>44910</v>
      </c>
      <c r="L21" s="28">
        <v>92.63</v>
      </c>
      <c r="M21" s="216">
        <v>95.01</v>
      </c>
    </row>
    <row r="22" spans="1:13">
      <c r="A22" s="543"/>
      <c r="B22" s="426">
        <f>AVERAGE(B11,B18)</f>
        <v>2.3760852886472839E-2</v>
      </c>
      <c r="C22" s="22"/>
      <c r="E22" s="419" t="s">
        <v>348</v>
      </c>
      <c r="F22" s="28" t="s">
        <v>359</v>
      </c>
      <c r="G22" s="28" t="s">
        <v>350</v>
      </c>
      <c r="H22" s="27">
        <v>1.0500000000000001E-2</v>
      </c>
      <c r="I22" s="251">
        <v>3.6499999999999998E-2</v>
      </c>
      <c r="J22" s="28" t="s">
        <v>351</v>
      </c>
      <c r="K22" s="375">
        <v>43084</v>
      </c>
      <c r="L22" s="28">
        <v>95.84</v>
      </c>
      <c r="M22" s="216">
        <v>99.08</v>
      </c>
    </row>
    <row r="23" spans="1:13" ht="17" thickBot="1">
      <c r="A23" s="544"/>
      <c r="B23" s="427"/>
      <c r="C23" s="22"/>
      <c r="E23" s="419" t="s">
        <v>348</v>
      </c>
      <c r="F23" s="28" t="s">
        <v>360</v>
      </c>
      <c r="G23" s="28" t="s">
        <v>350</v>
      </c>
      <c r="H23" s="27">
        <v>6.6500000000000004E-2</v>
      </c>
      <c r="I23" s="251">
        <v>3.8300000000000001E-2</v>
      </c>
      <c r="J23" s="28" t="s">
        <v>351</v>
      </c>
      <c r="K23" s="375">
        <v>43296</v>
      </c>
      <c r="L23" s="28">
        <v>106.22</v>
      </c>
      <c r="M23" s="216">
        <v>109.65</v>
      </c>
    </row>
    <row r="24" spans="1:13" ht="17" thickBot="1">
      <c r="A24" s="22"/>
      <c r="B24" s="22"/>
      <c r="C24" s="22"/>
      <c r="E24" s="428" t="s">
        <v>348</v>
      </c>
      <c r="F24" s="429" t="s">
        <v>361</v>
      </c>
      <c r="G24" s="429"/>
      <c r="H24" s="430">
        <v>7.0000000000000007E-2</v>
      </c>
      <c r="I24" s="429" t="s">
        <v>362</v>
      </c>
      <c r="J24" s="429" t="s">
        <v>351</v>
      </c>
      <c r="K24" s="431">
        <v>47207</v>
      </c>
      <c r="L24" s="429"/>
      <c r="M24" s="119"/>
    </row>
  </sheetData>
  <mergeCells count="5">
    <mergeCell ref="A1:C1"/>
    <mergeCell ref="A4:C4"/>
    <mergeCell ref="A13:C13"/>
    <mergeCell ref="A21:A23"/>
    <mergeCell ref="E12:M12"/>
  </mergeCells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C28"/>
  <sheetViews>
    <sheetView workbookViewId="0">
      <selection activeCell="B32" sqref="B32"/>
    </sheetView>
  </sheetViews>
  <sheetFormatPr baseColWidth="10" defaultColWidth="10.83203125" defaultRowHeight="16"/>
  <cols>
    <col min="1" max="1" width="67.33203125" style="19" bestFit="1" customWidth="1"/>
    <col min="2" max="2" width="15" style="19" bestFit="1" customWidth="1"/>
    <col min="3" max="16384" width="10.83203125" style="19"/>
  </cols>
  <sheetData>
    <row r="1" spans="1:3" ht="23">
      <c r="A1" s="541" t="str">
        <f>CorpName</f>
        <v>ConocoPhilips</v>
      </c>
      <c r="B1" s="541"/>
      <c r="C1" s="541"/>
    </row>
    <row r="2" spans="1:3" ht="17" thickBot="1"/>
    <row r="3" spans="1:3">
      <c r="A3" s="126" t="s">
        <v>320</v>
      </c>
      <c r="B3" s="122">
        <f>'Historic Income Statement'!K36</f>
        <v>1241919</v>
      </c>
    </row>
    <row r="4" spans="1:3">
      <c r="A4" s="127" t="s">
        <v>328</v>
      </c>
      <c r="B4" s="123">
        <v>34.119999999999997</v>
      </c>
    </row>
    <row r="5" spans="1:3">
      <c r="A5" s="127" t="s">
        <v>316</v>
      </c>
      <c r="B5" s="123">
        <f>B3*B4</f>
        <v>42374276.279999994</v>
      </c>
    </row>
    <row r="6" spans="1:3">
      <c r="A6" s="127" t="s">
        <v>317</v>
      </c>
      <c r="B6" s="123">
        <f>'Historic Balance Sheet'!K41-'Historic Balance Sheet'!K7</f>
        <v>55034000</v>
      </c>
    </row>
    <row r="7" spans="1:3">
      <c r="A7" s="127" t="s">
        <v>412</v>
      </c>
      <c r="B7" s="457">
        <f>'Cost of Equity'!B13</f>
        <v>0.12616647127784292</v>
      </c>
    </row>
    <row r="8" spans="1:3">
      <c r="A8" s="127" t="s">
        <v>331</v>
      </c>
      <c r="B8" s="124">
        <f>'Cost of Debt Rd'!B22</f>
        <v>2.3760852886472839E-2</v>
      </c>
    </row>
    <row r="9" spans="1:3">
      <c r="A9" s="127" t="s">
        <v>318</v>
      </c>
      <c r="B9" s="124">
        <f>'CAPM Re'!K5</f>
        <v>2.3089999999999999E-2</v>
      </c>
    </row>
    <row r="10" spans="1:3" ht="17" thickBot="1">
      <c r="A10" s="128" t="s">
        <v>319</v>
      </c>
      <c r="B10" s="125">
        <f>'CAPM Re'!K10</f>
        <v>0.1749814480787924</v>
      </c>
    </row>
    <row r="11" spans="1:3">
      <c r="A11" s="432"/>
    </row>
    <row r="12" spans="1:3">
      <c r="A12" s="432"/>
    </row>
    <row r="13" spans="1:3" ht="17" thickBot="1">
      <c r="A13" s="433"/>
    </row>
    <row r="14" spans="1:3" ht="17" thickBot="1">
      <c r="A14" s="513" t="s">
        <v>410</v>
      </c>
      <c r="B14" s="515"/>
    </row>
    <row r="15" spans="1:3">
      <c r="A15" s="129" t="s">
        <v>329</v>
      </c>
      <c r="B15" s="130">
        <f>B6/(B5+B6)</f>
        <v>0.56498279306169852</v>
      </c>
    </row>
    <row r="16" spans="1:3">
      <c r="A16" s="117" t="s">
        <v>330</v>
      </c>
      <c r="B16" s="131">
        <f>B5/(B5+B6)</f>
        <v>0.43501720693830137</v>
      </c>
    </row>
    <row r="17" spans="1:3">
      <c r="A17" s="117" t="s">
        <v>331</v>
      </c>
      <c r="B17" s="131">
        <f>B8</f>
        <v>2.3760852886472839E-2</v>
      </c>
    </row>
    <row r="18" spans="1:3" ht="17" thickBot="1">
      <c r="A18" s="117" t="s">
        <v>332</v>
      </c>
      <c r="B18" s="124">
        <f>B10</f>
        <v>0.1749814480787924</v>
      </c>
    </row>
    <row r="19" spans="1:3" ht="17" thickBot="1">
      <c r="A19" s="132" t="s">
        <v>79</v>
      </c>
      <c r="B19" s="133">
        <f>B18*B16+B17*B15</f>
        <v>8.954441383858322E-2</v>
      </c>
    </row>
    <row r="20" spans="1:3" ht="17" thickBot="1"/>
    <row r="21" spans="1:3" ht="17" thickBot="1">
      <c r="A21" s="513" t="s">
        <v>411</v>
      </c>
      <c r="B21" s="515"/>
      <c r="C21" s="20"/>
    </row>
    <row r="22" spans="1:3">
      <c r="A22" s="129" t="s">
        <v>329</v>
      </c>
      <c r="B22" s="130">
        <f>B6/(B5+B6)</f>
        <v>0.56498279306169852</v>
      </c>
    </row>
    <row r="23" spans="1:3">
      <c r="A23" s="117" t="s">
        <v>330</v>
      </c>
      <c r="B23" s="131">
        <f>B5/(B5+B6)</f>
        <v>0.43501720693830137</v>
      </c>
    </row>
    <row r="24" spans="1:3">
      <c r="A24" s="117" t="s">
        <v>331</v>
      </c>
      <c r="B24" s="131">
        <f>B8</f>
        <v>2.3760852886472839E-2</v>
      </c>
    </row>
    <row r="25" spans="1:3" ht="17" thickBot="1">
      <c r="A25" s="117" t="s">
        <v>332</v>
      </c>
      <c r="B25" s="124">
        <f>B7</f>
        <v>0.12616647127784292</v>
      </c>
    </row>
    <row r="26" spans="1:3" ht="17" thickBot="1">
      <c r="A26" s="132" t="s">
        <v>79</v>
      </c>
      <c r="B26" s="133">
        <f>B25*B23+B24*B22</f>
        <v>6.8309058973876194E-2</v>
      </c>
    </row>
    <row r="27" spans="1:3" ht="17" thickBot="1"/>
    <row r="28" spans="1:3" ht="19" thickBot="1">
      <c r="A28" s="459" t="s">
        <v>413</v>
      </c>
      <c r="B28" s="460">
        <f>AVERAGE(B26,B19)</f>
        <v>7.8926736406229714E-2</v>
      </c>
    </row>
  </sheetData>
  <mergeCells count="3">
    <mergeCell ref="A14:B14"/>
    <mergeCell ref="A1:C1"/>
    <mergeCell ref="A21:B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"/>
  <dimension ref="A1:K10"/>
  <sheetViews>
    <sheetView workbookViewId="0">
      <selection sqref="A1:C1"/>
    </sheetView>
  </sheetViews>
  <sheetFormatPr baseColWidth="10" defaultColWidth="10.83203125" defaultRowHeight="16"/>
  <cols>
    <col min="1" max="1" width="38" style="19" customWidth="1"/>
    <col min="2" max="2" width="13.83203125" style="19" bestFit="1" customWidth="1"/>
    <col min="3" max="4" width="14.83203125" style="19" bestFit="1" customWidth="1"/>
    <col min="5" max="6" width="13.83203125" style="19" bestFit="1" customWidth="1"/>
    <col min="7" max="7" width="14.83203125" style="19" bestFit="1" customWidth="1"/>
    <col min="8" max="11" width="13.83203125" style="19" bestFit="1" customWidth="1"/>
    <col min="12" max="16384" width="10.83203125" style="19"/>
  </cols>
  <sheetData>
    <row r="1" spans="1:11" ht="23">
      <c r="A1" s="541" t="str">
        <f>CorpName</f>
        <v>ConocoPhilips</v>
      </c>
      <c r="B1" s="541"/>
      <c r="C1" s="541"/>
    </row>
    <row r="2" spans="1:11" ht="17" thickBot="1"/>
    <row r="3" spans="1:11">
      <c r="A3" s="434" t="s">
        <v>198</v>
      </c>
      <c r="B3" s="435">
        <f>IF(EarliestYear&lt;&gt;"",EarliestYear,"")</f>
        <v>2006</v>
      </c>
      <c r="C3" s="435">
        <f t="shared" ref="C3:K3" si="0">IF(LatestYear&gt;B3,B3+1,"")</f>
        <v>2007</v>
      </c>
      <c r="D3" s="435">
        <f t="shared" si="0"/>
        <v>2008</v>
      </c>
      <c r="E3" s="435">
        <f t="shared" si="0"/>
        <v>2009</v>
      </c>
      <c r="F3" s="435">
        <f t="shared" si="0"/>
        <v>2010</v>
      </c>
      <c r="G3" s="435">
        <f t="shared" si="0"/>
        <v>2011</v>
      </c>
      <c r="H3" s="435">
        <f t="shared" si="0"/>
        <v>2012</v>
      </c>
      <c r="I3" s="435">
        <f t="shared" si="0"/>
        <v>2013</v>
      </c>
      <c r="J3" s="435">
        <f t="shared" si="0"/>
        <v>2014</v>
      </c>
      <c r="K3" s="436">
        <f t="shared" si="0"/>
        <v>2015</v>
      </c>
    </row>
    <row r="4" spans="1:11">
      <c r="A4" s="218" t="s">
        <v>367</v>
      </c>
      <c r="B4" s="170">
        <f>'Historic Income Statement'!B39</f>
        <v>1.44</v>
      </c>
      <c r="C4" s="170">
        <f>'Historic Income Statement'!C39</f>
        <v>0</v>
      </c>
      <c r="D4" s="170">
        <f>'Historic Income Statement'!D39</f>
        <v>1.88</v>
      </c>
      <c r="E4" s="170">
        <f>'Historic Income Statement'!E39</f>
        <v>1.91</v>
      </c>
      <c r="F4" s="170">
        <f>'Historic Income Statement'!F39</f>
        <v>2.15</v>
      </c>
      <c r="G4" s="170">
        <f>'Historic Income Statement'!G39</f>
        <v>2.64</v>
      </c>
      <c r="H4" s="170">
        <f>'Historic Income Statement'!H39</f>
        <v>2.64</v>
      </c>
      <c r="I4" s="170">
        <f>'Historic Income Statement'!I39</f>
        <v>2.7</v>
      </c>
      <c r="J4" s="170">
        <f>'Historic Income Statement'!J39</f>
        <v>2.84</v>
      </c>
      <c r="K4" s="222">
        <f>'Historic Income Statement'!K39</f>
        <v>2.94</v>
      </c>
    </row>
    <row r="5" spans="1:11">
      <c r="A5" s="218" t="s">
        <v>368</v>
      </c>
      <c r="B5" s="221">
        <f>'Cash Flow Statements'!B41</f>
        <v>-2277000</v>
      </c>
      <c r="C5" s="221">
        <f>'Cash Flow Statements'!C41</f>
        <v>-2661000</v>
      </c>
      <c r="D5" s="221">
        <f>'Cash Flow Statements'!D41</f>
        <v>-2854000</v>
      </c>
      <c r="E5" s="221">
        <f>'Cash Flow Statements'!E41</f>
        <v>-2832000</v>
      </c>
      <c r="F5" s="221">
        <f>'Cash Flow Statements'!F41</f>
        <v>-3175000</v>
      </c>
      <c r="G5" s="221">
        <f>'Cash Flow Statements'!G41</f>
        <v>-3632000</v>
      </c>
      <c r="H5" s="221">
        <f>'Cash Flow Statements'!H41</f>
        <v>-3278000</v>
      </c>
      <c r="I5" s="221">
        <f>'Cash Flow Statements'!I41</f>
        <v>-3334000</v>
      </c>
      <c r="J5" s="221">
        <f>'Cash Flow Statements'!J41</f>
        <v>-3525000</v>
      </c>
      <c r="K5" s="223">
        <f>'Cash Flow Statements'!K41</f>
        <v>-3664000</v>
      </c>
    </row>
    <row r="6" spans="1:11" ht="34">
      <c r="A6" s="219" t="s">
        <v>372</v>
      </c>
      <c r="B6" s="221" t="s">
        <v>371</v>
      </c>
      <c r="C6" s="221">
        <f>-(SUM('Historic Balance Sheet'!C43,,'Historic Balance Sheet'!C44)-SUM('Historic Balance Sheet'!B43,'Historic Balance Sheet'!B44))</f>
        <v>-798000</v>
      </c>
      <c r="D6" s="221">
        <f>-(SUM('Historic Balance Sheet'!D43,,'Historic Balance Sheet'!D44)-SUM('Historic Balance Sheet'!C43,'Historic Balance Sheet'!C44))</f>
        <v>-672000</v>
      </c>
      <c r="E6" s="221">
        <f>-(SUM('Historic Balance Sheet'!E43,,'Historic Balance Sheet'!E44)-SUM('Historic Balance Sheet'!D43,'Historic Balance Sheet'!D44))</f>
        <v>-285000</v>
      </c>
      <c r="F6" s="221">
        <f>-(SUM('Historic Balance Sheet'!F43,,'Historic Balance Sheet'!F44)-SUM('Historic Balance Sheet'!E43,'Historic Balance Sheet'!E44))</f>
        <v>-451000</v>
      </c>
      <c r="G6" s="221">
        <f>-(SUM('Historic Balance Sheet'!G43,,'Historic Balance Sheet'!G44)-SUM('Historic Balance Sheet'!F43,'Historic Balance Sheet'!F44))</f>
        <v>-593000</v>
      </c>
      <c r="H6" s="221">
        <f>-(SUM('Historic Balance Sheet'!H43,,'Historic Balance Sheet'!H44)-SUM('Historic Balance Sheet'!G43,'Historic Balance Sheet'!G44))</f>
        <v>-600000</v>
      </c>
      <c r="I6" s="221">
        <f>-(SUM('Historic Balance Sheet'!I43,,'Historic Balance Sheet'!I44)-SUM('Historic Balance Sheet'!H43,'Historic Balance Sheet'!H44))</f>
        <v>-366000</v>
      </c>
      <c r="J6" s="221">
        <f>-(SUM('Historic Balance Sheet'!J43,,'Historic Balance Sheet'!J44)-SUM('Historic Balance Sheet'!I43,'Historic Balance Sheet'!I44))</f>
        <v>-381000</v>
      </c>
      <c r="K6" s="223">
        <f>-(SUM('Historic Balance Sheet'!K43,,'Historic Balance Sheet'!K44)-SUM('Historic Balance Sheet'!J43,'Historic Balance Sheet'!J44))</f>
        <v>-286000</v>
      </c>
    </row>
    <row r="7" spans="1:11">
      <c r="A7" s="218" t="s">
        <v>369</v>
      </c>
      <c r="B7" s="221" t="s">
        <v>371</v>
      </c>
      <c r="C7" s="221">
        <f>'Historic Balance Sheet'!C46-'Historic Balance Sheet'!B46</f>
        <v>-7005000</v>
      </c>
      <c r="D7" s="221">
        <f>'Historic Balance Sheet'!D46-'Historic Balance Sheet'!C46</f>
        <v>-8242000</v>
      </c>
      <c r="E7" s="221">
        <f>'Historic Balance Sheet'!E46-'Historic Balance Sheet'!D46</f>
        <v>0</v>
      </c>
      <c r="F7" s="221">
        <f>'Historic Balance Sheet'!F46-'Historic Balance Sheet'!E46</f>
        <v>-3866000</v>
      </c>
      <c r="G7" s="221">
        <f>'Historic Balance Sheet'!G46-'Historic Balance Sheet'!F46</f>
        <v>-11710000</v>
      </c>
      <c r="H7" s="221">
        <f>'Historic Balance Sheet'!H46-'Historic Balance Sheet'!G46</f>
        <v>-4993000</v>
      </c>
      <c r="I7" s="221">
        <f>'Historic Balance Sheet'!I46-'Historic Balance Sheet'!H46</f>
        <v>0</v>
      </c>
      <c r="J7" s="221">
        <f>'Historic Balance Sheet'!J46-'Historic Balance Sheet'!I46</f>
        <v>0</v>
      </c>
      <c r="K7" s="223">
        <f>'Historic Balance Sheet'!K46-'Historic Balance Sheet'!J46</f>
        <v>0</v>
      </c>
    </row>
    <row r="8" spans="1:11" ht="17" thickBot="1">
      <c r="A8" s="220" t="s">
        <v>370</v>
      </c>
      <c r="B8" s="224"/>
      <c r="C8" s="224">
        <f>SUM(C5:C7)</f>
        <v>-10464000</v>
      </c>
      <c r="D8" s="224">
        <f t="shared" ref="D8:K8" si="1">SUM(D5:D7)</f>
        <v>-11768000</v>
      </c>
      <c r="E8" s="224">
        <f t="shared" si="1"/>
        <v>-3117000</v>
      </c>
      <c r="F8" s="224">
        <f t="shared" si="1"/>
        <v>-7492000</v>
      </c>
      <c r="G8" s="224">
        <f t="shared" si="1"/>
        <v>-15935000</v>
      </c>
      <c r="H8" s="224">
        <f t="shared" si="1"/>
        <v>-8871000</v>
      </c>
      <c r="I8" s="224">
        <f t="shared" si="1"/>
        <v>-3700000</v>
      </c>
      <c r="J8" s="224">
        <f t="shared" si="1"/>
        <v>-3906000</v>
      </c>
      <c r="K8" s="225">
        <f t="shared" si="1"/>
        <v>-3950000</v>
      </c>
    </row>
    <row r="9" spans="1:11" ht="17" thickBot="1"/>
    <row r="10" spans="1:11" ht="17" thickBot="1">
      <c r="A10" s="132" t="s">
        <v>386</v>
      </c>
      <c r="B10" s="133">
        <f>(K8/H8)^(1/3)-1</f>
        <v>-0.23638431784527525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"/>
  <dimension ref="A1:G14"/>
  <sheetViews>
    <sheetView workbookViewId="0">
      <selection activeCell="A25" sqref="A25"/>
    </sheetView>
  </sheetViews>
  <sheetFormatPr baseColWidth="10" defaultColWidth="10.83203125" defaultRowHeight="16"/>
  <cols>
    <col min="1" max="1" width="37" style="19" bestFit="1" customWidth="1"/>
    <col min="2" max="2" width="14.83203125" style="19" bestFit="1" customWidth="1"/>
    <col min="3" max="6" width="10.83203125" style="19"/>
    <col min="7" max="8" width="15.1640625" style="19" bestFit="1" customWidth="1"/>
    <col min="9" max="16384" width="10.83203125" style="19"/>
  </cols>
  <sheetData>
    <row r="1" spans="1:7" ht="23">
      <c r="A1" s="541" t="str">
        <f>CorpName</f>
        <v>ConocoPhilips</v>
      </c>
      <c r="B1" s="541"/>
      <c r="C1" s="541"/>
    </row>
    <row r="2" spans="1:7" ht="17" thickBot="1">
      <c r="A2" s="198"/>
      <c r="B2" s="198"/>
      <c r="C2" s="198"/>
    </row>
    <row r="3" spans="1:7" ht="17" thickBot="1">
      <c r="A3" s="126" t="s">
        <v>320</v>
      </c>
      <c r="B3" s="122">
        <f>'Historic Income Statement'!K36</f>
        <v>1241919</v>
      </c>
      <c r="C3" s="198"/>
    </row>
    <row r="4" spans="1:7">
      <c r="A4" s="127" t="s">
        <v>403</v>
      </c>
      <c r="B4" s="123">
        <v>34.119999999999997</v>
      </c>
      <c r="C4" s="198"/>
      <c r="E4" s="412" t="s">
        <v>198</v>
      </c>
      <c r="F4" s="413" t="s">
        <v>404</v>
      </c>
      <c r="G4" s="414" t="s">
        <v>405</v>
      </c>
    </row>
    <row r="5" spans="1:7" ht="17" thickBot="1">
      <c r="A5" s="128" t="s">
        <v>316</v>
      </c>
      <c r="B5" s="182">
        <f>B3*B4</f>
        <v>42374276.279999994</v>
      </c>
      <c r="E5" s="117">
        <v>2015</v>
      </c>
      <c r="F5" s="446">
        <v>2.94</v>
      </c>
      <c r="G5" s="445">
        <f>F5/F6-1</f>
        <v>3.5211267605633756E-2</v>
      </c>
    </row>
    <row r="6" spans="1:7">
      <c r="A6" s="451"/>
      <c r="B6" s="446"/>
      <c r="E6" s="117">
        <v>2014</v>
      </c>
      <c r="F6" s="446">
        <v>2.84</v>
      </c>
      <c r="G6" s="445">
        <f t="shared" ref="G6:G13" si="0">F6/F7-1</f>
        <v>5.1851851851851816E-2</v>
      </c>
    </row>
    <row r="7" spans="1:7">
      <c r="A7" s="451"/>
      <c r="B7" s="446"/>
      <c r="E7" s="117">
        <v>2013</v>
      </c>
      <c r="F7" s="446">
        <v>2.7</v>
      </c>
      <c r="G7" s="445">
        <f t="shared" si="0"/>
        <v>2.2727272727272707E-2</v>
      </c>
    </row>
    <row r="8" spans="1:7" ht="17" thickBot="1">
      <c r="A8" s="451"/>
      <c r="B8" s="446"/>
      <c r="E8" s="117">
        <v>2012</v>
      </c>
      <c r="F8" s="446">
        <v>2.64</v>
      </c>
      <c r="G8" s="445">
        <f t="shared" si="0"/>
        <v>0</v>
      </c>
    </row>
    <row r="9" spans="1:7" ht="17" thickBot="1">
      <c r="A9" s="452" t="s">
        <v>409</v>
      </c>
      <c r="B9" s="453"/>
      <c r="E9" s="117">
        <v>2011</v>
      </c>
      <c r="F9" s="446">
        <v>2.64</v>
      </c>
      <c r="G9" s="445">
        <f t="shared" si="0"/>
        <v>0.22790697674418592</v>
      </c>
    </row>
    <row r="10" spans="1:7">
      <c r="A10" s="456" t="s">
        <v>406</v>
      </c>
      <c r="B10" s="448">
        <v>34.119999999999997</v>
      </c>
      <c r="E10" s="117">
        <v>2010</v>
      </c>
      <c r="F10" s="446">
        <v>2.1500000000000004</v>
      </c>
      <c r="G10" s="445">
        <f t="shared" si="0"/>
        <v>0.12565445026178024</v>
      </c>
    </row>
    <row r="11" spans="1:7">
      <c r="A11" s="338" t="s">
        <v>405</v>
      </c>
      <c r="B11" s="449">
        <v>0.04</v>
      </c>
      <c r="E11" s="117">
        <v>2009</v>
      </c>
      <c r="F11" s="446">
        <v>1.91</v>
      </c>
      <c r="G11" s="445">
        <f t="shared" si="0"/>
        <v>1.5957446808510634E-2</v>
      </c>
    </row>
    <row r="12" spans="1:7" ht="17" thickBot="1">
      <c r="A12" s="338" t="s">
        <v>407</v>
      </c>
      <c r="B12" s="450">
        <f>F5</f>
        <v>2.94</v>
      </c>
      <c r="E12" s="117">
        <v>2008</v>
      </c>
      <c r="F12" s="446">
        <v>1.88</v>
      </c>
      <c r="G12" s="445">
        <f t="shared" si="0"/>
        <v>0.14634146341463405</v>
      </c>
    </row>
    <row r="13" spans="1:7" ht="17" thickBot="1">
      <c r="A13" s="454" t="s">
        <v>408</v>
      </c>
      <c r="B13" s="455">
        <f>B12/B10+B11</f>
        <v>0.12616647127784292</v>
      </c>
      <c r="E13" s="117">
        <v>2007</v>
      </c>
      <c r="F13" s="446">
        <v>1.64</v>
      </c>
      <c r="G13" s="445">
        <f t="shared" si="0"/>
        <v>0.13888888888888884</v>
      </c>
    </row>
    <row r="14" spans="1:7" ht="17" thickBot="1">
      <c r="E14" s="118">
        <v>2006</v>
      </c>
      <c r="F14" s="447">
        <v>1.44</v>
      </c>
      <c r="G14" s="119" t="s">
        <v>371</v>
      </c>
    </row>
  </sheetData>
  <mergeCells count="1">
    <mergeCell ref="A1:C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Executive Summary</vt:lpstr>
      <vt:lpstr>Key Assumptions</vt:lpstr>
      <vt:lpstr>Historic Income Statement</vt:lpstr>
      <vt:lpstr>Historic Balance Sheet</vt:lpstr>
      <vt:lpstr>Cash Flow Statements</vt:lpstr>
      <vt:lpstr>Ratio Analysis</vt:lpstr>
      <vt:lpstr>Sales Growth - I</vt:lpstr>
      <vt:lpstr>Sales Growth - II</vt:lpstr>
      <vt:lpstr>Energy Outlook</vt:lpstr>
      <vt:lpstr>Capex Reduction</vt:lpstr>
      <vt:lpstr>Proforma &amp; Valuation</vt:lpstr>
      <vt:lpstr>Beta Estimation - I</vt:lpstr>
      <vt:lpstr>Beta Estimation - II</vt:lpstr>
      <vt:lpstr>CAPM Re</vt:lpstr>
      <vt:lpstr>Cost of Debt Rd</vt:lpstr>
      <vt:lpstr>WACC</vt:lpstr>
      <vt:lpstr>Equity  Payout</vt:lpstr>
      <vt:lpstr>Cost of Equity</vt:lpstr>
      <vt:lpstr>CorpName</vt:lpstr>
      <vt:lpstr>EarliestYear</vt:lpstr>
      <vt:lpstr>LatestYear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Pavitra Gajanana</cp:lastModifiedBy>
  <dcterms:created xsi:type="dcterms:W3CDTF">2016-03-10T22:26:04Z</dcterms:created>
  <dcterms:modified xsi:type="dcterms:W3CDTF">2021-02-02T15:47:06Z</dcterms:modified>
</cp:coreProperties>
</file>