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esktop\PROJECT\STP\"/>
    </mc:Choice>
  </mc:AlternateContent>
  <xr:revisionPtr revIDLastSave="0" documentId="13_ncr:1_{5F110026-BBA4-457E-80D5-ACB8CB52EA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27" i="1"/>
  <c r="C166" i="1"/>
  <c r="C162" i="1"/>
  <c r="C165" i="1" s="1"/>
  <c r="C164" i="1"/>
  <c r="C148" i="1"/>
  <c r="C146" i="1"/>
  <c r="C145" i="1"/>
  <c r="C144" i="1"/>
  <c r="C139" i="1"/>
  <c r="C138" i="1"/>
  <c r="C137" i="1"/>
  <c r="C135" i="1"/>
  <c r="C132" i="1"/>
  <c r="C130" i="1"/>
  <c r="C128" i="1"/>
  <c r="C127" i="1"/>
  <c r="C126" i="1"/>
  <c r="C119" i="1"/>
  <c r="C118" i="1"/>
  <c r="C117" i="1"/>
  <c r="C112" i="1"/>
  <c r="C108" i="1"/>
  <c r="C107" i="1"/>
  <c r="C106" i="1"/>
  <c r="C105" i="1"/>
  <c r="C97" i="1"/>
  <c r="C96" i="1"/>
  <c r="C94" i="1"/>
  <c r="C87" i="1"/>
  <c r="C86" i="1"/>
  <c r="C92" i="1"/>
  <c r="C91" i="1"/>
  <c r="C85" i="1"/>
  <c r="C82" i="1"/>
  <c r="C78" i="1"/>
  <c r="C77" i="1"/>
  <c r="C76" i="1"/>
  <c r="C74" i="1"/>
  <c r="C75" i="1"/>
  <c r="C69" i="1"/>
  <c r="C68" i="1"/>
  <c r="C67" i="1"/>
  <c r="C66" i="1"/>
  <c r="C63" i="1"/>
  <c r="C62" i="1"/>
  <c r="C61" i="1"/>
  <c r="C52" i="1"/>
  <c r="C38" i="1"/>
  <c r="C37" i="1"/>
  <c r="C7" i="1"/>
  <c r="C48" i="1" s="1"/>
  <c r="C49" i="1" s="1"/>
  <c r="C5" i="1"/>
  <c r="C6" i="1" s="1"/>
  <c r="C58" i="1" l="1"/>
  <c r="C54" i="1"/>
  <c r="C55" i="1" s="1"/>
  <c r="C10" i="1"/>
  <c r="C11" i="1" s="1"/>
  <c r="C8" i="1"/>
  <c r="B56" i="1" l="1"/>
  <c r="C59" i="1"/>
  <c r="C14" i="1"/>
  <c r="C30" i="1" s="1"/>
  <c r="C20" i="1"/>
  <c r="C21" i="1" s="1"/>
  <c r="C23" i="1" s="1"/>
  <c r="C40" i="1" l="1"/>
  <c r="C41" i="1"/>
  <c r="C42" i="1" s="1"/>
  <c r="C44" i="1" s="1"/>
  <c r="C45" i="1" s="1"/>
</calcChain>
</file>

<file path=xl/sharedStrings.xml><?xml version="1.0" encoding="utf-8"?>
<sst xmlns="http://schemas.openxmlformats.org/spreadsheetml/2006/main" count="240" uniqueCount="175">
  <si>
    <t>Total Population =</t>
  </si>
  <si>
    <t xml:space="preserve">Water Consumed = </t>
  </si>
  <si>
    <t>LPCD</t>
  </si>
  <si>
    <t>KLD</t>
  </si>
  <si>
    <t>MLD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</si>
  <si>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</si>
  <si>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 xml:space="preserve">Average Sewage generated = </t>
  </si>
  <si>
    <t xml:space="preserve">Average Sewage per hour = 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</si>
  <si>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/hour</t>
    </r>
  </si>
  <si>
    <t xml:space="preserve">Peak Factor = </t>
  </si>
  <si>
    <t xml:space="preserve">Design Flow Capacity = 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</si>
  <si>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</t>
    </r>
  </si>
  <si>
    <t>Sizing Calculation for Collection Pit</t>
  </si>
  <si>
    <t>Retention time required =</t>
  </si>
  <si>
    <t>hr</t>
  </si>
  <si>
    <t xml:space="preserve">Average Design flow = </t>
  </si>
  <si>
    <t xml:space="preserve">Capacity of collection sump = 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</si>
  <si>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</si>
  <si>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Assume liquid depth =</t>
  </si>
  <si>
    <t>m</t>
  </si>
  <si>
    <t xml:space="preserve">Area, required for collection pit = 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</si>
  <si>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</si>
  <si>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Let us consider it to be a circular tank</t>
  </si>
  <si>
    <t>Now,</t>
  </si>
  <si>
    <t xml:space="preserve">r = </t>
  </si>
  <si>
    <t>Design of Sewer Chamber</t>
  </si>
  <si>
    <r>
      <t>Q</t>
    </r>
    <r>
      <rPr>
        <vertAlign val="subscript"/>
        <sz val="11"/>
        <color theme="1"/>
        <rFont val="Calibri"/>
        <family val="2"/>
        <scheme val="minor"/>
      </rPr>
      <t>max</t>
    </r>
  </si>
  <si>
    <t>Assumption,</t>
  </si>
  <si>
    <t>Shape of Bar</t>
  </si>
  <si>
    <t>MS FLAT</t>
  </si>
  <si>
    <t>Size</t>
  </si>
  <si>
    <t>mm</t>
  </si>
  <si>
    <t>Clear Spacing between the bars =</t>
  </si>
  <si>
    <t>Inclination of bars</t>
  </si>
  <si>
    <t>deg</t>
  </si>
  <si>
    <t>Assume avg. velocity to sewer</t>
  </si>
  <si>
    <t>m/sec</t>
  </si>
  <si>
    <t>At peak flow, net inclined area required =</t>
  </si>
  <si>
    <t>Gross inclined area</t>
  </si>
  <si>
    <t>Gross vertical area required</t>
  </si>
  <si>
    <t>Sin 80</t>
  </si>
  <si>
    <t>radian</t>
  </si>
  <si>
    <t>Provide submergence depth</t>
  </si>
  <si>
    <t>Width of channel</t>
  </si>
  <si>
    <t>Assumed Width of channel</t>
  </si>
  <si>
    <t>Analytical and Numerical Model Solutions</t>
  </si>
  <si>
    <t>Design of Grit Chamber</t>
  </si>
  <si>
    <t>Design Flow</t>
  </si>
  <si>
    <t>Surface Loading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</si>
  <si>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/day</t>
    </r>
  </si>
  <si>
    <t xml:space="preserve">To account for turbulence and short circuiting, </t>
  </si>
  <si>
    <t>Reduced surface loading</t>
  </si>
  <si>
    <t>Area required</t>
  </si>
  <si>
    <t>Assumed area required</t>
  </si>
  <si>
    <t>detention time</t>
  </si>
  <si>
    <t>sec</t>
  </si>
  <si>
    <t>Volume</t>
  </si>
  <si>
    <t>Liquid Depth</t>
  </si>
  <si>
    <t>Size of grit chamber</t>
  </si>
  <si>
    <t>Free Board</t>
  </si>
  <si>
    <t>Dia</t>
  </si>
  <si>
    <t>Check for horizontal velocity</t>
  </si>
  <si>
    <t>Cross sectional area of grit chamber</t>
  </si>
  <si>
    <t>Velocity</t>
  </si>
  <si>
    <t>cm/sec</t>
  </si>
  <si>
    <t>Check if velocity less than 18 cm/sec</t>
  </si>
  <si>
    <t>Grit generation assumed</t>
  </si>
  <si>
    <t>per</t>
  </si>
  <si>
    <t>of sewage flow</t>
  </si>
  <si>
    <t>Storage volume required</t>
  </si>
  <si>
    <t>Grit storage depth</t>
  </si>
  <si>
    <t>Grit storage area</t>
  </si>
  <si>
    <t>Total liquid depth</t>
  </si>
  <si>
    <t>Design of Primary Sedimentation Tank</t>
  </si>
  <si>
    <t>Detention time</t>
  </si>
  <si>
    <t>hour</t>
  </si>
  <si>
    <t>Volume of Sewage</t>
  </si>
  <si>
    <t>Provide depth</t>
  </si>
  <si>
    <t>Surface Area</t>
  </si>
  <si>
    <t>= Volume/Depth</t>
  </si>
  <si>
    <r>
      <t>d</t>
    </r>
    <r>
      <rPr>
        <vertAlign val="superscript"/>
        <sz val="11"/>
        <color theme="1"/>
        <rFont val="Calibri"/>
        <family val="2"/>
        <scheme val="minor"/>
      </rPr>
      <t>2</t>
    </r>
  </si>
  <si>
    <t>d</t>
  </si>
  <si>
    <t>Provide grit chamber of size</t>
  </si>
  <si>
    <t>Design of Aeration Tank</t>
  </si>
  <si>
    <t>No. of Tanks</t>
  </si>
  <si>
    <t>Avg. Flow to each tank</t>
  </si>
  <si>
    <t>Q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</si>
  <si>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/day</t>
    </r>
  </si>
  <si>
    <t>Total BOD entering STP</t>
  </si>
  <si>
    <t>mg/L</t>
  </si>
  <si>
    <r>
      <t>The BOD of sewage coming to aeration tank, Y</t>
    </r>
    <r>
      <rPr>
        <vertAlign val="subscript"/>
        <sz val="11"/>
        <color theme="1"/>
        <rFont val="Calibri"/>
        <family val="2"/>
        <scheme val="minor"/>
      </rPr>
      <t>0</t>
    </r>
  </si>
  <si>
    <r>
      <t>BOD left in the effluent, Y</t>
    </r>
    <r>
      <rPr>
        <vertAlign val="subscript"/>
        <sz val="11"/>
        <color theme="1"/>
        <rFont val="Calibri"/>
        <family val="2"/>
        <scheme val="minor"/>
      </rPr>
      <t>E</t>
    </r>
  </si>
  <si>
    <t>BOD removed in the activated plant</t>
  </si>
  <si>
    <t>Minimum efficiency required in the activated pant</t>
  </si>
  <si>
    <t>%</t>
  </si>
  <si>
    <t>OK</t>
  </si>
  <si>
    <r>
      <t>Volume of aeration tank can be designed by assuming a suitable value for MLSS and "</t>
    </r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Calibri"/>
        <family val="2"/>
        <scheme val="minor"/>
      </rPr>
      <t>(or F/M ratio). MLSS should be between 3000 - 3500  mg/L and F/M ratio should be between 0.18 - 0.10.</t>
    </r>
  </si>
  <si>
    <t>Assuming,</t>
  </si>
  <si>
    <r>
      <t>MLSS,  X</t>
    </r>
    <r>
      <rPr>
        <vertAlign val="subscript"/>
        <sz val="11"/>
        <color theme="1"/>
        <rFont val="Calibri"/>
        <family val="2"/>
        <scheme val="minor"/>
      </rPr>
      <t>T</t>
    </r>
  </si>
  <si>
    <r>
      <t>F/M ratio, "</t>
    </r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"</t>
    </r>
  </si>
  <si>
    <t>We have, Q =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</si>
  <si>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</si>
  <si>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r>
      <t xml:space="preserve"> Y</t>
    </r>
    <r>
      <rPr>
        <vertAlign val="subscript"/>
        <sz val="11"/>
        <color theme="1"/>
        <rFont val="Calibri"/>
        <family val="2"/>
        <scheme val="minor"/>
      </rPr>
      <t xml:space="preserve">0  </t>
    </r>
    <r>
      <rPr>
        <sz val="11"/>
        <color theme="1"/>
        <rFont val="Calibri"/>
        <family val="2"/>
        <scheme val="minor"/>
      </rPr>
      <t>=</t>
    </r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</si>
  <si>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T  </t>
    </r>
    <r>
      <rPr>
        <sz val="11"/>
        <color theme="1"/>
        <rFont val="Calibri"/>
        <family val="2"/>
        <scheme val="minor"/>
      </rPr>
      <t>=</t>
    </r>
  </si>
  <si>
    <r>
      <t>F/M ratio, "</t>
    </r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" =</t>
    </r>
  </si>
  <si>
    <t xml:space="preserve">Therefore, </t>
  </si>
  <si>
    <t xml:space="preserve">V = </t>
  </si>
  <si>
    <r>
      <t>F/M = (Q/V) X (Y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/ X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</si>
  <si>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t xml:space="preserve">Hence, V = 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</si>
  <si>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</si>
  <si>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(Q x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/ (</t>
    </r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alibri"/>
        <family val="2"/>
      </rPr>
      <t>C</t>
    </r>
    <r>
      <rPr>
        <sz val="11"/>
        <color theme="1"/>
        <rFont val="Calibri"/>
        <family val="2"/>
        <scheme val="minor"/>
      </rPr>
      <t xml:space="preserve"> x 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</si>
  <si>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t xml:space="preserve">Let us adopt an aeration tank of following dimensions </t>
  </si>
  <si>
    <t>B =</t>
  </si>
  <si>
    <t>H = V/(BxD)</t>
  </si>
  <si>
    <t>Hence, H =</t>
  </si>
  <si>
    <t xml:space="preserve">Volume Provided = </t>
  </si>
  <si>
    <t>Hence, the adopted tank size is OK.</t>
  </si>
  <si>
    <t>Since, Volume provided &gt; Required Volume,</t>
  </si>
  <si>
    <t>D =</t>
  </si>
  <si>
    <t>So, the adopted tank size is (5 + 0.6)m X 2m X 12m .</t>
  </si>
  <si>
    <t>Design of Secondary Clarifiers</t>
  </si>
  <si>
    <t>no.</t>
  </si>
  <si>
    <t>Provide hydraulic detention time =</t>
  </si>
  <si>
    <t>Total Inflow =</t>
  </si>
  <si>
    <t>Reduced flow, say 50 % =</t>
  </si>
  <si>
    <t>Avg. Flow =</t>
  </si>
  <si>
    <t>No. of Clarifiers =</t>
  </si>
  <si>
    <t>hrs</t>
  </si>
  <si>
    <t>Volume of tank =</t>
  </si>
  <si>
    <t>Area =</t>
  </si>
  <si>
    <t>Surface loading area of avg. flow =</t>
  </si>
  <si>
    <t>Surface area to be provided =</t>
  </si>
  <si>
    <t>Provide area greater of the two.</t>
  </si>
  <si>
    <t xml:space="preserve">Hence, Provided Area = </t>
  </si>
  <si>
    <t>Dia. of circular tank (d) =</t>
  </si>
  <si>
    <t>Provided diameter =</t>
  </si>
  <si>
    <t>Hence, provide a clarifier of 10 m dia. Having liquid depth as 3.5 m.</t>
  </si>
  <si>
    <t>Return Sludge Pump House</t>
  </si>
  <si>
    <t>Total return flow =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</si>
  <si>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/min</t>
    </r>
  </si>
  <si>
    <t>Detention time =</t>
  </si>
  <si>
    <t>min</t>
  </si>
  <si>
    <t>Volume of wet well =</t>
  </si>
  <si>
    <t>Provide wet well =</t>
  </si>
  <si>
    <t>2.5m x 1.5m x 1.8m</t>
  </si>
  <si>
    <t>Provide dry well =</t>
  </si>
  <si>
    <t>2.5m x 2.5m</t>
  </si>
  <si>
    <t>Size of annexe control room =</t>
  </si>
  <si>
    <r>
      <t xml:space="preserve">Provide 2nos pumps each of 0.112 MLD capacity in the dry well for returning the sludge to aeration tank. The return sludge pipe line should be 150 mm 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Calibri"/>
        <family val="2"/>
      </rPr>
      <t xml:space="preserve"> .</t>
    </r>
  </si>
  <si>
    <t>Design of sludge drying beds</t>
  </si>
  <si>
    <t>Sludge applied for drying beds @100 Kg/MLD</t>
  </si>
  <si>
    <t>Solid Contents =</t>
  </si>
  <si>
    <t>Kg/day</t>
  </si>
  <si>
    <t>Sludge applied =</t>
  </si>
  <si>
    <t>Specific gravity =</t>
  </si>
  <si>
    <t>Volume of sludge =</t>
  </si>
  <si>
    <t xml:space="preserve">Considering monsoon, etc.,      total no. of cycle in 1 year = </t>
  </si>
  <si>
    <t>Period of each cycle =</t>
  </si>
  <si>
    <t>days</t>
  </si>
  <si>
    <t>Spreading a layer of 0.3 m per cycle area of beds required =</t>
  </si>
  <si>
    <t>Provide 4 beds of 1.2 m X 7 m,</t>
  </si>
  <si>
    <t>Thus provided area =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</si>
  <si>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/hour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</si>
  <si>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/sec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</si>
  <si>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</si>
  <si>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a. </t>
  </si>
  <si>
    <t xml:space="preserve">b. </t>
  </si>
  <si>
    <t xml:space="preserve">c. </t>
  </si>
  <si>
    <t xml:space="preserve">d. </t>
  </si>
  <si>
    <t xml:space="preserve">e. </t>
  </si>
  <si>
    <t xml:space="preserve">f. </t>
  </si>
  <si>
    <t xml:space="preserve">g. </t>
  </si>
  <si>
    <t xml:space="preserve">h. </t>
  </si>
  <si>
    <t xml:space="preserve">i. </t>
  </si>
  <si>
    <t xml:space="preserve">j.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</si>
</sst>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0"/>
  <sheetViews>
    <sheetView tabSelected="1" topLeftCell="A153" workbookViewId="0">
      <selection activeCell="A2" sqref="A2:D168"/>
    </sheetView>
  </sheetViews>
  <sheetFormatPr defaultRowHeight="15" x14ac:dyDescent="0.25"/>
  <cols>
    <col min="1" max="1" width="3.7109375" style="2" customWidth="1"/>
    <col min="2" max="2" width="44.28515625" style="16" bestFit="1" customWidth="1"/>
    <col min="3" max="3" width="17.85546875" bestFit="1" customWidth="1"/>
    <col min="4" max="4" width="10.7109375" bestFit="1" customWidth="1"/>
  </cols>
  <sheetData>
    <row r="2" spans="1:4" x14ac:dyDescent="0.25">
      <c r="A2" s="3" t="s">
        <v>165</v>
      </c>
      <c r="B2" s="14" t="s">
        <v>45</v>
      </c>
    </row>
    <row r="4" spans="1:4" x14ac:dyDescent="0.25">
      <c r="B4" s="4" t="s">
        <v>0</v>
      </c>
      <c r="C4">
        <v>500</v>
      </c>
    </row>
    <row r="5" spans="1:4" x14ac:dyDescent="0.25">
      <c r="B5" s="15" t="s">
        <v>1</v>
      </c>
      <c r="C5" s="1">
        <f>C4*0.9*200</f>
        <v>90000</v>
      </c>
      <c r="D5" s="1" t="s">
        <v>2</v>
      </c>
    </row>
    <row r="6" spans="1:4" x14ac:dyDescent="0.25">
      <c r="B6" s="4"/>
      <c r="C6">
        <f>C5/1000</f>
        <v>90</v>
      </c>
      <c r="D6" t="s">
        <v>3</v>
      </c>
    </row>
    <row r="7" spans="1:4" x14ac:dyDescent="0.25">
      <c r="B7" s="4"/>
      <c r="C7">
        <f>90/1000</f>
        <v>0.09</v>
      </c>
      <c r="D7" t="s">
        <v>4</v>
      </c>
    </row>
    <row r="8" spans="1:4" ht="17.25" x14ac:dyDescent="0.25">
      <c r="B8" s="4"/>
      <c r="C8">
        <f>C6</f>
        <v>90</v>
      </c>
      <c r="D8" t="s">
        <v>5</v>
      </c>
    </row>
    <row r="9" spans="1:4" x14ac:dyDescent="0.25">
      <c r="B9" s="4"/>
    </row>
    <row r="10" spans="1:4" x14ac:dyDescent="0.25">
      <c r="B10" s="4" t="s">
        <v>6</v>
      </c>
      <c r="C10" s="1">
        <f>0.85*C6</f>
        <v>76.5</v>
      </c>
      <c r="D10" s="1" t="s">
        <v>3</v>
      </c>
    </row>
    <row r="11" spans="1:4" ht="17.25" x14ac:dyDescent="0.25">
      <c r="B11" s="4" t="s">
        <v>7</v>
      </c>
      <c r="C11" s="1">
        <f>C10/24</f>
        <v>3.1875</v>
      </c>
      <c r="D11" s="1" t="s">
        <v>162</v>
      </c>
    </row>
    <row r="12" spans="1:4" x14ac:dyDescent="0.25">
      <c r="B12" s="4"/>
    </row>
    <row r="13" spans="1:4" x14ac:dyDescent="0.25">
      <c r="B13" s="4" t="s">
        <v>9</v>
      </c>
      <c r="C13">
        <v>3</v>
      </c>
    </row>
    <row r="14" spans="1:4" ht="17.25" x14ac:dyDescent="0.25">
      <c r="B14" s="15" t="s">
        <v>10</v>
      </c>
      <c r="C14" s="1">
        <f>C11*C13</f>
        <v>9.5625</v>
      </c>
      <c r="D14" s="1" t="s">
        <v>162</v>
      </c>
    </row>
    <row r="15" spans="1:4" ht="17.25" x14ac:dyDescent="0.25">
      <c r="C15" s="1">
        <f>ROUND(C14/3600,4)</f>
        <v>2.7000000000000001E-3</v>
      </c>
      <c r="D15" s="1" t="s">
        <v>163</v>
      </c>
    </row>
    <row r="17" spans="1:4" s="1" customFormat="1" x14ac:dyDescent="0.25">
      <c r="A17" s="3" t="s">
        <v>166</v>
      </c>
      <c r="B17" s="14" t="s">
        <v>12</v>
      </c>
    </row>
    <row r="19" spans="1:4" x14ac:dyDescent="0.25">
      <c r="B19" s="4" t="s">
        <v>13</v>
      </c>
      <c r="C19">
        <v>4</v>
      </c>
      <c r="D19" t="s">
        <v>14</v>
      </c>
    </row>
    <row r="20" spans="1:4" ht="17.25" x14ac:dyDescent="0.25">
      <c r="B20" s="4" t="s">
        <v>15</v>
      </c>
      <c r="C20">
        <f>C11</f>
        <v>3.1875</v>
      </c>
      <c r="D20" t="s">
        <v>8</v>
      </c>
    </row>
    <row r="21" spans="1:4" ht="17.25" x14ac:dyDescent="0.25">
      <c r="B21" s="4" t="s">
        <v>16</v>
      </c>
      <c r="C21">
        <f>4*C20</f>
        <v>12.75</v>
      </c>
      <c r="D21" t="s">
        <v>17</v>
      </c>
    </row>
    <row r="22" spans="1:4" x14ac:dyDescent="0.25">
      <c r="B22" s="4" t="s">
        <v>18</v>
      </c>
      <c r="C22">
        <v>5</v>
      </c>
      <c r="D22" t="s">
        <v>19</v>
      </c>
    </row>
    <row r="23" spans="1:4" ht="17.25" x14ac:dyDescent="0.25">
      <c r="B23" s="4" t="s">
        <v>20</v>
      </c>
      <c r="C23">
        <f>C21/C22</f>
        <v>2.5499999999999998</v>
      </c>
      <c r="D23" t="s">
        <v>21</v>
      </c>
    </row>
    <row r="24" spans="1:4" x14ac:dyDescent="0.25">
      <c r="B24" s="4"/>
    </row>
    <row r="25" spans="1:4" x14ac:dyDescent="0.25">
      <c r="B25" s="4" t="s">
        <v>22</v>
      </c>
    </row>
    <row r="26" spans="1:4" x14ac:dyDescent="0.25">
      <c r="B26" s="17" t="s">
        <v>23</v>
      </c>
    </row>
    <row r="27" spans="1:4" x14ac:dyDescent="0.25">
      <c r="B27" s="4" t="s">
        <v>24</v>
      </c>
      <c r="C27">
        <f>ROUND(SQRT(2.55/(22/7)),2)</f>
        <v>0.9</v>
      </c>
      <c r="D27" t="s">
        <v>19</v>
      </c>
    </row>
    <row r="29" spans="1:4" x14ac:dyDescent="0.25">
      <c r="A29" s="3" t="s">
        <v>167</v>
      </c>
      <c r="B29" s="14" t="s">
        <v>25</v>
      </c>
    </row>
    <row r="30" spans="1:4" ht="18.75" x14ac:dyDescent="0.35">
      <c r="B30" s="4" t="s">
        <v>26</v>
      </c>
      <c r="C30">
        <f>C15</f>
        <v>2.7000000000000001E-3</v>
      </c>
      <c r="D30" t="s">
        <v>11</v>
      </c>
    </row>
    <row r="31" spans="1:4" x14ac:dyDescent="0.25">
      <c r="B31" s="4" t="s">
        <v>27</v>
      </c>
    </row>
    <row r="32" spans="1:4" x14ac:dyDescent="0.25">
      <c r="B32" s="4" t="s">
        <v>28</v>
      </c>
      <c r="C32" t="s">
        <v>29</v>
      </c>
    </row>
    <row r="33" spans="1:4" x14ac:dyDescent="0.25">
      <c r="B33" s="4" t="s">
        <v>30</v>
      </c>
      <c r="C33">
        <v>10</v>
      </c>
      <c r="D33" t="s">
        <v>31</v>
      </c>
    </row>
    <row r="34" spans="1:4" x14ac:dyDescent="0.25">
      <c r="B34" s="4"/>
      <c r="C34">
        <v>50</v>
      </c>
      <c r="D34" t="s">
        <v>31</v>
      </c>
    </row>
    <row r="35" spans="1:4" x14ac:dyDescent="0.25">
      <c r="B35" s="4" t="s">
        <v>32</v>
      </c>
      <c r="C35">
        <v>20</v>
      </c>
      <c r="D35" t="s">
        <v>31</v>
      </c>
    </row>
    <row r="36" spans="1:4" x14ac:dyDescent="0.25">
      <c r="B36" s="4" t="s">
        <v>33</v>
      </c>
      <c r="C36">
        <v>80</v>
      </c>
      <c r="D36" t="s">
        <v>34</v>
      </c>
    </row>
    <row r="37" spans="1:4" x14ac:dyDescent="0.25">
      <c r="B37" s="4"/>
      <c r="C37">
        <f>C36*0.0175</f>
        <v>1.4000000000000001</v>
      </c>
      <c r="D37" t="s">
        <v>41</v>
      </c>
    </row>
    <row r="38" spans="1:4" x14ac:dyDescent="0.25">
      <c r="B38" s="4" t="s">
        <v>40</v>
      </c>
      <c r="C38">
        <f>SIN(C37)</f>
        <v>0.98544972998846025</v>
      </c>
    </row>
    <row r="39" spans="1:4" x14ac:dyDescent="0.25">
      <c r="B39" s="4" t="s">
        <v>35</v>
      </c>
      <c r="C39">
        <v>0.8</v>
      </c>
      <c r="D39" t="s">
        <v>36</v>
      </c>
    </row>
    <row r="40" spans="1:4" ht="17.25" x14ac:dyDescent="0.25">
      <c r="B40" s="4" t="s">
        <v>37</v>
      </c>
      <c r="C40">
        <f>C30/C39</f>
        <v>3.375E-3</v>
      </c>
      <c r="D40" t="s">
        <v>21</v>
      </c>
    </row>
    <row r="41" spans="1:4" ht="17.25" x14ac:dyDescent="0.25">
      <c r="B41" s="4" t="s">
        <v>38</v>
      </c>
      <c r="C41">
        <f>C30*1.5</f>
        <v>4.0499999999999998E-3</v>
      </c>
      <c r="D41" t="s">
        <v>21</v>
      </c>
    </row>
    <row r="42" spans="1:4" ht="17.25" x14ac:dyDescent="0.25">
      <c r="B42" s="4" t="s">
        <v>39</v>
      </c>
      <c r="C42">
        <f>C41*C38</f>
        <v>3.991071406453264E-3</v>
      </c>
      <c r="D42" t="s">
        <v>21</v>
      </c>
    </row>
    <row r="43" spans="1:4" x14ac:dyDescent="0.25">
      <c r="B43" s="4" t="s">
        <v>42</v>
      </c>
      <c r="C43">
        <v>0.3</v>
      </c>
      <c r="D43" t="s">
        <v>19</v>
      </c>
    </row>
    <row r="44" spans="1:4" x14ac:dyDescent="0.25">
      <c r="B44" s="4" t="s">
        <v>43</v>
      </c>
      <c r="C44">
        <f>C42/C43</f>
        <v>1.3303571354844213E-2</v>
      </c>
      <c r="D44" t="s">
        <v>19</v>
      </c>
    </row>
    <row r="45" spans="1:4" x14ac:dyDescent="0.25">
      <c r="B45" s="15" t="s">
        <v>44</v>
      </c>
      <c r="C45" s="1">
        <f>MAX(C44,0.3)</f>
        <v>0.3</v>
      </c>
      <c r="D45" s="1" t="s">
        <v>19</v>
      </c>
    </row>
    <row r="47" spans="1:4" x14ac:dyDescent="0.25">
      <c r="A47" s="3" t="s">
        <v>168</v>
      </c>
      <c r="B47" s="14" t="s">
        <v>46</v>
      </c>
    </row>
    <row r="48" spans="1:4" x14ac:dyDescent="0.25">
      <c r="B48" s="4" t="s">
        <v>47</v>
      </c>
      <c r="C48">
        <f>2.5*C7</f>
        <v>0.22499999999999998</v>
      </c>
      <c r="D48" t="s">
        <v>4</v>
      </c>
    </row>
    <row r="49" spans="2:4" ht="17.25" x14ac:dyDescent="0.25">
      <c r="B49" s="4"/>
      <c r="C49">
        <f>C48*1000</f>
        <v>224.99999999999997</v>
      </c>
      <c r="D49" t="s">
        <v>5</v>
      </c>
    </row>
    <row r="50" spans="2:4" ht="17.25" x14ac:dyDescent="0.25">
      <c r="B50" s="4" t="s">
        <v>48</v>
      </c>
      <c r="C50">
        <v>1100</v>
      </c>
      <c r="D50" t="s">
        <v>49</v>
      </c>
    </row>
    <row r="51" spans="2:4" x14ac:dyDescent="0.25">
      <c r="B51" s="4" t="s">
        <v>50</v>
      </c>
    </row>
    <row r="52" spans="2:4" ht="17.25" x14ac:dyDescent="0.25">
      <c r="B52" s="4" t="s">
        <v>51</v>
      </c>
      <c r="C52">
        <f>C50-(0.3*C50)</f>
        <v>770</v>
      </c>
      <c r="D52" t="s">
        <v>49</v>
      </c>
    </row>
    <row r="53" spans="2:4" x14ac:dyDescent="0.25">
      <c r="B53" s="4"/>
    </row>
    <row r="54" spans="2:4" ht="17.25" x14ac:dyDescent="0.25">
      <c r="B54" s="4" t="s">
        <v>52</v>
      </c>
      <c r="C54">
        <f>C49/C52</f>
        <v>0.29220779220779219</v>
      </c>
      <c r="D54" t="s">
        <v>21</v>
      </c>
    </row>
    <row r="55" spans="2:4" ht="17.25" x14ac:dyDescent="0.25">
      <c r="B55" s="4" t="s">
        <v>53</v>
      </c>
      <c r="C55">
        <f>ROUNDUP(C54,1)</f>
        <v>0.30000000000000004</v>
      </c>
      <c r="D55" t="s">
        <v>21</v>
      </c>
    </row>
    <row r="56" spans="2:4" x14ac:dyDescent="0.25">
      <c r="B56" s="4" t="str">
        <f>"Provide " &amp;C55&amp;" m" &amp;" dia. Chamber (Circular)"</f>
        <v>Provide 0.3 m dia. Chamber (Circular)</v>
      </c>
    </row>
    <row r="57" spans="2:4" x14ac:dyDescent="0.25">
      <c r="B57" s="4" t="s">
        <v>54</v>
      </c>
      <c r="C57">
        <v>60</v>
      </c>
      <c r="D57" t="s">
        <v>55</v>
      </c>
    </row>
    <row r="58" spans="2:4" ht="17.25" x14ac:dyDescent="0.25">
      <c r="B58" s="4" t="s">
        <v>56</v>
      </c>
      <c r="C58">
        <f>(C49*C57)/(24*3600)</f>
        <v>0.15624999999999997</v>
      </c>
      <c r="D58" t="s">
        <v>17</v>
      </c>
    </row>
    <row r="59" spans="2:4" x14ac:dyDescent="0.25">
      <c r="B59" s="4" t="s">
        <v>57</v>
      </c>
      <c r="C59">
        <f>ROUNDUP(C58/C55,2)</f>
        <v>0.53</v>
      </c>
      <c r="D59" t="s">
        <v>19</v>
      </c>
    </row>
    <row r="60" spans="2:4" x14ac:dyDescent="0.25">
      <c r="B60" s="15" t="s">
        <v>59</v>
      </c>
      <c r="C60" s="1">
        <v>0.6</v>
      </c>
      <c r="D60" s="1" t="s">
        <v>19</v>
      </c>
    </row>
    <row r="61" spans="2:4" x14ac:dyDescent="0.25">
      <c r="B61" s="15" t="s">
        <v>58</v>
      </c>
      <c r="C61" s="1" t="str">
        <f>C55 &amp; " X [" &amp; C59 &amp;" + " &amp; C60&amp; "]"</f>
        <v>0.3 X [0.53 + 0.6]</v>
      </c>
      <c r="D61" s="1"/>
    </row>
    <row r="62" spans="2:4" x14ac:dyDescent="0.25">
      <c r="B62" s="15"/>
      <c r="C62" s="1" t="str">
        <f>C55&amp; " X " &amp; C59+C60 &amp;" m"</f>
        <v>0.3 X 1.13 m</v>
      </c>
      <c r="D62" s="1"/>
    </row>
    <row r="63" spans="2:4" x14ac:dyDescent="0.25">
      <c r="B63" s="15" t="s">
        <v>60</v>
      </c>
      <c r="C63" s="1">
        <f>C55</f>
        <v>0.30000000000000004</v>
      </c>
      <c r="D63" s="1" t="s">
        <v>19</v>
      </c>
    </row>
    <row r="65" spans="1:4" x14ac:dyDescent="0.25">
      <c r="A65" s="3" t="s">
        <v>169</v>
      </c>
      <c r="B65" s="14" t="s">
        <v>61</v>
      </c>
    </row>
    <row r="66" spans="1:4" ht="17.25" x14ac:dyDescent="0.25">
      <c r="B66" s="4" t="s">
        <v>62</v>
      </c>
      <c r="C66">
        <f>C63*C59</f>
        <v>0.15900000000000003</v>
      </c>
      <c r="D66" t="s">
        <v>21</v>
      </c>
    </row>
    <row r="67" spans="1:4" x14ac:dyDescent="0.25">
      <c r="B67" s="4" t="s">
        <v>63</v>
      </c>
      <c r="C67">
        <f>ROUND(C49/(C63*C59*24*3600),2)</f>
        <v>0.02</v>
      </c>
      <c r="D67" t="s">
        <v>36</v>
      </c>
    </row>
    <row r="68" spans="1:4" x14ac:dyDescent="0.25">
      <c r="B68" s="4"/>
      <c r="C68">
        <f>C67*100</f>
        <v>2</v>
      </c>
      <c r="D68" t="s">
        <v>64</v>
      </c>
    </row>
    <row r="69" spans="1:4" x14ac:dyDescent="0.25">
      <c r="B69" s="4" t="s">
        <v>65</v>
      </c>
      <c r="C69" s="2" t="str">
        <f>IF(C68&lt;18,"OK","FAIL")</f>
        <v>OK</v>
      </c>
    </row>
    <row r="70" spans="1:4" ht="17.25" x14ac:dyDescent="0.25">
      <c r="B70" s="4" t="s">
        <v>66</v>
      </c>
      <c r="C70">
        <v>0.05</v>
      </c>
      <c r="D70" t="s">
        <v>17</v>
      </c>
    </row>
    <row r="71" spans="1:4" x14ac:dyDescent="0.25">
      <c r="B71" s="4"/>
      <c r="C71" s="2" t="s">
        <v>67</v>
      </c>
    </row>
    <row r="72" spans="1:4" ht="17.25" x14ac:dyDescent="0.25">
      <c r="B72" s="4"/>
      <c r="C72">
        <v>1000</v>
      </c>
      <c r="D72" t="s">
        <v>17</v>
      </c>
    </row>
    <row r="73" spans="1:4" x14ac:dyDescent="0.25">
      <c r="B73" s="4"/>
      <c r="C73" s="11" t="s">
        <v>68</v>
      </c>
      <c r="D73" s="11"/>
    </row>
    <row r="74" spans="1:4" ht="17.25" x14ac:dyDescent="0.25">
      <c r="B74" s="4" t="s">
        <v>69</v>
      </c>
      <c r="C74">
        <f>(C10*8*4*C70)/(24*1000)</f>
        <v>5.1000000000000004E-3</v>
      </c>
      <c r="D74" t="s">
        <v>17</v>
      </c>
    </row>
    <row r="75" spans="1:4" ht="17.25" x14ac:dyDescent="0.25">
      <c r="B75" s="4" t="s">
        <v>71</v>
      </c>
      <c r="C75">
        <f>ROUND(((22/7)/4)*(C68^2),2)</f>
        <v>3.14</v>
      </c>
      <c r="D75" t="s">
        <v>21</v>
      </c>
    </row>
    <row r="76" spans="1:4" x14ac:dyDescent="0.25">
      <c r="B76" s="4" t="s">
        <v>70</v>
      </c>
      <c r="C76">
        <f>ROUND(C74/C75,4)</f>
        <v>1.6000000000000001E-3</v>
      </c>
      <c r="D76" t="s">
        <v>19</v>
      </c>
    </row>
    <row r="77" spans="1:4" x14ac:dyDescent="0.25">
      <c r="B77" s="4" t="s">
        <v>72</v>
      </c>
      <c r="C77">
        <f>ROUND(C59+C76,2)</f>
        <v>0.53</v>
      </c>
      <c r="D77" t="s">
        <v>19</v>
      </c>
    </row>
    <row r="78" spans="1:4" x14ac:dyDescent="0.25">
      <c r="B78" s="15" t="s">
        <v>82</v>
      </c>
      <c r="C78" s="3" t="str">
        <f>C68&amp;" m X " &amp;ROUND(C77^2,2) &amp;" m"</f>
        <v>2 m X 0.28 m</v>
      </c>
    </row>
    <row r="80" spans="1:4" x14ac:dyDescent="0.25">
      <c r="A80" s="3" t="s">
        <v>170</v>
      </c>
      <c r="B80" s="14" t="s">
        <v>73</v>
      </c>
    </row>
    <row r="81" spans="1:4" x14ac:dyDescent="0.25">
      <c r="B81" s="4" t="s">
        <v>74</v>
      </c>
      <c r="C81">
        <v>2</v>
      </c>
      <c r="D81" t="s">
        <v>75</v>
      </c>
    </row>
    <row r="82" spans="1:4" ht="17.25" x14ac:dyDescent="0.25">
      <c r="B82" s="4" t="s">
        <v>76</v>
      </c>
      <c r="C82">
        <f>ROUND(C10/(C81*24),2)</f>
        <v>1.59</v>
      </c>
      <c r="D82" t="s">
        <v>17</v>
      </c>
    </row>
    <row r="83" spans="1:4" x14ac:dyDescent="0.25">
      <c r="B83" s="4" t="s">
        <v>77</v>
      </c>
      <c r="C83">
        <v>1</v>
      </c>
      <c r="D83" t="s">
        <v>19</v>
      </c>
    </row>
    <row r="84" spans="1:4" x14ac:dyDescent="0.25">
      <c r="B84" s="4" t="s">
        <v>78</v>
      </c>
      <c r="C84" s="12" t="s">
        <v>79</v>
      </c>
      <c r="D84" s="12"/>
    </row>
    <row r="85" spans="1:4" ht="17.25" x14ac:dyDescent="0.25">
      <c r="B85" s="4"/>
      <c r="C85">
        <f>C82/C83</f>
        <v>1.59</v>
      </c>
      <c r="D85" t="s">
        <v>21</v>
      </c>
    </row>
    <row r="86" spans="1:4" ht="17.25" x14ac:dyDescent="0.25">
      <c r="B86" s="4" t="s">
        <v>80</v>
      </c>
      <c r="C86">
        <f>ROUND(C85/((22/7)/4),2)</f>
        <v>2.02</v>
      </c>
      <c r="D86" t="s">
        <v>19</v>
      </c>
    </row>
    <row r="87" spans="1:4" x14ac:dyDescent="0.25">
      <c r="B87" s="15" t="s">
        <v>81</v>
      </c>
      <c r="C87" s="1">
        <f>ROUND(SQRT(C86),2)</f>
        <v>1.42</v>
      </c>
      <c r="D87" s="1" t="s">
        <v>19</v>
      </c>
    </row>
    <row r="89" spans="1:4" x14ac:dyDescent="0.25">
      <c r="A89" s="3" t="s">
        <v>171</v>
      </c>
      <c r="B89" s="14" t="s">
        <v>83</v>
      </c>
    </row>
    <row r="90" spans="1:4" x14ac:dyDescent="0.25">
      <c r="B90" s="4" t="s">
        <v>84</v>
      </c>
      <c r="C90">
        <v>2</v>
      </c>
    </row>
    <row r="91" spans="1:4" x14ac:dyDescent="0.25">
      <c r="B91" s="4" t="s">
        <v>85</v>
      </c>
      <c r="C91">
        <f>C48/2</f>
        <v>0.11249999999999999</v>
      </c>
      <c r="D91" t="s">
        <v>4</v>
      </c>
    </row>
    <row r="92" spans="1:4" ht="17.25" x14ac:dyDescent="0.25">
      <c r="B92" s="15" t="s">
        <v>86</v>
      </c>
      <c r="C92" s="1">
        <f>C91*1000</f>
        <v>112.49999999999999</v>
      </c>
      <c r="D92" s="1" t="s">
        <v>87</v>
      </c>
    </row>
    <row r="93" spans="1:4" x14ac:dyDescent="0.25">
      <c r="B93" s="4" t="s">
        <v>88</v>
      </c>
      <c r="C93">
        <v>295</v>
      </c>
      <c r="D93" t="s">
        <v>89</v>
      </c>
    </row>
    <row r="94" spans="1:4" ht="18" x14ac:dyDescent="0.35">
      <c r="B94" s="4" t="s">
        <v>90</v>
      </c>
      <c r="C94">
        <f>C93</f>
        <v>295</v>
      </c>
      <c r="D94" t="s">
        <v>89</v>
      </c>
    </row>
    <row r="95" spans="1:4" ht="18" x14ac:dyDescent="0.35">
      <c r="B95" s="4" t="s">
        <v>91</v>
      </c>
      <c r="C95">
        <v>20</v>
      </c>
      <c r="D95" t="s">
        <v>89</v>
      </c>
    </row>
    <row r="96" spans="1:4" x14ac:dyDescent="0.25">
      <c r="B96" s="4" t="s">
        <v>92</v>
      </c>
      <c r="C96">
        <f>C94-C95</f>
        <v>275</v>
      </c>
      <c r="D96" t="s">
        <v>89</v>
      </c>
    </row>
    <row r="97" spans="2:4" ht="30" x14ac:dyDescent="0.25">
      <c r="B97" s="4" t="s">
        <v>93</v>
      </c>
      <c r="C97">
        <f>MROUND((C96/C93)*100,3)</f>
        <v>93</v>
      </c>
      <c r="D97" t="s">
        <v>94</v>
      </c>
    </row>
    <row r="98" spans="2:4" x14ac:dyDescent="0.25">
      <c r="C98" s="6" t="s">
        <v>95</v>
      </c>
      <c r="D98" s="6"/>
    </row>
    <row r="100" spans="2:4" ht="45.75" customHeight="1" x14ac:dyDescent="0.25">
      <c r="B100" s="13" t="s">
        <v>96</v>
      </c>
      <c r="C100" s="13"/>
      <c r="D100" s="13"/>
    </row>
    <row r="101" spans="2:4" x14ac:dyDescent="0.25">
      <c r="B101" s="16" t="s">
        <v>97</v>
      </c>
    </row>
    <row r="102" spans="2:4" ht="18" x14ac:dyDescent="0.35">
      <c r="B102" s="16" t="s">
        <v>98</v>
      </c>
      <c r="C102">
        <v>3000</v>
      </c>
      <c r="D102" t="s">
        <v>89</v>
      </c>
    </row>
    <row r="103" spans="2:4" ht="18" x14ac:dyDescent="0.35">
      <c r="B103" s="16" t="s">
        <v>99</v>
      </c>
      <c r="C103">
        <v>0.1</v>
      </c>
    </row>
    <row r="104" spans="2:4" ht="18" x14ac:dyDescent="0.35">
      <c r="B104" s="6" t="s">
        <v>107</v>
      </c>
      <c r="C104" s="6"/>
    </row>
    <row r="105" spans="2:4" ht="17.25" x14ac:dyDescent="0.25">
      <c r="B105" s="4" t="s">
        <v>100</v>
      </c>
      <c r="C105">
        <f>C92</f>
        <v>112.49999999999999</v>
      </c>
      <c r="D105" s="5" t="s">
        <v>101</v>
      </c>
    </row>
    <row r="106" spans="2:4" ht="18" x14ac:dyDescent="0.35">
      <c r="B106" s="4" t="s">
        <v>102</v>
      </c>
      <c r="C106">
        <f>C94</f>
        <v>295</v>
      </c>
      <c r="D106" t="s">
        <v>89</v>
      </c>
    </row>
    <row r="107" spans="2:4" ht="18" x14ac:dyDescent="0.35">
      <c r="B107" s="4" t="s">
        <v>103</v>
      </c>
      <c r="C107">
        <f>C102</f>
        <v>3000</v>
      </c>
      <c r="D107" t="s">
        <v>89</v>
      </c>
    </row>
    <row r="108" spans="2:4" ht="18" x14ac:dyDescent="0.35">
      <c r="B108" s="4" t="s">
        <v>104</v>
      </c>
      <c r="C108">
        <f>C103</f>
        <v>0.1</v>
      </c>
    </row>
    <row r="110" spans="2:4" x14ac:dyDescent="0.25">
      <c r="B110" s="4" t="s">
        <v>105</v>
      </c>
    </row>
    <row r="111" spans="2:4" ht="18" x14ac:dyDescent="0.35">
      <c r="B111" s="18" t="s">
        <v>106</v>
      </c>
      <c r="C111" s="8" t="s">
        <v>110</v>
      </c>
      <c r="D111" s="9"/>
    </row>
    <row r="112" spans="2:4" ht="17.25" x14ac:dyDescent="0.25">
      <c r="B112" s="15" t="s">
        <v>108</v>
      </c>
      <c r="C112" s="1">
        <f>(C105*C106)/(C108*C107)</f>
        <v>110.62499999999997</v>
      </c>
      <c r="D112" s="1" t="s">
        <v>109</v>
      </c>
    </row>
    <row r="114" spans="1:4" ht="30" x14ac:dyDescent="0.25">
      <c r="B114" s="16" t="s">
        <v>111</v>
      </c>
    </row>
    <row r="115" spans="1:4" x14ac:dyDescent="0.25">
      <c r="B115" s="4" t="s">
        <v>112</v>
      </c>
      <c r="C115">
        <v>5</v>
      </c>
      <c r="D115" t="s">
        <v>19</v>
      </c>
    </row>
    <row r="116" spans="1:4" x14ac:dyDescent="0.25">
      <c r="B116" s="4" t="s">
        <v>118</v>
      </c>
      <c r="C116">
        <v>2</v>
      </c>
      <c r="D116" t="s">
        <v>19</v>
      </c>
    </row>
    <row r="117" spans="1:4" x14ac:dyDescent="0.25">
      <c r="B117" s="4" t="s">
        <v>113</v>
      </c>
      <c r="C117">
        <f>C112/(C115*C116)</f>
        <v>11.062499999999996</v>
      </c>
      <c r="D117" t="s">
        <v>19</v>
      </c>
    </row>
    <row r="118" spans="1:4" x14ac:dyDescent="0.25">
      <c r="B118" s="4" t="s">
        <v>114</v>
      </c>
      <c r="C118">
        <f>MROUND(C117,2)</f>
        <v>12</v>
      </c>
      <c r="D118" t="s">
        <v>19</v>
      </c>
    </row>
    <row r="119" spans="1:4" ht="17.25" x14ac:dyDescent="0.25">
      <c r="B119" s="4" t="s">
        <v>115</v>
      </c>
      <c r="C119">
        <f>C118*C116*C115</f>
        <v>120</v>
      </c>
      <c r="D119" s="1" t="s">
        <v>109</v>
      </c>
    </row>
    <row r="120" spans="1:4" x14ac:dyDescent="0.25">
      <c r="B120" s="10" t="s">
        <v>117</v>
      </c>
      <c r="C120" s="10"/>
      <c r="D120" s="10"/>
    </row>
    <row r="121" spans="1:4" x14ac:dyDescent="0.25">
      <c r="B121" s="10" t="s">
        <v>116</v>
      </c>
      <c r="C121" s="10"/>
      <c r="D121" s="10"/>
    </row>
    <row r="122" spans="1:4" x14ac:dyDescent="0.25">
      <c r="B122" s="6" t="s">
        <v>119</v>
      </c>
      <c r="C122" s="6"/>
      <c r="D122" s="6"/>
    </row>
    <row r="124" spans="1:4" x14ac:dyDescent="0.25">
      <c r="A124" s="3" t="s">
        <v>172</v>
      </c>
      <c r="B124" s="14" t="s">
        <v>120</v>
      </c>
    </row>
    <row r="125" spans="1:4" x14ac:dyDescent="0.25">
      <c r="B125" s="4" t="s">
        <v>126</v>
      </c>
      <c r="C125">
        <v>1</v>
      </c>
      <c r="D125" t="s">
        <v>121</v>
      </c>
    </row>
    <row r="126" spans="1:4" ht="17.25" x14ac:dyDescent="0.25">
      <c r="B126" s="4" t="s">
        <v>125</v>
      </c>
      <c r="C126">
        <f>C10</f>
        <v>76.5</v>
      </c>
      <c r="D126" s="5" t="s">
        <v>101</v>
      </c>
    </row>
    <row r="127" spans="1:4" ht="17.25" x14ac:dyDescent="0.25">
      <c r="B127" s="4" t="s">
        <v>124</v>
      </c>
      <c r="C127">
        <f>C92</f>
        <v>112.49999999999999</v>
      </c>
      <c r="D127" s="5" t="s">
        <v>101</v>
      </c>
    </row>
    <row r="128" spans="1:4" ht="17.25" x14ac:dyDescent="0.25">
      <c r="B128" s="4" t="s">
        <v>123</v>
      </c>
      <c r="C128">
        <f>C126+C127</f>
        <v>189</v>
      </c>
      <c r="D128" s="5" t="s">
        <v>101</v>
      </c>
    </row>
    <row r="129" spans="1:4" x14ac:dyDescent="0.25">
      <c r="B129" s="4" t="s">
        <v>122</v>
      </c>
      <c r="C129">
        <v>2</v>
      </c>
      <c r="D129" s="5" t="s">
        <v>127</v>
      </c>
    </row>
    <row r="130" spans="1:4" ht="17.25" x14ac:dyDescent="0.25">
      <c r="B130" s="4" t="s">
        <v>128</v>
      </c>
      <c r="C130">
        <f>(C128*C129)/24</f>
        <v>15.75</v>
      </c>
      <c r="D130" s="5" t="s">
        <v>17</v>
      </c>
    </row>
    <row r="131" spans="1:4" x14ac:dyDescent="0.25">
      <c r="B131" s="15" t="s">
        <v>18</v>
      </c>
      <c r="C131" s="1">
        <v>3.5</v>
      </c>
      <c r="D131" s="1" t="s">
        <v>19</v>
      </c>
    </row>
    <row r="132" spans="1:4" ht="17.25" x14ac:dyDescent="0.25">
      <c r="B132" s="4" t="s">
        <v>129</v>
      </c>
      <c r="C132">
        <f>C130/C131</f>
        <v>4.5</v>
      </c>
      <c r="D132" s="5" t="s">
        <v>21</v>
      </c>
    </row>
    <row r="134" spans="1:4" ht="17.25" x14ac:dyDescent="0.25">
      <c r="B134" s="4" t="s">
        <v>130</v>
      </c>
      <c r="C134">
        <v>15</v>
      </c>
      <c r="D134" s="5" t="s">
        <v>49</v>
      </c>
    </row>
    <row r="135" spans="1:4" ht="17.25" x14ac:dyDescent="0.25">
      <c r="B135" s="4" t="s">
        <v>131</v>
      </c>
      <c r="C135">
        <f>C126/C134</f>
        <v>5.0999999999999996</v>
      </c>
      <c r="D135" s="5" t="s">
        <v>21</v>
      </c>
    </row>
    <row r="136" spans="1:4" x14ac:dyDescent="0.25">
      <c r="B136" s="10" t="s">
        <v>132</v>
      </c>
      <c r="C136" s="10"/>
      <c r="D136" s="10"/>
    </row>
    <row r="137" spans="1:4" ht="17.25" x14ac:dyDescent="0.25">
      <c r="B137" s="19" t="s">
        <v>133</v>
      </c>
      <c r="C137">
        <f>MAX(C135,C132)</f>
        <v>5.0999999999999996</v>
      </c>
      <c r="D137" s="5" t="s">
        <v>21</v>
      </c>
    </row>
    <row r="138" spans="1:4" x14ac:dyDescent="0.25">
      <c r="B138" s="19" t="s">
        <v>134</v>
      </c>
      <c r="C138">
        <f>SQRT((C137*4)/(22/7))</f>
        <v>2.5477262590217755</v>
      </c>
      <c r="D138" s="5" t="s">
        <v>19</v>
      </c>
    </row>
    <row r="139" spans="1:4" x14ac:dyDescent="0.25">
      <c r="B139" s="20" t="s">
        <v>135</v>
      </c>
      <c r="C139" s="1">
        <f>MROUND(C138,3)</f>
        <v>3</v>
      </c>
      <c r="D139" s="1" t="s">
        <v>19</v>
      </c>
    </row>
    <row r="141" spans="1:4" x14ac:dyDescent="0.25">
      <c r="B141" s="6" t="s">
        <v>136</v>
      </c>
      <c r="C141" s="6"/>
      <c r="D141" s="6"/>
    </row>
    <row r="143" spans="1:4" x14ac:dyDescent="0.25">
      <c r="A143" s="3" t="s">
        <v>173</v>
      </c>
      <c r="B143" s="14" t="s">
        <v>137</v>
      </c>
    </row>
    <row r="144" spans="1:4" ht="17.25" x14ac:dyDescent="0.25">
      <c r="B144" s="4" t="s">
        <v>138</v>
      </c>
      <c r="C144">
        <f>C127</f>
        <v>112.49999999999999</v>
      </c>
      <c r="D144" s="5" t="s">
        <v>5</v>
      </c>
    </row>
    <row r="145" spans="1:4" ht="17.25" x14ac:dyDescent="0.25">
      <c r="B145" s="4"/>
      <c r="C145">
        <f>C144/24</f>
        <v>4.6874999999999991</v>
      </c>
      <c r="D145" s="5" t="s">
        <v>8</v>
      </c>
    </row>
    <row r="146" spans="1:4" ht="17.25" x14ac:dyDescent="0.25">
      <c r="B146" s="4"/>
      <c r="C146">
        <f>ROUND(C145/60,4)</f>
        <v>7.8100000000000003E-2</v>
      </c>
      <c r="D146" s="5" t="s">
        <v>139</v>
      </c>
    </row>
    <row r="147" spans="1:4" x14ac:dyDescent="0.25">
      <c r="B147" s="4" t="s">
        <v>140</v>
      </c>
      <c r="C147">
        <v>15</v>
      </c>
      <c r="D147" s="5" t="s">
        <v>141</v>
      </c>
    </row>
    <row r="148" spans="1:4" ht="17.25" x14ac:dyDescent="0.25">
      <c r="B148" s="4" t="s">
        <v>142</v>
      </c>
      <c r="C148">
        <f>C146*C147</f>
        <v>1.1715</v>
      </c>
      <c r="D148" s="5" t="s">
        <v>17</v>
      </c>
    </row>
    <row r="149" spans="1:4" x14ac:dyDescent="0.25">
      <c r="B149" s="4" t="s">
        <v>143</v>
      </c>
      <c r="C149" t="s">
        <v>144</v>
      </c>
    </row>
    <row r="150" spans="1:4" x14ac:dyDescent="0.25">
      <c r="B150" s="4" t="s">
        <v>145</v>
      </c>
      <c r="C150" t="s">
        <v>146</v>
      </c>
    </row>
    <row r="151" spans="1:4" x14ac:dyDescent="0.25">
      <c r="B151" s="4" t="s">
        <v>147</v>
      </c>
      <c r="C151" t="s">
        <v>146</v>
      </c>
    </row>
    <row r="152" spans="1:4" x14ac:dyDescent="0.25">
      <c r="B152" s="7" t="s">
        <v>148</v>
      </c>
      <c r="C152" s="7"/>
      <c r="D152" s="7"/>
    </row>
    <row r="153" spans="1:4" x14ac:dyDescent="0.25">
      <c r="B153" s="7"/>
      <c r="C153" s="7"/>
      <c r="D153" s="7"/>
    </row>
    <row r="154" spans="1:4" x14ac:dyDescent="0.25">
      <c r="B154" s="7"/>
      <c r="C154" s="7"/>
      <c r="D154" s="7"/>
    </row>
    <row r="155" spans="1:4" x14ac:dyDescent="0.25">
      <c r="B155" s="4"/>
    </row>
    <row r="156" spans="1:4" x14ac:dyDescent="0.25">
      <c r="B156" s="4"/>
    </row>
    <row r="157" spans="1:4" x14ac:dyDescent="0.25">
      <c r="A157" s="3" t="s">
        <v>174</v>
      </c>
      <c r="B157" s="14" t="s">
        <v>149</v>
      </c>
    </row>
    <row r="158" spans="1:4" x14ac:dyDescent="0.25">
      <c r="B158" s="4" t="s">
        <v>150</v>
      </c>
    </row>
    <row r="159" spans="1:4" x14ac:dyDescent="0.25">
      <c r="B159" s="4" t="s">
        <v>153</v>
      </c>
      <c r="C159">
        <v>125</v>
      </c>
      <c r="D159" t="s">
        <v>152</v>
      </c>
    </row>
    <row r="160" spans="1:4" x14ac:dyDescent="0.25">
      <c r="B160" s="4" t="s">
        <v>154</v>
      </c>
      <c r="C160">
        <v>1.0149999999999999</v>
      </c>
    </row>
    <row r="161" spans="1:4" x14ac:dyDescent="0.25">
      <c r="B161" s="4" t="s">
        <v>151</v>
      </c>
      <c r="C161">
        <v>1.5</v>
      </c>
      <c r="D161" t="s">
        <v>94</v>
      </c>
    </row>
    <row r="162" spans="1:4" ht="17.25" x14ac:dyDescent="0.25">
      <c r="B162" s="4" t="s">
        <v>155</v>
      </c>
      <c r="C162">
        <f>ROUND(((C159/1.5)*100)*(1/(1000*C160)),2)</f>
        <v>8.2100000000000009</v>
      </c>
      <c r="D162" s="5" t="s">
        <v>5</v>
      </c>
    </row>
    <row r="163" spans="1:4" ht="30" x14ac:dyDescent="0.25">
      <c r="B163" s="4" t="s">
        <v>156</v>
      </c>
      <c r="C163">
        <v>33</v>
      </c>
    </row>
    <row r="164" spans="1:4" x14ac:dyDescent="0.25">
      <c r="B164" s="4" t="s">
        <v>157</v>
      </c>
      <c r="C164">
        <f>MROUND(365/C163,11)</f>
        <v>11</v>
      </c>
      <c r="D164" t="s">
        <v>158</v>
      </c>
    </row>
    <row r="165" spans="1:4" ht="17.25" x14ac:dyDescent="0.25">
      <c r="B165" s="4" t="s">
        <v>155</v>
      </c>
      <c r="C165">
        <f>C162*C164</f>
        <v>90.31</v>
      </c>
      <c r="D165" s="5" t="s">
        <v>17</v>
      </c>
    </row>
    <row r="166" spans="1:4" ht="30" x14ac:dyDescent="0.25">
      <c r="B166" s="4" t="s">
        <v>159</v>
      </c>
      <c r="C166">
        <f>ROUNDUP(C165/0.3,0)</f>
        <v>302</v>
      </c>
    </row>
    <row r="167" spans="1:4" x14ac:dyDescent="0.25">
      <c r="B167" s="15" t="s">
        <v>160</v>
      </c>
      <c r="C167" s="1"/>
      <c r="D167" s="1"/>
    </row>
    <row r="168" spans="1:4" ht="17.25" x14ac:dyDescent="0.25">
      <c r="B168" s="15" t="s">
        <v>161</v>
      </c>
      <c r="C168" s="1">
        <v>336</v>
      </c>
      <c r="D168" s="1" t="s">
        <v>164</v>
      </c>
    </row>
    <row r="170" spans="1:4" x14ac:dyDescent="0.25">
      <c r="A170" s="3"/>
      <c r="B170" s="14"/>
    </row>
  </sheetData>
  <mergeCells count="12">
    <mergeCell ref="C73:D73"/>
    <mergeCell ref="C84:D84"/>
    <mergeCell ref="C98:D98"/>
    <mergeCell ref="B100:D100"/>
    <mergeCell ref="B104:C104"/>
    <mergeCell ref="B141:D141"/>
    <mergeCell ref="B152:D154"/>
    <mergeCell ref="C111:D111"/>
    <mergeCell ref="B122:D122"/>
    <mergeCell ref="B121:D121"/>
    <mergeCell ref="B120:D120"/>
    <mergeCell ref="B136:D1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Kumar Sinha</dc:creator>
  <cp:lastModifiedBy>Saurav Kumar Sinha</cp:lastModifiedBy>
  <dcterms:created xsi:type="dcterms:W3CDTF">2015-06-05T18:17:20Z</dcterms:created>
  <dcterms:modified xsi:type="dcterms:W3CDTF">2022-05-05T07:27:39Z</dcterms:modified>
</cp:coreProperties>
</file>