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avag\Dropbox\PC\Desktop\Spring-2022\FIN 401\Week 5\"/>
    </mc:Choice>
  </mc:AlternateContent>
  <xr:revisionPtr revIDLastSave="0" documentId="8_{4BBC371B-4983-4A9F-8E6A-A502B57C32BA}" xr6:coauthVersionLast="47" xr6:coauthVersionMax="47" xr10:uidLastSave="{00000000-0000-0000-0000-000000000000}"/>
  <bookViews>
    <workbookView xWindow="-120" yWindow="-120" windowWidth="29040" windowHeight="15840" firstSheet="5" activeTab="5" xr2:uid="{00000000-000D-0000-FFFF-FFFF00000000}"/>
  </bookViews>
  <sheets>
    <sheet name="Historical Financial Statements" sheetId="1" r:id="rId1"/>
    <sheet name="Sal, Wages, Benefits" sheetId="4" r:id="rId2"/>
    <sheet name="Rev" sheetId="2" r:id="rId3"/>
    <sheet name="Lease" sheetId="8" r:id="rId4"/>
    <sheet name="Assets and Dep" sheetId="13" r:id="rId5"/>
    <sheet name="Forecast Financial Statements" sheetId="1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4" l="1"/>
  <c r="D19" i="14"/>
  <c r="B20" i="14"/>
  <c r="B19" i="14"/>
  <c r="B8" i="14"/>
  <c r="B11" i="14"/>
  <c r="B12" i="14"/>
  <c r="B7" i="14"/>
  <c r="B13" i="14"/>
  <c r="B6" i="14"/>
  <c r="B14" i="14"/>
  <c r="C45" i="14"/>
  <c r="B15" i="14"/>
  <c r="C6" i="14"/>
  <c r="D45" i="14"/>
  <c r="F50" i="14"/>
  <c r="F59" i="14"/>
  <c r="D25" i="14"/>
  <c r="C27" i="14"/>
  <c r="C4" i="14"/>
  <c r="C50" i="14"/>
  <c r="E59" i="14"/>
  <c r="D59" i="14"/>
  <c r="C59" i="14"/>
  <c r="D63" i="14"/>
  <c r="C63" i="14"/>
  <c r="G50" i="14"/>
  <c r="E63" i="14"/>
  <c r="F63" i="14" s="1"/>
  <c r="G63" i="14" s="1"/>
  <c r="E45" i="14"/>
  <c r="F45" i="14"/>
  <c r="F92" i="14" s="1"/>
  <c r="G45" i="14"/>
  <c r="C64" i="14"/>
  <c r="D64" i="14" s="1"/>
  <c r="E64" i="14" s="1"/>
  <c r="F64" i="14" s="1"/>
  <c r="G64" i="14" s="1"/>
  <c r="C25" i="14"/>
  <c r="C12" i="14"/>
  <c r="D12" i="14" s="1"/>
  <c r="E12" i="14" s="1"/>
  <c r="F12" i="14" s="1"/>
  <c r="G12" i="14" s="1"/>
  <c r="C13" i="14"/>
  <c r="D13" i="14" s="1"/>
  <c r="E13" i="14" s="1"/>
  <c r="F13" i="14" s="1"/>
  <c r="C14" i="14"/>
  <c r="D14" i="14" s="1"/>
  <c r="E14" i="14" s="1"/>
  <c r="F14" i="14" s="1"/>
  <c r="G14" i="14" s="1"/>
  <c r="C15" i="14"/>
  <c r="D15" i="14" s="1"/>
  <c r="E15" i="14" s="1"/>
  <c r="F15" i="14" s="1"/>
  <c r="G15" i="14" s="1"/>
  <c r="D20" i="14"/>
  <c r="E20" i="14"/>
  <c r="F20" i="14"/>
  <c r="G20" i="14"/>
  <c r="C19" i="14"/>
  <c r="E19" i="14" s="1"/>
  <c r="F19" i="14" s="1"/>
  <c r="G19" i="14" s="1"/>
  <c r="C11" i="14"/>
  <c r="D11" i="14" s="1"/>
  <c r="E11" i="14" s="1"/>
  <c r="F11" i="14" s="1"/>
  <c r="G11" i="14" s="1"/>
  <c r="C7" i="14"/>
  <c r="D7" i="14"/>
  <c r="D28" i="14" s="1"/>
  <c r="E7" i="14"/>
  <c r="F7" i="14"/>
  <c r="G7" i="14"/>
  <c r="C8" i="14"/>
  <c r="C35" i="14" s="1"/>
  <c r="D8" i="14"/>
  <c r="E8" i="14"/>
  <c r="F8" i="14"/>
  <c r="G8" i="14"/>
  <c r="D6" i="14"/>
  <c r="D92" i="14"/>
  <c r="E92" i="14"/>
  <c r="G92" i="14"/>
  <c r="C92" i="14"/>
  <c r="D4" i="14"/>
  <c r="E4" i="14"/>
  <c r="E25" i="14" s="1"/>
  <c r="F4" i="14"/>
  <c r="F25" i="14" s="1"/>
  <c r="G4" i="14"/>
  <c r="G25" i="14" s="1"/>
  <c r="D5" i="14"/>
  <c r="E5" i="14"/>
  <c r="F5" i="14"/>
  <c r="G5" i="14"/>
  <c r="C5" i="14"/>
  <c r="B5" i="14"/>
  <c r="D50" i="14"/>
  <c r="E50" i="14"/>
  <c r="C16" i="14"/>
  <c r="D16" i="14" s="1"/>
  <c r="E16" i="14" s="1"/>
  <c r="F16" i="14" s="1"/>
  <c r="G16" i="14" s="1"/>
  <c r="C36" i="14"/>
  <c r="D36" i="14" s="1"/>
  <c r="E36" i="14" s="1"/>
  <c r="F36" i="14" s="1"/>
  <c r="G36" i="14" s="1"/>
  <c r="B77" i="14"/>
  <c r="C77" i="14" s="1"/>
  <c r="D77" i="14" s="1"/>
  <c r="E77" i="14" s="1"/>
  <c r="F77" i="14" s="1"/>
  <c r="G77" i="14" s="1"/>
  <c r="B74" i="14"/>
  <c r="B17" i="14" s="1"/>
  <c r="B71" i="14"/>
  <c r="B70" i="14"/>
  <c r="B64" i="14"/>
  <c r="B63" i="14"/>
  <c r="B60" i="14"/>
  <c r="B59" i="14"/>
  <c r="B51" i="14"/>
  <c r="B50" i="14"/>
  <c r="B38" i="14"/>
  <c r="C38" i="14" s="1"/>
  <c r="D38" i="14" s="1"/>
  <c r="E38" i="14" s="1"/>
  <c r="F38" i="14" s="1"/>
  <c r="G38" i="14" s="1"/>
  <c r="B39" i="14"/>
  <c r="B35" i="14"/>
  <c r="B36" i="14"/>
  <c r="B37" i="14"/>
  <c r="B40" i="14"/>
  <c r="B41" i="14"/>
  <c r="B42" i="14"/>
  <c r="B43" i="14"/>
  <c r="B44" i="14"/>
  <c r="B45" i="14"/>
  <c r="B34" i="14"/>
  <c r="C34" i="14" s="1"/>
  <c r="D34" i="14" s="1"/>
  <c r="E34" i="14" s="1"/>
  <c r="F34" i="14" s="1"/>
  <c r="G34" i="14" s="1"/>
  <c r="B27" i="14"/>
  <c r="B25" i="14"/>
  <c r="F42" i="14" l="1"/>
  <c r="G13" i="14"/>
  <c r="D27" i="14"/>
  <c r="E6" i="14"/>
  <c r="F6" i="14" s="1"/>
  <c r="G6" i="14" s="1"/>
  <c r="G41" i="14"/>
  <c r="G42" i="14"/>
  <c r="G43" i="14"/>
  <c r="G44" i="14"/>
  <c r="G40" i="14"/>
  <c r="G35" i="14"/>
  <c r="G28" i="14"/>
  <c r="G27" i="14"/>
  <c r="F43" i="14"/>
  <c r="F41" i="14"/>
  <c r="F44" i="14"/>
  <c r="F40" i="14"/>
  <c r="F35" i="14"/>
  <c r="F28" i="14"/>
  <c r="F27" i="14"/>
  <c r="E41" i="14"/>
  <c r="E43" i="14"/>
  <c r="E44" i="14"/>
  <c r="E40" i="14"/>
  <c r="E35" i="14"/>
  <c r="E28" i="14"/>
  <c r="E27" i="14"/>
  <c r="E60" i="14" s="1"/>
  <c r="D41" i="14"/>
  <c r="D42" i="14"/>
  <c r="D43" i="14"/>
  <c r="D44" i="14"/>
  <c r="D40" i="14"/>
  <c r="D35" i="14"/>
  <c r="E42" i="14"/>
  <c r="C41" i="14"/>
  <c r="C42" i="14"/>
  <c r="C43" i="14"/>
  <c r="C44" i="14"/>
  <c r="C40" i="14"/>
  <c r="C28" i="14"/>
  <c r="C9" i="14"/>
  <c r="D9" i="14" s="1"/>
  <c r="D37" i="14" s="1"/>
  <c r="C10" i="14"/>
  <c r="D10" i="14" s="1"/>
  <c r="B65" i="14"/>
  <c r="C60" i="14" l="1"/>
  <c r="C70" i="14"/>
  <c r="D60" i="14"/>
  <c r="D70" i="14"/>
  <c r="E70" i="14"/>
  <c r="F70" i="14"/>
  <c r="F60" i="14"/>
  <c r="G70" i="14"/>
  <c r="G60" i="14"/>
  <c r="C37" i="14"/>
  <c r="E9" i="14"/>
  <c r="F9" i="14" s="1"/>
  <c r="C39" i="14"/>
  <c r="E10" i="14"/>
  <c r="D39" i="14"/>
  <c r="C42" i="1"/>
  <c r="D42" i="1"/>
  <c r="B42" i="1"/>
  <c r="G96" i="14" l="1"/>
  <c r="G97" i="14"/>
  <c r="F96" i="14"/>
  <c r="F97" i="14"/>
  <c r="E97" i="14"/>
  <c r="E96" i="14"/>
  <c r="D97" i="14"/>
  <c r="C97" i="14"/>
  <c r="D96" i="14"/>
  <c r="C96" i="14"/>
  <c r="E37" i="14"/>
  <c r="C65" i="14"/>
  <c r="G9" i="14"/>
  <c r="G37" i="14" s="1"/>
  <c r="F37" i="14"/>
  <c r="F10" i="14"/>
  <c r="E39" i="14"/>
  <c r="D65" i="14" l="1"/>
  <c r="G10" i="14"/>
  <c r="G39" i="14" s="1"/>
  <c r="F39" i="14"/>
  <c r="B72" i="14"/>
  <c r="B75" i="14" s="1"/>
  <c r="B61" i="14"/>
  <c r="E65" i="14" l="1"/>
  <c r="B67" i="14"/>
  <c r="F65" i="14" l="1"/>
  <c r="G65" i="14" l="1"/>
  <c r="B46" i="14"/>
  <c r="B28" i="13" l="1"/>
  <c r="C28" i="13" s="1"/>
  <c r="D28" i="13" s="1"/>
  <c r="B27" i="13"/>
  <c r="C27" i="13" s="1"/>
  <c r="D27" i="13" s="1"/>
  <c r="C14" i="13"/>
  <c r="D14" i="13"/>
  <c r="B14" i="13"/>
  <c r="D10" i="13"/>
  <c r="C10" i="13"/>
  <c r="B10" i="13"/>
  <c r="C6" i="13"/>
  <c r="D6" i="13"/>
  <c r="B6" i="13"/>
  <c r="C32" i="4"/>
  <c r="D32" i="4"/>
  <c r="B32" i="4"/>
  <c r="C26" i="4"/>
  <c r="C28" i="4" s="1"/>
  <c r="D26" i="4"/>
  <c r="D28" i="4" s="1"/>
  <c r="B26" i="4"/>
  <c r="B28" i="4" s="1"/>
  <c r="C8" i="4"/>
  <c r="D8" i="4"/>
  <c r="B8" i="4"/>
  <c r="C8" i="8"/>
  <c r="C9" i="8" s="1"/>
  <c r="D8" i="8"/>
  <c r="D9" i="8"/>
  <c r="B8" i="8"/>
  <c r="B9" i="8" s="1"/>
  <c r="B25" i="13" l="1"/>
  <c r="C25" i="13" s="1"/>
  <c r="D25" i="13" s="1"/>
  <c r="B30" i="4"/>
  <c r="B33" i="4" s="1"/>
  <c r="B34" i="4" s="1"/>
  <c r="C30" i="4"/>
  <c r="C33" i="4" s="1"/>
  <c r="C34" i="4" s="1"/>
  <c r="D30" i="4"/>
  <c r="D33" i="4" s="1"/>
  <c r="D34" i="4" s="1"/>
  <c r="B28" i="14"/>
  <c r="B24" i="13"/>
  <c r="C24" i="13" s="1"/>
  <c r="D24" i="13" s="1"/>
  <c r="B26" i="13"/>
  <c r="C26" i="13" s="1"/>
  <c r="D26" i="13" s="1"/>
  <c r="D33" i="2"/>
  <c r="D37" i="2" s="1"/>
  <c r="C33" i="2"/>
  <c r="C37" i="2" s="1"/>
  <c r="B33" i="2"/>
  <c r="B37" i="2" s="1"/>
  <c r="C32" i="2"/>
  <c r="D32" i="2"/>
  <c r="D36" i="2" s="1"/>
  <c r="B32" i="2"/>
  <c r="D28" i="2"/>
  <c r="C28" i="2"/>
  <c r="B28" i="2"/>
  <c r="D27" i="2"/>
  <c r="C27" i="2"/>
  <c r="B27" i="2"/>
  <c r="D25" i="2"/>
  <c r="C25" i="2"/>
  <c r="B25" i="2"/>
  <c r="D19" i="2"/>
  <c r="C19" i="2"/>
  <c r="B19" i="2"/>
  <c r="D18" i="2"/>
  <c r="C18" i="2"/>
  <c r="B18" i="2"/>
  <c r="D16" i="2"/>
  <c r="C16" i="2"/>
  <c r="B16" i="2"/>
  <c r="C10" i="2"/>
  <c r="C9" i="2"/>
  <c r="D9" i="2"/>
  <c r="D10" i="2"/>
  <c r="B9" i="2"/>
  <c r="B10" i="2"/>
  <c r="C7" i="2"/>
  <c r="D7" i="2"/>
  <c r="B7" i="2"/>
  <c r="H6" i="2"/>
  <c r="H5" i="2"/>
  <c r="B11" i="2" l="1"/>
  <c r="B20" i="2"/>
  <c r="B29" i="14"/>
  <c r="B30" i="14" s="1"/>
  <c r="B29" i="13"/>
  <c r="B33" i="13" s="1"/>
  <c r="B35" i="13" s="1"/>
  <c r="C29" i="13"/>
  <c r="C33" i="13" s="1"/>
  <c r="D29" i="13"/>
  <c r="D33" i="13" s="1"/>
  <c r="C11" i="2"/>
  <c r="C29" i="2"/>
  <c r="C34" i="2"/>
  <c r="D29" i="2"/>
  <c r="D34" i="2"/>
  <c r="B4" i="14" s="1"/>
  <c r="B29" i="2"/>
  <c r="B34" i="2"/>
  <c r="B36" i="2"/>
  <c r="B38" i="2" s="1"/>
  <c r="D38" i="2"/>
  <c r="E40" i="2" s="1"/>
  <c r="C36" i="2"/>
  <c r="C38" i="2" s="1"/>
  <c r="D20" i="2"/>
  <c r="C20" i="2"/>
  <c r="D11" i="2"/>
  <c r="B31" i="14" l="1"/>
  <c r="B48" i="14"/>
  <c r="C35" i="13"/>
  <c r="D35" i="13" s="1"/>
  <c r="B52" i="14" l="1"/>
  <c r="B53" i="14" s="1"/>
  <c r="C46" i="14" l="1"/>
  <c r="C29" i="14"/>
  <c r="C30" i="14" s="1"/>
  <c r="C23" i="1"/>
  <c r="C7" i="1"/>
  <c r="C38" i="1"/>
  <c r="C44" i="1" s="1"/>
  <c r="D38" i="1"/>
  <c r="D44" i="1" s="1"/>
  <c r="D7" i="1"/>
  <c r="D8" i="1" s="1"/>
  <c r="D29" i="14" l="1"/>
  <c r="D30" i="14" s="1"/>
  <c r="C31" i="14"/>
  <c r="C48" i="14"/>
  <c r="C61" i="14"/>
  <c r="C67" i="14" s="1"/>
  <c r="D46" i="14"/>
  <c r="C25" i="1"/>
  <c r="B23" i="1"/>
  <c r="C8" i="1"/>
  <c r="D23" i="1"/>
  <c r="C51" i="14" l="1"/>
  <c r="C71" i="14" s="1"/>
  <c r="C89" i="14"/>
  <c r="C91" i="14" s="1"/>
  <c r="C93" i="14" s="1"/>
  <c r="E29" i="14"/>
  <c r="E30" i="14" s="1"/>
  <c r="B105" i="14"/>
  <c r="D31" i="14"/>
  <c r="D48" i="14"/>
  <c r="E46" i="14"/>
  <c r="D61" i="14"/>
  <c r="D67" i="14" s="1"/>
  <c r="D25" i="1"/>
  <c r="D29" i="1" s="1"/>
  <c r="D49" i="1"/>
  <c r="D52" i="1" s="1"/>
  <c r="D89" i="14" l="1"/>
  <c r="D91" i="14" s="1"/>
  <c r="D93" i="14" s="1"/>
  <c r="D51" i="14"/>
  <c r="C72" i="14"/>
  <c r="C75" i="14" s="1"/>
  <c r="G46" i="14"/>
  <c r="C52" i="14"/>
  <c r="F29" i="14"/>
  <c r="F30" i="14" s="1"/>
  <c r="D71" i="14"/>
  <c r="G29" i="14"/>
  <c r="G30" i="14" s="1"/>
  <c r="E31" i="14"/>
  <c r="E48" i="14"/>
  <c r="F46" i="14"/>
  <c r="E61" i="14"/>
  <c r="E67" i="14" s="1"/>
  <c r="D30" i="1"/>
  <c r="C29" i="1"/>
  <c r="C55" i="1" s="1"/>
  <c r="D55" i="1" s="1"/>
  <c r="B78" i="14" s="1"/>
  <c r="B79" i="14" s="1"/>
  <c r="B81" i="14" s="1"/>
  <c r="C49" i="1"/>
  <c r="C52" i="1" s="1"/>
  <c r="B38" i="1"/>
  <c r="B44" i="1" s="1"/>
  <c r="B7" i="1"/>
  <c r="E89" i="14" l="1"/>
  <c r="E91" i="14" s="1"/>
  <c r="E93" i="14" s="1"/>
  <c r="E51" i="14"/>
  <c r="C78" i="14"/>
  <c r="D52" i="14"/>
  <c r="C53" i="14"/>
  <c r="D72" i="14"/>
  <c r="D75" i="14" s="1"/>
  <c r="C105" i="14"/>
  <c r="F31" i="14"/>
  <c r="F48" i="14"/>
  <c r="E71" i="14"/>
  <c r="G31" i="14"/>
  <c r="G48" i="14"/>
  <c r="D105" i="14"/>
  <c r="G61" i="14"/>
  <c r="G67" i="14" s="1"/>
  <c r="F61" i="14"/>
  <c r="F67" i="14" s="1"/>
  <c r="C30" i="1"/>
  <c r="B8" i="1"/>
  <c r="B25" i="1"/>
  <c r="G89" i="14" l="1"/>
  <c r="G91" i="14" s="1"/>
  <c r="G93" i="14" s="1"/>
  <c r="G51" i="14"/>
  <c r="F89" i="14"/>
  <c r="F91" i="14" s="1"/>
  <c r="F93" i="14" s="1"/>
  <c r="F51" i="14"/>
  <c r="D78" i="14"/>
  <c r="C79" i="14"/>
  <c r="C81" i="14" s="1"/>
  <c r="C83" i="14" s="1"/>
  <c r="D53" i="14"/>
  <c r="E72" i="14"/>
  <c r="E75" i="14" s="1"/>
  <c r="E105" i="14"/>
  <c r="F71" i="14"/>
  <c r="G71" i="14"/>
  <c r="E52" i="14"/>
  <c r="B49" i="1"/>
  <c r="B52" i="1" s="1"/>
  <c r="E78" i="14" l="1"/>
  <c r="D79" i="14"/>
  <c r="D81" i="14" s="1"/>
  <c r="D83" i="14" s="1"/>
  <c r="G52" i="14"/>
  <c r="G53" i="14" s="1"/>
  <c r="F72" i="14"/>
  <c r="F75" i="14" s="1"/>
  <c r="G72" i="14"/>
  <c r="G75" i="14" s="1"/>
  <c r="F52" i="14"/>
  <c r="F53" i="14" s="1"/>
  <c r="E79" i="14"/>
  <c r="E81" i="14" s="1"/>
  <c r="E83" i="14" s="1"/>
  <c r="E53" i="14"/>
  <c r="B29" i="1"/>
  <c r="F78" i="14" l="1"/>
  <c r="G78" i="14" s="1"/>
  <c r="F79" i="14"/>
  <c r="F81" i="14" s="1"/>
  <c r="F83" i="14" s="1"/>
  <c r="F105" i="14"/>
  <c r="B30" i="1"/>
  <c r="B56" i="1"/>
  <c r="B58" i="1" s="1"/>
  <c r="G79" i="14" l="1"/>
  <c r="G101" i="14" s="1"/>
  <c r="C56" i="1"/>
  <c r="C58" i="1" s="1"/>
  <c r="D56" i="1"/>
  <c r="D58" i="1" s="1"/>
  <c r="G105" i="14" l="1"/>
  <c r="B106" i="14"/>
  <c r="B108" i="14"/>
  <c r="G81" i="14"/>
  <c r="G83" i="14" s="1"/>
</calcChain>
</file>

<file path=xl/sharedStrings.xml><?xml version="1.0" encoding="utf-8"?>
<sst xmlns="http://schemas.openxmlformats.org/spreadsheetml/2006/main" count="258" uniqueCount="162">
  <si>
    <t>Chips</t>
  </si>
  <si>
    <t>Income Statement</t>
  </si>
  <si>
    <t>2017 Actual</t>
  </si>
  <si>
    <t>2018 Actual</t>
  </si>
  <si>
    <t>2019 Actual</t>
  </si>
  <si>
    <t>Revenue</t>
  </si>
  <si>
    <t>Total Cost of Goods Sold</t>
  </si>
  <si>
    <t>Gross Margin</t>
  </si>
  <si>
    <t>Gross Margin %</t>
  </si>
  <si>
    <t>Operating Expenses</t>
  </si>
  <si>
    <t>Lease Expense</t>
  </si>
  <si>
    <t>Utilities Expense</t>
  </si>
  <si>
    <t>Manager Salary Expense</t>
  </si>
  <si>
    <t>Manager Salary PT&amp;B Expense</t>
  </si>
  <si>
    <t>Hourly Wage Expense</t>
  </si>
  <si>
    <t>Hourly Wage PT&amp;B Expense</t>
  </si>
  <si>
    <t>Marketing Expense</t>
  </si>
  <si>
    <t>Professional Services Expense</t>
  </si>
  <si>
    <t>Office Supplies and Misc Supplies Expense</t>
  </si>
  <si>
    <t>Repairs and Maintenance Expense</t>
  </si>
  <si>
    <t>Insurance Expense</t>
  </si>
  <si>
    <t>Depreciation Expense</t>
  </si>
  <si>
    <t>Total Operating Expenses</t>
  </si>
  <si>
    <t>Earnings Before Interest and Taxes</t>
  </si>
  <si>
    <t>Interest Expense</t>
  </si>
  <si>
    <t>Tax Expense</t>
  </si>
  <si>
    <t>Net Income</t>
  </si>
  <si>
    <t>Net Income %</t>
  </si>
  <si>
    <t>Balance Sheet</t>
  </si>
  <si>
    <t>Current Assets</t>
  </si>
  <si>
    <t>Cash</t>
  </si>
  <si>
    <t>Inventory</t>
  </si>
  <si>
    <t>Total Current Assets</t>
  </si>
  <si>
    <t>Equipment and Leasehold Improvements</t>
  </si>
  <si>
    <t>Accumulated Depreciation</t>
  </si>
  <si>
    <t>Tota Fixed Assets</t>
  </si>
  <si>
    <t>Total Assets</t>
  </si>
  <si>
    <t>Current Liabilities</t>
  </si>
  <si>
    <t>Accounts Payable</t>
  </si>
  <si>
    <t>Taxes Payable</t>
  </si>
  <si>
    <t>Total Current Liabilities</t>
  </si>
  <si>
    <t>Long-term Debt</t>
  </si>
  <si>
    <t>Total Liabilities</t>
  </si>
  <si>
    <t>Stock</t>
  </si>
  <si>
    <t>Retained Earnings</t>
  </si>
  <si>
    <t>Total Equity</t>
  </si>
  <si>
    <t>Total Liabilities and Equity</t>
  </si>
  <si>
    <t>Salaries and Wages</t>
  </si>
  <si>
    <t>PT&amp;B (Payroll Taxes and Benefits)</t>
  </si>
  <si>
    <t>Manager Salary</t>
  </si>
  <si>
    <t>Managers (1 per Store)</t>
  </si>
  <si>
    <t>Total Managers' Salary</t>
  </si>
  <si>
    <t>Manager Benefits</t>
  </si>
  <si>
    <t>Payroll Taxes</t>
  </si>
  <si>
    <t>Hourly Workers (per Hour)</t>
  </si>
  <si>
    <t>Work Days (Closed Sundays, Thanksgiving, Christmas)</t>
  </si>
  <si>
    <t>Hours Open per Day (Store Hours 10am - 8pm)</t>
  </si>
  <si>
    <t>Bakers per hour:</t>
  </si>
  <si>
    <t>Boise Town Square</t>
  </si>
  <si>
    <t>Boise Spectrum Center</t>
  </si>
  <si>
    <t>Vista Village</t>
  </si>
  <si>
    <t>Store-front per hour:</t>
  </si>
  <si>
    <t>Total workers per hour</t>
  </si>
  <si>
    <t>Total Wages</t>
  </si>
  <si>
    <t>Total Salaries and Wages</t>
  </si>
  <si>
    <t>Benefits</t>
  </si>
  <si>
    <t>Total PT&amp;B</t>
  </si>
  <si>
    <t>Cookie Revenue</t>
  </si>
  <si>
    <t>Cookie Prices</t>
  </si>
  <si>
    <t>Total</t>
  </si>
  <si>
    <t>Per Cookie</t>
  </si>
  <si>
    <t>Indvidual Units</t>
  </si>
  <si>
    <t>Individual</t>
  </si>
  <si>
    <t>Box Units</t>
  </si>
  <si>
    <t>Box of 4</t>
  </si>
  <si>
    <t>Total Cookies</t>
  </si>
  <si>
    <t>Individual Revenue</t>
  </si>
  <si>
    <t>Box Revenue</t>
  </si>
  <si>
    <t>Total Revenue</t>
  </si>
  <si>
    <t>Average Price/cookie</t>
  </si>
  <si>
    <t>Leases</t>
  </si>
  <si>
    <t>Lease Period</t>
  </si>
  <si>
    <t>10 years (2017-2026)</t>
  </si>
  <si>
    <t>Square Footage</t>
  </si>
  <si>
    <t>Cost/Sq. Foot/mth</t>
  </si>
  <si>
    <t>Cost per Month</t>
  </si>
  <si>
    <t>Cost per Year</t>
  </si>
  <si>
    <t>Cost Increase per Year</t>
  </si>
  <si>
    <t>Note: Boise Spectrum Center also includes company office space</t>
  </si>
  <si>
    <t>Equipment and Depreication</t>
  </si>
  <si>
    <t>Purchases</t>
  </si>
  <si>
    <t>Ovens Cost</t>
  </si>
  <si>
    <t># of Ovens Per Store</t>
  </si>
  <si>
    <t>Total $ Ovens per Store</t>
  </si>
  <si>
    <t>Walk-in Refigerators cost</t>
  </si>
  <si>
    <t># of Refrigerators per Store</t>
  </si>
  <si>
    <t>Total $ Refrigerator per Store</t>
  </si>
  <si>
    <t>Display Case Cost</t>
  </si>
  <si>
    <t># of Display Cases per Store</t>
  </si>
  <si>
    <t>Office Equipment</t>
  </si>
  <si>
    <t>Office Furniture</t>
  </si>
  <si>
    <t>Leasehold Improvements - 2017</t>
  </si>
  <si>
    <t>Store-front counters and look</t>
  </si>
  <si>
    <t>Leasehold Improvements - 2018</t>
  </si>
  <si>
    <t>Leasehold Improvements - 2019</t>
  </si>
  <si>
    <t>Ovens</t>
  </si>
  <si>
    <t>Refrigerators</t>
  </si>
  <si>
    <t>Display Cases</t>
  </si>
  <si>
    <t>Office Equipment and Furniture</t>
  </si>
  <si>
    <t>Leasehold Improvements</t>
  </si>
  <si>
    <t>10-year life for all</t>
  </si>
  <si>
    <t>Assumptions and Ratios</t>
  </si>
  <si>
    <t>2019 Actual (Previous Owners)</t>
  </si>
  <si>
    <t>2020 Fcst</t>
  </si>
  <si>
    <t>2021 Fcst</t>
  </si>
  <si>
    <t>2022 Fcst</t>
  </si>
  <si>
    <t>2023 Fcst</t>
  </si>
  <si>
    <t>2024 Fcst</t>
  </si>
  <si>
    <t>% Change</t>
  </si>
  <si>
    <t># of Cookies Sold</t>
  </si>
  <si>
    <t>Average Price of Cookies</t>
  </si>
  <si>
    <t>Material Cost of Goods Sold as % of Sales</t>
  </si>
  <si>
    <t>Labor Cost of Goods Sold as % of Sales</t>
  </si>
  <si>
    <t>Utilities Expense as % of Sales</t>
  </si>
  <si>
    <t>Manager Salary PT&amp;B Expense as % of Manager Salary Expense</t>
  </si>
  <si>
    <t>Hourly Wage PT&amp;B Expense as % of Hourly Wage Expense</t>
  </si>
  <si>
    <t>Marketing Expense as % of Sales</t>
  </si>
  <si>
    <t>Professional Services Expense as % of Sales</t>
  </si>
  <si>
    <t>Office Supplies and Misc Supplies Expense as % of Sales</t>
  </si>
  <si>
    <t>Repairs and Maintenance Expense as % of Sales</t>
  </si>
  <si>
    <t>Insurance Expense as % of Sales</t>
  </si>
  <si>
    <t>Equipment Depreciation Life</t>
  </si>
  <si>
    <t>Interest Rate on Loan</t>
  </si>
  <si>
    <t>Tax Rate</t>
  </si>
  <si>
    <t>Days of Inventory (Material Cost of Goods Sold)</t>
  </si>
  <si>
    <t>Days of Accounts Payable (Material Cost of Goods Sold)</t>
  </si>
  <si>
    <t>2019 Projected (Previous Owners)</t>
  </si>
  <si>
    <t>Material Cost of Goods Sold</t>
  </si>
  <si>
    <t>Labor Cost of Goods Sold</t>
  </si>
  <si>
    <t>*aside from 2024</t>
  </si>
  <si>
    <t>Total Fixed Assets</t>
  </si>
  <si>
    <t>DFN</t>
  </si>
  <si>
    <t xml:space="preserve">Forecast </t>
  </si>
  <si>
    <t>Year 0</t>
  </si>
  <si>
    <t>Year 1</t>
  </si>
  <si>
    <t>Year 2</t>
  </si>
  <si>
    <t>Year 3</t>
  </si>
  <si>
    <t>Year 4</t>
  </si>
  <si>
    <t>Year 5</t>
  </si>
  <si>
    <t>FREE CASH FLOWS</t>
  </si>
  <si>
    <t>Cash from Operations</t>
  </si>
  <si>
    <t>EBIT</t>
  </si>
  <si>
    <t>EBIT x (1 - Tax Rate)</t>
  </si>
  <si>
    <t>Depreciation</t>
  </si>
  <si>
    <t>Total Cash from Operations</t>
  </si>
  <si>
    <t>Cash in/out on Balance Sheet</t>
  </si>
  <si>
    <t>Terminal Value (Book Value at Time of Sale)</t>
  </si>
  <si>
    <t>Purchase Price (Year 0)</t>
  </si>
  <si>
    <t>TOTAL FREE CASH FLOWS</t>
  </si>
  <si>
    <t>IRR</t>
  </si>
  <si>
    <t>WACC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</si>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</sst>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&quot;$&quot;* #,##0.000_);_(&quot;$&quot;* \(#,##0.000\);_(&quot;$&quot;* &quot;-&quot;??_);_(@_)"/>
    <numFmt numFmtId="168" formatCode="0.00000"/>
    <numFmt numFmtId="169" formatCode="_(&quot;$&quot;* #,##0.0_);_(&quot;$&quot;* \(#,##0.0\);_(&quot;$&quot;* &quot;-&quot;??_);_(@_)"/>
    <numFmt numFmtId="170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B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 applyAlignment="1">
      <alignment horizontal="center"/>
    </xf>
    <xf numFmtId="164" fontId="0" fillId="0" borderId="0" xfId="1" applyNumberFormat="1" applyFont="1"/>
    <xf numFmtId="164" fontId="0" fillId="0" borderId="2" xfId="1" applyNumberFormat="1" applyFont="1" applyBorder="1"/>
    <xf numFmtId="164" fontId="0" fillId="0" borderId="1" xfId="1" applyNumberFormat="1" applyFont="1" applyBorder="1"/>
    <xf numFmtId="165" fontId="0" fillId="0" borderId="0" xfId="2" applyNumberFormat="1" applyFont="1"/>
    <xf numFmtId="44" fontId="0" fillId="0" borderId="0" xfId="0" applyNumberFormat="1"/>
    <xf numFmtId="44" fontId="0" fillId="0" borderId="0" xfId="1" applyFont="1" applyFill="1" applyBorder="1" applyAlignment="1">
      <alignment horizontal="right"/>
    </xf>
    <xf numFmtId="44" fontId="0" fillId="0" borderId="0" xfId="1" applyFont="1" applyAlignment="1">
      <alignment horizontal="right"/>
    </xf>
    <xf numFmtId="0" fontId="0" fillId="0" borderId="3" xfId="0" applyBorder="1" applyAlignment="1">
      <alignment horizontal="center"/>
    </xf>
    <xf numFmtId="166" fontId="0" fillId="0" borderId="0" xfId="3" applyNumberFormat="1" applyFont="1"/>
    <xf numFmtId="166" fontId="0" fillId="0" borderId="2" xfId="3" applyNumberFormat="1" applyFont="1" applyBorder="1"/>
    <xf numFmtId="164" fontId="0" fillId="0" borderId="0" xfId="0" applyNumberFormat="1"/>
    <xf numFmtId="164" fontId="0" fillId="0" borderId="2" xfId="0" applyNumberFormat="1" applyBorder="1"/>
    <xf numFmtId="44" fontId="0" fillId="0" borderId="0" xfId="1" applyFont="1"/>
    <xf numFmtId="0" fontId="0" fillId="0" borderId="0" xfId="0" applyAlignment="1">
      <alignment horizontal="right"/>
    </xf>
    <xf numFmtId="0" fontId="5" fillId="0" borderId="0" xfId="0" applyFont="1"/>
    <xf numFmtId="0" fontId="4" fillId="0" borderId="2" xfId="0" applyFont="1" applyBorder="1" applyAlignment="1">
      <alignment horizontal="center"/>
    </xf>
    <xf numFmtId="0" fontId="0" fillId="0" borderId="2" xfId="0" applyBorder="1"/>
    <xf numFmtId="0" fontId="0" fillId="0" borderId="2" xfId="1" applyNumberFormat="1" applyFont="1" applyBorder="1"/>
    <xf numFmtId="0" fontId="4" fillId="0" borderId="0" xfId="0" applyFont="1"/>
    <xf numFmtId="167" fontId="0" fillId="0" borderId="0" xfId="0" applyNumberFormat="1"/>
    <xf numFmtId="168" fontId="0" fillId="0" borderId="0" xfId="0" applyNumberFormat="1"/>
    <xf numFmtId="164" fontId="4" fillId="0" borderId="0" xfId="0" applyNumberFormat="1" applyFont="1"/>
    <xf numFmtId="164" fontId="0" fillId="0" borderId="0" xfId="1" applyNumberFormat="1" applyFont="1" applyFill="1"/>
    <xf numFmtId="164" fontId="0" fillId="0" borderId="2" xfId="1" applyNumberFormat="1" applyFont="1" applyFill="1" applyBorder="1"/>
    <xf numFmtId="165" fontId="0" fillId="0" borderId="0" xfId="0" applyNumberFormat="1"/>
    <xf numFmtId="169" fontId="0" fillId="0" borderId="0" xfId="0" applyNumberFormat="1"/>
    <xf numFmtId="0" fontId="0" fillId="0" borderId="0" xfId="0" quotePrefix="1"/>
    <xf numFmtId="164" fontId="0" fillId="0" borderId="2" xfId="1" applyNumberFormat="1" applyFont="1" applyBorder="1" applyAlignment="1">
      <alignment horizontal="center"/>
    </xf>
    <xf numFmtId="165" fontId="0" fillId="0" borderId="5" xfId="2" applyNumberFormat="1" applyFont="1" applyBorder="1"/>
    <xf numFmtId="0" fontId="0" fillId="0" borderId="5" xfId="0" applyBorder="1"/>
    <xf numFmtId="0" fontId="3" fillId="0" borderId="5" xfId="0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9" fontId="0" fillId="0" borderId="5" xfId="0" applyNumberFormat="1" applyBorder="1"/>
    <xf numFmtId="164" fontId="0" fillId="0" borderId="5" xfId="1" applyNumberFormat="1" applyFont="1" applyFill="1" applyBorder="1"/>
    <xf numFmtId="164" fontId="0" fillId="0" borderId="8" xfId="1" applyNumberFormat="1" applyFont="1" applyBorder="1"/>
    <xf numFmtId="166" fontId="0" fillId="2" borderId="5" xfId="3" applyNumberFormat="1" applyFont="1" applyFill="1" applyBorder="1"/>
    <xf numFmtId="44" fontId="0" fillId="2" borderId="5" xfId="1" applyFont="1" applyFill="1" applyBorder="1"/>
    <xf numFmtId="44" fontId="0" fillId="2" borderId="0" xfId="1" applyFont="1" applyFill="1"/>
    <xf numFmtId="165" fontId="0" fillId="2" borderId="0" xfId="2" applyNumberFormat="1" applyFont="1" applyFill="1"/>
    <xf numFmtId="170" fontId="0" fillId="2" borderId="0" xfId="0" applyNumberFormat="1" applyFill="1"/>
    <xf numFmtId="164" fontId="0" fillId="2" borderId="0" xfId="1" applyNumberFormat="1" applyFont="1" applyFill="1"/>
    <xf numFmtId="164" fontId="0" fillId="2" borderId="2" xfId="1" applyNumberFormat="1" applyFont="1" applyFill="1" applyBorder="1"/>
    <xf numFmtId="164" fontId="0" fillId="2" borderId="0" xfId="0" applyNumberFormat="1" applyFill="1"/>
    <xf numFmtId="164" fontId="0" fillId="2" borderId="2" xfId="0" applyNumberFormat="1" applyFill="1" applyBorder="1"/>
    <xf numFmtId="10" fontId="0" fillId="2" borderId="0" xfId="0" applyNumberFormat="1" applyFill="1"/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5" fontId="0" fillId="3" borderId="5" xfId="2" applyNumberFormat="1" applyFont="1" applyFill="1" applyBorder="1"/>
    <xf numFmtId="164" fontId="0" fillId="0" borderId="6" xfId="1" applyNumberFormat="1" applyFont="1" applyFill="1" applyBorder="1"/>
    <xf numFmtId="166" fontId="0" fillId="3" borderId="5" xfId="3" applyNumberFormat="1" applyFont="1" applyFill="1" applyBorder="1"/>
    <xf numFmtId="0" fontId="0" fillId="0" borderId="9" xfId="0" applyBorder="1"/>
    <xf numFmtId="165" fontId="7" fillId="4" borderId="5" xfId="0" applyNumberFormat="1" applyFont="1" applyFill="1" applyBorder="1"/>
    <xf numFmtId="165" fontId="7" fillId="4" borderId="0" xfId="0" applyNumberFormat="1" applyFont="1" applyFill="1"/>
    <xf numFmtId="165" fontId="7" fillId="4" borderId="10" xfId="0" applyNumberFormat="1" applyFont="1" applyFill="1" applyBorder="1"/>
    <xf numFmtId="165" fontId="7" fillId="4" borderId="11" xfId="0" applyNumberFormat="1" applyFont="1" applyFill="1" applyBorder="1"/>
    <xf numFmtId="164" fontId="7" fillId="4" borderId="0" xfId="0" applyNumberFormat="1" applyFont="1" applyFill="1"/>
    <xf numFmtId="164" fontId="0" fillId="0" borderId="10" xfId="1" applyNumberFormat="1" applyFont="1" applyBorder="1"/>
    <xf numFmtId="164" fontId="7" fillId="4" borderId="11" xfId="0" applyNumberFormat="1" applyFont="1" applyFill="1" applyBorder="1"/>
    <xf numFmtId="164" fontId="0" fillId="0" borderId="0" xfId="0" applyNumberFormat="1" applyAlignment="1">
      <alignment horizontal="right"/>
    </xf>
    <xf numFmtId="0" fontId="7" fillId="4" borderId="2" xfId="0" applyFont="1" applyFill="1" applyBorder="1"/>
    <xf numFmtId="6" fontId="7" fillId="4" borderId="2" xfId="0" applyNumberFormat="1" applyFont="1" applyFill="1" applyBorder="1"/>
    <xf numFmtId="6" fontId="7" fillId="4" borderId="0" xfId="0" applyNumberFormat="1" applyFont="1" applyFill="1"/>
    <xf numFmtId="170" fontId="7" fillId="4" borderId="5" xfId="0" applyNumberFormat="1" applyFont="1" applyFill="1" applyBorder="1"/>
    <xf numFmtId="0" fontId="0" fillId="0" borderId="2" xfId="0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0" fontId="0" fillId="2" borderId="0" xfId="0" applyNumberFormat="1" applyFont="1" applyFill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109</xdr:row>
      <xdr:rowOff>45720</xdr:rowOff>
    </xdr:from>
    <xdr:to>
      <xdr:col>2</xdr:col>
      <xdr:colOff>495300</xdr:colOff>
      <xdr:row>115</xdr:row>
      <xdr:rowOff>99060</xdr:rowOff>
    </xdr:to>
    <xdr:sp macro="" textlink="">
      <xdr:nvSpPr>
        <xdr:cNvPr id="13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53340" y="20314920"/>
          <a:ext cx="5943600" cy="11506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Based</a:t>
          </a:r>
          <a:r>
            <a:rPr lang="en-US" sz="1100" baseline="0"/>
            <a:t> on the calculations, should the investors  purchase Chips?  Why?</a:t>
          </a:r>
        </a:p>
        <a:p>
          <a:r>
            <a:rPr lang="en-US" sz="1100" i="0" u="sng" baseline="0">
              <a:solidFill>
                <a:schemeClr val="accent6">
                  <a:lumMod val="75000"/>
                </a:schemeClr>
              </a:solidFill>
            </a:rPr>
            <a:t>Yes. Because the IRR is higher then the WACC percentage.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workbookViewId="0">
      <selection activeCell="F13" sqref="F13"/>
    </sheetView>
  </sheetViews>
  <sheetFormatPr defaultRowHeight="15" x14ac:dyDescent="0.25"/>
  <cols>
    <col min="1" max="1" width="36.42578125" customWidth="1"/>
    <col min="2" max="4" width="15.7109375" customWidth="1"/>
  </cols>
  <sheetData>
    <row r="1" spans="1:4" ht="18.75" x14ac:dyDescent="0.3">
      <c r="A1" s="2" t="s">
        <v>0</v>
      </c>
    </row>
    <row r="2" spans="1:4" ht="18.75" x14ac:dyDescent="0.3">
      <c r="A2" s="2" t="s">
        <v>1</v>
      </c>
    </row>
    <row r="3" spans="1:4" ht="14.45" customHeight="1" x14ac:dyDescent="0.3">
      <c r="A3" s="2"/>
    </row>
    <row r="4" spans="1:4" x14ac:dyDescent="0.25">
      <c r="B4" s="3" t="s">
        <v>2</v>
      </c>
      <c r="C4" s="3" t="s">
        <v>3</v>
      </c>
      <c r="D4" s="3" t="s">
        <v>4</v>
      </c>
    </row>
    <row r="5" spans="1:4" x14ac:dyDescent="0.25">
      <c r="A5" t="s">
        <v>5</v>
      </c>
      <c r="B5" s="4">
        <v>1152236</v>
      </c>
      <c r="C5" s="4">
        <v>1168712</v>
      </c>
      <c r="D5" s="4">
        <v>1182139</v>
      </c>
    </row>
    <row r="6" spans="1:4" x14ac:dyDescent="0.25">
      <c r="A6" t="s">
        <v>6</v>
      </c>
      <c r="B6" s="5">
        <v>461847</v>
      </c>
      <c r="C6" s="5">
        <v>458384</v>
      </c>
      <c r="D6" s="5">
        <v>474036</v>
      </c>
    </row>
    <row r="7" spans="1:4" x14ac:dyDescent="0.25">
      <c r="A7" t="s">
        <v>7</v>
      </c>
      <c r="B7" s="4">
        <f>B5-B6</f>
        <v>690389</v>
      </c>
      <c r="C7" s="4">
        <f>C5-C6</f>
        <v>710328</v>
      </c>
      <c r="D7" s="4">
        <f>D5-D6</f>
        <v>708103</v>
      </c>
    </row>
    <row r="8" spans="1:4" x14ac:dyDescent="0.25">
      <c r="A8" t="s">
        <v>8</v>
      </c>
      <c r="B8" s="7">
        <f>B7/B5</f>
        <v>0.59917325964472556</v>
      </c>
      <c r="C8" s="7">
        <f>C7/C5</f>
        <v>0.60778703393137057</v>
      </c>
      <c r="D8" s="7">
        <f>D7/D5</f>
        <v>0.5990014710622017</v>
      </c>
    </row>
    <row r="9" spans="1:4" x14ac:dyDescent="0.25">
      <c r="B9" s="4"/>
      <c r="C9" s="4"/>
      <c r="D9" s="4"/>
    </row>
    <row r="10" spans="1:4" x14ac:dyDescent="0.25">
      <c r="A10" s="1" t="s">
        <v>9</v>
      </c>
      <c r="B10" s="4"/>
      <c r="C10" s="4"/>
      <c r="D10" s="4"/>
    </row>
    <row r="11" spans="1:4" x14ac:dyDescent="0.25">
      <c r="A11" t="s">
        <v>10</v>
      </c>
      <c r="B11" s="4">
        <v>110034</v>
      </c>
      <c r="C11" s="4">
        <v>112235</v>
      </c>
      <c r="D11" s="4">
        <v>114480</v>
      </c>
    </row>
    <row r="12" spans="1:4" x14ac:dyDescent="0.25">
      <c r="A12" t="s">
        <v>11</v>
      </c>
      <c r="B12" s="4">
        <v>43965</v>
      </c>
      <c r="C12" s="4">
        <v>45010</v>
      </c>
      <c r="D12" s="4">
        <v>39222</v>
      </c>
    </row>
    <row r="13" spans="1:4" x14ac:dyDescent="0.25">
      <c r="A13" t="s">
        <v>12</v>
      </c>
      <c r="B13" s="4">
        <v>150000</v>
      </c>
      <c r="C13" s="4">
        <v>153000</v>
      </c>
      <c r="D13" s="4">
        <v>156060</v>
      </c>
    </row>
    <row r="14" spans="1:4" x14ac:dyDescent="0.25">
      <c r="A14" t="s">
        <v>13</v>
      </c>
      <c r="B14" s="4">
        <v>47100</v>
      </c>
      <c r="C14" s="4">
        <v>47586</v>
      </c>
      <c r="D14" s="4">
        <v>48376</v>
      </c>
    </row>
    <row r="15" spans="1:4" x14ac:dyDescent="0.25">
      <c r="A15" t="s">
        <v>14</v>
      </c>
      <c r="B15" s="4">
        <v>237915</v>
      </c>
      <c r="C15" s="4">
        <v>241335</v>
      </c>
      <c r="D15" s="4">
        <v>245520.00000000003</v>
      </c>
    </row>
    <row r="16" spans="1:4" x14ac:dyDescent="0.25">
      <c r="A16" t="s">
        <v>15</v>
      </c>
      <c r="B16" s="4">
        <v>14751</v>
      </c>
      <c r="C16" s="4">
        <v>14962.77</v>
      </c>
      <c r="D16" s="4">
        <v>15222.240000000002</v>
      </c>
    </row>
    <row r="17" spans="1:5" x14ac:dyDescent="0.25">
      <c r="A17" t="s">
        <v>16</v>
      </c>
      <c r="B17" s="4">
        <v>13532</v>
      </c>
      <c r="C17" s="4">
        <v>19813</v>
      </c>
      <c r="D17" s="4">
        <v>15566</v>
      </c>
    </row>
    <row r="18" spans="1:5" x14ac:dyDescent="0.25">
      <c r="A18" t="s">
        <v>17</v>
      </c>
      <c r="B18" s="4">
        <v>27949</v>
      </c>
      <c r="C18" s="4">
        <v>32264</v>
      </c>
      <c r="D18" s="4">
        <v>29633</v>
      </c>
    </row>
    <row r="19" spans="1:5" x14ac:dyDescent="0.25">
      <c r="A19" t="s">
        <v>18</v>
      </c>
      <c r="B19" s="4">
        <v>2250</v>
      </c>
      <c r="C19" s="4">
        <v>4378</v>
      </c>
      <c r="D19" s="4">
        <v>2444</v>
      </c>
    </row>
    <row r="20" spans="1:5" x14ac:dyDescent="0.25">
      <c r="A20" t="s">
        <v>19</v>
      </c>
      <c r="B20" s="4">
        <v>7583</v>
      </c>
      <c r="C20" s="4">
        <v>9267</v>
      </c>
      <c r="D20" s="4">
        <v>8497</v>
      </c>
    </row>
    <row r="21" spans="1:5" x14ac:dyDescent="0.25">
      <c r="A21" t="s">
        <v>20</v>
      </c>
      <c r="B21" s="4">
        <v>6849</v>
      </c>
      <c r="C21" s="4">
        <v>6986</v>
      </c>
      <c r="D21" s="4">
        <v>7161</v>
      </c>
    </row>
    <row r="22" spans="1:5" x14ac:dyDescent="0.25">
      <c r="A22" t="s">
        <v>21</v>
      </c>
      <c r="B22" s="5">
        <v>11731</v>
      </c>
      <c r="C22" s="5">
        <v>12641</v>
      </c>
      <c r="D22" s="5">
        <v>13390</v>
      </c>
      <c r="E22" s="14"/>
    </row>
    <row r="23" spans="1:5" x14ac:dyDescent="0.25">
      <c r="A23" t="s">
        <v>22</v>
      </c>
      <c r="B23" s="4">
        <f>SUM(B11:B22)</f>
        <v>673659</v>
      </c>
      <c r="C23" s="4">
        <f>SUM(C11:C22)</f>
        <v>699477.77</v>
      </c>
      <c r="D23" s="4">
        <f>SUM(D11:D22)</f>
        <v>695571.24</v>
      </c>
    </row>
    <row r="24" spans="1:5" x14ac:dyDescent="0.25">
      <c r="B24" s="4"/>
      <c r="C24" s="4"/>
      <c r="D24" s="4"/>
    </row>
    <row r="25" spans="1:5" x14ac:dyDescent="0.25">
      <c r="A25" t="s">
        <v>23</v>
      </c>
      <c r="B25" s="4">
        <f>B7-B23</f>
        <v>16730</v>
      </c>
      <c r="C25" s="4">
        <f>C7-C23</f>
        <v>10850.229999999981</v>
      </c>
      <c r="D25" s="4">
        <f>D7-D23</f>
        <v>12531.760000000009</v>
      </c>
    </row>
    <row r="26" spans="1:5" x14ac:dyDescent="0.25">
      <c r="B26" s="4"/>
      <c r="C26" s="4"/>
      <c r="D26" s="4"/>
    </row>
    <row r="27" spans="1:5" x14ac:dyDescent="0.25">
      <c r="A27" t="s">
        <v>24</v>
      </c>
      <c r="B27" s="4">
        <v>10983</v>
      </c>
      <c r="C27" s="4">
        <v>9497</v>
      </c>
      <c r="D27" s="4">
        <v>11254</v>
      </c>
    </row>
    <row r="28" spans="1:5" x14ac:dyDescent="0.25">
      <c r="A28" t="s">
        <v>25</v>
      </c>
      <c r="B28" s="5">
        <v>0</v>
      </c>
      <c r="C28" s="5">
        <v>130</v>
      </c>
      <c r="D28" s="5">
        <v>320</v>
      </c>
    </row>
    <row r="29" spans="1:5" ht="15.75" thickBot="1" x14ac:dyDescent="0.3">
      <c r="A29" t="s">
        <v>26</v>
      </c>
      <c r="B29" s="6">
        <f>B25-B27-B28</f>
        <v>5747</v>
      </c>
      <c r="C29" s="6">
        <f>C25-C27-C28</f>
        <v>1223.2299999999814</v>
      </c>
      <c r="D29" s="6">
        <f>D25-D27-D28</f>
        <v>957.76000000000931</v>
      </c>
    </row>
    <row r="30" spans="1:5" ht="15.75" thickTop="1" x14ac:dyDescent="0.25">
      <c r="A30" t="s">
        <v>27</v>
      </c>
      <c r="B30" s="7">
        <f>B29/B5</f>
        <v>4.9876934933468491E-3</v>
      </c>
      <c r="C30" s="7">
        <f>C29/C5</f>
        <v>1.0466479337937673E-3</v>
      </c>
      <c r="D30" s="7">
        <f>D29/D5</f>
        <v>8.1019237162466458E-4</v>
      </c>
    </row>
    <row r="31" spans="1:5" x14ac:dyDescent="0.25">
      <c r="B31" s="8"/>
    </row>
    <row r="32" spans="1:5" ht="18.75" x14ac:dyDescent="0.3">
      <c r="A32" s="2" t="s">
        <v>0</v>
      </c>
      <c r="B32" s="23"/>
      <c r="C32" s="23"/>
      <c r="D32" s="29"/>
    </row>
    <row r="33" spans="1:4" ht="18.75" x14ac:dyDescent="0.3">
      <c r="A33" s="2" t="s">
        <v>28</v>
      </c>
      <c r="B33" s="8"/>
    </row>
    <row r="35" spans="1:4" x14ac:dyDescent="0.25">
      <c r="A35" s="1" t="s">
        <v>29</v>
      </c>
      <c r="B35" s="8"/>
    </row>
    <row r="36" spans="1:4" x14ac:dyDescent="0.25">
      <c r="A36" t="s">
        <v>30</v>
      </c>
      <c r="B36" s="4">
        <v>155170</v>
      </c>
      <c r="C36" s="4">
        <v>148420</v>
      </c>
      <c r="D36" s="4">
        <v>158875</v>
      </c>
    </row>
    <row r="37" spans="1:4" x14ac:dyDescent="0.25">
      <c r="A37" t="s">
        <v>31</v>
      </c>
      <c r="B37" s="5">
        <v>10887</v>
      </c>
      <c r="C37" s="5">
        <v>16007</v>
      </c>
      <c r="D37" s="5">
        <v>17055</v>
      </c>
    </row>
    <row r="38" spans="1:4" x14ac:dyDescent="0.25">
      <c r="A38" t="s">
        <v>32</v>
      </c>
      <c r="B38" s="4">
        <f>SUM(B36:B37)</f>
        <v>166057</v>
      </c>
      <c r="C38" s="4">
        <f>SUM(C36:C37)</f>
        <v>164427</v>
      </c>
      <c r="D38" s="4">
        <f>SUM(D36:D37)</f>
        <v>175930</v>
      </c>
    </row>
    <row r="39" spans="1:4" x14ac:dyDescent="0.25">
      <c r="B39" s="4"/>
      <c r="C39" s="4"/>
      <c r="D39" s="4"/>
    </row>
    <row r="40" spans="1:4" x14ac:dyDescent="0.25">
      <c r="A40" t="s">
        <v>33</v>
      </c>
      <c r="B40" s="4">
        <v>117313</v>
      </c>
      <c r="C40" s="4">
        <v>126413</v>
      </c>
      <c r="D40" s="4">
        <v>133896</v>
      </c>
    </row>
    <row r="41" spans="1:4" x14ac:dyDescent="0.25">
      <c r="A41" t="s">
        <v>34</v>
      </c>
      <c r="B41" s="5">
        <v>-11731</v>
      </c>
      <c r="C41" s="5">
        <v>-24373</v>
      </c>
      <c r="D41" s="5">
        <v>-37762</v>
      </c>
    </row>
    <row r="42" spans="1:4" x14ac:dyDescent="0.25">
      <c r="A42" t="s">
        <v>35</v>
      </c>
      <c r="B42" s="4">
        <f>B40+B41</f>
        <v>105582</v>
      </c>
      <c r="C42" s="4">
        <f t="shared" ref="C42:D42" si="0">C40+C41</f>
        <v>102040</v>
      </c>
      <c r="D42" s="4">
        <f t="shared" si="0"/>
        <v>96134</v>
      </c>
    </row>
    <row r="43" spans="1:4" x14ac:dyDescent="0.25">
      <c r="B43" s="4"/>
      <c r="C43" s="4"/>
      <c r="D43" s="4"/>
    </row>
    <row r="44" spans="1:4" ht="15.75" thickBot="1" x14ac:dyDescent="0.3">
      <c r="A44" t="s">
        <v>36</v>
      </c>
      <c r="B44" s="6">
        <f>B38+B42</f>
        <v>271639</v>
      </c>
      <c r="C44" s="6">
        <f t="shared" ref="C44:D44" si="1">C38+C42</f>
        <v>266467</v>
      </c>
      <c r="D44" s="6">
        <f t="shared" si="1"/>
        <v>272064</v>
      </c>
    </row>
    <row r="45" spans="1:4" ht="15.75" thickTop="1" x14ac:dyDescent="0.25">
      <c r="B45" s="4"/>
      <c r="C45" s="4"/>
      <c r="D45" s="4"/>
    </row>
    <row r="46" spans="1:4" x14ac:dyDescent="0.25">
      <c r="A46" s="1" t="s">
        <v>37</v>
      </c>
      <c r="B46" s="4"/>
      <c r="C46" s="4"/>
      <c r="D46" s="4"/>
    </row>
    <row r="47" spans="1:4" x14ac:dyDescent="0.25">
      <c r="A47" t="s">
        <v>38</v>
      </c>
      <c r="B47" s="4">
        <v>51393</v>
      </c>
      <c r="C47" s="4">
        <v>60416</v>
      </c>
      <c r="D47" s="4">
        <v>62130</v>
      </c>
    </row>
    <row r="48" spans="1:4" x14ac:dyDescent="0.25">
      <c r="A48" t="s">
        <v>39</v>
      </c>
      <c r="B48" s="5">
        <v>0</v>
      </c>
      <c r="C48" s="5">
        <v>130</v>
      </c>
      <c r="D48" s="5">
        <v>320</v>
      </c>
    </row>
    <row r="49" spans="1:4" x14ac:dyDescent="0.25">
      <c r="A49" t="s">
        <v>40</v>
      </c>
      <c r="B49" s="4">
        <f>SUM(B47:B48)</f>
        <v>51393</v>
      </c>
      <c r="C49" s="4">
        <f>SUM(C47:C48)</f>
        <v>60546</v>
      </c>
      <c r="D49" s="4">
        <f>SUM(D47:D48)</f>
        <v>62450</v>
      </c>
    </row>
    <row r="50" spans="1:4" x14ac:dyDescent="0.25">
      <c r="B50" s="4"/>
      <c r="C50" s="4"/>
      <c r="D50" s="4"/>
    </row>
    <row r="51" spans="1:4" x14ac:dyDescent="0.25">
      <c r="A51" t="s">
        <v>41</v>
      </c>
      <c r="B51" s="5">
        <v>114499</v>
      </c>
      <c r="C51" s="5">
        <v>98951</v>
      </c>
      <c r="D51" s="27">
        <v>101685.99</v>
      </c>
    </row>
    <row r="52" spans="1:4" x14ac:dyDescent="0.25">
      <c r="A52" t="s">
        <v>42</v>
      </c>
      <c r="B52" s="4">
        <f>B49+B51</f>
        <v>165892</v>
      </c>
      <c r="C52" s="4">
        <f t="shared" ref="C52:D52" si="2">C49+C51</f>
        <v>159497</v>
      </c>
      <c r="D52" s="26">
        <f t="shared" si="2"/>
        <v>164135.99</v>
      </c>
    </row>
    <row r="53" spans="1:4" x14ac:dyDescent="0.25">
      <c r="B53" s="4"/>
      <c r="C53" s="4"/>
      <c r="D53" s="26"/>
    </row>
    <row r="54" spans="1:4" x14ac:dyDescent="0.25">
      <c r="A54" t="s">
        <v>43</v>
      </c>
      <c r="B54" s="4">
        <v>100000</v>
      </c>
      <c r="C54" s="4">
        <v>100000</v>
      </c>
      <c r="D54" s="26">
        <v>100000</v>
      </c>
    </row>
    <row r="55" spans="1:4" x14ac:dyDescent="0.25">
      <c r="A55" t="s">
        <v>44</v>
      </c>
      <c r="B55" s="5">
        <v>5747</v>
      </c>
      <c r="C55" s="5">
        <f>B55+C29</f>
        <v>6970.2299999999814</v>
      </c>
      <c r="D55" s="5">
        <f>C55+D29</f>
        <v>7927.9899999999907</v>
      </c>
    </row>
    <row r="56" spans="1:4" x14ac:dyDescent="0.25">
      <c r="A56" t="s">
        <v>45</v>
      </c>
      <c r="B56" s="4">
        <f>SUM(B54:B55)</f>
        <v>105747</v>
      </c>
      <c r="C56" s="4">
        <f t="shared" ref="C56:D56" si="3">SUM(C54:C55)</f>
        <v>106970.22999999998</v>
      </c>
      <c r="D56" s="4">
        <f t="shared" si="3"/>
        <v>107927.98999999999</v>
      </c>
    </row>
    <row r="57" spans="1:4" x14ac:dyDescent="0.25">
      <c r="B57" s="4"/>
      <c r="C57" s="4"/>
      <c r="D57" s="4"/>
    </row>
    <row r="58" spans="1:4" ht="15.75" thickBot="1" x14ac:dyDescent="0.3">
      <c r="A58" t="s">
        <v>46</v>
      </c>
      <c r="B58" s="6">
        <f>B52+B56</f>
        <v>271639</v>
      </c>
      <c r="C58" s="6">
        <f t="shared" ref="C58:D58" si="4">C52+C56</f>
        <v>266467.23</v>
      </c>
      <c r="D58" s="6">
        <f t="shared" si="4"/>
        <v>272063.98</v>
      </c>
    </row>
    <row r="59" spans="1:4" ht="15.75" thickTop="1" x14ac:dyDescent="0.25">
      <c r="B59" s="4"/>
      <c r="C59" s="4"/>
      <c r="D59" s="4"/>
    </row>
    <row r="60" spans="1:4" x14ac:dyDescent="0.25">
      <c r="B60" s="4"/>
      <c r="C60" s="4"/>
      <c r="D60" s="4"/>
    </row>
    <row r="61" spans="1:4" x14ac:dyDescent="0.25">
      <c r="B61" s="4"/>
      <c r="C61" s="4"/>
      <c r="D61" s="4"/>
    </row>
    <row r="62" spans="1:4" x14ac:dyDescent="0.25">
      <c r="C62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topLeftCell="A7" workbookViewId="0">
      <selection activeCell="B11" sqref="B11"/>
    </sheetView>
  </sheetViews>
  <sheetFormatPr defaultRowHeight="15" x14ac:dyDescent="0.25"/>
  <cols>
    <col min="1" max="1" width="45" customWidth="1"/>
    <col min="2" max="2" width="14.28515625" customWidth="1"/>
    <col min="3" max="5" width="11.140625" bestFit="1" customWidth="1"/>
    <col min="6" max="6" width="10.140625" bestFit="1" customWidth="1"/>
  </cols>
  <sheetData>
    <row r="1" spans="1:6" x14ac:dyDescent="0.25">
      <c r="A1" t="s">
        <v>0</v>
      </c>
    </row>
    <row r="2" spans="1:6" x14ac:dyDescent="0.25">
      <c r="A2" t="s">
        <v>47</v>
      </c>
    </row>
    <row r="3" spans="1:6" x14ac:dyDescent="0.25">
      <c r="A3" t="s">
        <v>48</v>
      </c>
    </row>
    <row r="5" spans="1:6" x14ac:dyDescent="0.25">
      <c r="B5" s="3">
        <v>2017</v>
      </c>
      <c r="C5" s="3">
        <v>2018</v>
      </c>
      <c r="D5" s="3">
        <v>2019</v>
      </c>
    </row>
    <row r="6" spans="1:6" x14ac:dyDescent="0.25">
      <c r="A6" t="s">
        <v>49</v>
      </c>
      <c r="B6" s="4">
        <v>50000</v>
      </c>
      <c r="C6" s="4">
        <v>51000</v>
      </c>
      <c r="D6" s="4">
        <v>52020</v>
      </c>
      <c r="E6" s="4"/>
    </row>
    <row r="7" spans="1:6" x14ac:dyDescent="0.25">
      <c r="A7" t="s">
        <v>50</v>
      </c>
      <c r="B7" s="20">
        <v>3</v>
      </c>
      <c r="C7" s="21">
        <v>3</v>
      </c>
      <c r="D7" s="21">
        <v>3</v>
      </c>
      <c r="E7" s="4"/>
    </row>
    <row r="8" spans="1:6" x14ac:dyDescent="0.25">
      <c r="A8" s="22" t="s">
        <v>51</v>
      </c>
      <c r="B8" s="25">
        <f>B6*B7</f>
        <v>150000</v>
      </c>
      <c r="C8" s="25">
        <f t="shared" ref="C8:D8" si="0">C6*C7</f>
        <v>153000</v>
      </c>
      <c r="D8" s="25">
        <f t="shared" si="0"/>
        <v>156060</v>
      </c>
      <c r="E8" s="4"/>
    </row>
    <row r="9" spans="1:6" x14ac:dyDescent="0.25">
      <c r="B9" s="14"/>
      <c r="C9" s="14"/>
      <c r="D9" s="14"/>
      <c r="E9" s="4"/>
    </row>
    <row r="10" spans="1:6" x14ac:dyDescent="0.25">
      <c r="A10" s="22" t="s">
        <v>52</v>
      </c>
      <c r="B10" s="25">
        <v>37800</v>
      </c>
      <c r="C10" s="25">
        <v>38100</v>
      </c>
      <c r="D10" s="25">
        <v>38700</v>
      </c>
      <c r="E10" s="4"/>
    </row>
    <row r="11" spans="1:6" x14ac:dyDescent="0.25">
      <c r="B11" s="14"/>
      <c r="C11" s="14"/>
      <c r="D11" s="14"/>
      <c r="E11" s="4"/>
      <c r="F11" s="8"/>
    </row>
    <row r="12" spans="1:6" x14ac:dyDescent="0.25">
      <c r="A12" t="s">
        <v>53</v>
      </c>
      <c r="B12" s="7">
        <v>6.2E-2</v>
      </c>
      <c r="C12" s="7">
        <v>6.2E-2</v>
      </c>
      <c r="D12" s="7">
        <v>6.2E-2</v>
      </c>
    </row>
    <row r="14" spans="1:6" x14ac:dyDescent="0.25">
      <c r="A14" t="s">
        <v>54</v>
      </c>
      <c r="B14" s="16">
        <v>8.5</v>
      </c>
      <c r="C14" s="16">
        <v>8.65</v>
      </c>
      <c r="D14" s="16">
        <v>8.8000000000000007</v>
      </c>
      <c r="E14" s="16"/>
    </row>
    <row r="15" spans="1:6" x14ac:dyDescent="0.25">
      <c r="A15" t="s">
        <v>55</v>
      </c>
      <c r="B15">
        <v>311</v>
      </c>
      <c r="C15">
        <v>310</v>
      </c>
      <c r="D15">
        <v>310</v>
      </c>
    </row>
    <row r="16" spans="1:6" x14ac:dyDescent="0.25">
      <c r="A16" t="s">
        <v>56</v>
      </c>
      <c r="B16">
        <v>10</v>
      </c>
      <c r="C16">
        <v>10</v>
      </c>
      <c r="D16">
        <v>10</v>
      </c>
    </row>
    <row r="18" spans="1:5" x14ac:dyDescent="0.25">
      <c r="A18" s="18" t="s">
        <v>57</v>
      </c>
    </row>
    <row r="19" spans="1:5" x14ac:dyDescent="0.25">
      <c r="A19" t="s">
        <v>58</v>
      </c>
      <c r="B19">
        <v>2</v>
      </c>
      <c r="C19">
        <v>2</v>
      </c>
      <c r="D19">
        <v>2</v>
      </c>
    </row>
    <row r="20" spans="1:5" x14ac:dyDescent="0.25">
      <c r="A20" t="s">
        <v>59</v>
      </c>
      <c r="B20">
        <v>2</v>
      </c>
      <c r="C20">
        <v>2</v>
      </c>
      <c r="D20">
        <v>2</v>
      </c>
    </row>
    <row r="21" spans="1:5" x14ac:dyDescent="0.25">
      <c r="A21" t="s">
        <v>60</v>
      </c>
      <c r="B21">
        <v>2</v>
      </c>
      <c r="C21">
        <v>2</v>
      </c>
      <c r="D21">
        <v>2</v>
      </c>
    </row>
    <row r="22" spans="1:5" x14ac:dyDescent="0.25">
      <c r="A22" s="18" t="s">
        <v>61</v>
      </c>
    </row>
    <row r="23" spans="1:5" x14ac:dyDescent="0.25">
      <c r="A23" t="s">
        <v>58</v>
      </c>
      <c r="B23">
        <v>1</v>
      </c>
      <c r="C23">
        <v>1</v>
      </c>
      <c r="D23">
        <v>1</v>
      </c>
    </row>
    <row r="24" spans="1:5" x14ac:dyDescent="0.25">
      <c r="A24" t="s">
        <v>59</v>
      </c>
      <c r="B24">
        <v>1</v>
      </c>
      <c r="C24">
        <v>1</v>
      </c>
      <c r="D24">
        <v>1</v>
      </c>
    </row>
    <row r="25" spans="1:5" x14ac:dyDescent="0.25">
      <c r="A25" t="s">
        <v>60</v>
      </c>
      <c r="B25" s="20">
        <v>1</v>
      </c>
      <c r="C25" s="20">
        <v>1</v>
      </c>
      <c r="D25" s="20">
        <v>1</v>
      </c>
    </row>
    <row r="26" spans="1:5" x14ac:dyDescent="0.25">
      <c r="A26" t="s">
        <v>62</v>
      </c>
      <c r="B26">
        <f>SUM(B19:B25)</f>
        <v>9</v>
      </c>
      <c r="C26">
        <f t="shared" ref="C26:D26" si="1">SUM(C19:C25)</f>
        <v>9</v>
      </c>
      <c r="D26">
        <f t="shared" si="1"/>
        <v>9</v>
      </c>
    </row>
    <row r="28" spans="1:5" x14ac:dyDescent="0.25">
      <c r="A28" t="s">
        <v>63</v>
      </c>
      <c r="B28" s="4">
        <f>B26*B16*B15*B14</f>
        <v>237915</v>
      </c>
      <c r="C28" s="4">
        <f t="shared" ref="C28:D28" si="2">C26*C16*C15*C14</f>
        <v>241335</v>
      </c>
      <c r="D28" s="4">
        <f t="shared" si="2"/>
        <v>245520.00000000003</v>
      </c>
      <c r="E28" s="14"/>
    </row>
    <row r="30" spans="1:5" x14ac:dyDescent="0.25">
      <c r="A30" t="s">
        <v>64</v>
      </c>
      <c r="B30" s="14">
        <f>B28+B8</f>
        <v>387915</v>
      </c>
      <c r="C30" s="14">
        <f>C28+C8</f>
        <v>394335</v>
      </c>
      <c r="D30" s="14">
        <f>D28+D8</f>
        <v>401580</v>
      </c>
    </row>
    <row r="32" spans="1:5" x14ac:dyDescent="0.25">
      <c r="A32" t="s">
        <v>65</v>
      </c>
      <c r="B32" s="14">
        <f>B10</f>
        <v>37800</v>
      </c>
      <c r="C32" s="14">
        <f t="shared" ref="C32:D32" si="3">C10</f>
        <v>38100</v>
      </c>
      <c r="D32" s="14">
        <f t="shared" si="3"/>
        <v>38700</v>
      </c>
    </row>
    <row r="33" spans="1:4" x14ac:dyDescent="0.25">
      <c r="A33" t="s">
        <v>53</v>
      </c>
      <c r="B33" s="15">
        <f>B12*B30</f>
        <v>24050.73</v>
      </c>
      <c r="C33" s="15">
        <f t="shared" ref="C33:D33" si="4">C12*C30</f>
        <v>24448.77</v>
      </c>
      <c r="D33" s="15">
        <f t="shared" si="4"/>
        <v>24897.96</v>
      </c>
    </row>
    <row r="34" spans="1:4" x14ac:dyDescent="0.25">
      <c r="A34" t="s">
        <v>66</v>
      </c>
      <c r="B34" s="14">
        <f>B32+B33</f>
        <v>61850.729999999996</v>
      </c>
      <c r="C34" s="14">
        <f t="shared" ref="C34:D34" si="5">C32+C33</f>
        <v>62548.770000000004</v>
      </c>
      <c r="D34" s="14">
        <f t="shared" si="5"/>
        <v>63597.96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topLeftCell="A22" workbookViewId="0">
      <selection activeCell="D38" sqref="D38"/>
    </sheetView>
  </sheetViews>
  <sheetFormatPr defaultRowHeight="15" x14ac:dyDescent="0.25"/>
  <cols>
    <col min="1" max="1" width="24" customWidth="1"/>
    <col min="2" max="2" width="12.140625" bestFit="1" customWidth="1"/>
    <col min="3" max="3" width="12" customWidth="1"/>
    <col min="4" max="4" width="11" customWidth="1"/>
    <col min="5" max="5" width="18" customWidth="1"/>
    <col min="6" max="6" width="13.7109375" customWidth="1"/>
    <col min="8" max="8" width="10.7109375" customWidth="1"/>
    <col min="10" max="10" width="12.7109375" customWidth="1"/>
  </cols>
  <sheetData>
    <row r="1" spans="1:8" x14ac:dyDescent="0.25">
      <c r="A1" t="s">
        <v>0</v>
      </c>
    </row>
    <row r="2" spans="1:8" x14ac:dyDescent="0.25">
      <c r="A2" t="s">
        <v>67</v>
      </c>
    </row>
    <row r="3" spans="1:8" x14ac:dyDescent="0.25">
      <c r="B3" s="3">
        <v>2017</v>
      </c>
      <c r="C3" s="3">
        <v>2018</v>
      </c>
      <c r="D3" s="3">
        <v>2019</v>
      </c>
      <c r="F3" s="69" t="s">
        <v>68</v>
      </c>
      <c r="G3" s="69"/>
      <c r="H3" s="69"/>
    </row>
    <row r="4" spans="1:8" x14ac:dyDescent="0.25">
      <c r="A4" s="18" t="s">
        <v>58</v>
      </c>
      <c r="G4" s="11" t="s">
        <v>69</v>
      </c>
      <c r="H4" s="11" t="s">
        <v>70</v>
      </c>
    </row>
    <row r="5" spans="1:8" x14ac:dyDescent="0.25">
      <c r="A5" t="s">
        <v>71</v>
      </c>
      <c r="B5" s="12">
        <v>48544</v>
      </c>
      <c r="C5" s="12">
        <v>48758</v>
      </c>
      <c r="D5" s="12">
        <v>43543</v>
      </c>
      <c r="F5" t="s">
        <v>72</v>
      </c>
      <c r="G5" s="9">
        <v>3</v>
      </c>
      <c r="H5" s="8">
        <f>G5</f>
        <v>3</v>
      </c>
    </row>
    <row r="6" spans="1:8" x14ac:dyDescent="0.25">
      <c r="A6" t="s">
        <v>73</v>
      </c>
      <c r="B6" s="13">
        <v>20653</v>
      </c>
      <c r="C6" s="13">
        <v>20812</v>
      </c>
      <c r="D6" s="13">
        <v>23074</v>
      </c>
      <c r="F6" t="s">
        <v>74</v>
      </c>
      <c r="G6" s="10">
        <v>10</v>
      </c>
      <c r="H6" s="8">
        <f>G6/4</f>
        <v>2.5</v>
      </c>
    </row>
    <row r="7" spans="1:8" x14ac:dyDescent="0.25">
      <c r="A7" t="s">
        <v>75</v>
      </c>
      <c r="B7" s="12">
        <f>B5+(B6*4)</f>
        <v>131156</v>
      </c>
      <c r="C7" s="12">
        <f t="shared" ref="C7:D7" si="0">C5+(C6*4)</f>
        <v>132006</v>
      </c>
      <c r="D7" s="12">
        <f t="shared" si="0"/>
        <v>135839</v>
      </c>
    </row>
    <row r="9" spans="1:8" x14ac:dyDescent="0.25">
      <c r="A9" t="s">
        <v>76</v>
      </c>
      <c r="B9" s="4">
        <f>B5*3</f>
        <v>145632</v>
      </c>
      <c r="C9" s="4">
        <f t="shared" ref="C9:D9" si="1">C5*3</f>
        <v>146274</v>
      </c>
      <c r="D9" s="4">
        <f t="shared" si="1"/>
        <v>130629</v>
      </c>
    </row>
    <row r="10" spans="1:8" x14ac:dyDescent="0.25">
      <c r="A10" t="s">
        <v>77</v>
      </c>
      <c r="B10" s="5">
        <f>B6*10</f>
        <v>206530</v>
      </c>
      <c r="C10" s="5">
        <f t="shared" ref="C10:D10" si="2">C6*10</f>
        <v>208120</v>
      </c>
      <c r="D10" s="5">
        <f t="shared" si="2"/>
        <v>230740</v>
      </c>
    </row>
    <row r="11" spans="1:8" x14ac:dyDescent="0.25">
      <c r="A11" t="s">
        <v>78</v>
      </c>
      <c r="B11" s="4">
        <f>SUM(B9:B10)</f>
        <v>352162</v>
      </c>
      <c r="C11" s="4">
        <f t="shared" ref="C11:D11" si="3">SUM(C9:C10)</f>
        <v>354394</v>
      </c>
      <c r="D11" s="4">
        <f t="shared" si="3"/>
        <v>361369</v>
      </c>
    </row>
    <row r="13" spans="1:8" x14ac:dyDescent="0.25">
      <c r="A13" s="18" t="s">
        <v>59</v>
      </c>
    </row>
    <row r="14" spans="1:8" x14ac:dyDescent="0.25">
      <c r="A14" t="s">
        <v>71</v>
      </c>
      <c r="B14" s="12">
        <v>50983</v>
      </c>
      <c r="C14" s="12">
        <v>50483</v>
      </c>
      <c r="D14" s="12">
        <v>47437</v>
      </c>
    </row>
    <row r="15" spans="1:8" x14ac:dyDescent="0.25">
      <c r="A15" t="s">
        <v>73</v>
      </c>
      <c r="B15" s="13">
        <v>24446</v>
      </c>
      <c r="C15" s="13">
        <v>25246</v>
      </c>
      <c r="D15" s="13">
        <v>26908</v>
      </c>
    </row>
    <row r="16" spans="1:8" x14ac:dyDescent="0.25">
      <c r="A16" t="s">
        <v>75</v>
      </c>
      <c r="B16" s="12">
        <f>B14+(B15*4)</f>
        <v>148767</v>
      </c>
      <c r="C16" s="12">
        <f t="shared" ref="C16" si="4">C14+(C15*4)</f>
        <v>151467</v>
      </c>
      <c r="D16" s="12">
        <f t="shared" ref="D16" si="5">D14+(D15*4)</f>
        <v>155069</v>
      </c>
    </row>
    <row r="18" spans="1:4" x14ac:dyDescent="0.25">
      <c r="A18" t="s">
        <v>76</v>
      </c>
      <c r="B18" s="4">
        <f>B14*3</f>
        <v>152949</v>
      </c>
      <c r="C18" s="4">
        <f t="shared" ref="C18:D18" si="6">C14*3</f>
        <v>151449</v>
      </c>
      <c r="D18" s="4">
        <f t="shared" si="6"/>
        <v>142311</v>
      </c>
    </row>
    <row r="19" spans="1:4" x14ac:dyDescent="0.25">
      <c r="A19" t="s">
        <v>77</v>
      </c>
      <c r="B19" s="5">
        <f>B15*10</f>
        <v>244460</v>
      </c>
      <c r="C19" s="5">
        <f t="shared" ref="C19:D19" si="7">C15*10</f>
        <v>252460</v>
      </c>
      <c r="D19" s="5">
        <f t="shared" si="7"/>
        <v>269080</v>
      </c>
    </row>
    <row r="20" spans="1:4" x14ac:dyDescent="0.25">
      <c r="A20" t="s">
        <v>78</v>
      </c>
      <c r="B20" s="4">
        <f>SUM(B18:B19)</f>
        <v>397409</v>
      </c>
      <c r="C20" s="4">
        <f t="shared" ref="C20" si="8">SUM(C18:C19)</f>
        <v>403909</v>
      </c>
      <c r="D20" s="4">
        <f t="shared" ref="D20" si="9">SUM(D18:D19)</f>
        <v>411391</v>
      </c>
    </row>
    <row r="22" spans="1:4" x14ac:dyDescent="0.25">
      <c r="A22" s="18" t="s">
        <v>60</v>
      </c>
    </row>
    <row r="23" spans="1:4" x14ac:dyDescent="0.25">
      <c r="A23" t="s">
        <v>71</v>
      </c>
      <c r="B23" s="12">
        <v>49945</v>
      </c>
      <c r="C23" s="12">
        <v>48483</v>
      </c>
      <c r="D23" s="12">
        <v>45983</v>
      </c>
    </row>
    <row r="24" spans="1:4" x14ac:dyDescent="0.25">
      <c r="A24" t="s">
        <v>73</v>
      </c>
      <c r="B24" s="13">
        <v>25283</v>
      </c>
      <c r="C24" s="13">
        <v>26496</v>
      </c>
      <c r="D24" s="13">
        <v>27143</v>
      </c>
    </row>
    <row r="25" spans="1:4" x14ac:dyDescent="0.25">
      <c r="A25" t="s">
        <v>75</v>
      </c>
      <c r="B25" s="12">
        <f>B23+(B24*4)</f>
        <v>151077</v>
      </c>
      <c r="C25" s="12">
        <f t="shared" ref="C25" si="10">C23+(C24*4)</f>
        <v>154467</v>
      </c>
      <c r="D25" s="12">
        <f t="shared" ref="D25" si="11">D23+(D24*4)</f>
        <v>154555</v>
      </c>
    </row>
    <row r="27" spans="1:4" x14ac:dyDescent="0.25">
      <c r="A27" t="s">
        <v>76</v>
      </c>
      <c r="B27" s="4">
        <f>B23*3</f>
        <v>149835</v>
      </c>
      <c r="C27" s="4">
        <f t="shared" ref="C27:D27" si="12">C23*3</f>
        <v>145449</v>
      </c>
      <c r="D27" s="4">
        <f t="shared" si="12"/>
        <v>137949</v>
      </c>
    </row>
    <row r="28" spans="1:4" x14ac:dyDescent="0.25">
      <c r="A28" t="s">
        <v>77</v>
      </c>
      <c r="B28" s="5">
        <f>B24*10</f>
        <v>252830</v>
      </c>
      <c r="C28" s="5">
        <f t="shared" ref="C28:D28" si="13">C24*10</f>
        <v>264960</v>
      </c>
      <c r="D28" s="5">
        <f t="shared" si="13"/>
        <v>271430</v>
      </c>
    </row>
    <row r="29" spans="1:4" x14ac:dyDescent="0.25">
      <c r="A29" t="s">
        <v>78</v>
      </c>
      <c r="B29" s="4">
        <f>SUM(B27:B28)</f>
        <v>402665</v>
      </c>
      <c r="C29" s="4">
        <f t="shared" ref="C29" si="14">SUM(C27:C28)</f>
        <v>410409</v>
      </c>
      <c r="D29" s="4">
        <f t="shared" ref="D29" si="15">SUM(D27:D28)</f>
        <v>409379</v>
      </c>
    </row>
    <row r="31" spans="1:4" x14ac:dyDescent="0.25">
      <c r="A31" s="18" t="s">
        <v>69</v>
      </c>
    </row>
    <row r="32" spans="1:4" x14ac:dyDescent="0.25">
      <c r="A32" t="s">
        <v>71</v>
      </c>
      <c r="B32" s="12">
        <f>B5+B14+B23</f>
        <v>149472</v>
      </c>
      <c r="C32" s="12">
        <f t="shared" ref="C32:D33" si="16">C5+C14+C23</f>
        <v>147724</v>
      </c>
      <c r="D32" s="12">
        <f t="shared" si="16"/>
        <v>136963</v>
      </c>
    </row>
    <row r="33" spans="1:5" x14ac:dyDescent="0.25">
      <c r="A33" t="s">
        <v>73</v>
      </c>
      <c r="B33" s="13">
        <f>B6+B15+B24</f>
        <v>70382</v>
      </c>
      <c r="C33" s="13">
        <f t="shared" si="16"/>
        <v>72554</v>
      </c>
      <c r="D33" s="13">
        <f t="shared" si="16"/>
        <v>77125</v>
      </c>
    </row>
    <row r="34" spans="1:5" x14ac:dyDescent="0.25">
      <c r="A34" t="s">
        <v>75</v>
      </c>
      <c r="B34" s="12">
        <f>B32+(B33*4)</f>
        <v>431000</v>
      </c>
      <c r="C34" s="12">
        <f t="shared" ref="C34" si="17">C32+(C33*4)</f>
        <v>437940</v>
      </c>
      <c r="D34" s="12">
        <f t="shared" ref="D34" si="18">D32+(D33*4)</f>
        <v>445463</v>
      </c>
    </row>
    <row r="36" spans="1:5" x14ac:dyDescent="0.25">
      <c r="A36" t="s">
        <v>76</v>
      </c>
      <c r="B36" s="4">
        <f>B32*3</f>
        <v>448416</v>
      </c>
      <c r="C36" s="4">
        <f t="shared" ref="C36:D36" si="19">C32*3</f>
        <v>443172</v>
      </c>
      <c r="D36" s="4">
        <f t="shared" si="19"/>
        <v>410889</v>
      </c>
    </row>
    <row r="37" spans="1:5" x14ac:dyDescent="0.25">
      <c r="A37" t="s">
        <v>77</v>
      </c>
      <c r="B37" s="5">
        <f>B33*10</f>
        <v>703820</v>
      </c>
      <c r="C37" s="5">
        <f t="shared" ref="C37:D37" si="20">C33*10</f>
        <v>725540</v>
      </c>
      <c r="D37" s="5">
        <f t="shared" si="20"/>
        <v>771250</v>
      </c>
    </row>
    <row r="38" spans="1:5" x14ac:dyDescent="0.25">
      <c r="A38" t="s">
        <v>78</v>
      </c>
      <c r="B38" s="4">
        <f>SUM(B36:B37)</f>
        <v>1152236</v>
      </c>
      <c r="C38" s="4">
        <f t="shared" ref="C38" si="21">SUM(C36:C37)</f>
        <v>1168712</v>
      </c>
      <c r="D38" s="4">
        <f t="shared" ref="D38" si="22">SUM(D36:D37)</f>
        <v>1182139</v>
      </c>
    </row>
    <row r="39" spans="1:5" x14ac:dyDescent="0.25">
      <c r="E39" t="s">
        <v>79</v>
      </c>
    </row>
    <row r="40" spans="1:5" x14ac:dyDescent="0.25">
      <c r="E40">
        <f>D38/D34</f>
        <v>2.6537310618390304</v>
      </c>
    </row>
  </sheetData>
  <mergeCells count="1">
    <mergeCell ref="F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B9" sqref="B9:D9"/>
    </sheetView>
  </sheetViews>
  <sheetFormatPr defaultRowHeight="15" x14ac:dyDescent="0.25"/>
  <cols>
    <col min="1" max="1" width="20.5703125" customWidth="1"/>
    <col min="2" max="4" width="20.7109375" customWidth="1"/>
  </cols>
  <sheetData>
    <row r="1" spans="1:4" x14ac:dyDescent="0.25">
      <c r="A1" t="s">
        <v>0</v>
      </c>
    </row>
    <row r="2" spans="1:4" x14ac:dyDescent="0.25">
      <c r="A2" t="s">
        <v>80</v>
      </c>
    </row>
    <row r="4" spans="1:4" x14ac:dyDescent="0.25">
      <c r="A4" s="18"/>
      <c r="B4" s="19" t="s">
        <v>58</v>
      </c>
      <c r="C4" s="19" t="s">
        <v>59</v>
      </c>
      <c r="D4" s="19" t="s">
        <v>60</v>
      </c>
    </row>
    <row r="5" spans="1:4" x14ac:dyDescent="0.25">
      <c r="A5" t="s">
        <v>81</v>
      </c>
      <c r="B5" s="17" t="s">
        <v>82</v>
      </c>
      <c r="C5" s="17" t="s">
        <v>82</v>
      </c>
      <c r="D5" s="17" t="s">
        <v>82</v>
      </c>
    </row>
    <row r="6" spans="1:4" x14ac:dyDescent="0.25">
      <c r="A6" t="s">
        <v>83</v>
      </c>
      <c r="B6" s="17">
        <v>1450</v>
      </c>
      <c r="C6" s="17">
        <v>1900</v>
      </c>
      <c r="D6" s="17">
        <v>1500</v>
      </c>
    </row>
    <row r="7" spans="1:4" x14ac:dyDescent="0.25">
      <c r="A7" t="s">
        <v>84</v>
      </c>
      <c r="B7" s="10">
        <v>2.0499999999999998</v>
      </c>
      <c r="C7" s="17">
        <v>1.88</v>
      </c>
      <c r="D7" s="17">
        <v>1.75</v>
      </c>
    </row>
    <row r="8" spans="1:4" x14ac:dyDescent="0.25">
      <c r="A8" t="s">
        <v>85</v>
      </c>
      <c r="B8" s="64">
        <f>B6*B7</f>
        <v>2972.4999999999995</v>
      </c>
      <c r="C8" s="64">
        <f t="shared" ref="C8:D8" si="0">C6*C7</f>
        <v>3572</v>
      </c>
      <c r="D8" s="64">
        <f t="shared" si="0"/>
        <v>2625</v>
      </c>
    </row>
    <row r="9" spans="1:4" x14ac:dyDescent="0.25">
      <c r="A9" t="s">
        <v>86</v>
      </c>
      <c r="B9" s="64">
        <f>B8*12</f>
        <v>35669.999999999993</v>
      </c>
      <c r="C9" s="64">
        <f t="shared" ref="C9:D9" si="1">C8*12</f>
        <v>42864</v>
      </c>
      <c r="D9" s="64">
        <f t="shared" si="1"/>
        <v>31500</v>
      </c>
    </row>
    <row r="10" spans="1:4" x14ac:dyDescent="0.25">
      <c r="A10" t="s">
        <v>87</v>
      </c>
      <c r="B10" s="7">
        <v>0.02</v>
      </c>
      <c r="C10" s="7">
        <v>0.02</v>
      </c>
      <c r="D10" s="7">
        <v>0.02</v>
      </c>
    </row>
    <row r="12" spans="1:4" x14ac:dyDescent="0.25">
      <c r="A12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8"/>
  <sheetViews>
    <sheetView topLeftCell="A13" workbookViewId="0">
      <selection activeCell="D38" sqref="D38"/>
    </sheetView>
  </sheetViews>
  <sheetFormatPr defaultRowHeight="15" x14ac:dyDescent="0.25"/>
  <cols>
    <col min="1" max="1" width="30" customWidth="1"/>
    <col min="2" max="4" width="20.7109375" customWidth="1"/>
  </cols>
  <sheetData>
    <row r="1" spans="1:4" x14ac:dyDescent="0.25">
      <c r="A1" t="s">
        <v>0</v>
      </c>
    </row>
    <row r="2" spans="1:4" x14ac:dyDescent="0.25">
      <c r="A2" t="s">
        <v>89</v>
      </c>
    </row>
    <row r="3" spans="1:4" x14ac:dyDescent="0.25">
      <c r="A3" s="22" t="s">
        <v>90</v>
      </c>
      <c r="B3" s="3" t="s">
        <v>58</v>
      </c>
      <c r="C3" s="3" t="s">
        <v>59</v>
      </c>
      <c r="D3" s="3" t="s">
        <v>60</v>
      </c>
    </row>
    <row r="4" spans="1:4" x14ac:dyDescent="0.25">
      <c r="A4" t="s">
        <v>91</v>
      </c>
      <c r="B4" s="12">
        <v>4785</v>
      </c>
      <c r="C4" s="12">
        <v>4785</v>
      </c>
      <c r="D4" s="12">
        <v>4785</v>
      </c>
    </row>
    <row r="5" spans="1:4" x14ac:dyDescent="0.25">
      <c r="A5" t="s">
        <v>92</v>
      </c>
      <c r="B5" s="20">
        <v>3</v>
      </c>
      <c r="C5" s="20">
        <v>3</v>
      </c>
      <c r="D5" s="20">
        <v>3</v>
      </c>
    </row>
    <row r="6" spans="1:4" x14ac:dyDescent="0.25">
      <c r="A6" t="s">
        <v>93</v>
      </c>
      <c r="B6" s="4">
        <f>B4*B5</f>
        <v>14355</v>
      </c>
      <c r="C6" s="4">
        <f t="shared" ref="C6:D6" si="0">C4*C5</f>
        <v>14355</v>
      </c>
      <c r="D6" s="4">
        <f t="shared" si="0"/>
        <v>14355</v>
      </c>
    </row>
    <row r="7" spans="1:4" x14ac:dyDescent="0.25">
      <c r="B7" s="4"/>
      <c r="C7" s="4"/>
      <c r="D7" s="4"/>
    </row>
    <row r="8" spans="1:4" x14ac:dyDescent="0.25">
      <c r="A8" t="s">
        <v>94</v>
      </c>
      <c r="B8" s="4">
        <v>4955</v>
      </c>
      <c r="C8" s="4">
        <v>4955</v>
      </c>
      <c r="D8" s="4">
        <v>4955</v>
      </c>
    </row>
    <row r="9" spans="1:4" x14ac:dyDescent="0.25">
      <c r="A9" t="s">
        <v>95</v>
      </c>
      <c r="B9" s="20">
        <v>1</v>
      </c>
      <c r="C9" s="20">
        <v>1</v>
      </c>
      <c r="D9" s="20">
        <v>1</v>
      </c>
    </row>
    <row r="10" spans="1:4" x14ac:dyDescent="0.25">
      <c r="A10" t="s">
        <v>96</v>
      </c>
      <c r="B10" s="4">
        <f>B8*B9</f>
        <v>4955</v>
      </c>
      <c r="C10" s="4">
        <f t="shared" ref="C10" si="1">C8*C9</f>
        <v>4955</v>
      </c>
      <c r="D10" s="4">
        <f t="shared" ref="D10" si="2">D8*D9</f>
        <v>4955</v>
      </c>
    </row>
    <row r="12" spans="1:4" x14ac:dyDescent="0.25">
      <c r="A12" t="s">
        <v>97</v>
      </c>
      <c r="B12" s="14">
        <v>2485</v>
      </c>
      <c r="C12" s="14">
        <v>2485</v>
      </c>
      <c r="D12" s="14">
        <v>2485</v>
      </c>
    </row>
    <row r="13" spans="1:4" x14ac:dyDescent="0.25">
      <c r="A13" t="s">
        <v>98</v>
      </c>
      <c r="B13" s="20">
        <v>1</v>
      </c>
      <c r="C13" s="20">
        <v>1</v>
      </c>
      <c r="D13" s="20">
        <v>1</v>
      </c>
    </row>
    <row r="14" spans="1:4" x14ac:dyDescent="0.25">
      <c r="B14" s="14">
        <f>B12*B13</f>
        <v>2485</v>
      </c>
      <c r="C14" s="14">
        <f t="shared" ref="C14:D14" si="3">C12*C13</f>
        <v>2485</v>
      </c>
      <c r="D14" s="14">
        <f t="shared" si="3"/>
        <v>2485</v>
      </c>
    </row>
    <row r="16" spans="1:4" x14ac:dyDescent="0.25">
      <c r="A16" t="s">
        <v>99</v>
      </c>
      <c r="C16" s="4">
        <v>10500</v>
      </c>
    </row>
    <row r="17" spans="1:5" x14ac:dyDescent="0.25">
      <c r="A17" t="s">
        <v>100</v>
      </c>
      <c r="C17" s="4">
        <v>1545</v>
      </c>
    </row>
    <row r="19" spans="1:5" x14ac:dyDescent="0.25">
      <c r="A19" t="s">
        <v>101</v>
      </c>
      <c r="B19" s="14">
        <v>12450</v>
      </c>
      <c r="C19" s="14">
        <v>15983</v>
      </c>
      <c r="D19" s="14">
        <v>11450</v>
      </c>
      <c r="E19" t="s">
        <v>102</v>
      </c>
    </row>
    <row r="20" spans="1:5" x14ac:dyDescent="0.25">
      <c r="A20" t="s">
        <v>103</v>
      </c>
      <c r="B20" s="14">
        <v>5450</v>
      </c>
      <c r="C20" s="14">
        <v>0</v>
      </c>
      <c r="D20" s="14">
        <v>3650</v>
      </c>
    </row>
    <row r="21" spans="1:5" x14ac:dyDescent="0.25">
      <c r="A21" t="s">
        <v>104</v>
      </c>
      <c r="B21" s="14">
        <v>0</v>
      </c>
      <c r="C21" s="14">
        <v>7483</v>
      </c>
      <c r="D21" s="14">
        <v>0</v>
      </c>
    </row>
    <row r="23" spans="1:5" x14ac:dyDescent="0.25">
      <c r="B23" s="3">
        <v>2017</v>
      </c>
      <c r="C23" s="3">
        <v>2018</v>
      </c>
      <c r="D23" s="3">
        <v>2019</v>
      </c>
    </row>
    <row r="24" spans="1:5" x14ac:dyDescent="0.25">
      <c r="A24" t="s">
        <v>105</v>
      </c>
      <c r="B24" s="14">
        <f>B6+C6+D6</f>
        <v>43065</v>
      </c>
      <c r="C24" s="14">
        <f>B24</f>
        <v>43065</v>
      </c>
      <c r="D24" s="14">
        <f>C24</f>
        <v>43065</v>
      </c>
    </row>
    <row r="25" spans="1:5" x14ac:dyDescent="0.25">
      <c r="A25" t="s">
        <v>106</v>
      </c>
      <c r="B25" s="14">
        <f>B10+C10+D10</f>
        <v>14865</v>
      </c>
      <c r="C25" s="14">
        <f t="shared" ref="C25:D27" si="4">B25</f>
        <v>14865</v>
      </c>
      <c r="D25" s="14">
        <f t="shared" si="4"/>
        <v>14865</v>
      </c>
    </row>
    <row r="26" spans="1:5" x14ac:dyDescent="0.25">
      <c r="A26" t="s">
        <v>107</v>
      </c>
      <c r="B26" s="14">
        <f>B14+C14+D14</f>
        <v>7455</v>
      </c>
      <c r="C26" s="14">
        <f t="shared" si="4"/>
        <v>7455</v>
      </c>
      <c r="D26" s="14">
        <f t="shared" si="4"/>
        <v>7455</v>
      </c>
    </row>
    <row r="27" spans="1:5" x14ac:dyDescent="0.25">
      <c r="A27" t="s">
        <v>108</v>
      </c>
      <c r="B27" s="14">
        <f>C16+C17</f>
        <v>12045</v>
      </c>
      <c r="C27" s="14">
        <f t="shared" si="4"/>
        <v>12045</v>
      </c>
      <c r="D27" s="14">
        <f t="shared" si="4"/>
        <v>12045</v>
      </c>
    </row>
    <row r="28" spans="1:5" x14ac:dyDescent="0.25">
      <c r="A28" t="s">
        <v>109</v>
      </c>
      <c r="B28" s="15">
        <f>B19+C19+D19</f>
        <v>39883</v>
      </c>
      <c r="C28" s="15">
        <f>B28+SUM(B20:D20)</f>
        <v>48983</v>
      </c>
      <c r="D28" s="15">
        <f>C28+SUM(B21:D21)</f>
        <v>56466</v>
      </c>
    </row>
    <row r="29" spans="1:5" x14ac:dyDescent="0.25">
      <c r="A29" t="s">
        <v>36</v>
      </c>
      <c r="B29" s="14">
        <f>SUM(B24:B28)</f>
        <v>117313</v>
      </c>
      <c r="C29" s="14">
        <f t="shared" ref="C29:D29" si="5">SUM(C24:C28)</f>
        <v>126413</v>
      </c>
      <c r="D29" s="14">
        <f t="shared" si="5"/>
        <v>133896</v>
      </c>
    </row>
    <row r="31" spans="1:5" x14ac:dyDescent="0.25">
      <c r="A31" t="s">
        <v>110</v>
      </c>
    </row>
    <row r="33" spans="1:4" x14ac:dyDescent="0.25">
      <c r="A33" t="s">
        <v>21</v>
      </c>
      <c r="B33" s="14">
        <f>B29/10</f>
        <v>11731.3</v>
      </c>
      <c r="C33" s="14">
        <f>C29/10</f>
        <v>12641.3</v>
      </c>
      <c r="D33" s="14">
        <f>D29/10</f>
        <v>13389.6</v>
      </c>
    </row>
    <row r="35" spans="1:4" x14ac:dyDescent="0.25">
      <c r="A35" t="s">
        <v>34</v>
      </c>
      <c r="B35" s="14">
        <f>B33</f>
        <v>11731.3</v>
      </c>
      <c r="C35" s="14">
        <f>B35+C33</f>
        <v>24372.6</v>
      </c>
      <c r="D35" s="14">
        <f>C35+D33</f>
        <v>37762.199999999997</v>
      </c>
    </row>
    <row r="38" spans="1:4" x14ac:dyDescent="0.25">
      <c r="D38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8"/>
  <sheetViews>
    <sheetView tabSelected="1" workbookViewId="0">
      <selection activeCell="F109" sqref="F109"/>
    </sheetView>
  </sheetViews>
  <sheetFormatPr defaultRowHeight="15" x14ac:dyDescent="0.25"/>
  <cols>
    <col min="1" max="1" width="53.140625" customWidth="1"/>
    <col min="2" max="2" width="17" customWidth="1"/>
    <col min="3" max="6" width="15.7109375" customWidth="1"/>
    <col min="7" max="7" width="16.5703125" bestFit="1" customWidth="1"/>
    <col min="8" max="8" width="9.5703125" bestFit="1" customWidth="1"/>
  </cols>
  <sheetData>
    <row r="1" spans="1:9" ht="18.75" x14ac:dyDescent="0.3">
      <c r="A1" s="2" t="s">
        <v>0</v>
      </c>
    </row>
    <row r="2" spans="1:9" ht="19.5" thickBot="1" x14ac:dyDescent="0.35">
      <c r="A2" s="2" t="s">
        <v>111</v>
      </c>
    </row>
    <row r="3" spans="1:9" ht="45" x14ac:dyDescent="0.25">
      <c r="B3" s="51" t="s">
        <v>112</v>
      </c>
      <c r="C3" s="3" t="s">
        <v>113</v>
      </c>
      <c r="D3" s="3" t="s">
        <v>114</v>
      </c>
      <c r="E3" s="3" t="s">
        <v>115</v>
      </c>
      <c r="F3" s="3" t="s">
        <v>116</v>
      </c>
      <c r="G3" s="3" t="s">
        <v>117</v>
      </c>
      <c r="I3" s="56" t="s">
        <v>118</v>
      </c>
    </row>
    <row r="4" spans="1:9" x14ac:dyDescent="0.25">
      <c r="A4" s="30" t="s">
        <v>119</v>
      </c>
      <c r="B4" s="41">
        <f>Rev!D34</f>
        <v>445463</v>
      </c>
      <c r="C4" s="46">
        <f>B4*(1+$I4)</f>
        <v>463281.52</v>
      </c>
      <c r="D4" s="46">
        <f t="shared" ref="C4:G8" si="0">C4*(1+$I4)</f>
        <v>481812.78080000001</v>
      </c>
      <c r="E4" s="46">
        <f t="shared" si="0"/>
        <v>501085.29203200003</v>
      </c>
      <c r="F4" s="46">
        <f t="shared" si="0"/>
        <v>521128.70371328003</v>
      </c>
      <c r="G4" s="46">
        <f t="shared" si="0"/>
        <v>541973.85186181124</v>
      </c>
      <c r="H4" s="7"/>
      <c r="I4" s="28">
        <v>0.04</v>
      </c>
    </row>
    <row r="5" spans="1:9" x14ac:dyDescent="0.25">
      <c r="A5" t="s">
        <v>120</v>
      </c>
      <c r="B5" s="42">
        <f>Rev!E40</f>
        <v>2.6537310618390304</v>
      </c>
      <c r="C5" s="43">
        <f t="shared" si="0"/>
        <v>2.6537310618390304</v>
      </c>
      <c r="D5" s="43">
        <f t="shared" si="0"/>
        <v>2.6537310618390304</v>
      </c>
      <c r="E5" s="43">
        <f t="shared" si="0"/>
        <v>2.6537310618390304</v>
      </c>
      <c r="F5" s="43">
        <f t="shared" si="0"/>
        <v>2.6537310618390304</v>
      </c>
      <c r="G5" s="43">
        <f t="shared" si="0"/>
        <v>2.6537310618390304</v>
      </c>
      <c r="H5" s="7"/>
      <c r="I5" s="28">
        <v>0</v>
      </c>
    </row>
    <row r="6" spans="1:9" x14ac:dyDescent="0.25">
      <c r="A6" t="s">
        <v>121</v>
      </c>
      <c r="B6" s="57">
        <f>B27/B25</f>
        <v>0.40099852893779836</v>
      </c>
      <c r="C6" s="44">
        <f>B6*(1+$I6)</f>
        <v>0.41102349216124329</v>
      </c>
      <c r="D6" s="44">
        <f t="shared" si="0"/>
        <v>0.42129907946527434</v>
      </c>
      <c r="E6" s="44">
        <f t="shared" si="0"/>
        <v>0.43183155645190618</v>
      </c>
      <c r="F6" s="44">
        <f t="shared" si="0"/>
        <v>0.44262734536320381</v>
      </c>
      <c r="G6" s="44">
        <f t="shared" si="0"/>
        <v>0.45369302899728386</v>
      </c>
      <c r="H6" s="7"/>
      <c r="I6" s="28">
        <v>2.5000000000000001E-2</v>
      </c>
    </row>
    <row r="7" spans="1:9" x14ac:dyDescent="0.25">
      <c r="A7" t="s">
        <v>122</v>
      </c>
      <c r="B7" s="57">
        <f>B28/B25</f>
        <v>0.14704544897004501</v>
      </c>
      <c r="C7" s="44">
        <f t="shared" si="0"/>
        <v>0.15072158519429613</v>
      </c>
      <c r="D7" s="44">
        <f t="shared" si="0"/>
        <v>0.15448962482415352</v>
      </c>
      <c r="E7" s="44">
        <f t="shared" si="0"/>
        <v>0.15835186544475735</v>
      </c>
      <c r="F7" s="44">
        <f t="shared" si="0"/>
        <v>0.16231066208087627</v>
      </c>
      <c r="G7" s="44">
        <f t="shared" si="0"/>
        <v>0.16636842863289816</v>
      </c>
      <c r="H7" s="7"/>
      <c r="I7" s="28">
        <v>2.5000000000000001E-2</v>
      </c>
    </row>
    <row r="8" spans="1:9" x14ac:dyDescent="0.25">
      <c r="A8" t="s">
        <v>123</v>
      </c>
      <c r="B8" s="57">
        <f>B35/B25</f>
        <v>3.3178839375065029E-2</v>
      </c>
      <c r="C8" s="44">
        <f t="shared" si="0"/>
        <v>3.3178839375065029E-2</v>
      </c>
      <c r="D8" s="44">
        <f t="shared" si="0"/>
        <v>3.3178839375065029E-2</v>
      </c>
      <c r="E8" s="44">
        <f t="shared" si="0"/>
        <v>3.3178839375065029E-2</v>
      </c>
      <c r="F8" s="44">
        <f t="shared" si="0"/>
        <v>3.3178839375065029E-2</v>
      </c>
      <c r="G8" s="44">
        <f t="shared" si="0"/>
        <v>3.3178839375065029E-2</v>
      </c>
      <c r="H8" s="7"/>
      <c r="I8" s="28">
        <v>0</v>
      </c>
    </row>
    <row r="9" spans="1:9" x14ac:dyDescent="0.25">
      <c r="A9" t="s">
        <v>124</v>
      </c>
      <c r="B9" s="53">
        <v>0.31</v>
      </c>
      <c r="C9" s="28">
        <f t="shared" ref="C9:C10" si="1">B9*(1+$H9)</f>
        <v>0.31</v>
      </c>
      <c r="D9" s="28">
        <f t="shared" ref="D9:G10" si="2">C9*(1+$H9)</f>
        <v>0.31</v>
      </c>
      <c r="E9" s="28">
        <f t="shared" si="2"/>
        <v>0.31</v>
      </c>
      <c r="F9" s="28">
        <f t="shared" si="2"/>
        <v>0.31</v>
      </c>
      <c r="G9" s="28">
        <f t="shared" si="2"/>
        <v>0.31</v>
      </c>
      <c r="H9" s="7"/>
      <c r="I9" s="28"/>
    </row>
    <row r="10" spans="1:9" x14ac:dyDescent="0.25">
      <c r="A10" t="s">
        <v>125</v>
      </c>
      <c r="B10" s="53">
        <v>6.2E-2</v>
      </c>
      <c r="C10" s="28">
        <f t="shared" si="1"/>
        <v>6.2E-2</v>
      </c>
      <c r="D10" s="28">
        <f t="shared" si="2"/>
        <v>6.2E-2</v>
      </c>
      <c r="E10" s="28">
        <f t="shared" si="2"/>
        <v>6.2E-2</v>
      </c>
      <c r="F10" s="28">
        <f t="shared" si="2"/>
        <v>6.2E-2</v>
      </c>
      <c r="G10" s="28">
        <f t="shared" si="2"/>
        <v>6.2E-2</v>
      </c>
      <c r="H10" s="7"/>
      <c r="I10" s="28"/>
    </row>
    <row r="11" spans="1:9" x14ac:dyDescent="0.25">
      <c r="A11" t="s">
        <v>126</v>
      </c>
      <c r="B11" s="59">
        <f>B40/B25</f>
        <v>1.3167656257005309E-2</v>
      </c>
      <c r="C11" s="60">
        <f>B11*(1+$I11)</f>
        <v>1.3167656257005309E-2</v>
      </c>
      <c r="D11" s="58">
        <f t="shared" ref="D11" si="3">C11*(1+$I11)</f>
        <v>1.3167656257005309E-2</v>
      </c>
      <c r="E11" s="58">
        <f t="shared" ref="E11:F11" si="4">D11*(1+$I11)</f>
        <v>1.3167656257005309E-2</v>
      </c>
      <c r="F11" s="58">
        <f t="shared" si="4"/>
        <v>1.3167656257005309E-2</v>
      </c>
      <c r="G11" s="58">
        <f>F11*(1+$I11)</f>
        <v>1.3167656257005309E-2</v>
      </c>
      <c r="H11" s="7"/>
      <c r="I11" s="28">
        <v>0</v>
      </c>
    </row>
    <row r="12" spans="1:9" x14ac:dyDescent="0.25">
      <c r="A12" t="s">
        <v>127</v>
      </c>
      <c r="B12" s="59">
        <f>B41/B25</f>
        <v>2.5067272122821428E-2</v>
      </c>
      <c r="C12" s="60">
        <f>B12*(1+$I12)</f>
        <v>2.5067272122821428E-2</v>
      </c>
      <c r="D12" s="58">
        <f t="shared" ref="D12:F12" si="5">C12*(1+$I12)</f>
        <v>2.5067272122821428E-2</v>
      </c>
      <c r="E12" s="58">
        <f t="shared" si="5"/>
        <v>2.5067272122821428E-2</v>
      </c>
      <c r="F12" s="58">
        <f t="shared" si="5"/>
        <v>2.5067272122821428E-2</v>
      </c>
      <c r="G12" s="58">
        <f t="shared" ref="G12:G15" si="6">F12*(1+$I12)</f>
        <v>2.5067272122821428E-2</v>
      </c>
      <c r="H12" s="7"/>
      <c r="I12" s="28">
        <v>0</v>
      </c>
    </row>
    <row r="13" spans="1:9" x14ac:dyDescent="0.25">
      <c r="A13" t="s">
        <v>128</v>
      </c>
      <c r="B13" s="59">
        <f>B42/B25</f>
        <v>2.0674387698908503E-3</v>
      </c>
      <c r="C13" s="60">
        <f t="shared" ref="C13:D15" si="7">B13*(1+$I13)</f>
        <v>2.0674387698908503E-3</v>
      </c>
      <c r="D13" s="58">
        <f t="shared" si="7"/>
        <v>2.0674387698908503E-3</v>
      </c>
      <c r="E13" s="58">
        <f t="shared" ref="E13:F13" si="8">D13*(1+$I13)</f>
        <v>2.0674387698908503E-3</v>
      </c>
      <c r="F13" s="58">
        <f t="shared" si="8"/>
        <v>2.0674387698908503E-3</v>
      </c>
      <c r="G13" s="58">
        <f t="shared" si="6"/>
        <v>2.0674387698908503E-3</v>
      </c>
      <c r="H13" s="7"/>
      <c r="I13" s="28">
        <v>0</v>
      </c>
    </row>
    <row r="14" spans="1:9" x14ac:dyDescent="0.25">
      <c r="A14" t="s">
        <v>129</v>
      </c>
      <c r="B14" s="59">
        <f>B43/B25</f>
        <v>7.187818014632797E-3</v>
      </c>
      <c r="C14" s="60">
        <f t="shared" si="7"/>
        <v>7.187818014632797E-3</v>
      </c>
      <c r="D14" s="58">
        <f t="shared" si="7"/>
        <v>7.187818014632797E-3</v>
      </c>
      <c r="E14" s="58">
        <f t="shared" ref="E14:F14" si="9">D14*(1+$I14)</f>
        <v>7.187818014632797E-3</v>
      </c>
      <c r="F14" s="58">
        <f t="shared" si="9"/>
        <v>7.187818014632797E-3</v>
      </c>
      <c r="G14" s="58">
        <f t="shared" si="6"/>
        <v>7.187818014632797E-3</v>
      </c>
      <c r="H14" s="7"/>
      <c r="I14" s="28">
        <v>0</v>
      </c>
    </row>
    <row r="15" spans="1:9" x14ac:dyDescent="0.25">
      <c r="A15" t="s">
        <v>130</v>
      </c>
      <c r="B15" s="59">
        <f>B44/B25</f>
        <v>6.0576632697170131E-3</v>
      </c>
      <c r="C15" s="60">
        <f t="shared" si="7"/>
        <v>6.0576632697170131E-3</v>
      </c>
      <c r="D15" s="58">
        <f t="shared" si="7"/>
        <v>6.0576632697170131E-3</v>
      </c>
      <c r="E15" s="58">
        <f t="shared" ref="E15:F15" si="10">D15*(1+$I15)</f>
        <v>6.0576632697170131E-3</v>
      </c>
      <c r="F15" s="58">
        <f t="shared" si="10"/>
        <v>6.0576632697170131E-3</v>
      </c>
      <c r="G15" s="58">
        <f t="shared" si="6"/>
        <v>6.0576632697170131E-3</v>
      </c>
      <c r="H15" s="7"/>
      <c r="I15" s="28">
        <v>0</v>
      </c>
    </row>
    <row r="16" spans="1:9" x14ac:dyDescent="0.25">
      <c r="A16" t="s">
        <v>131</v>
      </c>
      <c r="B16" s="55">
        <v>10</v>
      </c>
      <c r="C16">
        <f>B16</f>
        <v>10</v>
      </c>
      <c r="D16">
        <f t="shared" ref="D16:G16" si="11">C16</f>
        <v>10</v>
      </c>
      <c r="E16">
        <f t="shared" si="11"/>
        <v>10</v>
      </c>
      <c r="F16">
        <f t="shared" si="11"/>
        <v>10</v>
      </c>
      <c r="G16">
        <f t="shared" si="11"/>
        <v>10</v>
      </c>
      <c r="H16" s="7"/>
      <c r="I16" s="28"/>
    </row>
    <row r="17" spans="1:12" x14ac:dyDescent="0.25">
      <c r="A17" t="s">
        <v>132</v>
      </c>
      <c r="B17" s="53">
        <f>B50/B74</f>
        <v>0.11067404664103678</v>
      </c>
      <c r="C17" s="28">
        <v>0.08</v>
      </c>
      <c r="D17" s="28">
        <v>0.08</v>
      </c>
      <c r="E17" s="28">
        <v>0.08</v>
      </c>
      <c r="F17" s="28">
        <v>0.08</v>
      </c>
      <c r="G17" s="28">
        <v>0.08</v>
      </c>
      <c r="H17" s="7"/>
      <c r="I17" s="28"/>
    </row>
    <row r="18" spans="1:12" x14ac:dyDescent="0.25">
      <c r="A18" t="s">
        <v>133</v>
      </c>
      <c r="B18" s="53">
        <v>0.25</v>
      </c>
      <c r="C18" s="28">
        <v>0.25</v>
      </c>
      <c r="D18" s="28">
        <v>0.25</v>
      </c>
      <c r="E18" s="28">
        <v>0.25</v>
      </c>
      <c r="F18" s="28">
        <v>0.25</v>
      </c>
      <c r="G18" s="28">
        <v>0.25</v>
      </c>
      <c r="H18" s="7"/>
      <c r="I18" s="28"/>
      <c r="L18" s="29"/>
    </row>
    <row r="19" spans="1:12" x14ac:dyDescent="0.25">
      <c r="A19" t="s">
        <v>134</v>
      </c>
      <c r="B19" s="68">
        <f>B60/B27*365</f>
        <v>13.132072247677392</v>
      </c>
      <c r="C19" s="45">
        <f t="shared" ref="C19:G20" si="12">B19*(1+$I19)</f>
        <v>13.000751525200618</v>
      </c>
      <c r="D19" s="45">
        <f>C19*(1+$I19)</f>
        <v>12.870744009948613</v>
      </c>
      <c r="E19" s="45">
        <f t="shared" si="12"/>
        <v>12.742036569849127</v>
      </c>
      <c r="F19" s="45">
        <f t="shared" si="12"/>
        <v>12.614616204150636</v>
      </c>
      <c r="G19" s="45">
        <f t="shared" si="12"/>
        <v>12.48847004210913</v>
      </c>
      <c r="H19" s="7"/>
      <c r="I19" s="28">
        <v>-0.01</v>
      </c>
    </row>
    <row r="20" spans="1:12" x14ac:dyDescent="0.25">
      <c r="A20" t="s">
        <v>135</v>
      </c>
      <c r="B20" s="68">
        <f>B70/B27*365</f>
        <v>47.839088170518693</v>
      </c>
      <c r="C20" s="45">
        <f>B20*(1+$I20)</f>
        <v>46.882306407108317</v>
      </c>
      <c r="D20" s="45">
        <f t="shared" si="12"/>
        <v>45.944660278966147</v>
      </c>
      <c r="E20" s="45">
        <f t="shared" si="12"/>
        <v>45.025767073386824</v>
      </c>
      <c r="F20" s="45">
        <f t="shared" si="12"/>
        <v>44.125251731919086</v>
      </c>
      <c r="G20" s="45">
        <f t="shared" si="12"/>
        <v>43.242746697280701</v>
      </c>
      <c r="H20" s="7"/>
      <c r="I20" s="28">
        <v>-0.02</v>
      </c>
    </row>
    <row r="21" spans="1:12" x14ac:dyDescent="0.25">
      <c r="B21" s="33"/>
    </row>
    <row r="22" spans="1:12" ht="18.75" x14ac:dyDescent="0.3">
      <c r="A22" s="2" t="s">
        <v>0</v>
      </c>
      <c r="B22" s="34"/>
    </row>
    <row r="23" spans="1:12" ht="18.75" x14ac:dyDescent="0.3">
      <c r="A23" s="2" t="s">
        <v>1</v>
      </c>
      <c r="B23" s="34"/>
    </row>
    <row r="24" spans="1:12" ht="45" x14ac:dyDescent="0.25">
      <c r="B24" s="52" t="s">
        <v>136</v>
      </c>
      <c r="C24" s="3" t="s">
        <v>113</v>
      </c>
      <c r="D24" s="3" t="s">
        <v>114</v>
      </c>
      <c r="E24" s="3" t="s">
        <v>115</v>
      </c>
      <c r="F24" s="3" t="s">
        <v>116</v>
      </c>
      <c r="G24" s="3" t="s">
        <v>117</v>
      </c>
    </row>
    <row r="25" spans="1:12" x14ac:dyDescent="0.25">
      <c r="A25" t="s">
        <v>5</v>
      </c>
      <c r="B25" s="35">
        <f>'Historical Financial Statements'!D5</f>
        <v>1182139</v>
      </c>
      <c r="C25" s="46">
        <f>C4*C5</f>
        <v>1229424.56</v>
      </c>
      <c r="D25" s="46">
        <f>D4*D5</f>
        <v>1278601.5423999999</v>
      </c>
      <c r="E25" s="46">
        <f t="shared" ref="E25:G25" si="13">E4*E5</f>
        <v>1329745.6040960001</v>
      </c>
      <c r="F25" s="46">
        <f t="shared" si="13"/>
        <v>1382935.42825984</v>
      </c>
      <c r="G25" s="46">
        <f t="shared" si="13"/>
        <v>1438252.8453902337</v>
      </c>
    </row>
    <row r="26" spans="1:12" x14ac:dyDescent="0.25">
      <c r="B26" s="35"/>
      <c r="C26" s="4"/>
      <c r="D26" s="4"/>
      <c r="E26" s="4"/>
      <c r="F26" s="4"/>
      <c r="G26" s="4"/>
    </row>
    <row r="27" spans="1:12" x14ac:dyDescent="0.25">
      <c r="A27" t="s">
        <v>137</v>
      </c>
      <c r="B27" s="35">
        <f>'Historical Financial Statements'!D6</f>
        <v>474036</v>
      </c>
      <c r="C27" s="46">
        <f>C6*C25</f>
        <v>505322.37599999999</v>
      </c>
      <c r="D27" s="46">
        <f>D6*D25</f>
        <v>538673.65281599993</v>
      </c>
      <c r="E27" s="46">
        <f t="shared" ref="E27:G27" si="14">E6*E25</f>
        <v>574226.11390185601</v>
      </c>
      <c r="F27" s="46">
        <f t="shared" si="14"/>
        <v>612125.03741937841</v>
      </c>
      <c r="G27" s="46">
        <f t="shared" si="14"/>
        <v>652525.28988905728</v>
      </c>
    </row>
    <row r="28" spans="1:12" x14ac:dyDescent="0.25">
      <c r="A28" t="s">
        <v>138</v>
      </c>
      <c r="B28" s="36">
        <f>('Sal, Wages, Benefits'!D28*2/3)*1.062</f>
        <v>173828.16000000003</v>
      </c>
      <c r="C28" s="47">
        <f>C7*C25</f>
        <v>185300.81856000004</v>
      </c>
      <c r="D28" s="47">
        <f>D7*D25</f>
        <v>197530.67258496</v>
      </c>
      <c r="E28" s="47">
        <f t="shared" ref="E28:G28" si="15">E7*E25</f>
        <v>210567.69697556738</v>
      </c>
      <c r="F28" s="47">
        <f t="shared" si="15"/>
        <v>224465.1649759548</v>
      </c>
      <c r="G28" s="47">
        <f t="shared" si="15"/>
        <v>239279.86586436781</v>
      </c>
    </row>
    <row r="29" spans="1:12" x14ac:dyDescent="0.25">
      <c r="A29" t="s">
        <v>6</v>
      </c>
      <c r="B29" s="36">
        <f>B27+B28</f>
        <v>647864.16</v>
      </c>
      <c r="C29" s="5">
        <f t="shared" ref="C29:G29" si="16">C27+C28</f>
        <v>690623.19455999997</v>
      </c>
      <c r="D29" s="5">
        <f t="shared" si="16"/>
        <v>736204.32540095993</v>
      </c>
      <c r="E29" s="5">
        <f t="shared" si="16"/>
        <v>784793.81087742338</v>
      </c>
      <c r="F29" s="5">
        <f t="shared" si="16"/>
        <v>836590.20239533321</v>
      </c>
      <c r="G29" s="5">
        <f t="shared" si="16"/>
        <v>891805.15575342509</v>
      </c>
    </row>
    <row r="30" spans="1:12" x14ac:dyDescent="0.25">
      <c r="A30" t="s">
        <v>7</v>
      </c>
      <c r="B30" s="35">
        <f>B25-B29</f>
        <v>534274.84</v>
      </c>
      <c r="C30" s="4">
        <f t="shared" ref="C30:G30" si="17">C25-C29</f>
        <v>538801.36544000008</v>
      </c>
      <c r="D30" s="4">
        <f t="shared" si="17"/>
        <v>542397.21699903999</v>
      </c>
      <c r="E30" s="4">
        <f t="shared" si="17"/>
        <v>544951.7932185767</v>
      </c>
      <c r="F30" s="4">
        <f t="shared" si="17"/>
        <v>546345.22586450679</v>
      </c>
      <c r="G30" s="4">
        <f t="shared" si="17"/>
        <v>546447.68963680859</v>
      </c>
    </row>
    <row r="31" spans="1:12" x14ac:dyDescent="0.25">
      <c r="A31" t="s">
        <v>8</v>
      </c>
      <c r="B31" s="32">
        <f>B30/B25</f>
        <v>0.45195602209215663</v>
      </c>
      <c r="C31" s="7">
        <f t="shared" ref="C31:G31" si="18">C30/C25</f>
        <v>0.43825492264446064</v>
      </c>
      <c r="D31" s="7">
        <f t="shared" si="18"/>
        <v>0.42421129571057214</v>
      </c>
      <c r="E31" s="7">
        <f t="shared" si="18"/>
        <v>0.40981657810333644</v>
      </c>
      <c r="F31" s="7">
        <f t="shared" si="18"/>
        <v>0.39506199255591989</v>
      </c>
      <c r="G31" s="7">
        <f t="shared" si="18"/>
        <v>0.379938542369818</v>
      </c>
    </row>
    <row r="32" spans="1:12" x14ac:dyDescent="0.25">
      <c r="B32" s="35"/>
      <c r="C32" s="4"/>
      <c r="D32" s="4"/>
      <c r="E32" s="4"/>
      <c r="F32" s="4"/>
      <c r="G32" s="4"/>
    </row>
    <row r="33" spans="1:7" x14ac:dyDescent="0.25">
      <c r="A33" s="1" t="s">
        <v>9</v>
      </c>
      <c r="B33" s="35"/>
      <c r="C33" s="4"/>
      <c r="D33" s="4"/>
      <c r="E33" s="4"/>
      <c r="F33" s="4"/>
      <c r="G33" s="4"/>
    </row>
    <row r="34" spans="1:7" x14ac:dyDescent="0.25">
      <c r="A34" t="s">
        <v>10</v>
      </c>
      <c r="B34" s="35">
        <f>'Historical Financial Statements'!D11</f>
        <v>114480</v>
      </c>
      <c r="C34" s="4">
        <f>B34*0.95</f>
        <v>108756</v>
      </c>
      <c r="D34" s="4">
        <f>C34*1.02</f>
        <v>110931.12</v>
      </c>
      <c r="E34" s="4">
        <f t="shared" ref="E34:G34" si="19">D34*1.02</f>
        <v>113149.7424</v>
      </c>
      <c r="F34" s="4">
        <f t="shared" si="19"/>
        <v>115412.737248</v>
      </c>
      <c r="G34" s="4">
        <f t="shared" si="19"/>
        <v>117720.99199296</v>
      </c>
    </row>
    <row r="35" spans="1:7" x14ac:dyDescent="0.25">
      <c r="A35" t="s">
        <v>11</v>
      </c>
      <c r="B35" s="35">
        <f>'Historical Financial Statements'!D12</f>
        <v>39222</v>
      </c>
      <c r="C35" s="46">
        <f>C25*C8</f>
        <v>40790.879999999997</v>
      </c>
      <c r="D35" s="46">
        <f>D25*D8</f>
        <v>42422.515199999994</v>
      </c>
      <c r="E35" s="46">
        <f>E25*E8</f>
        <v>44119.415807999998</v>
      </c>
      <c r="F35" s="46">
        <f>F25*F8</f>
        <v>45884.192440319996</v>
      </c>
      <c r="G35" s="46">
        <f>G25*G8</f>
        <v>47719.5601379328</v>
      </c>
    </row>
    <row r="36" spans="1:7" x14ac:dyDescent="0.25">
      <c r="A36" t="s">
        <v>12</v>
      </c>
      <c r="B36" s="35">
        <f>'Historical Financial Statements'!D13</f>
        <v>156060</v>
      </c>
      <c r="C36" s="4">
        <f>120000</f>
        <v>120000</v>
      </c>
      <c r="D36" s="4">
        <f>C36*1.02</f>
        <v>122400</v>
      </c>
      <c r="E36" s="4">
        <f t="shared" ref="E36:G36" si="20">D36*1.02</f>
        <v>124848</v>
      </c>
      <c r="F36" s="4">
        <f t="shared" si="20"/>
        <v>127344.96000000001</v>
      </c>
      <c r="G36" s="4">
        <f t="shared" si="20"/>
        <v>129891.85920000001</v>
      </c>
    </row>
    <row r="37" spans="1:7" x14ac:dyDescent="0.25">
      <c r="A37" t="s">
        <v>13</v>
      </c>
      <c r="B37" s="35">
        <f>'Historical Financial Statements'!D14</f>
        <v>48376</v>
      </c>
      <c r="C37" s="4">
        <f>C9*C36</f>
        <v>37200</v>
      </c>
      <c r="D37" s="4">
        <f t="shared" ref="D37:G37" si="21">D9*D36</f>
        <v>37944</v>
      </c>
      <c r="E37" s="4">
        <f t="shared" si="21"/>
        <v>38702.879999999997</v>
      </c>
      <c r="F37" s="4">
        <f t="shared" si="21"/>
        <v>39476.937600000005</v>
      </c>
      <c r="G37" s="4">
        <f t="shared" si="21"/>
        <v>40266.476352000005</v>
      </c>
    </row>
    <row r="38" spans="1:7" x14ac:dyDescent="0.25">
      <c r="A38" t="s">
        <v>14</v>
      </c>
      <c r="B38" s="35">
        <f>'Historical Financial Statements'!D15*1/3</f>
        <v>81840.000000000015</v>
      </c>
      <c r="C38" s="4">
        <f>B38*1.02</f>
        <v>83476.800000000017</v>
      </c>
      <c r="D38" s="4">
        <f t="shared" ref="D38:G38" si="22">C38*1.02</f>
        <v>85146.336000000025</v>
      </c>
      <c r="E38" s="4">
        <f t="shared" si="22"/>
        <v>86849.262720000028</v>
      </c>
      <c r="F38" s="4">
        <f t="shared" si="22"/>
        <v>88586.24797440003</v>
      </c>
      <c r="G38" s="4">
        <f t="shared" si="22"/>
        <v>90357.972933888028</v>
      </c>
    </row>
    <row r="39" spans="1:7" x14ac:dyDescent="0.25">
      <c r="A39" t="s">
        <v>15</v>
      </c>
      <c r="B39" s="35">
        <f>'Historical Financial Statements'!D16*1/3</f>
        <v>5074.0800000000008</v>
      </c>
      <c r="C39" s="4">
        <f>C10*C38</f>
        <v>5175.5616000000009</v>
      </c>
      <c r="D39" s="4">
        <f t="shared" ref="D39:G39" si="23">D10*D38</f>
        <v>5279.0728320000017</v>
      </c>
      <c r="E39" s="4">
        <f t="shared" si="23"/>
        <v>5384.6542886400021</v>
      </c>
      <c r="F39" s="4">
        <f t="shared" si="23"/>
        <v>5492.3473744128014</v>
      </c>
      <c r="G39" s="4">
        <f t="shared" si="23"/>
        <v>5602.1943219010573</v>
      </c>
    </row>
    <row r="40" spans="1:7" x14ac:dyDescent="0.25">
      <c r="A40" t="s">
        <v>16</v>
      </c>
      <c r="B40" s="35">
        <f>'Historical Financial Statements'!D17</f>
        <v>15566</v>
      </c>
      <c r="C40" s="46">
        <f>C11*C$25</f>
        <v>16188.64</v>
      </c>
      <c r="D40" s="46">
        <f t="shared" ref="D40:G40" si="24">D11*D$25</f>
        <v>16836.185599999997</v>
      </c>
      <c r="E40" s="46">
        <f t="shared" si="24"/>
        <v>17509.633023999999</v>
      </c>
      <c r="F40" s="46">
        <f t="shared" si="24"/>
        <v>18210.018344960001</v>
      </c>
      <c r="G40" s="46">
        <f t="shared" si="24"/>
        <v>18938.419078758401</v>
      </c>
    </row>
    <row r="41" spans="1:7" x14ac:dyDescent="0.25">
      <c r="A41" t="s">
        <v>17</v>
      </c>
      <c r="B41" s="35">
        <f>'Historical Financial Statements'!D18</f>
        <v>29633</v>
      </c>
      <c r="C41" s="46">
        <f t="shared" ref="C41:G41" si="25">C12*C$25</f>
        <v>30818.320000000003</v>
      </c>
      <c r="D41" s="46">
        <f t="shared" si="25"/>
        <v>32051.052799999998</v>
      </c>
      <c r="E41" s="46">
        <f t="shared" si="25"/>
        <v>33333.094912</v>
      </c>
      <c r="F41" s="46">
        <f t="shared" si="25"/>
        <v>34666.41870848</v>
      </c>
      <c r="G41" s="46">
        <f t="shared" si="25"/>
        <v>36053.075456819199</v>
      </c>
    </row>
    <row r="42" spans="1:7" x14ac:dyDescent="0.25">
      <c r="A42" t="s">
        <v>18</v>
      </c>
      <c r="B42" s="35">
        <f>'Historical Financial Statements'!D19</f>
        <v>2444</v>
      </c>
      <c r="C42" s="46">
        <f t="shared" ref="C42:G42" si="26">C13*C$25</f>
        <v>2541.7599999999998</v>
      </c>
      <c r="D42" s="46">
        <f t="shared" si="26"/>
        <v>2643.4303999999997</v>
      </c>
      <c r="E42" s="46">
        <f>E13*$C$25</f>
        <v>2541.7599999999998</v>
      </c>
      <c r="F42" s="46">
        <f>F13*F$25</f>
        <v>2859.1343206399997</v>
      </c>
      <c r="G42" s="46">
        <f t="shared" si="26"/>
        <v>2973.4996934656001</v>
      </c>
    </row>
    <row r="43" spans="1:7" x14ac:dyDescent="0.25">
      <c r="A43" t="s">
        <v>19</v>
      </c>
      <c r="B43" s="35">
        <f>'Historical Financial Statements'!D20</f>
        <v>8497</v>
      </c>
      <c r="C43" s="46">
        <f t="shared" ref="C43:G43" si="27">C14*C$25</f>
        <v>8836.880000000001</v>
      </c>
      <c r="D43" s="46">
        <f t="shared" si="27"/>
        <v>9190.3552</v>
      </c>
      <c r="E43" s="46">
        <f t="shared" si="27"/>
        <v>9557.9694080000008</v>
      </c>
      <c r="F43" s="46">
        <f>F14*F$25</f>
        <v>9940.2881843199993</v>
      </c>
      <c r="G43" s="46">
        <f t="shared" si="27"/>
        <v>10337.8997116928</v>
      </c>
    </row>
    <row r="44" spans="1:7" x14ac:dyDescent="0.25">
      <c r="A44" t="s">
        <v>20</v>
      </c>
      <c r="B44" s="35">
        <f>'Historical Financial Statements'!D21</f>
        <v>7161</v>
      </c>
      <c r="C44" s="46">
        <f t="shared" ref="C44:G44" si="28">C15*C$25</f>
        <v>7447.4400000000005</v>
      </c>
      <c r="D44" s="46">
        <f t="shared" si="28"/>
        <v>7745.3375999999998</v>
      </c>
      <c r="E44" s="46">
        <f t="shared" si="28"/>
        <v>8055.1511040000005</v>
      </c>
      <c r="F44" s="46">
        <f t="shared" si="28"/>
        <v>8377.3571481599993</v>
      </c>
      <c r="G44" s="46">
        <f t="shared" si="28"/>
        <v>8712.4514340864007</v>
      </c>
    </row>
    <row r="45" spans="1:7" x14ac:dyDescent="0.25">
      <c r="A45" t="s">
        <v>21</v>
      </c>
      <c r="B45" s="36">
        <f>'Historical Financial Statements'!D22</f>
        <v>13390</v>
      </c>
      <c r="C45" s="46">
        <f>C63/10</f>
        <v>13389.6</v>
      </c>
      <c r="D45" s="46">
        <f>D63/10</f>
        <v>21889.599999999999</v>
      </c>
      <c r="E45" s="46">
        <f t="shared" ref="E45:G45" si="29">E63/10</f>
        <v>21889.599999999999</v>
      </c>
      <c r="F45" s="46">
        <f t="shared" si="29"/>
        <v>21889.599999999999</v>
      </c>
      <c r="G45" s="46">
        <f t="shared" si="29"/>
        <v>21889.599999999999</v>
      </c>
    </row>
    <row r="46" spans="1:7" x14ac:dyDescent="0.25">
      <c r="A46" t="s">
        <v>22</v>
      </c>
      <c r="B46" s="35">
        <f>SUM(B34:B45)</f>
        <v>521743.08</v>
      </c>
      <c r="C46" s="4">
        <f t="shared" ref="C46:G46" si="30">SUM(C34:C45)</f>
        <v>474621.88160000008</v>
      </c>
      <c r="D46" s="4">
        <f t="shared" si="30"/>
        <v>494479.00563199999</v>
      </c>
      <c r="E46" s="4">
        <f t="shared" si="30"/>
        <v>505941.16366463999</v>
      </c>
      <c r="F46" s="4">
        <f t="shared" si="30"/>
        <v>518140.23934369278</v>
      </c>
      <c r="G46" s="4">
        <f t="shared" si="30"/>
        <v>530464.00031350437</v>
      </c>
    </row>
    <row r="47" spans="1:7" x14ac:dyDescent="0.25">
      <c r="B47" s="35"/>
      <c r="C47" s="4"/>
      <c r="D47" s="4"/>
      <c r="E47" s="4"/>
      <c r="F47" s="4"/>
      <c r="G47" s="4"/>
    </row>
    <row r="48" spans="1:7" x14ac:dyDescent="0.25">
      <c r="A48" t="s">
        <v>23</v>
      </c>
      <c r="B48" s="35">
        <f>B30-B46</f>
        <v>12531.759999999951</v>
      </c>
      <c r="C48" s="4">
        <f t="shared" ref="C48:G48" si="31">C30-C46</f>
        <v>64179.483840000001</v>
      </c>
      <c r="D48" s="4">
        <f t="shared" si="31"/>
        <v>47918.211367039999</v>
      </c>
      <c r="E48" s="4">
        <f t="shared" si="31"/>
        <v>39010.629553936713</v>
      </c>
      <c r="F48" s="4">
        <f t="shared" si="31"/>
        <v>28204.986520814011</v>
      </c>
      <c r="G48" s="4">
        <f t="shared" si="31"/>
        <v>15983.689323304221</v>
      </c>
    </row>
    <row r="49" spans="1:10" x14ac:dyDescent="0.25">
      <c r="B49" s="35"/>
      <c r="C49" s="4"/>
      <c r="D49" s="4"/>
      <c r="E49" s="4"/>
      <c r="F49" s="4"/>
      <c r="G49" s="4"/>
    </row>
    <row r="50" spans="1:10" x14ac:dyDescent="0.25">
      <c r="A50" t="s">
        <v>24</v>
      </c>
      <c r="B50" s="35">
        <f>'Historical Financial Statements'!D27</f>
        <v>11254</v>
      </c>
      <c r="C50" s="46">
        <f>C17*C74</f>
        <v>3207.6323008695558</v>
      </c>
      <c r="D50" s="46">
        <f t="shared" ref="D50:G50" si="32">D17*D74</f>
        <v>6542.2444794833245</v>
      </c>
      <c r="E50" s="46">
        <f t="shared" si="32"/>
        <v>3140.608011722732</v>
      </c>
      <c r="F50" s="46">
        <f>F17*F74</f>
        <v>280.29970450805507</v>
      </c>
      <c r="G50" s="46">
        <f t="shared" si="32"/>
        <v>0</v>
      </c>
    </row>
    <row r="51" spans="1:10" x14ac:dyDescent="0.25">
      <c r="A51" t="s">
        <v>25</v>
      </c>
      <c r="B51" s="36">
        <f>'Historical Financial Statements'!D28</f>
        <v>320</v>
      </c>
      <c r="C51" s="47">
        <f>C18*(C48-C50)</f>
        <v>15242.962884782612</v>
      </c>
      <c r="D51" s="47">
        <f t="shared" ref="D51:G51" si="33">D18*(D48-D50)</f>
        <v>10343.991721889168</v>
      </c>
      <c r="E51" s="47">
        <f t="shared" si="33"/>
        <v>8967.5053855534952</v>
      </c>
      <c r="F51" s="47">
        <f t="shared" si="33"/>
        <v>6981.1717040764888</v>
      </c>
      <c r="G51" s="47">
        <f t="shared" si="33"/>
        <v>3995.9223308260553</v>
      </c>
    </row>
    <row r="52" spans="1:10" ht="15.75" thickBot="1" x14ac:dyDescent="0.3">
      <c r="A52" t="s">
        <v>26</v>
      </c>
      <c r="B52" s="37">
        <f>B48-B50-B51</f>
        <v>957.75999999995111</v>
      </c>
      <c r="C52" s="6">
        <f t="shared" ref="C52:G52" si="34">C48-C50-C51</f>
        <v>45728.888654347837</v>
      </c>
      <c r="D52" s="6">
        <f t="shared" si="34"/>
        <v>31031.975165667503</v>
      </c>
      <c r="E52" s="6">
        <f t="shared" si="34"/>
        <v>26902.516156660487</v>
      </c>
      <c r="F52" s="6">
        <f t="shared" si="34"/>
        <v>20943.515112229466</v>
      </c>
      <c r="G52" s="6">
        <f t="shared" si="34"/>
        <v>11987.766992478166</v>
      </c>
    </row>
    <row r="53" spans="1:10" ht="15.75" thickTop="1" x14ac:dyDescent="0.25">
      <c r="A53" t="s">
        <v>27</v>
      </c>
      <c r="B53" s="32">
        <f>B52/B25</f>
        <v>8.1019237162461525E-4</v>
      </c>
      <c r="C53" s="7">
        <f t="shared" ref="C53:G53" si="35">C52/C25</f>
        <v>3.7195359635850966E-2</v>
      </c>
      <c r="D53" s="7">
        <f t="shared" si="35"/>
        <v>2.4270246935115463E-2</v>
      </c>
      <c r="E53" s="7">
        <f t="shared" si="35"/>
        <v>2.0231325506016321E-2</v>
      </c>
      <c r="F53" s="7">
        <f t="shared" si="35"/>
        <v>1.5144246567305661E-2</v>
      </c>
      <c r="G53" s="7">
        <f t="shared" si="35"/>
        <v>8.3349510003754498E-3</v>
      </c>
    </row>
    <row r="54" spans="1:10" x14ac:dyDescent="0.25">
      <c r="B54" s="33"/>
      <c r="C54" s="8"/>
    </row>
    <row r="55" spans="1:10" ht="18.75" x14ac:dyDescent="0.3">
      <c r="A55" s="2" t="s">
        <v>0</v>
      </c>
      <c r="B55" s="38"/>
      <c r="C55" s="23"/>
      <c r="D55" s="23"/>
      <c r="E55" s="23"/>
      <c r="F55" s="23"/>
      <c r="G55" s="23"/>
    </row>
    <row r="56" spans="1:10" ht="18.75" x14ac:dyDescent="0.3">
      <c r="A56" s="2" t="s">
        <v>28</v>
      </c>
      <c r="B56" s="33"/>
      <c r="C56" s="8"/>
    </row>
    <row r="57" spans="1:10" x14ac:dyDescent="0.25">
      <c r="B57" s="33"/>
    </row>
    <row r="58" spans="1:10" x14ac:dyDescent="0.25">
      <c r="A58" s="1" t="s">
        <v>29</v>
      </c>
      <c r="B58" s="33"/>
      <c r="C58" s="8"/>
    </row>
    <row r="59" spans="1:10" x14ac:dyDescent="0.25">
      <c r="A59" t="s">
        <v>30</v>
      </c>
      <c r="B59" s="62">
        <f>'Historical Financial Statements'!D36</f>
        <v>158875</v>
      </c>
      <c r="C59" s="63">
        <f>B59*(1+$I59)</f>
        <v>165230</v>
      </c>
      <c r="D59" s="61">
        <f>C59*(1+$I59)</f>
        <v>171839.2</v>
      </c>
      <c r="E59" s="61">
        <f>D59*(1+$I59)</f>
        <v>178712.76800000001</v>
      </c>
      <c r="F59" s="61">
        <f>E59*(1+$I59)</f>
        <v>185861.27872000003</v>
      </c>
      <c r="G59" s="67">
        <v>215385.2509594537</v>
      </c>
      <c r="I59" s="28">
        <v>0.04</v>
      </c>
      <c r="J59" t="s">
        <v>139</v>
      </c>
    </row>
    <row r="60" spans="1:10" x14ac:dyDescent="0.25">
      <c r="A60" t="s">
        <v>31</v>
      </c>
      <c r="B60" s="36">
        <f>'Historical Financial Statements'!D37</f>
        <v>17055</v>
      </c>
      <c r="C60" s="47">
        <f>C19/365*C27</f>
        <v>17998.823700000001</v>
      </c>
      <c r="D60" s="47">
        <f>D19/365*D27</f>
        <v>18994.878603557998</v>
      </c>
      <c r="E60" s="47">
        <f>E19/365*E27</f>
        <v>20046.055185478901</v>
      </c>
      <c r="F60" s="47">
        <f t="shared" ref="F60:G60" si="36">F19/365*F27</f>
        <v>21155.403879443304</v>
      </c>
      <c r="G60" s="47">
        <f t="shared" si="36"/>
        <v>22326.14393013169</v>
      </c>
    </row>
    <row r="61" spans="1:10" x14ac:dyDescent="0.25">
      <c r="A61" t="s">
        <v>32</v>
      </c>
      <c r="B61" s="35">
        <f>SUM(B59:B60)</f>
        <v>175930</v>
      </c>
      <c r="C61" s="4">
        <f t="shared" ref="C61:G61" si="37">SUM(C59:C60)</f>
        <v>183228.82370000001</v>
      </c>
      <c r="D61" s="4">
        <f t="shared" si="37"/>
        <v>190834.07860355801</v>
      </c>
      <c r="E61" s="4">
        <f t="shared" si="37"/>
        <v>198758.82318547892</v>
      </c>
      <c r="F61" s="4">
        <f t="shared" si="37"/>
        <v>207016.68259944333</v>
      </c>
      <c r="G61" s="4">
        <f t="shared" si="37"/>
        <v>237711.39488958538</v>
      </c>
    </row>
    <row r="62" spans="1:10" x14ac:dyDescent="0.25">
      <c r="B62" s="35"/>
      <c r="C62" s="4"/>
      <c r="D62" s="4"/>
      <c r="E62" s="4"/>
      <c r="F62" s="4"/>
      <c r="G62" s="4"/>
    </row>
    <row r="63" spans="1:10" x14ac:dyDescent="0.25">
      <c r="A63" t="s">
        <v>33</v>
      </c>
      <c r="B63" s="35">
        <f>'Historical Financial Statements'!D40</f>
        <v>133896</v>
      </c>
      <c r="C63" s="46">
        <f>B63</f>
        <v>133896</v>
      </c>
      <c r="D63" s="46">
        <f>C63+85000</f>
        <v>218896</v>
      </c>
      <c r="E63" s="46">
        <f t="shared" ref="E63:G63" si="38">D63</f>
        <v>218896</v>
      </c>
      <c r="F63" s="46">
        <f t="shared" si="38"/>
        <v>218896</v>
      </c>
      <c r="G63" s="46">
        <f t="shared" si="38"/>
        <v>218896</v>
      </c>
    </row>
    <row r="64" spans="1:10" x14ac:dyDescent="0.25">
      <c r="A64" t="s">
        <v>34</v>
      </c>
      <c r="B64" s="36">
        <f>'Historical Financial Statements'!D41</f>
        <v>-37762</v>
      </c>
      <c r="C64" s="47">
        <f>B64-C45</f>
        <v>-51151.6</v>
      </c>
      <c r="D64" s="47">
        <f t="shared" ref="D64:G64" si="39">C64-D45</f>
        <v>-73041.2</v>
      </c>
      <c r="E64" s="47">
        <f t="shared" si="39"/>
        <v>-94930.799999999988</v>
      </c>
      <c r="F64" s="47">
        <f t="shared" si="39"/>
        <v>-116820.4</v>
      </c>
      <c r="G64" s="47">
        <f t="shared" si="39"/>
        <v>-138710</v>
      </c>
    </row>
    <row r="65" spans="1:8" x14ac:dyDescent="0.25">
      <c r="A65" t="s">
        <v>140</v>
      </c>
      <c r="B65" s="35">
        <f>B63+B64</f>
        <v>96134</v>
      </c>
      <c r="C65" s="4">
        <f t="shared" ref="C65:G65" si="40">C63+C64</f>
        <v>82744.399999999994</v>
      </c>
      <c r="D65" s="4">
        <f t="shared" si="40"/>
        <v>145854.79999999999</v>
      </c>
      <c r="E65" s="4">
        <f t="shared" si="40"/>
        <v>123965.20000000001</v>
      </c>
      <c r="F65" s="4">
        <f t="shared" si="40"/>
        <v>102075.6</v>
      </c>
      <c r="G65" s="4">
        <f t="shared" si="40"/>
        <v>80186</v>
      </c>
    </row>
    <row r="66" spans="1:8" x14ac:dyDescent="0.25">
      <c r="B66" s="35"/>
      <c r="C66" s="4"/>
      <c r="D66" s="4"/>
      <c r="E66" s="4"/>
      <c r="F66" s="4"/>
      <c r="G66" s="4"/>
    </row>
    <row r="67" spans="1:8" ht="15.75" thickBot="1" x14ac:dyDescent="0.3">
      <c r="A67" t="s">
        <v>36</v>
      </c>
      <c r="B67" s="37">
        <f t="shared" ref="B67" si="41">B61+B65</f>
        <v>272064</v>
      </c>
      <c r="C67" s="6">
        <f>C61+C65</f>
        <v>265973.22369999997</v>
      </c>
      <c r="D67" s="6">
        <f t="shared" ref="D67:E67" si="42">D61+D65</f>
        <v>336688.878603558</v>
      </c>
      <c r="E67" s="6">
        <f t="shared" si="42"/>
        <v>322724.02318547893</v>
      </c>
      <c r="F67" s="6">
        <f t="shared" ref="F67:G67" si="43">F61+F65</f>
        <v>309092.28259944334</v>
      </c>
      <c r="G67" s="6">
        <f t="shared" si="43"/>
        <v>317897.39488958538</v>
      </c>
    </row>
    <row r="68" spans="1:8" ht="15.75" thickTop="1" x14ac:dyDescent="0.25">
      <c r="B68" s="35"/>
      <c r="C68" s="4"/>
      <c r="D68" s="4"/>
      <c r="E68" s="4"/>
      <c r="F68" s="4"/>
      <c r="G68" s="4"/>
    </row>
    <row r="69" spans="1:8" x14ac:dyDescent="0.25">
      <c r="A69" s="1" t="s">
        <v>37</v>
      </c>
      <c r="B69" s="35"/>
      <c r="C69" s="4"/>
      <c r="D69" s="4"/>
      <c r="E69" s="4"/>
      <c r="F69" s="4"/>
      <c r="G69" s="4"/>
    </row>
    <row r="70" spans="1:8" x14ac:dyDescent="0.25">
      <c r="A70" t="s">
        <v>38</v>
      </c>
      <c r="B70" s="35">
        <f>'Historical Financial Statements'!D47</f>
        <v>62130</v>
      </c>
      <c r="C70" s="46">
        <f>C20/365*C27</f>
        <v>64905.968399999998</v>
      </c>
      <c r="D70" s="46">
        <f t="shared" ref="D70:G70" si="44">D20/365*D27</f>
        <v>67805.96706811199</v>
      </c>
      <c r="E70" s="46">
        <f t="shared" si="44"/>
        <v>70835.537676715234</v>
      </c>
      <c r="F70" s="46">
        <f t="shared" si="44"/>
        <v>74000.469500110848</v>
      </c>
      <c r="G70" s="46">
        <f t="shared" si="44"/>
        <v>77306.810477375795</v>
      </c>
    </row>
    <row r="71" spans="1:8" x14ac:dyDescent="0.25">
      <c r="A71" t="s">
        <v>39</v>
      </c>
      <c r="B71" s="36">
        <f>'Historical Financial Statements'!D48</f>
        <v>320</v>
      </c>
      <c r="C71" s="47">
        <f>C51</f>
        <v>15242.962884782612</v>
      </c>
      <c r="D71" s="47">
        <f t="shared" ref="D71:F71" si="45">D51</f>
        <v>10343.991721889168</v>
      </c>
      <c r="E71" s="47">
        <f t="shared" si="45"/>
        <v>8967.5053855534952</v>
      </c>
      <c r="F71" s="47">
        <f t="shared" si="45"/>
        <v>6981.1717040764888</v>
      </c>
      <c r="G71" s="47">
        <f>G51</f>
        <v>3995.9223308260553</v>
      </c>
    </row>
    <row r="72" spans="1:8" x14ac:dyDescent="0.25">
      <c r="A72" t="s">
        <v>40</v>
      </c>
      <c r="B72" s="35">
        <f>SUM(B70:B71)</f>
        <v>62450</v>
      </c>
      <c r="C72" s="4">
        <f t="shared" ref="C72:G72" si="46">SUM(C70:C71)</f>
        <v>80148.931284782608</v>
      </c>
      <c r="D72" s="4">
        <f t="shared" si="46"/>
        <v>78149.958790001154</v>
      </c>
      <c r="E72" s="4">
        <f t="shared" si="46"/>
        <v>79803.043062268727</v>
      </c>
      <c r="F72" s="4">
        <f t="shared" si="46"/>
        <v>80981.641204187341</v>
      </c>
      <c r="G72" s="4">
        <f t="shared" si="46"/>
        <v>81302.73280820185</v>
      </c>
      <c r="H72" s="24"/>
    </row>
    <row r="73" spans="1:8" x14ac:dyDescent="0.25">
      <c r="B73" s="35"/>
      <c r="C73" s="4"/>
      <c r="D73" s="4"/>
      <c r="E73" s="4"/>
      <c r="F73" s="4"/>
      <c r="G73" s="4"/>
    </row>
    <row r="74" spans="1:8" x14ac:dyDescent="0.25">
      <c r="A74" t="s">
        <v>41</v>
      </c>
      <c r="B74" s="54">
        <f>'Historical Financial Statements'!D51</f>
        <v>101685.99</v>
      </c>
      <c r="C74" s="66">
        <v>40095.403760869449</v>
      </c>
      <c r="D74" s="66">
        <v>81778.055993541551</v>
      </c>
      <c r="E74" s="66">
        <v>39257.600146534147</v>
      </c>
      <c r="F74" s="66">
        <v>3503.7463063506884</v>
      </c>
      <c r="G74" s="65">
        <v>0</v>
      </c>
    </row>
    <row r="75" spans="1:8" x14ac:dyDescent="0.25">
      <c r="A75" t="s">
        <v>42</v>
      </c>
      <c r="B75" s="39">
        <f t="shared" ref="B75" si="47">B72+B74</f>
        <v>164135.99</v>
      </c>
      <c r="C75" s="4">
        <f>C72+C74</f>
        <v>120244.33504565206</v>
      </c>
      <c r="D75" s="4">
        <f t="shared" ref="D75:E75" si="48">D72+D74</f>
        <v>159928.01478354272</v>
      </c>
      <c r="E75" s="4">
        <f t="shared" si="48"/>
        <v>119060.64320880288</v>
      </c>
      <c r="F75" s="4">
        <f t="shared" ref="F75" si="49">F72+F74</f>
        <v>84485.387510538028</v>
      </c>
      <c r="G75" s="4">
        <f>G72+G74</f>
        <v>81302.73280820185</v>
      </c>
    </row>
    <row r="76" spans="1:8" x14ac:dyDescent="0.25">
      <c r="B76" s="39"/>
      <c r="C76" s="4"/>
      <c r="D76" s="4"/>
      <c r="E76" s="4"/>
      <c r="F76" s="4"/>
      <c r="G76" s="4"/>
    </row>
    <row r="77" spans="1:8" x14ac:dyDescent="0.25">
      <c r="A77" t="s">
        <v>43</v>
      </c>
      <c r="B77" s="39">
        <f>'Historical Financial Statements'!D54</f>
        <v>100000</v>
      </c>
      <c r="C77" s="4">
        <f>B77</f>
        <v>100000</v>
      </c>
      <c r="D77" s="4">
        <f t="shared" ref="D77:G77" si="50">C77</f>
        <v>100000</v>
      </c>
      <c r="E77" s="4">
        <f t="shared" si="50"/>
        <v>100000</v>
      </c>
      <c r="F77" s="4">
        <f t="shared" si="50"/>
        <v>100000</v>
      </c>
      <c r="G77" s="4">
        <f t="shared" si="50"/>
        <v>100000</v>
      </c>
    </row>
    <row r="78" spans="1:8" x14ac:dyDescent="0.25">
      <c r="A78" t="s">
        <v>44</v>
      </c>
      <c r="B78" s="36">
        <f>'Historical Financial Statements'!D55</f>
        <v>7927.9899999999907</v>
      </c>
      <c r="C78" s="47">
        <f>C52</f>
        <v>45728.888654347837</v>
      </c>
      <c r="D78" s="47">
        <f>C78+D52</f>
        <v>76760.863820015336</v>
      </c>
      <c r="E78" s="47">
        <f t="shared" ref="E78:G78" si="51">D78+E52</f>
        <v>103663.37997667582</v>
      </c>
      <c r="F78" s="47">
        <f t="shared" si="51"/>
        <v>124606.89508890528</v>
      </c>
      <c r="G78" s="47">
        <f t="shared" si="51"/>
        <v>136594.66208138346</v>
      </c>
    </row>
    <row r="79" spans="1:8" x14ac:dyDescent="0.25">
      <c r="A79" t="s">
        <v>45</v>
      </c>
      <c r="B79" s="35">
        <f t="shared" ref="B79" si="52">SUM(B77:B78)</f>
        <v>107927.98999999999</v>
      </c>
      <c r="C79" s="4">
        <f>SUM(C77:C78)</f>
        <v>145728.88865434783</v>
      </c>
      <c r="D79" s="4">
        <f t="shared" ref="D79:E79" si="53">SUM(D77:D78)</f>
        <v>176760.86382001534</v>
      </c>
      <c r="E79" s="4">
        <f t="shared" si="53"/>
        <v>203663.37997667582</v>
      </c>
      <c r="F79" s="4">
        <f t="shared" ref="F79:G79" si="54">SUM(F77:F78)</f>
        <v>224606.89508890529</v>
      </c>
      <c r="G79" s="4">
        <f t="shared" si="54"/>
        <v>236594.66208138346</v>
      </c>
    </row>
    <row r="80" spans="1:8" x14ac:dyDescent="0.25">
      <c r="B80" s="35"/>
      <c r="C80" s="4"/>
      <c r="D80" s="4"/>
      <c r="E80" s="4"/>
      <c r="F80" s="4"/>
      <c r="G80" s="4"/>
    </row>
    <row r="81" spans="1:8" ht="15.75" thickBot="1" x14ac:dyDescent="0.3">
      <c r="A81" t="s">
        <v>46</v>
      </c>
      <c r="B81" s="37">
        <f t="shared" ref="B81" si="55">B75+B79</f>
        <v>272063.98</v>
      </c>
      <c r="C81" s="6">
        <f>C75+C79</f>
        <v>265973.22369999986</v>
      </c>
      <c r="D81" s="6">
        <f t="shared" ref="D81:E81" si="56">D75+D79</f>
        <v>336688.87860355806</v>
      </c>
      <c r="E81" s="6">
        <f t="shared" si="56"/>
        <v>322724.0231854787</v>
      </c>
      <c r="F81" s="6">
        <f t="shared" ref="F81:G81" si="57">F75+F79</f>
        <v>309092.28259944334</v>
      </c>
      <c r="G81" s="6">
        <f t="shared" si="57"/>
        <v>317897.39488958532</v>
      </c>
    </row>
    <row r="82" spans="1:8" ht="6.6" customHeight="1" thickTop="1" thickBot="1" x14ac:dyDescent="0.3">
      <c r="B82" s="40"/>
      <c r="C82" s="4"/>
      <c r="D82" s="4"/>
      <c r="E82" s="4"/>
      <c r="F82" s="4"/>
      <c r="G82" s="4"/>
    </row>
    <row r="83" spans="1:8" ht="15" customHeight="1" x14ac:dyDescent="0.25">
      <c r="A83" t="s">
        <v>141</v>
      </c>
      <c r="C83" s="4">
        <f>C81-C67</f>
        <v>0</v>
      </c>
      <c r="D83" s="4">
        <f t="shared" ref="D83:G83" si="58">D81-D67</f>
        <v>0</v>
      </c>
      <c r="E83" s="4">
        <f t="shared" si="58"/>
        <v>0</v>
      </c>
      <c r="F83" s="4">
        <f t="shared" si="58"/>
        <v>0</v>
      </c>
      <c r="G83" s="4">
        <f t="shared" si="58"/>
        <v>0</v>
      </c>
    </row>
    <row r="84" spans="1:8" x14ac:dyDescent="0.25">
      <c r="C84" s="70" t="s">
        <v>142</v>
      </c>
      <c r="D84" s="70"/>
      <c r="E84" s="70"/>
      <c r="F84" s="70"/>
      <c r="G84" s="70"/>
    </row>
    <row r="85" spans="1:8" x14ac:dyDescent="0.25">
      <c r="B85" s="31" t="s">
        <v>143</v>
      </c>
      <c r="C85" s="31" t="s">
        <v>144</v>
      </c>
      <c r="D85" s="31" t="s">
        <v>145</v>
      </c>
      <c r="E85" s="31" t="s">
        <v>146</v>
      </c>
      <c r="F85" s="31" t="s">
        <v>147</v>
      </c>
      <c r="G85" s="31" t="s">
        <v>148</v>
      </c>
    </row>
    <row r="86" spans="1:8" x14ac:dyDescent="0.25">
      <c r="A86" s="22" t="s">
        <v>149</v>
      </c>
    </row>
    <row r="88" spans="1:8" x14ac:dyDescent="0.25">
      <c r="A88" s="18" t="s">
        <v>150</v>
      </c>
    </row>
    <row r="89" spans="1:8" x14ac:dyDescent="0.25">
      <c r="A89" t="s">
        <v>151</v>
      </c>
      <c r="C89" s="48">
        <f>C48</f>
        <v>64179.483840000001</v>
      </c>
      <c r="D89" s="48">
        <f t="shared" ref="D89:G89" si="59">D48</f>
        <v>47918.211367039999</v>
      </c>
      <c r="E89" s="48">
        <f t="shared" si="59"/>
        <v>39010.629553936713</v>
      </c>
      <c r="F89" s="48">
        <f t="shared" si="59"/>
        <v>28204.986520814011</v>
      </c>
      <c r="G89" s="48">
        <f t="shared" si="59"/>
        <v>15983.689323304221</v>
      </c>
      <c r="H89" s="14"/>
    </row>
    <row r="90" spans="1:8" x14ac:dyDescent="0.25">
      <c r="A90" t="s">
        <v>133</v>
      </c>
      <c r="C90" s="44">
        <v>0.25</v>
      </c>
      <c r="D90" s="44">
        <v>0.25</v>
      </c>
      <c r="E90" s="44">
        <v>0.25</v>
      </c>
      <c r="F90" s="44">
        <v>0.25</v>
      </c>
      <c r="G90" s="44">
        <v>0.25</v>
      </c>
    </row>
    <row r="91" spans="1:8" x14ac:dyDescent="0.25">
      <c r="A91" t="s">
        <v>152</v>
      </c>
      <c r="C91" s="48">
        <f>C89*(1-C90)</f>
        <v>48134.612880000001</v>
      </c>
      <c r="D91" s="48">
        <f t="shared" ref="D91:G91" si="60">D89*(1-D90)</f>
        <v>35938.65852528</v>
      </c>
      <c r="E91" s="48">
        <f t="shared" si="60"/>
        <v>29257.972165452535</v>
      </c>
      <c r="F91" s="48">
        <f t="shared" si="60"/>
        <v>21153.739890610508</v>
      </c>
      <c r="G91" s="48">
        <f t="shared" si="60"/>
        <v>11987.766992478166</v>
      </c>
    </row>
    <row r="92" spans="1:8" x14ac:dyDescent="0.25">
      <c r="A92" t="s">
        <v>153</v>
      </c>
      <c r="C92" s="49">
        <f>C45</f>
        <v>13389.6</v>
      </c>
      <c r="D92" s="49">
        <f t="shared" ref="D92:G92" si="61">D45</f>
        <v>21889.599999999999</v>
      </c>
      <c r="E92" s="49">
        <f t="shared" si="61"/>
        <v>21889.599999999999</v>
      </c>
      <c r="F92" s="49">
        <f>F45</f>
        <v>21889.599999999999</v>
      </c>
      <c r="G92" s="49">
        <f t="shared" si="61"/>
        <v>21889.599999999999</v>
      </c>
    </row>
    <row r="93" spans="1:8" x14ac:dyDescent="0.25">
      <c r="A93" s="22" t="s">
        <v>154</v>
      </c>
      <c r="C93" s="48">
        <f>C92+C91</f>
        <v>61524.212879999999</v>
      </c>
      <c r="D93" s="48">
        <f t="shared" ref="D93:G93" si="62">D92+D91</f>
        <v>57828.258525279998</v>
      </c>
      <c r="E93" s="48">
        <f t="shared" si="62"/>
        <v>51147.572165452533</v>
      </c>
      <c r="F93" s="48">
        <f t="shared" si="62"/>
        <v>43043.339890610507</v>
      </c>
      <c r="G93" s="48">
        <f t="shared" si="62"/>
        <v>33877.366992478164</v>
      </c>
    </row>
    <row r="95" spans="1:8" x14ac:dyDescent="0.25">
      <c r="A95" s="18" t="s">
        <v>155</v>
      </c>
    </row>
    <row r="96" spans="1:8" x14ac:dyDescent="0.25">
      <c r="A96" t="s">
        <v>31</v>
      </c>
      <c r="C96" s="48">
        <f>(B60-C60)</f>
        <v>-943.82370000000083</v>
      </c>
      <c r="D96" s="48">
        <f t="shared" ref="D96:G96" si="63">(C60-D60)</f>
        <v>-996.05490355799702</v>
      </c>
      <c r="E96" s="48">
        <f t="shared" si="63"/>
        <v>-1051.1765819209031</v>
      </c>
      <c r="F96" s="48">
        <f t="shared" si="63"/>
        <v>-1109.3486939644026</v>
      </c>
      <c r="G96" s="48">
        <f t="shared" si="63"/>
        <v>-1170.740050688386</v>
      </c>
      <c r="H96" s="14"/>
    </row>
    <row r="97" spans="1:8" x14ac:dyDescent="0.25">
      <c r="A97" t="s">
        <v>38</v>
      </c>
      <c r="C97" s="48">
        <f>-(B70-C70)</f>
        <v>2775.9683999999979</v>
      </c>
      <c r="D97" s="48">
        <f t="shared" ref="D97:G97" si="64">-(C70-D70)</f>
        <v>2899.9986681119917</v>
      </c>
      <c r="E97" s="48">
        <f t="shared" si="64"/>
        <v>3029.5706086032442</v>
      </c>
      <c r="F97" s="48">
        <f t="shared" si="64"/>
        <v>3164.9318233956146</v>
      </c>
      <c r="G97" s="48">
        <f t="shared" si="64"/>
        <v>3306.3409772649466</v>
      </c>
      <c r="H97" s="14"/>
    </row>
    <row r="99" spans="1:8" x14ac:dyDescent="0.25">
      <c r="A99" t="s">
        <v>33</v>
      </c>
      <c r="C99" s="48"/>
      <c r="D99" s="48">
        <v>-85000</v>
      </c>
      <c r="E99" s="48">
        <v>0</v>
      </c>
      <c r="F99" s="48">
        <v>0</v>
      </c>
      <c r="G99" s="48">
        <v>0</v>
      </c>
    </row>
    <row r="100" spans="1:8" x14ac:dyDescent="0.25">
      <c r="C100" s="14"/>
      <c r="D100" s="14"/>
      <c r="E100" s="14"/>
      <c r="F100" s="14"/>
      <c r="G100" s="14"/>
    </row>
    <row r="101" spans="1:8" x14ac:dyDescent="0.25">
      <c r="A101" t="s">
        <v>156</v>
      </c>
      <c r="C101" s="14"/>
      <c r="D101" s="14"/>
      <c r="E101" s="14"/>
      <c r="F101" s="14"/>
      <c r="G101" s="48">
        <f>G79</f>
        <v>236594.66208138346</v>
      </c>
    </row>
    <row r="102" spans="1:8" x14ac:dyDescent="0.25">
      <c r="F102" s="4"/>
    </row>
    <row r="103" spans="1:8" x14ac:dyDescent="0.25">
      <c r="A103" t="s">
        <v>157</v>
      </c>
      <c r="B103" s="4">
        <v>-209614</v>
      </c>
      <c r="F103" s="4"/>
    </row>
    <row r="104" spans="1:8" x14ac:dyDescent="0.25">
      <c r="B104" s="20"/>
      <c r="C104" s="20"/>
      <c r="D104" s="20"/>
      <c r="E104" s="20"/>
      <c r="F104" s="20"/>
      <c r="G104" s="20"/>
    </row>
    <row r="105" spans="1:8" x14ac:dyDescent="0.25">
      <c r="A105" s="22" t="s">
        <v>158</v>
      </c>
      <c r="B105" s="4">
        <f t="shared" ref="B105:G105" si="65">SUM(B93:B104)</f>
        <v>-209614</v>
      </c>
      <c r="C105" s="4">
        <f t="shared" si="65"/>
        <v>63356.357579999996</v>
      </c>
      <c r="D105" s="4">
        <f t="shared" si="65"/>
        <v>-25267.797710166007</v>
      </c>
      <c r="E105" s="4">
        <f t="shared" si="65"/>
        <v>53125.966192134874</v>
      </c>
      <c r="F105" s="4">
        <f t="shared" si="65"/>
        <v>45098.923020041722</v>
      </c>
      <c r="G105" s="4">
        <f t="shared" si="65"/>
        <v>272607.63000043819</v>
      </c>
    </row>
    <row r="106" spans="1:8" x14ac:dyDescent="0.25">
      <c r="A106" s="22" t="s">
        <v>159</v>
      </c>
      <c r="B106" s="71">
        <f>IRR(B105:G105)</f>
        <v>0.18100988181283095</v>
      </c>
    </row>
    <row r="107" spans="1:8" x14ac:dyDescent="0.25">
      <c r="A107" s="22" t="s">
        <v>160</v>
      </c>
      <c r="B107" s="50">
        <v>0.10290000000000001</v>
      </c>
    </row>
    <row r="108" spans="1:8" x14ac:dyDescent="0.25">
      <c r="A108" s="22" t="s">
        <v>161</v>
      </c>
      <c r="B108" s="48">
        <f>NPV(B107,C105:G105)+B105</f>
        <v>64193.372849538922</v>
      </c>
    </row>
  </sheetData>
  <mergeCells count="1">
    <mergeCell ref="C84:G84"/>
  </mergeCells>
  <phoneticPr fontId="6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573DADC0330A42A1CF38316F5C9CC7" ma:contentTypeVersion="11" ma:contentTypeDescription="Create a new document." ma:contentTypeScope="" ma:versionID="cf838f992caa88771c45ccfc453b5657">
  <xsd:schema xmlns:xsd="http://www.w3.org/2001/XMLSchema" xmlns:xs="http://www.w3.org/2001/XMLSchema" xmlns:p="http://schemas.microsoft.com/office/2006/metadata/properties" xmlns:ns3="671f348d-5dfc-4c58-8ae6-b80c68bf19e2" xmlns:ns4="4d7d3a17-b48d-45c5-b49d-cef3aee55ed7" targetNamespace="http://schemas.microsoft.com/office/2006/metadata/properties" ma:root="true" ma:fieldsID="ca404c570c1fae8cfa0636ec51dc0195" ns3:_="" ns4:_="">
    <xsd:import namespace="671f348d-5dfc-4c58-8ae6-b80c68bf19e2"/>
    <xsd:import namespace="4d7d3a17-b48d-45c5-b49d-cef3aee55e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f348d-5dfc-4c58-8ae6-b80c68bf19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7d3a17-b48d-45c5-b49d-cef3aee55ed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871F2E-805E-4745-9D14-6C57B6E0A23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C34B56-3636-4771-88F5-8719A6FBCB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6A7D0D-347D-429E-BA4F-D5C154AA65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1f348d-5dfc-4c58-8ae6-b80c68bf19e2"/>
    <ds:schemaRef ds:uri="4d7d3a17-b48d-45c5-b49d-cef3aee55e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Historical Financial Statements</vt:lpstr>
      <vt:lpstr>Sal, Wages, Benefits</vt:lpstr>
      <vt:lpstr>Rev</vt:lpstr>
      <vt:lpstr>Lease</vt:lpstr>
      <vt:lpstr>Assets and Dep</vt:lpstr>
      <vt:lpstr>Forecast Financial Statements</vt:lpstr>
    </vt:vector>
  </TitlesOfParts>
  <Manager/>
  <Company>Brigham Young University Idaho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BYU Idaho</dc:creator>
  <cp:keywords/>
  <dc:description/>
  <cp:lastModifiedBy>Evan Savage</cp:lastModifiedBy>
  <cp:revision/>
  <dcterms:created xsi:type="dcterms:W3CDTF">2019-02-20T15:47:38Z</dcterms:created>
  <dcterms:modified xsi:type="dcterms:W3CDTF">2022-05-19T19:39:12Z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0x010100BC573DADC0330A42A1CF38316F5C9CC7</vt:lpwstr>
  </property>
</Properties>
</file>