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vag\Downloads\"/>
    </mc:Choice>
  </mc:AlternateContent>
  <xr:revisionPtr revIDLastSave="0" documentId="13_ncr:1_{93DADE5C-632E-4C43-9161-156D7F195A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tios Forecast WACC" sheetId="1" r:id="rId1"/>
    <sheet name="Capital Budget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J76" i="1"/>
  <c r="I76" i="1"/>
  <c r="I81" i="1"/>
  <c r="J81" i="1" s="1"/>
  <c r="H89" i="1"/>
  <c r="H88" i="1"/>
  <c r="H86" i="1"/>
  <c r="H85" i="1"/>
  <c r="G81" i="1"/>
  <c r="G82" i="1" s="1"/>
  <c r="G76" i="1"/>
  <c r="C93" i="1"/>
  <c r="D93" i="1"/>
  <c r="B93" i="1"/>
  <c r="C92" i="1"/>
  <c r="D92" i="1"/>
  <c r="B92" i="1"/>
  <c r="C91" i="1"/>
  <c r="D91" i="1"/>
  <c r="B91" i="1"/>
  <c r="C90" i="1"/>
  <c r="D90" i="1"/>
  <c r="B90" i="1"/>
  <c r="C89" i="1"/>
  <c r="D89" i="1"/>
  <c r="B89" i="1"/>
  <c r="C88" i="1"/>
  <c r="D88" i="1"/>
  <c r="B88" i="1"/>
  <c r="B85" i="1"/>
  <c r="H81" i="1" l="1"/>
  <c r="K81" i="1" s="1"/>
  <c r="H76" i="1"/>
  <c r="C65" i="1"/>
  <c r="D65" i="1" s="1"/>
  <c r="C60" i="1"/>
  <c r="D60" i="1" s="1"/>
  <c r="D51" i="1"/>
  <c r="C51" i="1"/>
  <c r="K76" i="1" l="1"/>
  <c r="K82" i="1" s="1"/>
  <c r="H82" i="1"/>
  <c r="C46" i="1" l="1"/>
  <c r="C66" i="1" s="1"/>
  <c r="C44" i="1"/>
  <c r="D44" i="1" s="1"/>
  <c r="C45" i="1"/>
  <c r="D45" i="1"/>
  <c r="D43" i="1"/>
  <c r="C43" i="1"/>
  <c r="D46" i="1" l="1"/>
  <c r="D66" i="1"/>
  <c r="C15" i="1" l="1"/>
  <c r="C12" i="1"/>
  <c r="D12" i="1" s="1"/>
  <c r="C11" i="1"/>
  <c r="D11" i="1" s="1"/>
  <c r="D10" i="1"/>
  <c r="C10" i="1"/>
  <c r="C7" i="1"/>
  <c r="C8" i="1"/>
  <c r="C32" i="1" s="1"/>
  <c r="D8" i="1"/>
  <c r="B20" i="1"/>
  <c r="C20" i="1" s="1"/>
  <c r="B19" i="1"/>
  <c r="C19" i="1" s="1"/>
  <c r="B18" i="1"/>
  <c r="C18" i="1" s="1"/>
  <c r="B15" i="1"/>
  <c r="B16" i="1"/>
  <c r="C16" i="1" s="1"/>
  <c r="B14" i="1"/>
  <c r="C14" i="1" s="1"/>
  <c r="B7" i="1"/>
  <c r="B8" i="1"/>
  <c r="B6" i="1"/>
  <c r="C6" i="1" s="1"/>
  <c r="B5" i="3"/>
  <c r="C5" i="3"/>
  <c r="D5" i="3"/>
  <c r="E5" i="3"/>
  <c r="F5" i="3"/>
  <c r="G5" i="3"/>
  <c r="D18" i="1" l="1"/>
  <c r="D14" i="1"/>
  <c r="C35" i="1"/>
  <c r="D19" i="1"/>
  <c r="C30" i="1"/>
  <c r="D6" i="1"/>
  <c r="D30" i="1" s="1"/>
  <c r="D16" i="1"/>
  <c r="D37" i="1" s="1"/>
  <c r="C37" i="1"/>
  <c r="D20" i="1"/>
  <c r="D32" i="1"/>
  <c r="D15" i="1"/>
  <c r="D36" i="1" s="1"/>
  <c r="C36" i="1"/>
  <c r="D7" i="1"/>
  <c r="D31" i="1" s="1"/>
  <c r="C31" i="1"/>
  <c r="C79" i="1"/>
  <c r="D79" i="1" s="1"/>
  <c r="D61" i="1" l="1"/>
  <c r="D33" i="1"/>
  <c r="C33" i="1"/>
  <c r="C61" i="1" s="1"/>
  <c r="D35" i="1"/>
  <c r="B40" i="1"/>
  <c r="B49" i="1"/>
  <c r="B53" i="1" s="1"/>
  <c r="B54" i="1" s="1"/>
  <c r="D67" i="1"/>
  <c r="C67" i="1"/>
  <c r="C38" i="1" l="1"/>
  <c r="C72" i="1" s="1"/>
  <c r="D38" i="1" l="1"/>
  <c r="D72" i="1" s="1"/>
  <c r="D47" i="1" l="1"/>
  <c r="C47" i="1"/>
  <c r="C39" i="1"/>
  <c r="D39" i="1"/>
  <c r="D40" i="1" l="1"/>
  <c r="D62" i="1"/>
  <c r="D63" i="1" s="1"/>
  <c r="D69" i="1" s="1"/>
  <c r="C40" i="1"/>
  <c r="C62" i="1"/>
  <c r="C49" i="1"/>
  <c r="C63" i="1"/>
  <c r="C69" i="1" s="1"/>
  <c r="D49" i="1"/>
  <c r="D52" i="1" s="1"/>
  <c r="D73" i="1" s="1"/>
  <c r="C52" i="1" l="1"/>
  <c r="C73" i="1" s="1"/>
  <c r="C74" i="1" s="1"/>
  <c r="C77" i="1" s="1"/>
  <c r="C53" i="1"/>
  <c r="D74" i="1"/>
  <c r="D77" i="1" s="1"/>
  <c r="C54" i="1" l="1"/>
  <c r="C80" i="1"/>
  <c r="D53" i="1"/>
  <c r="D80" i="1" l="1"/>
  <c r="D81" i="1" s="1"/>
  <c r="D83" i="1" s="1"/>
  <c r="D85" i="1" s="1"/>
  <c r="C81" i="1"/>
  <c r="C83" i="1" s="1"/>
  <c r="C85" i="1" s="1"/>
  <c r="D54" i="1"/>
</calcChain>
</file>

<file path=xl/sharedStrings.xml><?xml version="1.0" encoding="utf-8"?>
<sst xmlns="http://schemas.openxmlformats.org/spreadsheetml/2006/main" count="108" uniqueCount="83">
  <si>
    <t>Total Revenue</t>
  </si>
  <si>
    <t>Operating Expenses</t>
  </si>
  <si>
    <t>Total Operating Expenses</t>
  </si>
  <si>
    <t>Interest Expense</t>
  </si>
  <si>
    <t>Earnings Before Interest and Taxes</t>
  </si>
  <si>
    <t>Tax Expense</t>
  </si>
  <si>
    <t>Marketing Expense</t>
  </si>
  <si>
    <t>Depreciation Expense</t>
  </si>
  <si>
    <t>Net Income</t>
  </si>
  <si>
    <t>Gross Margin</t>
  </si>
  <si>
    <t>Income Statement</t>
  </si>
  <si>
    <t>Gross Margin %</t>
  </si>
  <si>
    <t>Net Income %</t>
  </si>
  <si>
    <t>Balance Sheet</t>
  </si>
  <si>
    <t>Cash</t>
  </si>
  <si>
    <t>Inventory</t>
  </si>
  <si>
    <t>Current Assets</t>
  </si>
  <si>
    <t>Total Current Assets</t>
  </si>
  <si>
    <t>Accumulated Depreciation</t>
  </si>
  <si>
    <t>Tota Fixed Assets</t>
  </si>
  <si>
    <t>Total Assets</t>
  </si>
  <si>
    <t>Current Liabilities</t>
  </si>
  <si>
    <t>Accounts Payable</t>
  </si>
  <si>
    <t>Taxes Payable</t>
  </si>
  <si>
    <t>Long-term Debt</t>
  </si>
  <si>
    <t>Total Liabilities</t>
  </si>
  <si>
    <t>Total Current Liabilities</t>
  </si>
  <si>
    <t>Stock</t>
  </si>
  <si>
    <t>Retained Earnings</t>
  </si>
  <si>
    <t>Total Equity</t>
  </si>
  <si>
    <t>Total Liabilities and Equity</t>
  </si>
  <si>
    <t>Total Cost of Goods Sold</t>
  </si>
  <si>
    <t>Other SG&amp;A Expense</t>
  </si>
  <si>
    <t>Revenue:</t>
  </si>
  <si>
    <t>Cost of Goods Sold:</t>
  </si>
  <si>
    <t>Assumptions and Ratios</t>
  </si>
  <si>
    <t>Cost of Goods Sold</t>
  </si>
  <si>
    <t>Units Sold</t>
  </si>
  <si>
    <t>Days of Accounts Receivable</t>
  </si>
  <si>
    <t>Days of Inventory</t>
  </si>
  <si>
    <t>Days of Accounts Payable</t>
  </si>
  <si>
    <t>Accounts Receivable</t>
  </si>
  <si>
    <t>Building and Equipment</t>
  </si>
  <si>
    <t>2020 Forecast</t>
  </si>
  <si>
    <t>Interest Rate</t>
  </si>
  <si>
    <t>Tax Rate</t>
  </si>
  <si>
    <t>2019 Actual</t>
  </si>
  <si>
    <t>2021 Forecast</t>
  </si>
  <si>
    <t>Bikes</t>
  </si>
  <si>
    <t>Price</t>
  </si>
  <si>
    <t>Wages and Benefits</t>
  </si>
  <si>
    <t>Ed's Equipment</t>
  </si>
  <si>
    <t>Snowblowers</t>
  </si>
  <si>
    <t>Lawnmowers</t>
  </si>
  <si>
    <t>Rototillers</t>
  </si>
  <si>
    <t>Forecast Change %</t>
  </si>
  <si>
    <t>NPV</t>
  </si>
  <si>
    <t>IRR</t>
  </si>
  <si>
    <t>WACC</t>
  </si>
  <si>
    <t>Total Free Cash Flows</t>
  </si>
  <si>
    <t>Terminal Value</t>
  </si>
  <si>
    <t>Earnings</t>
  </si>
  <si>
    <t>Investment (Deposit)</t>
  </si>
  <si>
    <t>TOTAL FREE CASH FLOWS</t>
  </si>
  <si>
    <t>More ratios - measure health:</t>
  </si>
  <si>
    <t>Return on Equity</t>
  </si>
  <si>
    <t>Return on Assets</t>
  </si>
  <si>
    <t>Debt/Equity</t>
  </si>
  <si>
    <t>Working Capital</t>
  </si>
  <si>
    <t>Current Ratio</t>
  </si>
  <si>
    <t>DFN</t>
  </si>
  <si>
    <t>Average</t>
  </si>
  <si>
    <t>Proportion</t>
  </si>
  <si>
    <t>Rate</t>
  </si>
  <si>
    <t>Adj Rate</t>
  </si>
  <si>
    <t>Weighted</t>
  </si>
  <si>
    <t>Average Debt</t>
  </si>
  <si>
    <t>Average Equity</t>
  </si>
  <si>
    <t>Levered Beta</t>
  </si>
  <si>
    <t>EMRP</t>
  </si>
  <si>
    <t>CAPM</t>
  </si>
  <si>
    <t>T Bill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</si>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</sst>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&quot;$&quot;* #,##0.000_);_(&quot;$&quot;* \(#,##0.000\);_(&quot;$&quot;* &quot;-&quot;??_);_(@_)"/>
    <numFmt numFmtId="169" formatCode="_(* #,##0.0_);_(* \(#,##0.0\);_(* &quot;-&quot;??_);_(@_)"/>
    <numFmt numFmtId="17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165" fontId="0" fillId="0" borderId="0" xfId="2" applyNumberFormat="1" applyFont="1"/>
    <xf numFmtId="44" fontId="0" fillId="0" borderId="0" xfId="0" applyNumberFormat="1"/>
    <xf numFmtId="166" fontId="0" fillId="0" borderId="0" xfId="3" applyNumberFormat="1" applyFont="1"/>
    <xf numFmtId="164" fontId="0" fillId="0" borderId="0" xfId="0" applyNumberFormat="1"/>
    <xf numFmtId="44" fontId="0" fillId="0" borderId="0" xfId="1" applyFont="1"/>
    <xf numFmtId="167" fontId="0" fillId="0" borderId="0" xfId="0" applyNumberFormat="1"/>
    <xf numFmtId="164" fontId="0" fillId="0" borderId="0" xfId="1" applyNumberFormat="1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164" fontId="0" fillId="0" borderId="0" xfId="1" applyNumberFormat="1" applyFont="1" applyBorder="1"/>
    <xf numFmtId="1" fontId="0" fillId="0" borderId="2" xfId="0" applyNumberFormat="1" applyBorder="1" applyAlignment="1">
      <alignment horizontal="center" wrapText="1"/>
    </xf>
    <xf numFmtId="164" fontId="0" fillId="2" borderId="2" xfId="1" applyNumberFormat="1" applyFont="1" applyFill="1" applyBorder="1"/>
    <xf numFmtId="165" fontId="0" fillId="2" borderId="0" xfId="2" applyNumberFormat="1" applyFont="1" applyFill="1"/>
    <xf numFmtId="165" fontId="0" fillId="0" borderId="0" xfId="2" applyNumberFormat="1" applyFont="1" applyFill="1"/>
    <xf numFmtId="165" fontId="0" fillId="0" borderId="0" xfId="2" applyNumberFormat="1" applyFont="1" applyBorder="1" applyAlignment="1">
      <alignment horizontal="center" wrapText="1"/>
    </xf>
    <xf numFmtId="0" fontId="0" fillId="0" borderId="0" xfId="0" applyBorder="1"/>
    <xf numFmtId="166" fontId="0" fillId="2" borderId="0" xfId="3" applyNumberFormat="1" applyFont="1" applyFill="1" applyBorder="1"/>
    <xf numFmtId="44" fontId="0" fillId="0" borderId="0" xfId="0" applyNumberFormat="1" applyBorder="1"/>
    <xf numFmtId="169" fontId="0" fillId="2" borderId="0" xfId="3" applyNumberFormat="1" applyFont="1" applyFill="1" applyBorder="1"/>
    <xf numFmtId="164" fontId="0" fillId="2" borderId="0" xfId="1" applyNumberFormat="1" applyFont="1" applyFill="1" applyBorder="1"/>
    <xf numFmtId="165" fontId="0" fillId="0" borderId="0" xfId="2" applyNumberFormat="1" applyFont="1" applyBorder="1"/>
    <xf numFmtId="165" fontId="0" fillId="2" borderId="0" xfId="2" applyNumberFormat="1" applyFont="1" applyFill="1" applyBorder="1"/>
    <xf numFmtId="164" fontId="0" fillId="0" borderId="2" xfId="1" applyNumberFormat="1" applyFont="1" applyFill="1" applyBorder="1"/>
    <xf numFmtId="164" fontId="4" fillId="0" borderId="0" xfId="1" applyNumberFormat="1" applyFont="1" applyFill="1" applyBorder="1"/>
    <xf numFmtId="164" fontId="0" fillId="0" borderId="1" xfId="1" applyNumberFormat="1" applyFont="1" applyFill="1" applyBorder="1"/>
    <xf numFmtId="169" fontId="0" fillId="2" borderId="0" xfId="3" applyNumberFormat="1" applyFont="1" applyFill="1"/>
    <xf numFmtId="166" fontId="0" fillId="2" borderId="0" xfId="3" applyNumberFormat="1" applyFont="1" applyFill="1"/>
    <xf numFmtId="164" fontId="0" fillId="2" borderId="0" xfId="1" applyNumberFormat="1" applyFont="1" applyFill="1"/>
    <xf numFmtId="165" fontId="4" fillId="0" borderId="0" xfId="2" applyNumberFormat="1" applyFont="1" applyFill="1" applyBorder="1"/>
    <xf numFmtId="0" fontId="6" fillId="0" borderId="0" xfId="4" applyFont="1"/>
    <xf numFmtId="44" fontId="6" fillId="0" borderId="0" xfId="1" applyFont="1"/>
    <xf numFmtId="0" fontId="7" fillId="0" borderId="0" xfId="4" applyFont="1"/>
    <xf numFmtId="165" fontId="6" fillId="3" borderId="0" xfId="2" applyNumberFormat="1" applyFont="1" applyFill="1"/>
    <xf numFmtId="165" fontId="6" fillId="0" borderId="0" xfId="2" applyNumberFormat="1" applyFont="1"/>
    <xf numFmtId="0" fontId="5" fillId="0" borderId="0" xfId="4"/>
    <xf numFmtId="164" fontId="6" fillId="0" borderId="0" xfId="1" applyNumberFormat="1" applyFont="1"/>
    <xf numFmtId="164" fontId="6" fillId="0" borderId="2" xfId="4" applyNumberFormat="1" applyFont="1" applyBorder="1"/>
    <xf numFmtId="0" fontId="6" fillId="0" borderId="2" xfId="4" applyFont="1" applyBorder="1"/>
    <xf numFmtId="44" fontId="6" fillId="0" borderId="2" xfId="1" applyFont="1" applyBorder="1"/>
    <xf numFmtId="164" fontId="6" fillId="0" borderId="0" xfId="4" applyNumberFormat="1" applyFont="1"/>
    <xf numFmtId="0" fontId="6" fillId="0" borderId="2" xfId="4" applyFont="1" applyBorder="1" applyAlignment="1">
      <alignment horizontal="center"/>
    </xf>
    <xf numFmtId="0" fontId="6" fillId="0" borderId="2" xfId="1" applyNumberFormat="1" applyFont="1" applyBorder="1" applyAlignment="1">
      <alignment horizontal="center"/>
    </xf>
    <xf numFmtId="164" fontId="6" fillId="3" borderId="0" xfId="1" applyNumberFormat="1" applyFont="1" applyFill="1"/>
    <xf numFmtId="0" fontId="8" fillId="0" borderId="0" xfId="0" applyFont="1"/>
    <xf numFmtId="0" fontId="9" fillId="0" borderId="0" xfId="0" applyFont="1"/>
    <xf numFmtId="0" fontId="0" fillId="0" borderId="0" xfId="0" applyFill="1"/>
    <xf numFmtId="0" fontId="0" fillId="0" borderId="0" xfId="0" applyFill="1" applyBorder="1"/>
    <xf numFmtId="9" fontId="0" fillId="0" borderId="0" xfId="2" applyFont="1" applyFill="1" applyBorder="1"/>
    <xf numFmtId="165" fontId="0" fillId="0" borderId="0" xfId="0" applyNumberFormat="1" applyFill="1" applyBorder="1"/>
    <xf numFmtId="164" fontId="1" fillId="2" borderId="2" xfId="1" applyNumberFormat="1" applyFont="1" applyFill="1" applyBorder="1"/>
    <xf numFmtId="164" fontId="1" fillId="0" borderId="0" xfId="1" applyNumberFormat="1" applyFont="1" applyFill="1" applyBorder="1"/>
    <xf numFmtId="164" fontId="1" fillId="0" borderId="2" xfId="1" applyNumberFormat="1" applyFont="1" applyFill="1" applyBorder="1"/>
    <xf numFmtId="165" fontId="0" fillId="2" borderId="0" xfId="0" applyNumberFormat="1" applyFill="1"/>
    <xf numFmtId="164" fontId="0" fillId="2" borderId="0" xfId="0" applyNumberFormat="1" applyFill="1"/>
    <xf numFmtId="44" fontId="0" fillId="2" borderId="0" xfId="0" applyNumberFormat="1" applyFill="1"/>
    <xf numFmtId="177" fontId="0" fillId="2" borderId="0" xfId="0" applyNumberFormat="1" applyFill="1"/>
    <xf numFmtId="2" fontId="0" fillId="2" borderId="0" xfId="0" applyNumberFormat="1" applyFill="1"/>
    <xf numFmtId="0" fontId="10" fillId="0" borderId="2" xfId="0" applyFont="1" applyBorder="1"/>
    <xf numFmtId="0" fontId="10" fillId="0" borderId="0" xfId="0" applyFont="1"/>
    <xf numFmtId="164" fontId="10" fillId="4" borderId="0" xfId="0" applyNumberFormat="1" applyFont="1" applyFill="1"/>
    <xf numFmtId="10" fontId="10" fillId="4" borderId="0" xfId="2" applyNumberFormat="1" applyFont="1" applyFill="1"/>
    <xf numFmtId="165" fontId="10" fillId="4" borderId="0" xfId="2" applyNumberFormat="1" applyFont="1" applyFill="1"/>
    <xf numFmtId="10" fontId="10" fillId="0" borderId="0" xfId="2" applyNumberFormat="1" applyFont="1"/>
    <xf numFmtId="10" fontId="10" fillId="0" borderId="0" xfId="0" applyNumberFormat="1" applyFont="1"/>
    <xf numFmtId="164" fontId="10" fillId="4" borderId="2" xfId="0" applyNumberFormat="1" applyFont="1" applyFill="1" applyBorder="1"/>
    <xf numFmtId="10" fontId="10" fillId="4" borderId="2" xfId="2" applyNumberFormat="1" applyFont="1" applyFill="1" applyBorder="1"/>
    <xf numFmtId="165" fontId="10" fillId="4" borderId="2" xfId="0" applyNumberFormat="1" applyFont="1" applyFill="1" applyBorder="1"/>
    <xf numFmtId="10" fontId="10" fillId="4" borderId="2" xfId="0" applyNumberFormat="1" applyFont="1" applyFill="1" applyBorder="1"/>
    <xf numFmtId="10" fontId="10" fillId="4" borderId="0" xfId="0" applyNumberFormat="1" applyFont="1" applyFill="1"/>
    <xf numFmtId="0" fontId="10" fillId="4" borderId="0" xfId="0" applyFont="1" applyFill="1"/>
    <xf numFmtId="164" fontId="10" fillId="4" borderId="0" xfId="1" applyNumberFormat="1" applyFont="1" applyFill="1" applyBorder="1"/>
    <xf numFmtId="2" fontId="10" fillId="4" borderId="0" xfId="0" applyNumberFormat="1" applyFont="1" applyFill="1"/>
    <xf numFmtId="165" fontId="10" fillId="4" borderId="0" xfId="2" applyNumberFormat="1" applyFont="1" applyFill="1" applyBorder="1"/>
    <xf numFmtId="9" fontId="10" fillId="4" borderId="0" xfId="2" applyFont="1" applyFill="1" applyBorder="1"/>
    <xf numFmtId="9" fontId="10" fillId="4" borderId="0" xfId="2" applyFont="1" applyFill="1"/>
  </cellXfs>
  <cellStyles count="5">
    <cellStyle name="Comma" xfId="3" builtinId="3"/>
    <cellStyle name="Currency" xfId="1" builtinId="4"/>
    <cellStyle name="Excel Built-in Normal" xfId="4" xr:uid="{CFC9E923-4286-4EF1-AE55-200CC5121ACB}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1AF882A3-B3FB-4D56-AAEB-CB7E5E074122}"/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190500</xdr:rowOff>
    </xdr:from>
    <xdr:to>
      <xdr:col>15</xdr:col>
      <xdr:colOff>548640</xdr:colOff>
      <xdr:row>19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618E79-1CC3-424A-B09C-D0D4F3CE2461}"/>
            </a:ext>
          </a:extLst>
        </xdr:cNvPr>
        <xdr:cNvSpPr txBox="1"/>
      </xdr:nvSpPr>
      <xdr:spPr>
        <a:xfrm>
          <a:off x="7459980" y="419100"/>
          <a:ext cx="6065520" cy="3413760"/>
        </a:xfrm>
        <a:prstGeom prst="rect">
          <a:avLst/>
        </a:prstGeom>
        <a:solidFill>
          <a:srgbClr val="FFCC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PART</a:t>
          </a:r>
          <a:r>
            <a:rPr lang="en-US" sz="1100" b="1" baseline="0"/>
            <a:t> 1 - RATIOS AND FORECASTING</a:t>
          </a:r>
          <a:endParaRPr lang="en-US" sz="1100" b="1"/>
        </a:p>
        <a:p>
          <a:r>
            <a:rPr lang="en-US" sz="1100" baseline="0"/>
            <a:t>Calculate all of the blue-shaded cells:</a:t>
          </a:r>
        </a:p>
        <a:p>
          <a:r>
            <a:rPr lang="en-US" sz="1100" b="1" baseline="0"/>
            <a:t>1. Calculate 2019 assumptions and ratios for Actual Financial Statements</a:t>
          </a:r>
        </a:p>
        <a:p>
          <a:r>
            <a:rPr lang="en-US" sz="1100" b="1" baseline="0"/>
            <a:t>2. Calculate the forecast assumptions and ratios for 2020 and 2021 as follows:</a:t>
          </a:r>
        </a:p>
        <a:p>
          <a:r>
            <a:rPr lang="en-US" sz="1100" baseline="0"/>
            <a:t>- Increase units sold for all products by 5% in each year</a:t>
          </a:r>
        </a:p>
        <a:p>
          <a:r>
            <a:rPr lang="en-US" sz="1100" baseline="0"/>
            <a:t>- Increase price of each product by 2% per unit each year</a:t>
          </a:r>
        </a:p>
        <a:p>
          <a:r>
            <a:rPr lang="en-US" sz="1100" baseline="0"/>
            <a:t>- Increase Cost of Goods Sold by 2% per unit each year</a:t>
          </a:r>
        </a:p>
        <a:p>
          <a:r>
            <a:rPr lang="en-US" sz="1100"/>
            <a:t>- Keep Days of Accounts Receivable, Inventory,</a:t>
          </a:r>
          <a:r>
            <a:rPr lang="en-US" sz="1100" baseline="0"/>
            <a:t> and Accounts Payable</a:t>
          </a:r>
          <a:r>
            <a:rPr lang="en-US" sz="1100"/>
            <a:t> the same as 2019</a:t>
          </a:r>
        </a:p>
        <a:p>
          <a:r>
            <a:rPr lang="en-US" sz="1100"/>
            <a:t>- Increase wages by 2% each year</a:t>
          </a:r>
        </a:p>
        <a:p>
          <a:r>
            <a:rPr lang="en-US" sz="1100"/>
            <a:t>- Increase marketing</a:t>
          </a:r>
          <a:r>
            <a:rPr lang="en-US" sz="1100" baseline="0"/>
            <a:t> expense by 10% each year</a:t>
          </a:r>
        </a:p>
        <a:p>
          <a:r>
            <a:rPr lang="en-US" sz="1100" baseline="0"/>
            <a:t>- Keep SG&amp;A as the same % of Revenue  as 2019</a:t>
          </a:r>
        </a:p>
        <a:p>
          <a:r>
            <a:rPr lang="en-US" sz="1100" baseline="0"/>
            <a:t>- Current equipment will continue to depreciate at same amount per year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Buy additional equipment in 2020 (Jan 1) for $200,000, 10 year life, no salvage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Buy additional equipment in 2021 (Jan 1) for $100,000, 10 year life, no salvage</a:t>
          </a:r>
          <a:endParaRPr lang="en-US">
            <a:effectLst/>
          </a:endParaRPr>
        </a:p>
        <a:p>
          <a:r>
            <a:rPr lang="en-US" sz="1100"/>
            <a:t>- Increase cash by 10% each year</a:t>
          </a:r>
        </a:p>
        <a:p>
          <a:r>
            <a:rPr lang="en-US" sz="1100"/>
            <a:t>-</a:t>
          </a:r>
          <a:r>
            <a:rPr lang="en-US" sz="1100" baseline="0"/>
            <a:t> Interest rate of 8%</a:t>
          </a:r>
        </a:p>
        <a:p>
          <a:r>
            <a:rPr lang="en-US" sz="1100" baseline="0"/>
            <a:t>- Tax rate of 25.5%</a:t>
          </a:r>
        </a:p>
        <a:p>
          <a:r>
            <a:rPr lang="en-US" sz="1100" baseline="0"/>
            <a:t>- Assume no dividends</a:t>
          </a:r>
        </a:p>
        <a:p>
          <a:r>
            <a:rPr lang="en-US" sz="1100" baseline="0"/>
            <a:t>- Taxes payable = Tax expense</a:t>
          </a:r>
        </a:p>
        <a:p>
          <a:r>
            <a:rPr lang="en-US" sz="1100" baseline="0"/>
            <a:t>- Leave given items (bold) as they are stated</a:t>
          </a:r>
          <a:endParaRPr lang="en-US" sz="1100"/>
        </a:p>
        <a:p>
          <a:r>
            <a:rPr lang="en-US" sz="1100" b="1"/>
            <a:t>3. Calculate the Forecast</a:t>
          </a:r>
          <a:r>
            <a:rPr lang="en-US" sz="1100" b="1" baseline="0"/>
            <a:t> for the Income Statement and Balance Sheet</a:t>
          </a:r>
        </a:p>
        <a:p>
          <a:r>
            <a:rPr lang="en-US" sz="1100" b="0" baseline="0"/>
            <a:t>- Use Long-Term Debt to balance the Balance Sheet</a:t>
          </a:r>
        </a:p>
        <a:p>
          <a:endParaRPr lang="en-US" sz="1100" b="1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7</xdr:col>
      <xdr:colOff>36195</xdr:colOff>
      <xdr:row>20</xdr:row>
      <xdr:rowOff>57150</xdr:rowOff>
    </xdr:from>
    <xdr:to>
      <xdr:col>15</xdr:col>
      <xdr:colOff>546735</xdr:colOff>
      <xdr:row>27</xdr:row>
      <xdr:rowOff>179070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088B00-20D9-43D3-BF62-D395394A4066}"/>
            </a:ext>
          </a:extLst>
        </xdr:cNvPr>
        <xdr:cNvSpPr txBox="1"/>
      </xdr:nvSpPr>
      <xdr:spPr>
        <a:xfrm>
          <a:off x="7237095" y="4029075"/>
          <a:ext cx="5987415" cy="1503045"/>
        </a:xfrm>
        <a:prstGeom prst="rect">
          <a:avLst/>
        </a:prstGeom>
        <a:solidFill>
          <a:srgbClr val="FFCC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PART</a:t>
          </a:r>
          <a:r>
            <a:rPr lang="en-US" sz="1100" b="1" baseline="0"/>
            <a:t> 2 - WACC</a:t>
          </a:r>
          <a:endParaRPr lang="en-US" sz="1100" b="1"/>
        </a:p>
        <a:p>
          <a:r>
            <a:rPr lang="en-US" sz="1100"/>
            <a:t>Calculate</a:t>
          </a:r>
          <a:r>
            <a:rPr lang="en-US" sz="1100" baseline="0"/>
            <a:t> the WACC for all 3 years:</a:t>
          </a:r>
        </a:p>
        <a:p>
          <a:r>
            <a:rPr lang="en-US" sz="1100" b="1" baseline="0"/>
            <a:t>1. Use the following  assumptions:</a:t>
          </a:r>
        </a:p>
        <a:p>
          <a:r>
            <a:rPr lang="en-US" sz="1100" b="0" baseline="0"/>
            <a:t>- Interest rate of 8%</a:t>
          </a:r>
        </a:p>
        <a:p>
          <a:r>
            <a:rPr lang="en-US" sz="1100" b="0" baseline="0"/>
            <a:t>- Tax rate of 25.5%</a:t>
          </a:r>
        </a:p>
        <a:p>
          <a:r>
            <a:rPr lang="en-US" sz="1100" b="0" baseline="0"/>
            <a:t>- T-bill rate of 2.0%</a:t>
          </a:r>
        </a:p>
        <a:p>
          <a:r>
            <a:rPr lang="en-US" sz="1100" b="0" baseline="0"/>
            <a:t>- S&amp;P 500 rate of 12.0%</a:t>
          </a:r>
        </a:p>
        <a:p>
          <a:r>
            <a:rPr lang="en-US" sz="1100" b="0" baseline="0"/>
            <a:t>- Levered Beta of 1.15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</xdr:row>
      <xdr:rowOff>7620</xdr:rowOff>
    </xdr:from>
    <xdr:to>
      <xdr:col>14</xdr:col>
      <xdr:colOff>190500</xdr:colOff>
      <xdr:row>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5AA2F4-7239-49F2-8C89-927FC7AB8E4E}"/>
            </a:ext>
          </a:extLst>
        </xdr:cNvPr>
        <xdr:cNvSpPr txBox="1"/>
      </xdr:nvSpPr>
      <xdr:spPr>
        <a:xfrm>
          <a:off x="6195060" y="190500"/>
          <a:ext cx="3977640" cy="670560"/>
        </a:xfrm>
        <a:prstGeom prst="rect">
          <a:avLst/>
        </a:prstGeom>
        <a:solidFill>
          <a:srgbClr val="FFCC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3 - Capital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Budgeting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Calculate the IRR an NPV with the given Free Cash Flows and WACC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93"/>
  <sheetViews>
    <sheetView tabSelected="1" topLeftCell="A58" workbookViewId="0">
      <selection activeCell="O69" sqref="O69"/>
    </sheetView>
  </sheetViews>
  <sheetFormatPr defaultRowHeight="15" x14ac:dyDescent="0.25"/>
  <cols>
    <col min="1" max="1" width="36.42578125" customWidth="1"/>
    <col min="2" max="4" width="15.7109375" customWidth="1"/>
    <col min="5" max="5" width="2.28515625" customWidth="1"/>
    <col min="6" max="6" width="11" bestFit="1" customWidth="1"/>
    <col min="7" max="7" width="15" bestFit="1" customWidth="1"/>
    <col min="8" max="8" width="12.7109375" bestFit="1" customWidth="1"/>
    <col min="9" max="9" width="13.42578125" bestFit="1" customWidth="1"/>
    <col min="10" max="10" width="12.42578125" bestFit="1" customWidth="1"/>
    <col min="11" max="11" width="11.5703125" customWidth="1"/>
  </cols>
  <sheetData>
    <row r="1" spans="1:6" ht="18.75" x14ac:dyDescent="0.3">
      <c r="A1" s="2" t="s">
        <v>51</v>
      </c>
    </row>
    <row r="2" spans="1:6" ht="18.75" x14ac:dyDescent="0.3">
      <c r="A2" s="2" t="s">
        <v>35</v>
      </c>
    </row>
    <row r="3" spans="1:6" ht="18.75" x14ac:dyDescent="0.3">
      <c r="A3" s="2"/>
    </row>
    <row r="4" spans="1:6" ht="28.9" customHeight="1" x14ac:dyDescent="0.3">
      <c r="A4" s="2"/>
      <c r="B4" s="14" t="s">
        <v>46</v>
      </c>
      <c r="C4" s="14" t="s">
        <v>43</v>
      </c>
      <c r="D4" s="14" t="s">
        <v>47</v>
      </c>
      <c r="F4" s="18" t="s">
        <v>55</v>
      </c>
    </row>
    <row r="5" spans="1:6" ht="14.45" customHeight="1" x14ac:dyDescent="0.25">
      <c r="A5" s="1" t="s">
        <v>37</v>
      </c>
      <c r="C5" s="23"/>
      <c r="D5" s="23"/>
      <c r="F5" s="7"/>
    </row>
    <row r="6" spans="1:6" ht="14.45" customHeight="1" x14ac:dyDescent="0.25">
      <c r="A6" t="s">
        <v>53</v>
      </c>
      <c r="B6" s="34">
        <f>B30/B10</f>
        <v>8750</v>
      </c>
      <c r="C6" s="24">
        <f>B6*(1+$F6)</f>
        <v>9187.5</v>
      </c>
      <c r="D6" s="24">
        <f>C6*(1+$F6)</f>
        <v>9646.875</v>
      </c>
      <c r="F6" s="20">
        <v>0.05</v>
      </c>
    </row>
    <row r="7" spans="1:6" ht="14.45" customHeight="1" x14ac:dyDescent="0.25">
      <c r="A7" t="s">
        <v>54</v>
      </c>
      <c r="B7" s="34">
        <f t="shared" ref="B7:B8" si="0">B31/B11</f>
        <v>450</v>
      </c>
      <c r="C7" s="24">
        <f t="shared" ref="C7:D7" si="1">B7*(1+$F7)</f>
        <v>472.5</v>
      </c>
      <c r="D7" s="24">
        <f t="shared" si="1"/>
        <v>496.125</v>
      </c>
      <c r="F7" s="20">
        <v>0.05</v>
      </c>
    </row>
    <row r="8" spans="1:6" ht="14.45" customHeight="1" x14ac:dyDescent="0.25">
      <c r="A8" t="s">
        <v>52</v>
      </c>
      <c r="B8" s="34">
        <f t="shared" si="0"/>
        <v>4950</v>
      </c>
      <c r="C8" s="24">
        <f t="shared" ref="C8:D8" si="2">B8*(1+$F8)</f>
        <v>5197.5</v>
      </c>
      <c r="D8" s="24">
        <f t="shared" si="2"/>
        <v>5457.375</v>
      </c>
      <c r="F8" s="20">
        <v>0.05</v>
      </c>
    </row>
    <row r="9" spans="1:6" ht="14.45" customHeight="1" x14ac:dyDescent="0.25">
      <c r="A9" s="1" t="s">
        <v>49</v>
      </c>
      <c r="B9" s="9"/>
      <c r="C9" s="23"/>
      <c r="D9" s="23"/>
      <c r="F9" s="21"/>
    </row>
    <row r="10" spans="1:6" ht="14.45" customHeight="1" x14ac:dyDescent="0.25">
      <c r="A10" t="s">
        <v>53</v>
      </c>
      <c r="B10" s="4">
        <v>295</v>
      </c>
      <c r="C10" s="24">
        <f>B10*(1+$F10)</f>
        <v>300.89999999999998</v>
      </c>
      <c r="D10" s="24">
        <f>C10*(1+$F10)</f>
        <v>306.91800000000001</v>
      </c>
      <c r="F10" s="20">
        <v>0.02</v>
      </c>
    </row>
    <row r="11" spans="1:6" ht="14.45" customHeight="1" x14ac:dyDescent="0.25">
      <c r="A11" t="s">
        <v>54</v>
      </c>
      <c r="B11" s="4">
        <v>245</v>
      </c>
      <c r="C11" s="24">
        <f t="shared" ref="C11:D11" si="3">B11*(1+$F11)</f>
        <v>249.9</v>
      </c>
      <c r="D11" s="24">
        <f t="shared" si="3"/>
        <v>254.898</v>
      </c>
      <c r="F11" s="20">
        <v>0.02</v>
      </c>
    </row>
    <row r="12" spans="1:6" ht="14.45" customHeight="1" x14ac:dyDescent="0.25">
      <c r="A12" t="s">
        <v>52</v>
      </c>
      <c r="B12" s="4">
        <v>315</v>
      </c>
      <c r="C12" s="24">
        <f t="shared" ref="C12:D12" si="4">B12*(1+$F12)</f>
        <v>321.3</v>
      </c>
      <c r="D12" s="24">
        <f t="shared" si="4"/>
        <v>327.726</v>
      </c>
      <c r="F12" s="20">
        <v>0.02</v>
      </c>
    </row>
    <row r="13" spans="1:6" ht="14.45" customHeight="1" x14ac:dyDescent="0.25">
      <c r="A13" s="1" t="s">
        <v>36</v>
      </c>
      <c r="B13" s="9"/>
      <c r="C13" s="25"/>
      <c r="D13" s="25"/>
      <c r="F13" s="21"/>
    </row>
    <row r="14" spans="1:6" ht="14.45" customHeight="1" x14ac:dyDescent="0.25">
      <c r="A14" t="s">
        <v>53</v>
      </c>
      <c r="B14" s="35">
        <f>B35/B6</f>
        <v>175</v>
      </c>
      <c r="C14" s="24">
        <f>B14*(1+$F14)</f>
        <v>178.5</v>
      </c>
      <c r="D14" s="24">
        <f>C14*(1+$F14)</f>
        <v>182.07</v>
      </c>
      <c r="F14" s="20">
        <v>0.02</v>
      </c>
    </row>
    <row r="15" spans="1:6" ht="14.45" customHeight="1" x14ac:dyDescent="0.25">
      <c r="A15" t="s">
        <v>54</v>
      </c>
      <c r="B15" s="35">
        <f t="shared" ref="B15:B16" si="5">B36/B7</f>
        <v>155</v>
      </c>
      <c r="C15" s="24">
        <f t="shared" ref="C15:D15" si="6">B15*(1+$F15)</f>
        <v>158.1</v>
      </c>
      <c r="D15" s="24">
        <f t="shared" si="6"/>
        <v>161.262</v>
      </c>
      <c r="F15" s="20">
        <v>0.02</v>
      </c>
    </row>
    <row r="16" spans="1:6" ht="14.45" customHeight="1" x14ac:dyDescent="0.25">
      <c r="A16" t="s">
        <v>52</v>
      </c>
      <c r="B16" s="35">
        <f t="shared" si="5"/>
        <v>180</v>
      </c>
      <c r="C16" s="24">
        <f t="shared" ref="C16:D16" si="7">B16*(1+$F16)</f>
        <v>183.6</v>
      </c>
      <c r="D16" s="24">
        <f t="shared" si="7"/>
        <v>187.27199999999999</v>
      </c>
      <c r="F16" s="20">
        <v>0.02</v>
      </c>
    </row>
    <row r="17" spans="1:6" ht="14.45" customHeight="1" x14ac:dyDescent="0.25">
      <c r="B17" s="11"/>
      <c r="C17" s="23"/>
      <c r="D17" s="23"/>
      <c r="F17" s="21"/>
    </row>
    <row r="18" spans="1:6" ht="14.45" customHeight="1" x14ac:dyDescent="0.25">
      <c r="A18" t="s">
        <v>38</v>
      </c>
      <c r="B18" s="33">
        <f>B61/(B33/365)</f>
        <v>38.707473975180854</v>
      </c>
      <c r="C18" s="26">
        <f>B18*(1+$F18)</f>
        <v>38.707473975180854</v>
      </c>
      <c r="D18" s="26">
        <f>C18*(1+$F18)</f>
        <v>38.707473975180854</v>
      </c>
      <c r="F18" s="20">
        <v>0</v>
      </c>
    </row>
    <row r="19" spans="1:6" ht="14.45" customHeight="1" x14ac:dyDescent="0.25">
      <c r="A19" t="s">
        <v>39</v>
      </c>
      <c r="B19" s="33">
        <f>B62/(B38/365)</f>
        <v>91.929761235955056</v>
      </c>
      <c r="C19" s="26">
        <f t="shared" ref="C19:D19" si="8">B19*(1+$F19)</f>
        <v>91.929761235955056</v>
      </c>
      <c r="D19" s="26">
        <f t="shared" si="8"/>
        <v>91.929761235955056</v>
      </c>
      <c r="F19" s="20">
        <v>0</v>
      </c>
    </row>
    <row r="20" spans="1:6" ht="14.45" customHeight="1" x14ac:dyDescent="0.25">
      <c r="A20" t="s">
        <v>40</v>
      </c>
      <c r="B20" s="33">
        <f>B72/(B38/365)</f>
        <v>49.206159711075443</v>
      </c>
      <c r="C20" s="26">
        <f t="shared" ref="C20:D20" si="9">B20*(1+$F20)</f>
        <v>49.206159711075443</v>
      </c>
      <c r="D20" s="26">
        <f t="shared" si="9"/>
        <v>49.206159711075443</v>
      </c>
      <c r="F20" s="20">
        <v>0</v>
      </c>
    </row>
    <row r="21" spans="1:6" ht="14.45" customHeight="1" x14ac:dyDescent="0.25">
      <c r="C21" s="23"/>
      <c r="D21" s="23"/>
      <c r="F21" s="21"/>
    </row>
    <row r="22" spans="1:6" ht="14.45" customHeight="1" x14ac:dyDescent="0.25">
      <c r="A22" t="s">
        <v>44</v>
      </c>
      <c r="B22" s="7">
        <v>0.08</v>
      </c>
      <c r="C22" s="36">
        <v>0.08</v>
      </c>
      <c r="D22" s="36">
        <v>0.08</v>
      </c>
      <c r="F22" s="21"/>
    </row>
    <row r="23" spans="1:6" ht="14.45" customHeight="1" x14ac:dyDescent="0.25">
      <c r="A23" t="s">
        <v>45</v>
      </c>
      <c r="B23" s="7">
        <v>0.23699999999999999</v>
      </c>
      <c r="C23" s="36">
        <v>0.255</v>
      </c>
      <c r="D23" s="36">
        <v>0.255</v>
      </c>
      <c r="F23" s="21"/>
    </row>
    <row r="24" spans="1:6" ht="14.45" customHeight="1" x14ac:dyDescent="0.25">
      <c r="C24" s="23"/>
      <c r="D24" s="23"/>
      <c r="F24" s="7"/>
    </row>
    <row r="25" spans="1:6" ht="18.75" x14ac:dyDescent="0.3">
      <c r="A25" s="2" t="s">
        <v>51</v>
      </c>
      <c r="C25" s="23"/>
      <c r="D25" s="23"/>
      <c r="F25" s="7"/>
    </row>
    <row r="26" spans="1:6" ht="18.75" x14ac:dyDescent="0.3">
      <c r="A26" s="2" t="s">
        <v>10</v>
      </c>
      <c r="C26" s="23"/>
      <c r="D26" s="23"/>
      <c r="F26" s="7"/>
    </row>
    <row r="27" spans="1:6" ht="14.45" customHeight="1" x14ac:dyDescent="0.3">
      <c r="A27" s="2"/>
      <c r="C27" s="23"/>
      <c r="D27" s="23"/>
      <c r="F27" s="7"/>
    </row>
    <row r="28" spans="1:6" x14ac:dyDescent="0.25">
      <c r="B28" s="3" t="s">
        <v>46</v>
      </c>
      <c r="C28" s="14" t="s">
        <v>43</v>
      </c>
      <c r="D28" s="14" t="s">
        <v>47</v>
      </c>
      <c r="F28" s="22"/>
    </row>
    <row r="29" spans="1:6" x14ac:dyDescent="0.25">
      <c r="A29" s="1" t="s">
        <v>33</v>
      </c>
      <c r="B29" s="4"/>
      <c r="C29" s="23"/>
      <c r="D29" s="23"/>
      <c r="F29" s="7"/>
    </row>
    <row r="30" spans="1:6" x14ac:dyDescent="0.25">
      <c r="A30" t="s">
        <v>53</v>
      </c>
      <c r="B30" s="4">
        <v>2581250</v>
      </c>
      <c r="C30" s="27">
        <f>C6*C10</f>
        <v>2764518.75</v>
      </c>
      <c r="D30" s="27">
        <f>D6*D10</f>
        <v>2960799.5812500003</v>
      </c>
      <c r="F30" s="21"/>
    </row>
    <row r="31" spans="1:6" x14ac:dyDescent="0.25">
      <c r="A31" t="s">
        <v>54</v>
      </c>
      <c r="B31" s="4">
        <v>110250</v>
      </c>
      <c r="C31" s="27">
        <f t="shared" ref="C31:D31" si="10">C7*C11</f>
        <v>118077.75</v>
      </c>
      <c r="D31" s="27">
        <f t="shared" si="10"/>
        <v>126461.27025</v>
      </c>
      <c r="F31" s="21"/>
    </row>
    <row r="32" spans="1:6" x14ac:dyDescent="0.25">
      <c r="A32" t="s">
        <v>52</v>
      </c>
      <c r="B32" s="5">
        <v>1559250</v>
      </c>
      <c r="C32" s="27">
        <f t="shared" ref="C32:D32" si="11">C8*C12</f>
        <v>1669956.75</v>
      </c>
      <c r="D32" s="27">
        <f t="shared" si="11"/>
        <v>1788523.67925</v>
      </c>
      <c r="F32" s="21"/>
    </row>
    <row r="33" spans="1:6" x14ac:dyDescent="0.25">
      <c r="A33" t="s">
        <v>0</v>
      </c>
      <c r="B33" s="4">
        <v>4250750</v>
      </c>
      <c r="C33" s="13">
        <f>SUM(C30:C32)</f>
        <v>4552553.25</v>
      </c>
      <c r="D33" s="13">
        <f t="shared" ref="D33:E33" si="12">SUM(D30:D32)</f>
        <v>4875784.5307500008</v>
      </c>
      <c r="E33" s="13"/>
      <c r="F33" s="21"/>
    </row>
    <row r="34" spans="1:6" x14ac:dyDescent="0.25">
      <c r="A34" s="16" t="s">
        <v>34</v>
      </c>
      <c r="B34" s="4"/>
      <c r="C34" s="13"/>
      <c r="D34" s="13"/>
      <c r="F34" s="21"/>
    </row>
    <row r="35" spans="1:6" x14ac:dyDescent="0.25">
      <c r="A35" t="s">
        <v>53</v>
      </c>
      <c r="B35" s="4">
        <v>1531250</v>
      </c>
      <c r="C35" s="27">
        <f>C14*C6</f>
        <v>1639968.75</v>
      </c>
      <c r="D35" s="27">
        <f>D14*D6</f>
        <v>1756406.53125</v>
      </c>
      <c r="F35" s="21"/>
    </row>
    <row r="36" spans="1:6" x14ac:dyDescent="0.25">
      <c r="A36" t="s">
        <v>54</v>
      </c>
      <c r="B36" s="4">
        <v>69750</v>
      </c>
      <c r="C36" s="27">
        <f t="shared" ref="C36:D36" si="13">C15*C7</f>
        <v>74702.25</v>
      </c>
      <c r="D36" s="27">
        <f t="shared" si="13"/>
        <v>80006.109750000003</v>
      </c>
      <c r="F36" s="21"/>
    </row>
    <row r="37" spans="1:6" x14ac:dyDescent="0.25">
      <c r="A37" t="s">
        <v>52</v>
      </c>
      <c r="B37" s="5">
        <v>891000</v>
      </c>
      <c r="C37" s="27">
        <f t="shared" ref="C37:D37" si="14">C16*C8</f>
        <v>954261</v>
      </c>
      <c r="D37" s="27">
        <f t="shared" si="14"/>
        <v>1022013.531</v>
      </c>
      <c r="F37" s="21"/>
    </row>
    <row r="38" spans="1:6" x14ac:dyDescent="0.25">
      <c r="A38" s="15" t="s">
        <v>31</v>
      </c>
      <c r="B38" s="5">
        <v>2492000</v>
      </c>
      <c r="C38" s="30">
        <f>SUM(C35:C37)</f>
        <v>2668932</v>
      </c>
      <c r="D38" s="30">
        <f>SUM(D35:D37)</f>
        <v>2858426.1720000003</v>
      </c>
      <c r="F38" s="21"/>
    </row>
    <row r="39" spans="1:6" x14ac:dyDescent="0.25">
      <c r="A39" t="s">
        <v>9</v>
      </c>
      <c r="B39" s="4">
        <v>1758750</v>
      </c>
      <c r="C39" s="13">
        <f>C33-C38</f>
        <v>1883621.25</v>
      </c>
      <c r="D39" s="13">
        <f>D33-D38</f>
        <v>2017358.3587500006</v>
      </c>
      <c r="F39" s="21"/>
    </row>
    <row r="40" spans="1:6" x14ac:dyDescent="0.25">
      <c r="A40" t="s">
        <v>11</v>
      </c>
      <c r="B40" s="20">
        <f>B39/B33</f>
        <v>0.41375051461506795</v>
      </c>
      <c r="C40" s="29">
        <f>C39/C33</f>
        <v>0.41375051461506795</v>
      </c>
      <c r="D40" s="29">
        <f>D39/D33</f>
        <v>0.41375051461506795</v>
      </c>
      <c r="F40" s="21"/>
    </row>
    <row r="41" spans="1:6" x14ac:dyDescent="0.25">
      <c r="B41" s="4"/>
      <c r="C41" s="23"/>
      <c r="D41" s="23"/>
      <c r="F41" s="7"/>
    </row>
    <row r="42" spans="1:6" x14ac:dyDescent="0.25">
      <c r="A42" s="1" t="s">
        <v>1</v>
      </c>
      <c r="B42" s="4"/>
      <c r="C42" s="23"/>
      <c r="D42" s="23"/>
      <c r="F42" s="7"/>
    </row>
    <row r="43" spans="1:6" x14ac:dyDescent="0.25">
      <c r="A43" t="s">
        <v>50</v>
      </c>
      <c r="B43" s="4">
        <v>1133694</v>
      </c>
      <c r="C43" s="24">
        <f>B43*(1+$F43)</f>
        <v>1156367.8800000001</v>
      </c>
      <c r="D43" s="24">
        <f>C43*(1+$F43)</f>
        <v>1179495.2376000001</v>
      </c>
      <c r="F43" s="20">
        <v>0.02</v>
      </c>
    </row>
    <row r="44" spans="1:6" x14ac:dyDescent="0.25">
      <c r="A44" t="s">
        <v>6</v>
      </c>
      <c r="B44" s="4">
        <v>100255</v>
      </c>
      <c r="C44" s="24">
        <f t="shared" ref="C44:D44" si="15">B44*(1+$F44)</f>
        <v>110280.50000000001</v>
      </c>
      <c r="D44" s="24">
        <f t="shared" si="15"/>
        <v>121308.55000000003</v>
      </c>
      <c r="F44" s="20">
        <v>0.1</v>
      </c>
    </row>
    <row r="45" spans="1:6" x14ac:dyDescent="0.25">
      <c r="A45" t="s">
        <v>32</v>
      </c>
      <c r="B45" s="4">
        <v>133484</v>
      </c>
      <c r="C45" s="24">
        <f t="shared" ref="C45:D45" si="16">B45*(1+$F45)</f>
        <v>133484</v>
      </c>
      <c r="D45" s="24">
        <f t="shared" si="16"/>
        <v>133484</v>
      </c>
      <c r="F45" s="20">
        <v>0</v>
      </c>
    </row>
    <row r="46" spans="1:6" x14ac:dyDescent="0.25">
      <c r="A46" t="s">
        <v>7</v>
      </c>
      <c r="B46" s="5">
        <v>17455</v>
      </c>
      <c r="C46" s="57">
        <f>B46+20000</f>
        <v>37455</v>
      </c>
      <c r="D46" s="57">
        <f>C46+10000</f>
        <v>47455</v>
      </c>
      <c r="F46" s="21"/>
    </row>
    <row r="47" spans="1:6" x14ac:dyDescent="0.25">
      <c r="A47" t="s">
        <v>2</v>
      </c>
      <c r="B47" s="4">
        <v>1384888</v>
      </c>
      <c r="C47" s="13">
        <f>SUM(C43:C46)</f>
        <v>1437587.3800000001</v>
      </c>
      <c r="D47" s="13">
        <f>SUM(D43:D46)</f>
        <v>1481742.7876000002</v>
      </c>
      <c r="F47" s="7"/>
    </row>
    <row r="48" spans="1:6" x14ac:dyDescent="0.25">
      <c r="B48" s="4"/>
      <c r="C48" s="13"/>
      <c r="D48" s="13"/>
      <c r="F48" s="7"/>
    </row>
    <row r="49" spans="1:6" x14ac:dyDescent="0.25">
      <c r="A49" t="s">
        <v>4</v>
      </c>
      <c r="B49" s="4">
        <f>B39-B47</f>
        <v>373862</v>
      </c>
      <c r="C49" s="13">
        <f>C39-C47</f>
        <v>446033.86999999988</v>
      </c>
      <c r="D49" s="13">
        <f>D39-D47</f>
        <v>535615.57115000044</v>
      </c>
      <c r="F49" s="7"/>
    </row>
    <row r="50" spans="1:6" x14ac:dyDescent="0.25">
      <c r="B50" s="4"/>
      <c r="C50" s="17"/>
      <c r="D50" s="17"/>
      <c r="F50" s="7"/>
    </row>
    <row r="51" spans="1:6" x14ac:dyDescent="0.25">
      <c r="A51" t="s">
        <v>3</v>
      </c>
      <c r="B51" s="4">
        <v>34592</v>
      </c>
      <c r="C51" s="27">
        <f>C22*C76</f>
        <v>16055.988306485084</v>
      </c>
      <c r="D51" s="27">
        <f>D22*D76</f>
        <v>-7268.9122214513891</v>
      </c>
      <c r="F51" s="21"/>
    </row>
    <row r="52" spans="1:6" x14ac:dyDescent="0.25">
      <c r="A52" t="s">
        <v>5</v>
      </c>
      <c r="B52" s="5">
        <v>80281</v>
      </c>
      <c r="C52" s="19">
        <f>C49*C23</f>
        <v>113738.63684999997</v>
      </c>
      <c r="D52" s="19">
        <f>D49*D23</f>
        <v>136581.97064325013</v>
      </c>
      <c r="F52" s="21"/>
    </row>
    <row r="53" spans="1:6" ht="15.75" thickBot="1" x14ac:dyDescent="0.3">
      <c r="A53" t="s">
        <v>8</v>
      </c>
      <c r="B53" s="6">
        <f>B49-B51-B52</f>
        <v>258989</v>
      </c>
      <c r="C53" s="32">
        <f>C49-C51-C52</f>
        <v>316239.24484351487</v>
      </c>
      <c r="D53" s="32">
        <f>D49-D51-D52</f>
        <v>406302.51272820169</v>
      </c>
      <c r="F53" s="7"/>
    </row>
    <row r="54" spans="1:6" ht="15.75" thickTop="1" x14ac:dyDescent="0.25">
      <c r="A54" t="s">
        <v>12</v>
      </c>
      <c r="B54" s="7">
        <f>B53/B33</f>
        <v>6.092783626418867E-2</v>
      </c>
      <c r="C54" s="28">
        <f>C53/C33</f>
        <v>6.9464150659526033E-2</v>
      </c>
      <c r="D54" s="28">
        <f>D53/D33</f>
        <v>8.3330694817579154E-2</v>
      </c>
      <c r="F54" s="7"/>
    </row>
    <row r="55" spans="1:6" x14ac:dyDescent="0.25">
      <c r="B55" s="8"/>
      <c r="C55" s="23"/>
      <c r="D55" s="23"/>
      <c r="F55" s="7"/>
    </row>
    <row r="56" spans="1:6" ht="18.75" x14ac:dyDescent="0.3">
      <c r="A56" s="2" t="s">
        <v>48</v>
      </c>
      <c r="B56" s="12"/>
      <c r="C56" s="23"/>
      <c r="D56" s="23"/>
      <c r="F56" s="7"/>
    </row>
    <row r="57" spans="1:6" ht="18.75" x14ac:dyDescent="0.3">
      <c r="A57" s="2" t="s">
        <v>13</v>
      </c>
      <c r="B57" s="8"/>
      <c r="C57" s="23"/>
      <c r="D57" s="23"/>
      <c r="F57" s="7"/>
    </row>
    <row r="58" spans="1:6" x14ac:dyDescent="0.25">
      <c r="B58" s="14" t="s">
        <v>46</v>
      </c>
      <c r="C58" s="14" t="s">
        <v>43</v>
      </c>
      <c r="D58" s="14" t="s">
        <v>47</v>
      </c>
      <c r="F58" s="22"/>
    </row>
    <row r="59" spans="1:6" x14ac:dyDescent="0.25">
      <c r="A59" s="1" t="s">
        <v>16</v>
      </c>
      <c r="B59" s="8"/>
      <c r="C59" s="23"/>
      <c r="D59" s="23"/>
      <c r="F59" s="7"/>
    </row>
    <row r="60" spans="1:6" x14ac:dyDescent="0.25">
      <c r="A60" t="s">
        <v>14</v>
      </c>
      <c r="B60" s="4">
        <v>387493</v>
      </c>
      <c r="C60" s="27">
        <f>B60*(1+$F60)</f>
        <v>426242.30000000005</v>
      </c>
      <c r="D60" s="27">
        <f>C60*(1+$F60)</f>
        <v>468866.53000000009</v>
      </c>
      <c r="F60" s="20">
        <v>0.1</v>
      </c>
    </row>
    <row r="61" spans="1:6" x14ac:dyDescent="0.25">
      <c r="A61" t="s">
        <v>41</v>
      </c>
      <c r="B61" s="4">
        <v>450783</v>
      </c>
      <c r="C61" s="27">
        <f>C18*(C33/365)</f>
        <v>482788.59300000005</v>
      </c>
      <c r="D61" s="27">
        <f>D18*(D33/365)</f>
        <v>517066.58310300013</v>
      </c>
      <c r="F61" s="7"/>
    </row>
    <row r="62" spans="1:6" x14ac:dyDescent="0.25">
      <c r="A62" t="s">
        <v>15</v>
      </c>
      <c r="B62" s="5">
        <v>627641</v>
      </c>
      <c r="C62" s="19">
        <f>C19*(C39/365)</f>
        <v>474413.29252457869</v>
      </c>
      <c r="D62" s="19">
        <f>D19*(D39/365)</f>
        <v>508096.63629382389</v>
      </c>
      <c r="E62" s="13"/>
      <c r="F62" s="7"/>
    </row>
    <row r="63" spans="1:6" x14ac:dyDescent="0.25">
      <c r="A63" t="s">
        <v>17</v>
      </c>
      <c r="B63" s="4">
        <v>1465917</v>
      </c>
      <c r="C63" s="13">
        <f>SUM(C60:C62)</f>
        <v>1383444.1855245789</v>
      </c>
      <c r="D63" s="13">
        <f>SUM(D60:D62)</f>
        <v>1494029.749396824</v>
      </c>
      <c r="F63" s="7"/>
    </row>
    <row r="64" spans="1:6" x14ac:dyDescent="0.25">
      <c r="B64" s="4"/>
      <c r="C64" s="17"/>
      <c r="D64" s="17"/>
    </row>
    <row r="65" spans="1:11" x14ac:dyDescent="0.25">
      <c r="A65" t="s">
        <v>42</v>
      </c>
      <c r="B65" s="4">
        <v>427313</v>
      </c>
      <c r="C65" s="58">
        <f>B65+200000</f>
        <v>627313</v>
      </c>
      <c r="D65" s="58">
        <f>C65+100000</f>
        <v>727313</v>
      </c>
    </row>
    <row r="66" spans="1:11" x14ac:dyDescent="0.25">
      <c r="A66" t="s">
        <v>18</v>
      </c>
      <c r="B66" s="5">
        <v>-109243</v>
      </c>
      <c r="C66" s="59">
        <f>B66-C46</f>
        <v>-146698</v>
      </c>
      <c r="D66" s="59">
        <f>C66-D46</f>
        <v>-194153</v>
      </c>
    </row>
    <row r="67" spans="1:11" x14ac:dyDescent="0.25">
      <c r="A67" t="s">
        <v>19</v>
      </c>
      <c r="B67" s="4">
        <v>318070</v>
      </c>
      <c r="C67" s="31">
        <f>C65+C66</f>
        <v>480615</v>
      </c>
      <c r="D67" s="31">
        <f>D65+D66</f>
        <v>533160</v>
      </c>
    </row>
    <row r="68" spans="1:11" x14ac:dyDescent="0.25">
      <c r="B68" s="4"/>
      <c r="C68" s="17"/>
      <c r="D68" s="17"/>
      <c r="F68" s="7"/>
    </row>
    <row r="69" spans="1:11" ht="15.75" thickBot="1" x14ac:dyDescent="0.3">
      <c r="A69" t="s">
        <v>20</v>
      </c>
      <c r="B69" s="6">
        <v>1783987</v>
      </c>
      <c r="C69" s="32">
        <f>C63+C67</f>
        <v>1864059.1855245789</v>
      </c>
      <c r="D69" s="32">
        <f>D63+D67</f>
        <v>2027189.749396824</v>
      </c>
      <c r="F69" s="7"/>
    </row>
    <row r="70" spans="1:11" ht="15.75" thickTop="1" x14ac:dyDescent="0.25">
      <c r="B70" s="4"/>
      <c r="C70" s="17"/>
      <c r="D70" s="17"/>
      <c r="F70" s="7"/>
    </row>
    <row r="71" spans="1:11" ht="15.75" x14ac:dyDescent="0.25">
      <c r="A71" s="1" t="s">
        <v>21</v>
      </c>
      <c r="B71" s="4"/>
      <c r="C71" s="17"/>
      <c r="D71" s="17"/>
      <c r="F71" s="7"/>
      <c r="G71" s="65" t="s">
        <v>71</v>
      </c>
      <c r="H71" s="65" t="s">
        <v>72</v>
      </c>
      <c r="I71" s="65" t="s">
        <v>73</v>
      </c>
      <c r="J71" s="65" t="s">
        <v>74</v>
      </c>
      <c r="K71" s="65" t="s">
        <v>75</v>
      </c>
    </row>
    <row r="72" spans="1:11" ht="15.75" x14ac:dyDescent="0.25">
      <c r="A72" t="s">
        <v>22</v>
      </c>
      <c r="B72" s="4">
        <v>335950</v>
      </c>
      <c r="C72" s="27">
        <f>C20*(C38/365)</f>
        <v>359802.45</v>
      </c>
      <c r="D72" s="27">
        <f>D20*(D38/365)</f>
        <v>385348.42395000003</v>
      </c>
      <c r="F72" s="21"/>
      <c r="G72" s="66"/>
      <c r="H72" s="66"/>
      <c r="I72" s="66"/>
      <c r="J72" s="66"/>
      <c r="K72" s="66"/>
    </row>
    <row r="73" spans="1:11" ht="15.75" x14ac:dyDescent="0.25">
      <c r="A73" t="s">
        <v>23</v>
      </c>
      <c r="B73" s="5">
        <v>80281</v>
      </c>
      <c r="C73" s="19">
        <f>C52</f>
        <v>113738.63684999997</v>
      </c>
      <c r="D73" s="19">
        <f>D52</f>
        <v>136581.97064325013</v>
      </c>
      <c r="F73" s="7"/>
      <c r="G73" s="66"/>
      <c r="H73" s="66"/>
      <c r="I73" s="66"/>
      <c r="J73" s="66"/>
      <c r="K73" s="66"/>
    </row>
    <row r="74" spans="1:11" ht="15.75" x14ac:dyDescent="0.25">
      <c r="A74" t="s">
        <v>26</v>
      </c>
      <c r="B74" s="4">
        <v>416231</v>
      </c>
      <c r="C74" s="13">
        <f>SUM(C72:C73)</f>
        <v>473541.08684999996</v>
      </c>
      <c r="D74" s="13">
        <f>SUM(D72:D73)</f>
        <v>521930.39459325012</v>
      </c>
      <c r="F74" s="7"/>
      <c r="G74" s="66"/>
      <c r="H74" s="66"/>
      <c r="I74" s="66"/>
      <c r="J74" s="66"/>
      <c r="K74" s="66"/>
    </row>
    <row r="75" spans="1:11" ht="15.75" x14ac:dyDescent="0.25">
      <c r="B75" s="4"/>
      <c r="C75" s="17"/>
      <c r="D75" s="17"/>
      <c r="F75" s="21"/>
      <c r="G75" s="66"/>
      <c r="H75" s="66"/>
      <c r="I75" s="66"/>
      <c r="J75" s="66"/>
      <c r="K75" s="66"/>
    </row>
    <row r="76" spans="1:11" ht="15.75" x14ac:dyDescent="0.25">
      <c r="A76" t="s">
        <v>24</v>
      </c>
      <c r="B76" s="5">
        <v>494177</v>
      </c>
      <c r="C76" s="19">
        <v>200699.85383106355</v>
      </c>
      <c r="D76" s="19">
        <v>-90861.402768142361</v>
      </c>
      <c r="F76" s="21"/>
      <c r="G76" s="67">
        <f>AVERAGE(B76:D76)</f>
        <v>201338.48368764037</v>
      </c>
      <c r="H76" s="68">
        <f>G76/G82</f>
        <v>0.14167015637467809</v>
      </c>
      <c r="I76" s="68">
        <f>K88</f>
        <v>0.08</v>
      </c>
      <c r="J76" s="69">
        <f>I76*(1-K89)</f>
        <v>5.96E-2</v>
      </c>
      <c r="K76" s="68">
        <f>H76*J76</f>
        <v>8.4435413199308133E-3</v>
      </c>
    </row>
    <row r="77" spans="1:11" ht="15.75" x14ac:dyDescent="0.25">
      <c r="A77" t="s">
        <v>25</v>
      </c>
      <c r="B77" s="4">
        <v>910408</v>
      </c>
      <c r="C77" s="13">
        <f>C74+C76</f>
        <v>674240.94068106357</v>
      </c>
      <c r="D77" s="13">
        <f>D74+D76</f>
        <v>431068.99182510778</v>
      </c>
      <c r="F77" s="21"/>
      <c r="G77" s="66"/>
      <c r="H77" s="66"/>
      <c r="I77" s="70"/>
      <c r="J77" s="71"/>
      <c r="K77" s="71"/>
    </row>
    <row r="78" spans="1:11" ht="15.75" x14ac:dyDescent="0.25">
      <c r="B78" s="4"/>
      <c r="C78" s="17"/>
      <c r="D78" s="17"/>
      <c r="F78" s="21"/>
      <c r="G78" s="66"/>
      <c r="H78" s="66"/>
      <c r="I78" s="66"/>
      <c r="J78" s="66"/>
      <c r="K78" s="71"/>
    </row>
    <row r="79" spans="1:11" ht="15.75" x14ac:dyDescent="0.25">
      <c r="A79" t="s">
        <v>27</v>
      </c>
      <c r="B79" s="4">
        <v>400000</v>
      </c>
      <c r="C79" s="31">
        <f>B79</f>
        <v>400000</v>
      </c>
      <c r="D79" s="31">
        <f>C79</f>
        <v>400000</v>
      </c>
      <c r="F79" s="21"/>
      <c r="G79" s="66"/>
      <c r="H79" s="66"/>
      <c r="I79" s="66"/>
      <c r="J79" s="66"/>
      <c r="K79" s="71"/>
    </row>
    <row r="80" spans="1:11" ht="15.75" x14ac:dyDescent="0.25">
      <c r="A80" t="s">
        <v>28</v>
      </c>
      <c r="B80" s="5">
        <v>473579</v>
      </c>
      <c r="C80" s="19">
        <f>B80+C53</f>
        <v>789818.24484351487</v>
      </c>
      <c r="D80" s="19">
        <f>C80+D53</f>
        <v>1196120.7575717166</v>
      </c>
      <c r="F80" s="21"/>
      <c r="G80" s="66"/>
      <c r="H80" s="66"/>
      <c r="I80" s="66"/>
      <c r="J80" s="66"/>
      <c r="K80" s="71"/>
    </row>
    <row r="81" spans="1:11" ht="15.75" x14ac:dyDescent="0.25">
      <c r="A81" t="s">
        <v>29</v>
      </c>
      <c r="B81" s="4">
        <v>873579</v>
      </c>
      <c r="C81" s="13">
        <f>C79+C80</f>
        <v>1189818.2448435149</v>
      </c>
      <c r="D81" s="13">
        <f>D79+D80</f>
        <v>1596120.7575717166</v>
      </c>
      <c r="F81" s="21"/>
      <c r="G81" s="72">
        <f>AVERAGE(B81:D81)</f>
        <v>1219839.3341384104</v>
      </c>
      <c r="H81" s="73">
        <f>G81/G82</f>
        <v>0.85832984362532194</v>
      </c>
      <c r="I81" s="74">
        <f>H89</f>
        <v>0.13499999999999998</v>
      </c>
      <c r="J81" s="74">
        <f>I81</f>
        <v>0.13499999999999998</v>
      </c>
      <c r="K81" s="75">
        <f>H81*J81</f>
        <v>0.11587452888941845</v>
      </c>
    </row>
    <row r="82" spans="1:11" ht="15.75" x14ac:dyDescent="0.25">
      <c r="B82" s="4"/>
      <c r="C82" s="13"/>
      <c r="D82" s="13"/>
      <c r="F82" s="21"/>
      <c r="G82" s="67">
        <f>SUM(G76:G81)</f>
        <v>1421177.8178260508</v>
      </c>
      <c r="H82" s="76">
        <f>SUM(H76:H81)</f>
        <v>1</v>
      </c>
      <c r="I82" s="77"/>
      <c r="J82" s="77"/>
      <c r="K82" s="76">
        <f>K81+K76</f>
        <v>0.12431807020934926</v>
      </c>
    </row>
    <row r="83" spans="1:11" ht="15.75" thickBot="1" x14ac:dyDescent="0.3">
      <c r="A83" t="s">
        <v>30</v>
      </c>
      <c r="B83" s="6">
        <v>1783987</v>
      </c>
      <c r="C83" s="32">
        <f>C77+C81</f>
        <v>1864059.1855245784</v>
      </c>
      <c r="D83" s="32">
        <f>D77+D81</f>
        <v>2027189.7493968243</v>
      </c>
      <c r="F83" s="21"/>
      <c r="G83" s="54"/>
      <c r="H83" s="54"/>
      <c r="I83" s="54"/>
      <c r="J83" s="54"/>
      <c r="K83" s="54"/>
    </row>
    <row r="84" spans="1:11" ht="17.25" customHeight="1" thickTop="1" x14ac:dyDescent="0.25">
      <c r="B84" s="4"/>
      <c r="C84" s="23"/>
      <c r="D84" s="23"/>
      <c r="F84" s="21"/>
      <c r="G84" s="54"/>
      <c r="H84" s="54"/>
      <c r="I84" s="54"/>
      <c r="J84" s="54"/>
      <c r="K84" s="54"/>
    </row>
    <row r="85" spans="1:11" ht="17.25" customHeight="1" x14ac:dyDescent="0.25">
      <c r="A85" t="s">
        <v>70</v>
      </c>
      <c r="B85" s="4">
        <f>B69-B83</f>
        <v>0</v>
      </c>
      <c r="C85" s="4">
        <f t="shared" ref="C85:D85" si="17">C69-C83</f>
        <v>0</v>
      </c>
      <c r="D85" s="4">
        <f t="shared" si="17"/>
        <v>0</v>
      </c>
      <c r="F85" s="21"/>
      <c r="G85" s="66" t="s">
        <v>76</v>
      </c>
      <c r="H85" s="78">
        <f>G76</f>
        <v>201338.48368764037</v>
      </c>
      <c r="I85" s="54"/>
      <c r="J85" s="54"/>
      <c r="K85" s="54"/>
    </row>
    <row r="86" spans="1:11" ht="15.75" x14ac:dyDescent="0.25">
      <c r="B86" s="4"/>
      <c r="C86" s="10"/>
      <c r="D86" s="10"/>
      <c r="F86" s="21"/>
      <c r="G86" s="66" t="s">
        <v>77</v>
      </c>
      <c r="H86" s="67">
        <f>G81</f>
        <v>1219839.3341384104</v>
      </c>
      <c r="I86" s="54"/>
      <c r="J86" s="54" t="s">
        <v>81</v>
      </c>
      <c r="K86" s="81">
        <v>0.02</v>
      </c>
    </row>
    <row r="87" spans="1:11" ht="15.75" x14ac:dyDescent="0.25">
      <c r="A87" s="1" t="s">
        <v>64</v>
      </c>
      <c r="B87" s="14" t="s">
        <v>46</v>
      </c>
      <c r="C87" s="14" t="s">
        <v>43</v>
      </c>
      <c r="D87" s="14" t="s">
        <v>47</v>
      </c>
      <c r="F87" s="21"/>
      <c r="G87" s="66" t="s">
        <v>78</v>
      </c>
      <c r="H87" s="79">
        <v>1.1499999999999999</v>
      </c>
      <c r="I87" s="54"/>
      <c r="J87" s="54" t="s">
        <v>82</v>
      </c>
      <c r="K87" s="82">
        <v>0.12</v>
      </c>
    </row>
    <row r="88" spans="1:11" ht="15.75" x14ac:dyDescent="0.25">
      <c r="A88" t="s">
        <v>11</v>
      </c>
      <c r="B88" s="60">
        <f>B40</f>
        <v>0.41375051461506795</v>
      </c>
      <c r="C88" s="60">
        <f t="shared" ref="C88:D88" si="18">C40</f>
        <v>0.41375051461506795</v>
      </c>
      <c r="D88" s="60">
        <f t="shared" si="18"/>
        <v>0.41375051461506795</v>
      </c>
      <c r="F88" s="53"/>
      <c r="G88" s="66" t="s">
        <v>79</v>
      </c>
      <c r="H88" s="80">
        <f>K87-K86</f>
        <v>9.9999999999999992E-2</v>
      </c>
      <c r="I88" s="54"/>
      <c r="J88" s="54" t="s">
        <v>44</v>
      </c>
      <c r="K88" s="80">
        <v>0.08</v>
      </c>
    </row>
    <row r="89" spans="1:11" ht="15.75" x14ac:dyDescent="0.25">
      <c r="A89" t="s">
        <v>68</v>
      </c>
      <c r="B89" s="61">
        <f>B63-B74</f>
        <v>1049686</v>
      </c>
      <c r="C89" s="61">
        <f t="shared" ref="C89:D89" si="19">C63-C74</f>
        <v>909903.09867457894</v>
      </c>
      <c r="D89" s="61">
        <f t="shared" si="19"/>
        <v>972099.35480357392</v>
      </c>
      <c r="F89" s="53"/>
      <c r="G89" s="66" t="s">
        <v>80</v>
      </c>
      <c r="H89" s="80">
        <f>K86+(H88*H87)</f>
        <v>0.13499999999999998</v>
      </c>
      <c r="I89" s="54"/>
      <c r="J89" s="54" t="s">
        <v>45</v>
      </c>
      <c r="K89" s="69">
        <v>0.255</v>
      </c>
    </row>
    <row r="90" spans="1:11" x14ac:dyDescent="0.25">
      <c r="A90" t="s">
        <v>69</v>
      </c>
      <c r="B90" s="62">
        <f>B63/B74</f>
        <v>3.5218832811587797</v>
      </c>
      <c r="C90" s="62">
        <f t="shared" ref="C90:D90" si="20">C63/C74</f>
        <v>2.9214871189472986</v>
      </c>
      <c r="D90" s="62">
        <f t="shared" si="20"/>
        <v>2.8625076540352641</v>
      </c>
      <c r="F90" s="53"/>
      <c r="G90" s="55"/>
      <c r="H90" s="54"/>
      <c r="I90" s="54"/>
      <c r="J90" s="54"/>
      <c r="K90" s="54"/>
    </row>
    <row r="91" spans="1:11" x14ac:dyDescent="0.25">
      <c r="A91" t="s">
        <v>65</v>
      </c>
      <c r="B91" s="64">
        <f>B53/B81</f>
        <v>0.29646889405537452</v>
      </c>
      <c r="C91" s="64">
        <f t="shared" ref="C91:D91" si="21">C53/C81</f>
        <v>0.26578785979627229</v>
      </c>
      <c r="D91" s="64">
        <f t="shared" si="21"/>
        <v>0.25455624883065642</v>
      </c>
      <c r="F91" s="53"/>
      <c r="G91" s="55"/>
      <c r="H91" s="54"/>
      <c r="I91" s="54"/>
      <c r="J91" s="54"/>
      <c r="K91" s="54"/>
    </row>
    <row r="92" spans="1:11" x14ac:dyDescent="0.25">
      <c r="A92" t="s">
        <v>66</v>
      </c>
      <c r="B92" s="64">
        <f>B53/B69</f>
        <v>0.14517426416223886</v>
      </c>
      <c r="C92" s="64">
        <f t="shared" ref="C92:D92" si="22">C53/C69</f>
        <v>0.16965086049803704</v>
      </c>
      <c r="D92" s="64">
        <f t="shared" si="22"/>
        <v>0.20042648343555117</v>
      </c>
      <c r="F92" s="53"/>
      <c r="G92" s="56"/>
      <c r="H92" s="54"/>
      <c r="I92" s="54"/>
      <c r="J92" s="54"/>
      <c r="K92" s="54"/>
    </row>
    <row r="93" spans="1:11" x14ac:dyDescent="0.25">
      <c r="A93" t="s">
        <v>67</v>
      </c>
      <c r="B93" s="63">
        <f>B76/B81</f>
        <v>0.56569239874127009</v>
      </c>
      <c r="C93" s="63">
        <f t="shared" ref="C93:D93" si="23">C76/C81</f>
        <v>0.16868110293388519</v>
      </c>
      <c r="D93" s="63">
        <f t="shared" si="23"/>
        <v>-5.6926396287443684E-2</v>
      </c>
      <c r="F93" s="53"/>
      <c r="G93" s="54"/>
      <c r="H93" s="54"/>
      <c r="I93" s="54"/>
      <c r="J93" s="54"/>
      <c r="K93" s="54"/>
    </row>
  </sheetData>
  <pageMargins left="0.7" right="0.7" top="0.75" bottom="0.75" header="0.3" footer="0.3"/>
  <pageSetup scale="83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DF4A-1459-453C-A91B-AEB645DB14B7}">
  <sheetPr codeName="Sheet2"/>
  <dimension ref="A1:I9"/>
  <sheetViews>
    <sheetView workbookViewId="0">
      <selection activeCell="B10" sqref="B10"/>
    </sheetView>
  </sheetViews>
  <sheetFormatPr defaultRowHeight="15" x14ac:dyDescent="0.25"/>
  <cols>
    <col min="1" max="1" width="22.5703125" bestFit="1" customWidth="1"/>
    <col min="2" max="2" width="12.28515625" bestFit="1" customWidth="1"/>
    <col min="3" max="6" width="10" bestFit="1" customWidth="1"/>
    <col min="7" max="7" width="11.5703125" bestFit="1" customWidth="1"/>
  </cols>
  <sheetData>
    <row r="1" spans="1:9" x14ac:dyDescent="0.25">
      <c r="A1" s="39" t="s">
        <v>63</v>
      </c>
      <c r="B1" s="49">
        <v>0</v>
      </c>
      <c r="C1" s="49">
        <v>1</v>
      </c>
      <c r="D1" s="49">
        <v>2</v>
      </c>
      <c r="E1" s="49">
        <v>3</v>
      </c>
      <c r="F1" s="48">
        <v>4</v>
      </c>
      <c r="G1" s="48">
        <v>5</v>
      </c>
    </row>
    <row r="2" spans="1:9" x14ac:dyDescent="0.25">
      <c r="A2" s="42" t="s">
        <v>62</v>
      </c>
      <c r="B2" s="43">
        <v>-1200000</v>
      </c>
      <c r="C2" s="42"/>
      <c r="D2" s="42"/>
      <c r="E2" s="42"/>
      <c r="F2" s="42"/>
      <c r="G2" s="42"/>
      <c r="I2" s="51"/>
    </row>
    <row r="3" spans="1:9" x14ac:dyDescent="0.25">
      <c r="A3" s="42" t="s">
        <v>61</v>
      </c>
      <c r="B3" s="38"/>
      <c r="C3" s="43">
        <v>200000</v>
      </c>
      <c r="D3" s="43">
        <v>210000</v>
      </c>
      <c r="E3" s="43">
        <v>250000</v>
      </c>
      <c r="F3" s="47">
        <v>300000</v>
      </c>
      <c r="G3" s="47">
        <v>350000</v>
      </c>
      <c r="I3" s="52"/>
    </row>
    <row r="4" spans="1:9" x14ac:dyDescent="0.25">
      <c r="A4" s="42" t="s">
        <v>60</v>
      </c>
      <c r="B4" s="46"/>
      <c r="C4" s="46"/>
      <c r="D4" s="46"/>
      <c r="E4" s="46"/>
      <c r="F4" s="45"/>
      <c r="G4" s="44">
        <v>650000</v>
      </c>
      <c r="I4" s="51"/>
    </row>
    <row r="5" spans="1:9" x14ac:dyDescent="0.25">
      <c r="A5" s="42" t="s">
        <v>59</v>
      </c>
      <c r="B5" s="43">
        <f t="shared" ref="B5:G5" si="0">SUM(B2:B4)</f>
        <v>-1200000</v>
      </c>
      <c r="C5" s="43">
        <f t="shared" si="0"/>
        <v>200000</v>
      </c>
      <c r="D5" s="43">
        <f t="shared" si="0"/>
        <v>210000</v>
      </c>
      <c r="E5" s="43">
        <f t="shared" si="0"/>
        <v>250000</v>
      </c>
      <c r="F5" s="43">
        <f t="shared" si="0"/>
        <v>300000</v>
      </c>
      <c r="G5" s="43">
        <f t="shared" si="0"/>
        <v>1000000</v>
      </c>
      <c r="I5" s="52"/>
    </row>
    <row r="6" spans="1:9" x14ac:dyDescent="0.25">
      <c r="A6" s="42"/>
      <c r="B6" s="38"/>
      <c r="C6" s="38"/>
      <c r="D6" s="38"/>
      <c r="E6" s="38"/>
      <c r="F6" s="37"/>
      <c r="G6" s="37"/>
      <c r="I6" s="52"/>
    </row>
    <row r="7" spans="1:9" x14ac:dyDescent="0.25">
      <c r="A7" s="39" t="s">
        <v>58</v>
      </c>
      <c r="B7" s="41">
        <v>0.15</v>
      </c>
      <c r="C7" s="38"/>
      <c r="D7" s="38"/>
      <c r="E7" s="38"/>
      <c r="F7" s="37"/>
      <c r="G7" s="37"/>
      <c r="I7" s="52"/>
    </row>
    <row r="8" spans="1:9" x14ac:dyDescent="0.25">
      <c r="A8" s="39" t="s">
        <v>57</v>
      </c>
      <c r="B8" s="40">
        <f>IRR(B5:G5)</f>
        <v>0.14073151090787661</v>
      </c>
      <c r="C8" s="38"/>
      <c r="D8" s="38"/>
      <c r="E8" s="38"/>
      <c r="F8" s="37"/>
      <c r="G8" s="37"/>
      <c r="I8" s="52"/>
    </row>
    <row r="9" spans="1:9" x14ac:dyDescent="0.25">
      <c r="A9" s="39" t="s">
        <v>56</v>
      </c>
      <c r="B9" s="50">
        <f>NPV(B7,C5:G5)+B2</f>
        <v>-34215.019305216847</v>
      </c>
      <c r="C9" s="38"/>
      <c r="D9" s="38"/>
      <c r="E9" s="38"/>
      <c r="F9" s="37"/>
      <c r="G9" s="37"/>
      <c r="I9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 Forecast WACC</vt:lpstr>
      <vt:lpstr>Capital Budgeting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Evan Savage</cp:lastModifiedBy>
  <cp:lastPrinted>2020-01-10T21:29:16Z</cp:lastPrinted>
  <dcterms:created xsi:type="dcterms:W3CDTF">2019-02-20T15:47:38Z</dcterms:created>
  <dcterms:modified xsi:type="dcterms:W3CDTF">2022-05-03T23:30:34Z</dcterms:modified>
</cp:coreProperties>
</file>