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13_ncr:1_{B9EBB66B-D6FD-4F66-BB80-CACF4F5C9905}" xr6:coauthVersionLast="47" xr6:coauthVersionMax="48" xr10:uidLastSave="{00000000-0000-0000-0000-000000000000}"/>
  <bookViews>
    <workbookView xWindow="-120" yWindow="-120" windowWidth="29040" windowHeight="15840" xr2:uid="{00000000-000D-0000-FFFF-FFFF00000000}"/>
  </bookViews>
  <sheets>
    <sheet name="Year 1 Results" sheetId="1" r:id="rId1"/>
    <sheet name="Reven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G28" i="1"/>
  <c r="G26" i="1"/>
  <c r="G9" i="1"/>
  <c r="G10" i="1"/>
  <c r="G11" i="1"/>
  <c r="G46" i="1"/>
  <c r="C28" i="1"/>
  <c r="G45" i="1"/>
  <c r="G44" i="1"/>
  <c r="G30" i="1"/>
  <c r="G31" i="1" s="1"/>
  <c r="G52" i="1" s="1"/>
  <c r="C30" i="1"/>
  <c r="G40" i="1"/>
  <c r="G5" i="1"/>
  <c r="G51" i="1"/>
  <c r="G42" i="1" s="1"/>
  <c r="G48" i="1" s="1"/>
  <c r="C66" i="1"/>
  <c r="G25" i="1"/>
  <c r="G21" i="1"/>
  <c r="G22" i="1"/>
  <c r="G23" i="1"/>
  <c r="G24" i="1"/>
  <c r="B66" i="1"/>
  <c r="G20" i="1"/>
  <c r="G19" i="1"/>
  <c r="G18" i="1"/>
  <c r="G17" i="1"/>
  <c r="G16" i="1"/>
  <c r="G15" i="1"/>
  <c r="G14" i="1"/>
  <c r="E41" i="1"/>
  <c r="E40" i="1"/>
  <c r="E56" i="1"/>
  <c r="E62" i="1"/>
  <c r="E60" i="1"/>
  <c r="E53" i="1"/>
  <c r="C9" i="1"/>
  <c r="C10" i="1"/>
  <c r="C11" i="1"/>
  <c r="C26" i="1"/>
  <c r="E46" i="1"/>
  <c r="I22" i="1"/>
  <c r="I23" i="1"/>
  <c r="E39" i="1"/>
  <c r="E34" i="2"/>
  <c r="I7" i="1"/>
  <c r="I8" i="1"/>
  <c r="I9" i="1"/>
  <c r="J9" i="1"/>
  <c r="J8" i="1"/>
  <c r="J7" i="1"/>
  <c r="G6" i="2"/>
  <c r="E38" i="2"/>
  <c r="C65" i="1"/>
  <c r="E42" i="1" s="1"/>
  <c r="B65" i="1"/>
  <c r="B46" i="1"/>
  <c r="C46" i="1"/>
  <c r="G53" i="1" l="1"/>
  <c r="G56" i="1" s="1"/>
  <c r="G32" i="1"/>
  <c r="I24" i="1"/>
  <c r="B9" i="1"/>
  <c r="G59" i="1" l="1"/>
  <c r="G60" i="1" s="1"/>
  <c r="G62" i="1" s="1"/>
  <c r="G68" i="1" s="1"/>
  <c r="G33" i="1"/>
  <c r="B33" i="2"/>
  <c r="B37" i="2" s="1"/>
  <c r="C33" i="2"/>
  <c r="C37" i="2" s="1"/>
  <c r="C32" i="2"/>
  <c r="B32" i="2"/>
  <c r="B36" i="2" s="1"/>
  <c r="B28" i="2"/>
  <c r="C28" i="2"/>
  <c r="B27" i="2"/>
  <c r="C27" i="2"/>
  <c r="B25" i="2"/>
  <c r="C25" i="2"/>
  <c r="B19" i="2"/>
  <c r="C19" i="2"/>
  <c r="B18" i="2"/>
  <c r="C18" i="2"/>
  <c r="B16" i="2"/>
  <c r="C16" i="2"/>
  <c r="C10" i="2"/>
  <c r="C9" i="2"/>
  <c r="B9" i="2"/>
  <c r="B10" i="2"/>
  <c r="C7" i="2"/>
  <c r="B7" i="2"/>
  <c r="G5" i="2"/>
  <c r="C11" i="2" l="1"/>
  <c r="C29" i="2"/>
  <c r="C34" i="2"/>
  <c r="B29" i="2"/>
  <c r="B34" i="2"/>
  <c r="B38" i="2"/>
  <c r="C36" i="2"/>
  <c r="C38" i="2" s="1"/>
  <c r="B20" i="2"/>
  <c r="C20" i="2"/>
  <c r="B11" i="2"/>
  <c r="C42" i="1" l="1"/>
  <c r="C48" i="1" s="1"/>
  <c r="B42" i="1"/>
  <c r="B48" i="1" s="1"/>
  <c r="B10" i="1"/>
  <c r="B11" i="1" s="1"/>
  <c r="C31" i="1" l="1"/>
  <c r="B26" i="1"/>
  <c r="C52" i="1" l="1"/>
  <c r="C32" i="1"/>
  <c r="C59" i="1" s="1"/>
  <c r="B28" i="1"/>
  <c r="B32" i="1" s="1"/>
  <c r="B53" i="1"/>
  <c r="B56" i="1" s="1"/>
  <c r="B33" i="1" l="1"/>
  <c r="C53" i="1"/>
  <c r="C56" i="1" s="1"/>
  <c r="C33" i="1" l="1"/>
  <c r="C60" i="1" l="1"/>
  <c r="C62" i="1" s="1"/>
  <c r="B60" i="1"/>
  <c r="B62" i="1" s="1"/>
</calcChain>
</file>

<file path=xl/sharedStrings.xml><?xml version="1.0" encoding="utf-8"?>
<sst xmlns="http://schemas.openxmlformats.org/spreadsheetml/2006/main" count="96" uniqueCount="75">
  <si>
    <t>Income Statement</t>
  </si>
  <si>
    <t>2020 (Year 1) Actual</t>
  </si>
  <si>
    <t>2020 (Year 1) Pro-Forma 1</t>
  </si>
  <si>
    <t>2020 (Year 1) Pro-Forma 2</t>
  </si>
  <si>
    <t>Revenue</t>
  </si>
  <si>
    <t>LY Cost per unit</t>
  </si>
  <si>
    <t>Cost per unit</t>
  </si>
  <si>
    <t>Material Cost of Goods Sold</t>
  </si>
  <si>
    <t>Labor Cost of Goods Sold</t>
  </si>
  <si>
    <t>Total Cost of Goods Sold</t>
  </si>
  <si>
    <t>Gross Margin</t>
  </si>
  <si>
    <t>Gross Margin %</t>
  </si>
  <si>
    <t>Operating Expenses</t>
  </si>
  <si>
    <t>Lease Expense</t>
  </si>
  <si>
    <t>Utilities Expense</t>
  </si>
  <si>
    <t>Manager Salary Expense</t>
  </si>
  <si>
    <t>Manager Salary PT&amp;B Expense</t>
  </si>
  <si>
    <t>Hourly Wage Expense</t>
  </si>
  <si>
    <t>Hourly Wage PT&amp;B Expense</t>
  </si>
  <si>
    <t>Marketing Expense</t>
  </si>
  <si>
    <t>Professional Services Expense</t>
  </si>
  <si>
    <t>Office Supplies and Misc Supplies Expense</t>
  </si>
  <si>
    <t>Annual Total Costs</t>
  </si>
  <si>
    <t>Repairs and Maintenance Expense</t>
  </si>
  <si>
    <t>Daily Cash needed</t>
  </si>
  <si>
    <t>Insurance Expense</t>
  </si>
  <si>
    <t>days of cash</t>
  </si>
  <si>
    <t>Depreciation Expense</t>
  </si>
  <si>
    <t>Total Operating Expenses</t>
  </si>
  <si>
    <t>Earnings Before Interest and Taxes</t>
  </si>
  <si>
    <t>Interest Expense</t>
  </si>
  <si>
    <t>Tax Expense</t>
  </si>
  <si>
    <t>Net Income</t>
  </si>
  <si>
    <t>Net Income %</t>
  </si>
  <si>
    <t>Chips</t>
  </si>
  <si>
    <t>Balance Sheet</t>
  </si>
  <si>
    <t>Current Assets</t>
  </si>
  <si>
    <t>Cash</t>
  </si>
  <si>
    <t>Accounts Receivable</t>
  </si>
  <si>
    <t>Inventory</t>
  </si>
  <si>
    <t>Total Current Assets</t>
  </si>
  <si>
    <t>Equipment and Leasehold Improvements</t>
  </si>
  <si>
    <t>Accumulated Depreciation</t>
  </si>
  <si>
    <t>Total Fixed Assets</t>
  </si>
  <si>
    <t>Total Assets</t>
  </si>
  <si>
    <t>Current Liabilities</t>
  </si>
  <si>
    <t>Accounts Payable</t>
  </si>
  <si>
    <t>Taxes Payable</t>
  </si>
  <si>
    <t>Total Current Liabilities</t>
  </si>
  <si>
    <t xml:space="preserve"> </t>
  </si>
  <si>
    <t>Long-term Debt</t>
  </si>
  <si>
    <t>Total Liabilities</t>
  </si>
  <si>
    <t>Stock</t>
  </si>
  <si>
    <t>Retained Earnings</t>
  </si>
  <si>
    <t>Total Equity</t>
  </si>
  <si>
    <t>Total Liabilities and Equity</t>
  </si>
  <si>
    <t>Days Inv</t>
  </si>
  <si>
    <t>Days AP</t>
  </si>
  <si>
    <t>DFN</t>
  </si>
  <si>
    <t>Hello</t>
  </si>
  <si>
    <t>Cookie Revenue</t>
  </si>
  <si>
    <t>Cookie Prices</t>
  </si>
  <si>
    <t>Boise Town Square</t>
  </si>
  <si>
    <t>Total</t>
  </si>
  <si>
    <t>Per Cookie</t>
  </si>
  <si>
    <t>Individual Units</t>
  </si>
  <si>
    <t>Individual</t>
  </si>
  <si>
    <t>Box Units</t>
  </si>
  <si>
    <t>Box of 4</t>
  </si>
  <si>
    <t>Total Cookies</t>
  </si>
  <si>
    <t>Individual Revenue</t>
  </si>
  <si>
    <t>Box Revenue</t>
  </si>
  <si>
    <t>Total Revenue</t>
  </si>
  <si>
    <t>Boise Spectrum Center</t>
  </si>
  <si>
    <t>Vista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</si>
</sst>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0_);_(&quot;$&quot;* \(#,##0.000\);_(&quot;$&quot;* &quot;-&quot;??_);_(@_)"/>
    <numFmt numFmtId="168" formatCode="_(&quot;$&quot;* #,##0.0_);_(&quot;$&quot;* \(#,##0.0\);_(&quot;$&quot;* &quot;-&quot;??_);_(@_)"/>
    <numFmt numFmtId="169" formatCode="0.0"/>
    <numFmt numFmtId="170" formatCode="_([$$-409]* #,##0_);_([$$-409]* \(#,##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44" fontId="0" fillId="0" borderId="0" xfId="1" applyFont="1" applyFill="1" applyBorder="1" applyAlignment="1">
      <alignment horizontal="right"/>
    </xf>
    <xf numFmtId="44" fontId="0" fillId="0" borderId="0" xfId="1" applyFont="1" applyAlignment="1">
      <alignment horizontal="right"/>
    </xf>
    <xf numFmtId="0" fontId="0" fillId="0" borderId="3" xfId="0" applyBorder="1" applyAlignment="1">
      <alignment horizontal="center"/>
    </xf>
    <xf numFmtId="166" fontId="0" fillId="0" borderId="0" xfId="3" applyNumberFormat="1" applyFont="1"/>
    <xf numFmtId="166" fontId="0" fillId="0" borderId="2" xfId="3" applyNumberFormat="1" applyFont="1" applyBorder="1"/>
    <xf numFmtId="164" fontId="0" fillId="0" borderId="0" xfId="0" applyNumberFormat="1"/>
    <xf numFmtId="0" fontId="4" fillId="0" borderId="0" xfId="0" applyFont="1"/>
    <xf numFmtId="167" fontId="0" fillId="0" borderId="0" xfId="0" applyNumberFormat="1"/>
    <xf numFmtId="164" fontId="0" fillId="0" borderId="0" xfId="1" applyNumberFormat="1" applyFont="1" applyFill="1"/>
    <xf numFmtId="164" fontId="0" fillId="0" borderId="2" xfId="1" applyNumberFormat="1" applyFont="1" applyFill="1" applyBorder="1"/>
    <xf numFmtId="168" fontId="0" fillId="0" borderId="0" xfId="0" applyNumberFormat="1"/>
    <xf numFmtId="0" fontId="0" fillId="0" borderId="2" xfId="0" applyBorder="1" applyAlignment="1">
      <alignment horizontal="center" wrapText="1"/>
    </xf>
    <xf numFmtId="1" fontId="0" fillId="0" borderId="0" xfId="0" applyNumberFormat="1"/>
    <xf numFmtId="166" fontId="0" fillId="0" borderId="0" xfId="3" applyNumberFormat="1" applyFont="1" applyBorder="1"/>
    <xf numFmtId="164" fontId="0" fillId="0" borderId="0" xfId="1" applyNumberFormat="1" applyFont="1" applyBorder="1"/>
    <xf numFmtId="169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3" fontId="0" fillId="0" borderId="0" xfId="0" applyNumberFormat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/>
    <xf numFmtId="164" fontId="0" fillId="0" borderId="10" xfId="1" applyNumberFormat="1" applyFont="1" applyBorder="1"/>
    <xf numFmtId="170" fontId="5" fillId="0" borderId="0" xfId="0" applyNumberFormat="1" applyFont="1" applyFill="1" applyBorder="1" applyAlignment="1"/>
    <xf numFmtId="0" fontId="0" fillId="0" borderId="2" xfId="0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0"/>
  <sheetViews>
    <sheetView tabSelected="1" topLeftCell="A4" zoomScaleNormal="100" workbookViewId="0">
      <selection activeCell="B67" sqref="B67"/>
    </sheetView>
  </sheetViews>
  <sheetFormatPr defaultRowHeight="15" x14ac:dyDescent="0.25"/>
  <cols>
    <col min="1" max="1" width="38.85546875" bestFit="1" customWidth="1"/>
    <col min="2" max="3" width="15.7109375" customWidth="1"/>
    <col min="4" max="4" width="2.7109375" customWidth="1"/>
    <col min="5" max="5" width="11.7109375" bestFit="1" customWidth="1"/>
    <col min="6" max="6" width="2.7109375" customWidth="1"/>
    <col min="7" max="7" width="15.7109375" customWidth="1"/>
    <col min="8" max="8" width="11" bestFit="1" customWidth="1"/>
    <col min="9" max="9" width="14.7109375" bestFit="1" customWidth="1"/>
    <col min="10" max="10" width="17.5703125" bestFit="1" customWidth="1"/>
    <col min="11" max="11" width="11" bestFit="1" customWidth="1"/>
  </cols>
  <sheetData>
    <row r="1" spans="1:10" ht="18.75" x14ac:dyDescent="0.3">
      <c r="A1" s="2"/>
      <c r="B1" s="2"/>
    </row>
    <row r="2" spans="1:10" ht="18.75" x14ac:dyDescent="0.3">
      <c r="A2" s="2" t="s">
        <v>0</v>
      </c>
      <c r="B2" s="2"/>
    </row>
    <row r="3" spans="1:10" ht="14.45" customHeight="1" x14ac:dyDescent="0.3">
      <c r="A3" s="2"/>
      <c r="B3" s="2"/>
    </row>
    <row r="4" spans="1:10" ht="45" x14ac:dyDescent="0.25">
      <c r="B4" s="3">
        <v>2019</v>
      </c>
      <c r="C4" s="20" t="s">
        <v>1</v>
      </c>
      <c r="E4" s="20" t="s">
        <v>2</v>
      </c>
      <c r="G4" s="20" t="s">
        <v>3</v>
      </c>
    </row>
    <row r="5" spans="1:10" x14ac:dyDescent="0.25">
      <c r="A5" t="s">
        <v>4</v>
      </c>
      <c r="B5" s="4">
        <v>1182139</v>
      </c>
      <c r="C5" s="4">
        <v>1101368</v>
      </c>
      <c r="E5" s="4"/>
      <c r="G5" s="4">
        <f>C5</f>
        <v>1101368</v>
      </c>
    </row>
    <row r="6" spans="1:10" x14ac:dyDescent="0.25">
      <c r="B6" s="4"/>
      <c r="C6" s="4"/>
      <c r="E6" s="4"/>
      <c r="G6" s="4"/>
      <c r="I6" t="s">
        <v>5</v>
      </c>
      <c r="J6" t="s">
        <v>6</v>
      </c>
    </row>
    <row r="7" spans="1:10" x14ac:dyDescent="0.25">
      <c r="A7" t="s">
        <v>7</v>
      </c>
      <c r="B7" s="4">
        <v>474036</v>
      </c>
      <c r="C7" s="4">
        <v>444094</v>
      </c>
      <c r="E7" s="4"/>
      <c r="G7" s="4">
        <v>444094</v>
      </c>
      <c r="I7" s="8">
        <f>B7/Revenue!B34</f>
        <v>1.0641422519939927</v>
      </c>
      <c r="J7" s="8">
        <f>C7/Revenue!C34</f>
        <v>1.0694308653332114</v>
      </c>
    </row>
    <row r="8" spans="1:10" x14ac:dyDescent="0.25">
      <c r="A8" t="s">
        <v>8</v>
      </c>
      <c r="B8" s="5">
        <v>173828</v>
      </c>
      <c r="C8" s="5">
        <v>182624</v>
      </c>
      <c r="E8" s="5"/>
      <c r="G8" s="5">
        <v>182624</v>
      </c>
      <c r="I8" s="8">
        <f>B8/Revenue!B34</f>
        <v>0.39021871625701798</v>
      </c>
      <c r="J8" s="8">
        <f>C8/Revenue!C34</f>
        <v>0.43978018696630078</v>
      </c>
    </row>
    <row r="9" spans="1:10" x14ac:dyDescent="0.25">
      <c r="A9" t="s">
        <v>9</v>
      </c>
      <c r="B9" s="5">
        <f>SUM(B7:B8)</f>
        <v>647864</v>
      </c>
      <c r="C9" s="5">
        <f>SUM(C7:C8)</f>
        <v>626718</v>
      </c>
      <c r="E9" s="5"/>
      <c r="G9" s="5">
        <f>SUM(G7:G8)</f>
        <v>626718</v>
      </c>
      <c r="I9" s="8">
        <f>B9/Revenue!B34</f>
        <v>1.4543609682510108</v>
      </c>
      <c r="J9" s="8">
        <f>C9/Revenue!C34</f>
        <v>1.5092110522995121</v>
      </c>
    </row>
    <row r="10" spans="1:10" x14ac:dyDescent="0.25">
      <c r="A10" t="s">
        <v>10</v>
      </c>
      <c r="B10" s="4">
        <f>B5-B9</f>
        <v>534275</v>
      </c>
      <c r="C10" s="4">
        <f>C5-C9</f>
        <v>474650</v>
      </c>
      <c r="E10" s="4"/>
      <c r="G10" s="4">
        <f>G5-G9</f>
        <v>474650</v>
      </c>
    </row>
    <row r="11" spans="1:10" x14ac:dyDescent="0.25">
      <c r="A11" t="s">
        <v>11</v>
      </c>
      <c r="B11" s="7">
        <f>B10/B5</f>
        <v>0.45195615744003031</v>
      </c>
      <c r="C11" s="7">
        <f>C10/C5</f>
        <v>0.43096403745160566</v>
      </c>
      <c r="E11" s="7"/>
      <c r="G11" s="7">
        <f>G10/G5</f>
        <v>0.43096403745160566</v>
      </c>
    </row>
    <row r="12" spans="1:10" x14ac:dyDescent="0.25">
      <c r="B12" s="4"/>
      <c r="C12" s="4"/>
      <c r="E12" s="4"/>
      <c r="G12" s="4"/>
    </row>
    <row r="13" spans="1:10" x14ac:dyDescent="0.25">
      <c r="A13" s="1" t="s">
        <v>12</v>
      </c>
      <c r="B13" s="4"/>
      <c r="C13" s="4"/>
      <c r="E13" s="4"/>
      <c r="G13" s="4"/>
    </row>
    <row r="14" spans="1:10" x14ac:dyDescent="0.25">
      <c r="A14" t="s">
        <v>13</v>
      </c>
      <c r="B14" s="4">
        <v>114480</v>
      </c>
      <c r="C14" s="4">
        <v>108756</v>
      </c>
      <c r="E14" s="4"/>
      <c r="G14" s="4">
        <f t="shared" ref="G14:G20" si="0">C14</f>
        <v>108756</v>
      </c>
    </row>
    <row r="15" spans="1:10" x14ac:dyDescent="0.25">
      <c r="A15" t="s">
        <v>14</v>
      </c>
      <c r="B15" s="4">
        <v>39222</v>
      </c>
      <c r="C15" s="4">
        <v>40398.659999999996</v>
      </c>
      <c r="E15" s="4"/>
      <c r="G15" s="4">
        <f t="shared" si="0"/>
        <v>40398.659999999996</v>
      </c>
    </row>
    <row r="16" spans="1:10" x14ac:dyDescent="0.25">
      <c r="A16" t="s">
        <v>15</v>
      </c>
      <c r="B16" s="4">
        <v>156060</v>
      </c>
      <c r="C16" s="4">
        <v>120000</v>
      </c>
      <c r="E16" s="4"/>
      <c r="G16" s="4">
        <f t="shared" si="0"/>
        <v>120000</v>
      </c>
    </row>
    <row r="17" spans="1:10" x14ac:dyDescent="0.25">
      <c r="A17" t="s">
        <v>16</v>
      </c>
      <c r="B17" s="4">
        <v>48376</v>
      </c>
      <c r="C17" s="4">
        <v>37198.000768935024</v>
      </c>
      <c r="E17" s="4"/>
      <c r="G17" s="4">
        <f t="shared" si="0"/>
        <v>37198.000768935024</v>
      </c>
    </row>
    <row r="18" spans="1:10" x14ac:dyDescent="0.25">
      <c r="A18" t="s">
        <v>17</v>
      </c>
      <c r="B18" s="4">
        <v>81840</v>
      </c>
      <c r="C18" s="4">
        <v>83476.800000000003</v>
      </c>
      <c r="E18" s="4"/>
      <c r="G18" s="4">
        <f t="shared" si="0"/>
        <v>83476.800000000003</v>
      </c>
    </row>
    <row r="19" spans="1:10" x14ac:dyDescent="0.25">
      <c r="A19" t="s">
        <v>18</v>
      </c>
      <c r="B19" s="4">
        <v>5074</v>
      </c>
      <c r="C19" s="4">
        <v>5175.5616</v>
      </c>
      <c r="E19" s="4"/>
      <c r="G19" s="4">
        <f t="shared" si="0"/>
        <v>5175.5616</v>
      </c>
    </row>
    <row r="20" spans="1:10" x14ac:dyDescent="0.25">
      <c r="A20" t="s">
        <v>19</v>
      </c>
      <c r="B20" s="4">
        <v>15566</v>
      </c>
      <c r="C20" s="4">
        <v>18496</v>
      </c>
      <c r="E20" s="4"/>
      <c r="G20" s="4">
        <f t="shared" si="0"/>
        <v>18496</v>
      </c>
    </row>
    <row r="21" spans="1:10" x14ac:dyDescent="0.25">
      <c r="A21" t="s">
        <v>20</v>
      </c>
      <c r="B21" s="4">
        <v>29633</v>
      </c>
      <c r="C21" s="4">
        <v>36479</v>
      </c>
      <c r="E21" s="4"/>
      <c r="G21" s="4">
        <f t="shared" ref="G21:G25" si="1">C21</f>
        <v>36479</v>
      </c>
    </row>
    <row r="22" spans="1:10" x14ac:dyDescent="0.25">
      <c r="A22" t="s">
        <v>21</v>
      </c>
      <c r="B22" s="4">
        <v>2444</v>
      </c>
      <c r="C22" s="4">
        <v>2983</v>
      </c>
      <c r="E22" s="4"/>
      <c r="G22" s="4">
        <f t="shared" si="1"/>
        <v>2983</v>
      </c>
      <c r="I22" s="28">
        <f>C26+C9-C25</f>
        <v>1099758.0223689349</v>
      </c>
      <c r="J22" s="29" t="s">
        <v>22</v>
      </c>
    </row>
    <row r="23" spans="1:10" x14ac:dyDescent="0.25">
      <c r="A23" t="s">
        <v>23</v>
      </c>
      <c r="B23" s="4">
        <v>8497</v>
      </c>
      <c r="C23" s="4">
        <v>12479</v>
      </c>
      <c r="E23" s="4"/>
      <c r="G23" s="4">
        <f t="shared" si="1"/>
        <v>12479</v>
      </c>
      <c r="I23" s="30">
        <f>I22/365</f>
        <v>3013.0356777231095</v>
      </c>
      <c r="J23" s="31" t="s">
        <v>24</v>
      </c>
    </row>
    <row r="24" spans="1:10" x14ac:dyDescent="0.25">
      <c r="A24" t="s">
        <v>25</v>
      </c>
      <c r="B24" s="4">
        <v>7161</v>
      </c>
      <c r="C24" s="4">
        <v>7598</v>
      </c>
      <c r="E24" s="4"/>
      <c r="G24" s="4">
        <f t="shared" si="1"/>
        <v>7598</v>
      </c>
      <c r="I24" s="32">
        <f>E39/I23</f>
        <v>42.297760101626139</v>
      </c>
      <c r="J24" s="33" t="s">
        <v>26</v>
      </c>
    </row>
    <row r="25" spans="1:10" x14ac:dyDescent="0.25">
      <c r="A25" t="s">
        <v>27</v>
      </c>
      <c r="B25" s="5">
        <v>13390</v>
      </c>
      <c r="C25" s="5">
        <v>13389.6</v>
      </c>
      <c r="E25" s="5"/>
      <c r="G25" s="34">
        <f t="shared" si="1"/>
        <v>13389.6</v>
      </c>
    </row>
    <row r="26" spans="1:10" x14ac:dyDescent="0.25">
      <c r="A26" t="s">
        <v>28</v>
      </c>
      <c r="B26" s="4">
        <f>SUM(B14:B25)</f>
        <v>521743</v>
      </c>
      <c r="C26" s="4">
        <f>SUM(C14:C25)</f>
        <v>486429.62236893503</v>
      </c>
      <c r="E26" s="4"/>
      <c r="G26" s="4">
        <f>SUM(G14:G25)</f>
        <v>486429.62236893503</v>
      </c>
    </row>
    <row r="27" spans="1:10" x14ac:dyDescent="0.25">
      <c r="B27" s="4"/>
      <c r="C27" s="4"/>
      <c r="E27" s="4"/>
      <c r="G27" s="4"/>
    </row>
    <row r="28" spans="1:10" x14ac:dyDescent="0.25">
      <c r="A28" t="s">
        <v>29</v>
      </c>
      <c r="B28" s="4">
        <f>B10-B26</f>
        <v>12532</v>
      </c>
      <c r="C28" s="4">
        <f>C10-C26</f>
        <v>-11779.62236893503</v>
      </c>
      <c r="E28" s="4"/>
      <c r="G28" s="4">
        <f>G10-G26</f>
        <v>-11779.62236893503</v>
      </c>
    </row>
    <row r="29" spans="1:10" x14ac:dyDescent="0.25">
      <c r="B29" s="4"/>
      <c r="C29" s="4"/>
      <c r="E29" s="4"/>
      <c r="G29" s="4"/>
    </row>
    <row r="30" spans="1:10" x14ac:dyDescent="0.25">
      <c r="A30" t="s">
        <v>30</v>
      </c>
      <c r="B30" s="4">
        <v>11254</v>
      </c>
      <c r="C30" s="4">
        <f>0.08*C55</f>
        <v>11630.523684255222</v>
      </c>
      <c r="E30" s="4"/>
      <c r="G30" s="4">
        <f>0.08*G55</f>
        <v>3599.92</v>
      </c>
    </row>
    <row r="31" spans="1:10" x14ac:dyDescent="0.25">
      <c r="A31" t="s">
        <v>31</v>
      </c>
      <c r="B31" s="5">
        <v>320</v>
      </c>
      <c r="C31" s="5">
        <f>0.25*(C28-C30)</f>
        <v>-5852.536513297563</v>
      </c>
      <c r="E31" s="5"/>
      <c r="G31" s="5">
        <f>0.25*(G28-G30)</f>
        <v>-3844.8855922337575</v>
      </c>
    </row>
    <row r="32" spans="1:10" x14ac:dyDescent="0.25">
      <c r="A32" t="s">
        <v>32</v>
      </c>
      <c r="B32" s="6">
        <f>B28-B30-B31</f>
        <v>958</v>
      </c>
      <c r="C32" s="6">
        <f>C28-C30-C31</f>
        <v>-17557.609539892688</v>
      </c>
      <c r="E32" s="6"/>
      <c r="G32" s="6">
        <f>G28-G30-G31</f>
        <v>-11534.656776701273</v>
      </c>
    </row>
    <row r="33" spans="1:11" x14ac:dyDescent="0.25">
      <c r="A33" t="s">
        <v>33</v>
      </c>
      <c r="B33" s="7">
        <f>B32/B5</f>
        <v>8.1039539343512052E-4</v>
      </c>
      <c r="C33" s="7">
        <f>C32/C5</f>
        <v>-1.5941637617846793E-2</v>
      </c>
      <c r="E33" s="7"/>
      <c r="G33" s="7">
        <f>G32/G5</f>
        <v>-1.0473026977995795E-2</v>
      </c>
    </row>
    <row r="35" spans="1:11" ht="18.75" x14ac:dyDescent="0.3">
      <c r="A35" s="2" t="s">
        <v>34</v>
      </c>
      <c r="B35" s="19"/>
      <c r="C35" s="16"/>
    </row>
    <row r="36" spans="1:11" ht="18.75" x14ac:dyDescent="0.3">
      <c r="A36" s="2" t="s">
        <v>35</v>
      </c>
    </row>
    <row r="38" spans="1:11" ht="45" x14ac:dyDescent="0.25">
      <c r="A38" s="1" t="s">
        <v>36</v>
      </c>
      <c r="E38" s="20" t="s">
        <v>2</v>
      </c>
    </row>
    <row r="39" spans="1:11" x14ac:dyDescent="0.25">
      <c r="A39" t="s">
        <v>37</v>
      </c>
      <c r="B39" s="4">
        <v>158875</v>
      </c>
      <c r="C39" s="4">
        <v>136497</v>
      </c>
      <c r="E39" s="4">
        <f>C39-E40</f>
        <v>127444.66027397261</v>
      </c>
      <c r="G39" s="35">
        <v>62765</v>
      </c>
      <c r="H39" s="14"/>
      <c r="K39" s="14"/>
    </row>
    <row r="40" spans="1:11" x14ac:dyDescent="0.25">
      <c r="A40" t="s">
        <v>38</v>
      </c>
      <c r="B40" s="4">
        <v>0</v>
      </c>
      <c r="C40" s="4">
        <v>0</v>
      </c>
      <c r="E40" s="4">
        <f>(C5/365)*3</f>
        <v>9052.339726027396</v>
      </c>
      <c r="G40" s="4">
        <f>E40</f>
        <v>9052.339726027396</v>
      </c>
      <c r="H40" s="14"/>
      <c r="K40" s="14"/>
    </row>
    <row r="41" spans="1:11" x14ac:dyDescent="0.25">
      <c r="A41" t="s">
        <v>39</v>
      </c>
      <c r="B41" s="5">
        <v>17055</v>
      </c>
      <c r="C41" s="5">
        <v>14897</v>
      </c>
      <c r="E41" s="5">
        <f>(C7/365)*C65</f>
        <v>14897</v>
      </c>
      <c r="G41" s="5">
        <f>G65/365*C7</f>
        <v>11558.61095890411</v>
      </c>
      <c r="K41" s="14"/>
    </row>
    <row r="42" spans="1:11" x14ac:dyDescent="0.25">
      <c r="A42" t="s">
        <v>40</v>
      </c>
      <c r="B42" s="4">
        <f>SUM(B39:B41)</f>
        <v>175930</v>
      </c>
      <c r="C42" s="4">
        <f>SUM(C39:C41)</f>
        <v>151394</v>
      </c>
      <c r="E42" s="4">
        <f>SUM(E39:E41)</f>
        <v>151394</v>
      </c>
      <c r="G42" s="4">
        <f>SUM(G39:G41)</f>
        <v>83375.950684931508</v>
      </c>
      <c r="K42" s="14"/>
    </row>
    <row r="43" spans="1:11" x14ac:dyDescent="0.25">
      <c r="B43" s="4"/>
      <c r="C43" s="4"/>
      <c r="E43" s="4"/>
      <c r="G43" s="4"/>
      <c r="K43" s="14"/>
    </row>
    <row r="44" spans="1:11" x14ac:dyDescent="0.25">
      <c r="A44" t="s">
        <v>41</v>
      </c>
      <c r="B44" s="4">
        <v>133896</v>
      </c>
      <c r="C44" s="4">
        <v>133895.99</v>
      </c>
      <c r="E44" s="4"/>
      <c r="G44" s="4">
        <f>C44</f>
        <v>133895.99</v>
      </c>
      <c r="K44" s="21"/>
    </row>
    <row r="45" spans="1:11" x14ac:dyDescent="0.25">
      <c r="A45" t="s">
        <v>42</v>
      </c>
      <c r="B45" s="5">
        <v>-37762</v>
      </c>
      <c r="C45" s="5">
        <v>-51152</v>
      </c>
      <c r="E45" s="5"/>
      <c r="G45" s="5">
        <f>C45</f>
        <v>-51152</v>
      </c>
    </row>
    <row r="46" spans="1:11" x14ac:dyDescent="0.25">
      <c r="A46" t="s">
        <v>43</v>
      </c>
      <c r="B46" s="4">
        <f>B44+B45</f>
        <v>96134</v>
      </c>
      <c r="C46" s="4">
        <f>C44+C45</f>
        <v>82743.989999999991</v>
      </c>
      <c r="E46" s="4">
        <f>SUM(E44:E45)</f>
        <v>0</v>
      </c>
      <c r="G46" s="4">
        <f>SUM(G44:G45)</f>
        <v>82743.989999999991</v>
      </c>
    </row>
    <row r="47" spans="1:11" x14ac:dyDescent="0.25">
      <c r="B47" s="4"/>
      <c r="C47" s="4"/>
      <c r="E47" s="4"/>
      <c r="G47" s="4"/>
    </row>
    <row r="48" spans="1:11" ht="15.75" thickBot="1" x14ac:dyDescent="0.3">
      <c r="A48" t="s">
        <v>44</v>
      </c>
      <c r="B48" s="6">
        <f>B42+B46</f>
        <v>272064</v>
      </c>
      <c r="C48" s="6">
        <f t="shared" ref="C48" si="2">C42+C46</f>
        <v>234137.99</v>
      </c>
      <c r="E48" s="6"/>
      <c r="G48" s="6">
        <f>SUM(G42,G46)</f>
        <v>166119.9406849315</v>
      </c>
    </row>
    <row r="49" spans="1:10" ht="15.75" thickTop="1" x14ac:dyDescent="0.25">
      <c r="B49" s="4"/>
      <c r="C49" s="4"/>
      <c r="E49" s="4"/>
      <c r="G49" s="4"/>
    </row>
    <row r="50" spans="1:10" x14ac:dyDescent="0.25">
      <c r="A50" s="1" t="s">
        <v>45</v>
      </c>
      <c r="B50" s="4"/>
      <c r="C50" s="4"/>
      <c r="E50" s="4"/>
      <c r="G50" s="4"/>
    </row>
    <row r="51" spans="1:10" x14ac:dyDescent="0.25">
      <c r="A51" t="s">
        <v>46</v>
      </c>
      <c r="B51" s="4">
        <v>62130</v>
      </c>
      <c r="C51" s="4">
        <v>12167</v>
      </c>
      <c r="E51" s="4"/>
      <c r="G51" s="4">
        <f>G66/365*C7</f>
        <v>36500.876712328762</v>
      </c>
    </row>
    <row r="52" spans="1:10" x14ac:dyDescent="0.25">
      <c r="A52" t="s">
        <v>47</v>
      </c>
      <c r="B52" s="5">
        <v>320</v>
      </c>
      <c r="C52" s="5">
        <f>C31</f>
        <v>-5852.536513297563</v>
      </c>
      <c r="E52" s="5"/>
      <c r="G52" s="5">
        <f>G31</f>
        <v>-3844.8855922337575</v>
      </c>
    </row>
    <row r="53" spans="1:10" x14ac:dyDescent="0.25">
      <c r="A53" t="s">
        <v>48</v>
      </c>
      <c r="B53" s="4">
        <f>SUM(B51:B52)</f>
        <v>62450</v>
      </c>
      <c r="C53" s="4">
        <f>SUM(C51:C52)</f>
        <v>6314.463486702437</v>
      </c>
      <c r="E53" s="4">
        <f>SUM(E51:E52)</f>
        <v>0</v>
      </c>
      <c r="G53" s="4">
        <f>SUM(G51:G52)</f>
        <v>32655.991120095005</v>
      </c>
    </row>
    <row r="54" spans="1:10" x14ac:dyDescent="0.25">
      <c r="B54" s="4"/>
      <c r="C54" s="4"/>
      <c r="E54" s="4"/>
      <c r="G54" s="4"/>
      <c r="J54" t="s">
        <v>49</v>
      </c>
    </row>
    <row r="55" spans="1:10" x14ac:dyDescent="0.25">
      <c r="A55" t="s">
        <v>50</v>
      </c>
      <c r="B55" s="18">
        <v>101686</v>
      </c>
      <c r="C55" s="5">
        <v>145381.54605319028</v>
      </c>
      <c r="E55" s="5"/>
      <c r="G55" s="5">
        <v>44999</v>
      </c>
      <c r="H55" s="14"/>
      <c r="I55" s="14"/>
    </row>
    <row r="56" spans="1:10" x14ac:dyDescent="0.25">
      <c r="A56" t="s">
        <v>51</v>
      </c>
      <c r="B56" s="17">
        <f>B53+B55</f>
        <v>164136</v>
      </c>
      <c r="C56" s="4">
        <f t="shared" ref="C56" si="3">C53+C55</f>
        <v>151696.00953989272</v>
      </c>
      <c r="E56" s="4">
        <f>E55+E53</f>
        <v>0</v>
      </c>
      <c r="G56" s="4">
        <f>G53+G55</f>
        <v>77654.991120095001</v>
      </c>
    </row>
    <row r="57" spans="1:10" x14ac:dyDescent="0.25">
      <c r="B57" s="17"/>
      <c r="C57" s="4"/>
      <c r="E57" s="4"/>
      <c r="G57" s="4"/>
    </row>
    <row r="58" spans="1:10" x14ac:dyDescent="0.25">
      <c r="A58" t="s">
        <v>52</v>
      </c>
      <c r="B58" s="17">
        <v>100000</v>
      </c>
      <c r="C58" s="4">
        <v>100000</v>
      </c>
      <c r="E58" s="4"/>
      <c r="G58" s="4">
        <v>100000</v>
      </c>
    </row>
    <row r="59" spans="1:10" x14ac:dyDescent="0.25">
      <c r="A59" t="s">
        <v>53</v>
      </c>
      <c r="B59" s="5">
        <v>7928</v>
      </c>
      <c r="C59" s="5">
        <f>C32</f>
        <v>-17557.609539892688</v>
      </c>
      <c r="E59" s="5"/>
      <c r="G59" s="5">
        <f>G32</f>
        <v>-11534.656776701273</v>
      </c>
    </row>
    <row r="60" spans="1:10" x14ac:dyDescent="0.25">
      <c r="A60" t="s">
        <v>54</v>
      </c>
      <c r="B60" s="4">
        <f>SUM(B58:B59)</f>
        <v>107928</v>
      </c>
      <c r="C60" s="4">
        <f t="shared" ref="C60" si="4">SUM(C58:C59)</f>
        <v>82442.390460107315</v>
      </c>
      <c r="E60" s="4">
        <f>SUM(E58:E59)</f>
        <v>0</v>
      </c>
      <c r="G60" s="4">
        <f>SUM(G58:G59)</f>
        <v>88465.343223298725</v>
      </c>
    </row>
    <row r="61" spans="1:10" x14ac:dyDescent="0.25">
      <c r="B61" s="4"/>
      <c r="C61" s="4"/>
      <c r="E61" s="4"/>
      <c r="G61" s="4"/>
    </row>
    <row r="62" spans="1:10" ht="15.75" thickBot="1" x14ac:dyDescent="0.3">
      <c r="A62" t="s">
        <v>55</v>
      </c>
      <c r="B62" s="6">
        <f>B56+B60</f>
        <v>272064</v>
      </c>
      <c r="C62" s="6">
        <f t="shared" ref="C62" si="5">C56+C60</f>
        <v>234138.40000000002</v>
      </c>
      <c r="E62" s="6">
        <f>SUM(E60,E56)</f>
        <v>0</v>
      </c>
      <c r="G62" s="6">
        <f>G56+G60</f>
        <v>166120.33434339374</v>
      </c>
    </row>
    <row r="63" spans="1:10" ht="15.75" thickTop="1" x14ac:dyDescent="0.25">
      <c r="B63" s="4"/>
      <c r="C63" s="4"/>
    </row>
    <row r="64" spans="1:10" x14ac:dyDescent="0.25">
      <c r="C64" s="4"/>
      <c r="G64" s="14"/>
    </row>
    <row r="65" spans="1:7" x14ac:dyDescent="0.25">
      <c r="A65" t="s">
        <v>56</v>
      </c>
      <c r="B65" s="24">
        <f>B41/(B7/365)</f>
        <v>13.132072247677391</v>
      </c>
      <c r="C65" s="24">
        <f>C41/(C7/365)</f>
        <v>12.243815498520583</v>
      </c>
      <c r="G65">
        <v>9.5</v>
      </c>
    </row>
    <row r="66" spans="1:7" x14ac:dyDescent="0.25">
      <c r="A66" t="s">
        <v>57</v>
      </c>
      <c r="B66" s="24">
        <f>B51/(B7/365)</f>
        <v>47.839088170518693</v>
      </c>
      <c r="C66" s="24">
        <f>C51/(C7/365)</f>
        <v>10.000033776632874</v>
      </c>
      <c r="G66" s="24">
        <v>30</v>
      </c>
    </row>
    <row r="68" spans="1:7" x14ac:dyDescent="0.25">
      <c r="A68" t="s">
        <v>58</v>
      </c>
      <c r="G68" s="14">
        <f>G62-G48</f>
        <v>0.39365846224245615</v>
      </c>
    </row>
    <row r="2020" spans="1:1" x14ac:dyDescent="0.25">
      <c r="A202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topLeftCell="A18" workbookViewId="0">
      <selection activeCell="F35" sqref="F35"/>
    </sheetView>
  </sheetViews>
  <sheetFormatPr defaultRowHeight="15" x14ac:dyDescent="0.25"/>
  <cols>
    <col min="1" max="1" width="24" customWidth="1"/>
    <col min="2" max="2" width="11" customWidth="1"/>
    <col min="3" max="3" width="12" customWidth="1"/>
    <col min="5" max="5" width="13.7109375" customWidth="1"/>
    <col min="7" max="7" width="10.7109375" customWidth="1"/>
    <col min="9" max="9" width="12.7109375" customWidth="1"/>
  </cols>
  <sheetData>
    <row r="1" spans="1:7" x14ac:dyDescent="0.25">
      <c r="A1" t="s">
        <v>34</v>
      </c>
    </row>
    <row r="2" spans="1:7" x14ac:dyDescent="0.25">
      <c r="A2" t="s">
        <v>60</v>
      </c>
    </row>
    <row r="3" spans="1:7" x14ac:dyDescent="0.25">
      <c r="B3" s="3">
        <v>2019</v>
      </c>
      <c r="C3" s="3">
        <v>2020</v>
      </c>
      <c r="D3" s="3"/>
      <c r="E3" s="36" t="s">
        <v>61</v>
      </c>
      <c r="F3" s="36"/>
      <c r="G3" s="36"/>
    </row>
    <row r="4" spans="1:7" x14ac:dyDescent="0.25">
      <c r="A4" s="15" t="s">
        <v>62</v>
      </c>
      <c r="F4" s="11" t="s">
        <v>63</v>
      </c>
      <c r="G4" s="11" t="s">
        <v>64</v>
      </c>
    </row>
    <row r="5" spans="1:7" x14ac:dyDescent="0.25">
      <c r="A5" t="s">
        <v>65</v>
      </c>
      <c r="B5" s="12">
        <v>43543</v>
      </c>
      <c r="C5" s="12">
        <v>40497</v>
      </c>
      <c r="D5" s="12"/>
      <c r="E5" t="s">
        <v>66</v>
      </c>
      <c r="F5" s="9">
        <v>3</v>
      </c>
      <c r="G5" s="8">
        <f>F5</f>
        <v>3</v>
      </c>
    </row>
    <row r="6" spans="1:7" x14ac:dyDescent="0.25">
      <c r="A6" t="s">
        <v>67</v>
      </c>
      <c r="B6" s="13">
        <v>23074</v>
      </c>
      <c r="C6" s="13">
        <v>21983</v>
      </c>
      <c r="D6" s="22"/>
      <c r="E6" t="s">
        <v>68</v>
      </c>
      <c r="F6" s="10">
        <v>10</v>
      </c>
      <c r="G6" s="8">
        <f>F6/4</f>
        <v>2.5</v>
      </c>
    </row>
    <row r="7" spans="1:7" x14ac:dyDescent="0.25">
      <c r="A7" t="s">
        <v>69</v>
      </c>
      <c r="B7" s="12">
        <f t="shared" ref="B7" si="0">B5+(B6*4)</f>
        <v>135839</v>
      </c>
      <c r="C7" s="12">
        <f>C5+(C6*4)</f>
        <v>128429</v>
      </c>
      <c r="D7" s="12"/>
    </row>
    <row r="9" spans="1:7" x14ac:dyDescent="0.25">
      <c r="A9" t="s">
        <v>70</v>
      </c>
      <c r="B9" s="4">
        <f t="shared" ref="B9" si="1">B5*3</f>
        <v>130629</v>
      </c>
      <c r="C9" s="4">
        <f>C5*3</f>
        <v>121491</v>
      </c>
      <c r="D9" s="4"/>
    </row>
    <row r="10" spans="1:7" x14ac:dyDescent="0.25">
      <c r="A10" t="s">
        <v>71</v>
      </c>
      <c r="B10" s="5">
        <f t="shared" ref="B10" si="2">B6*10</f>
        <v>230740</v>
      </c>
      <c r="C10" s="5">
        <f>C6*10</f>
        <v>219830</v>
      </c>
      <c r="D10" s="23"/>
    </row>
    <row r="11" spans="1:7" x14ac:dyDescent="0.25">
      <c r="A11" t="s">
        <v>72</v>
      </c>
      <c r="B11" s="4">
        <f t="shared" ref="B11" si="3">SUM(B9:B10)</f>
        <v>361369</v>
      </c>
      <c r="C11" s="4">
        <f>SUM(C9:C10)</f>
        <v>341321</v>
      </c>
      <c r="D11" s="4"/>
    </row>
    <row r="13" spans="1:7" x14ac:dyDescent="0.25">
      <c r="A13" s="15" t="s">
        <v>73</v>
      </c>
    </row>
    <row r="14" spans="1:7" x14ac:dyDescent="0.25">
      <c r="A14" t="s">
        <v>65</v>
      </c>
      <c r="B14" s="12">
        <v>47437</v>
      </c>
      <c r="C14" s="12">
        <v>43483</v>
      </c>
      <c r="D14" s="12"/>
    </row>
    <row r="15" spans="1:7" x14ac:dyDescent="0.25">
      <c r="A15" t="s">
        <v>67</v>
      </c>
      <c r="B15" s="13">
        <v>26908</v>
      </c>
      <c r="C15" s="13">
        <v>24974</v>
      </c>
      <c r="D15" s="22"/>
    </row>
    <row r="16" spans="1:7" x14ac:dyDescent="0.25">
      <c r="A16" t="s">
        <v>69</v>
      </c>
      <c r="B16" s="12">
        <f t="shared" ref="B16" si="4">B14+(B15*4)</f>
        <v>155069</v>
      </c>
      <c r="C16" s="12">
        <f t="shared" ref="C16" si="5">C14+(C15*4)</f>
        <v>143379</v>
      </c>
      <c r="D16" s="12"/>
    </row>
    <row r="18" spans="1:4" x14ac:dyDescent="0.25">
      <c r="A18" t="s">
        <v>70</v>
      </c>
      <c r="B18" s="4">
        <f t="shared" ref="B18" si="6">B14*3</f>
        <v>142311</v>
      </c>
      <c r="C18" s="4">
        <f>C14*3</f>
        <v>130449</v>
      </c>
      <c r="D18" s="4"/>
    </row>
    <row r="19" spans="1:4" x14ac:dyDescent="0.25">
      <c r="A19" t="s">
        <v>71</v>
      </c>
      <c r="B19" s="5">
        <f t="shared" ref="B19" si="7">B15*10</f>
        <v>269080</v>
      </c>
      <c r="C19" s="5">
        <f>C15*10</f>
        <v>249740</v>
      </c>
      <c r="D19" s="23"/>
    </row>
    <row r="20" spans="1:4" x14ac:dyDescent="0.25">
      <c r="A20" t="s">
        <v>72</v>
      </c>
      <c r="B20" s="4">
        <f t="shared" ref="B20" si="8">SUM(B18:B19)</f>
        <v>411391</v>
      </c>
      <c r="C20" s="4">
        <f t="shared" ref="C20" si="9">SUM(C18:C19)</f>
        <v>380189</v>
      </c>
      <c r="D20" s="4"/>
    </row>
    <row r="22" spans="1:4" x14ac:dyDescent="0.25">
      <c r="A22" s="15" t="s">
        <v>74</v>
      </c>
    </row>
    <row r="23" spans="1:4" x14ac:dyDescent="0.25">
      <c r="A23" t="s">
        <v>65</v>
      </c>
      <c r="B23" s="12">
        <v>45983</v>
      </c>
      <c r="C23" s="12">
        <v>42446</v>
      </c>
      <c r="D23" s="12"/>
    </row>
    <row r="24" spans="1:4" x14ac:dyDescent="0.25">
      <c r="A24" t="s">
        <v>67</v>
      </c>
      <c r="B24" s="13">
        <v>27143</v>
      </c>
      <c r="C24" s="13">
        <v>25252</v>
      </c>
      <c r="D24" s="22"/>
    </row>
    <row r="25" spans="1:4" x14ac:dyDescent="0.25">
      <c r="A25" t="s">
        <v>69</v>
      </c>
      <c r="B25" s="12">
        <f t="shared" ref="B25" si="10">B23+(B24*4)</f>
        <v>154555</v>
      </c>
      <c r="C25" s="12">
        <f t="shared" ref="C25" si="11">C23+(C24*4)</f>
        <v>143454</v>
      </c>
      <c r="D25" s="12"/>
    </row>
    <row r="27" spans="1:4" x14ac:dyDescent="0.25">
      <c r="A27" t="s">
        <v>70</v>
      </c>
      <c r="B27" s="4">
        <f t="shared" ref="B27" si="12">B23*3</f>
        <v>137949</v>
      </c>
      <c r="C27" s="4">
        <f>C23*3</f>
        <v>127338</v>
      </c>
      <c r="D27" s="4"/>
    </row>
    <row r="28" spans="1:4" x14ac:dyDescent="0.25">
      <c r="A28" t="s">
        <v>71</v>
      </c>
      <c r="B28" s="5">
        <f t="shared" ref="B28" si="13">B24*10</f>
        <v>271430</v>
      </c>
      <c r="C28" s="5">
        <f>C24*10</f>
        <v>252520</v>
      </c>
      <c r="D28" s="23"/>
    </row>
    <row r="29" spans="1:4" x14ac:dyDescent="0.25">
      <c r="A29" t="s">
        <v>72</v>
      </c>
      <c r="B29" s="4">
        <f t="shared" ref="B29" si="14">SUM(B27:B28)</f>
        <v>409379</v>
      </c>
      <c r="C29" s="4">
        <f t="shared" ref="C29" si="15">SUM(C27:C28)</f>
        <v>379858</v>
      </c>
      <c r="D29" s="4"/>
    </row>
    <row r="31" spans="1:4" x14ac:dyDescent="0.25">
      <c r="A31" s="15" t="s">
        <v>63</v>
      </c>
    </row>
    <row r="32" spans="1:4" x14ac:dyDescent="0.25">
      <c r="A32" t="s">
        <v>65</v>
      </c>
      <c r="B32" s="12">
        <f t="shared" ref="B32:B33" si="16">B5+B14+B23</f>
        <v>136963</v>
      </c>
      <c r="C32" s="12">
        <f>C5+C14+C23</f>
        <v>126426</v>
      </c>
      <c r="D32" s="12"/>
    </row>
    <row r="33" spans="1:5" x14ac:dyDescent="0.25">
      <c r="A33" t="s">
        <v>67</v>
      </c>
      <c r="B33" s="13">
        <f t="shared" si="16"/>
        <v>77125</v>
      </c>
      <c r="C33" s="13">
        <f>C6+C15+C24</f>
        <v>72209</v>
      </c>
      <c r="D33" s="22"/>
    </row>
    <row r="34" spans="1:5" x14ac:dyDescent="0.25">
      <c r="A34" t="s">
        <v>69</v>
      </c>
      <c r="B34" s="12">
        <f t="shared" ref="B34" si="17">B32+(B33*4)</f>
        <v>445463</v>
      </c>
      <c r="C34" s="12">
        <f t="shared" ref="C34" si="18">C32+(C33*4)</f>
        <v>415262</v>
      </c>
      <c r="D34" s="12"/>
      <c r="E34" s="25">
        <f>1-(B34/C34)</f>
        <v>-7.2727579215049687E-2</v>
      </c>
    </row>
    <row r="35" spans="1:5" x14ac:dyDescent="0.25">
      <c r="D35" s="27"/>
      <c r="E35" s="27"/>
    </row>
    <row r="36" spans="1:5" x14ac:dyDescent="0.25">
      <c r="A36" t="s">
        <v>70</v>
      </c>
      <c r="B36" s="4">
        <f t="shared" ref="B36" si="19">B32*3</f>
        <v>410889</v>
      </c>
      <c r="C36" s="4">
        <f>C32*3</f>
        <v>379278</v>
      </c>
      <c r="D36" s="4"/>
    </row>
    <row r="37" spans="1:5" x14ac:dyDescent="0.25">
      <c r="A37" t="s">
        <v>71</v>
      </c>
      <c r="B37" s="5">
        <f t="shared" ref="B37" si="20">B33*10</f>
        <v>771250</v>
      </c>
      <c r="C37" s="5">
        <f>C33*10</f>
        <v>722090</v>
      </c>
      <c r="D37" s="23"/>
    </row>
    <row r="38" spans="1:5" x14ac:dyDescent="0.25">
      <c r="A38" t="s">
        <v>72</v>
      </c>
      <c r="B38" s="4">
        <f t="shared" ref="B38" si="21">SUM(B36:B37)</f>
        <v>1182139</v>
      </c>
      <c r="C38" s="4">
        <f t="shared" ref="C38" si="22">SUM(C36:C37)</f>
        <v>1101368</v>
      </c>
      <c r="D38" s="4"/>
      <c r="E38" s="26">
        <f>1-(B38/C38)</f>
        <v>-7.3336977286429184E-2</v>
      </c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1 Results</vt:lpstr>
      <vt:lpstr>Revenue</vt:lpstr>
    </vt:vector>
  </TitlesOfParts>
  <Manager/>
  <Company>Brigham Young University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BYU Idaho</dc:creator>
  <cp:keywords/>
  <dc:description/>
  <cp:lastModifiedBy>Evan Savage</cp:lastModifiedBy>
  <cp:revision/>
  <dcterms:created xsi:type="dcterms:W3CDTF">2019-02-20T15:47:38Z</dcterms:created>
  <dcterms:modified xsi:type="dcterms:W3CDTF">2022-05-27T15:48:06Z</dcterms:modified>
  <cp:category/>
  <cp:contentStatus/>
</cp:coreProperties>
</file>