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ailey\Desktop\Spring-2022\FIN 401\Week 3\"/>
    </mc:Choice>
  </mc:AlternateContent>
  <xr:revisionPtr revIDLastSave="0" documentId="13_ncr:1_{52B88756-0CEB-4DC4-8FDE-3FDF588AEF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re Cit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F12" i="1"/>
  <c r="E12" i="1"/>
  <c r="F44" i="1"/>
  <c r="F18" i="1" s="1"/>
  <c r="E18" i="1"/>
  <c r="B91" i="1"/>
  <c r="C90" i="1"/>
  <c r="D90" i="1"/>
  <c r="E90" i="1"/>
  <c r="F90" i="1"/>
  <c r="G90" i="1"/>
  <c r="B90" i="1"/>
  <c r="J63" i="1"/>
  <c r="B82" i="1"/>
  <c r="B81" i="1"/>
  <c r="K58" i="1"/>
  <c r="J58" i="1"/>
  <c r="H58" i="1" l="1"/>
  <c r="B78" i="1" s="1"/>
  <c r="K63" i="1"/>
  <c r="C7" i="1" l="1"/>
  <c r="D7" i="1"/>
  <c r="B7" i="1"/>
  <c r="F55" i="1"/>
  <c r="E55" i="1"/>
  <c r="F54" i="1"/>
  <c r="E54" i="1"/>
  <c r="F43" i="1"/>
  <c r="E43" i="1"/>
  <c r="F42" i="1"/>
  <c r="E42" i="1"/>
  <c r="E27" i="1" l="1"/>
  <c r="E8" i="1"/>
  <c r="F8" i="1"/>
  <c r="E10" i="1"/>
  <c r="F10" i="1"/>
  <c r="E6" i="1"/>
  <c r="E23" i="1" s="1"/>
  <c r="E22" i="1"/>
  <c r="F22" i="1" s="1"/>
  <c r="C17" i="1"/>
  <c r="D17" i="1"/>
  <c r="E17" i="1" s="1"/>
  <c r="F17" i="1" s="1"/>
  <c r="C18" i="1"/>
  <c r="D18" i="1"/>
  <c r="C19" i="1"/>
  <c r="D19" i="1"/>
  <c r="E19" i="1" s="1"/>
  <c r="F19" i="1" s="1"/>
  <c r="B19" i="1"/>
  <c r="B18" i="1"/>
  <c r="B17" i="1"/>
  <c r="C6" i="1"/>
  <c r="D6" i="1"/>
  <c r="E7" i="1"/>
  <c r="C8" i="1"/>
  <c r="D8" i="1"/>
  <c r="C10" i="1"/>
  <c r="D10" i="1"/>
  <c r="C11" i="1"/>
  <c r="D11" i="1"/>
  <c r="E11" i="1" s="1"/>
  <c r="F11" i="1" s="1"/>
  <c r="C12" i="1"/>
  <c r="D12" i="1"/>
  <c r="C13" i="1"/>
  <c r="D13" i="1"/>
  <c r="E13" i="1" s="1"/>
  <c r="F13" i="1" s="1"/>
  <c r="C14" i="1"/>
  <c r="D14" i="1"/>
  <c r="E14" i="1" s="1"/>
  <c r="F14" i="1" s="1"/>
  <c r="B14" i="1"/>
  <c r="B13" i="1"/>
  <c r="B12" i="1"/>
  <c r="B11" i="1"/>
  <c r="B10" i="1"/>
  <c r="B8" i="1"/>
  <c r="B6" i="1"/>
  <c r="F7" i="1" l="1"/>
  <c r="F26" i="1" s="1"/>
  <c r="E26" i="1"/>
  <c r="F6" i="1"/>
  <c r="F23" i="1" s="1"/>
  <c r="E47" i="1" l="1"/>
  <c r="F47" i="1" s="1"/>
  <c r="E48" i="1"/>
  <c r="D56" i="1"/>
  <c r="C56" i="1"/>
  <c r="B56" i="1"/>
  <c r="D49" i="1"/>
  <c r="C49" i="1"/>
  <c r="B49" i="1"/>
  <c r="F48" i="1" l="1"/>
  <c r="E24" i="1"/>
  <c r="E56" i="1" l="1"/>
  <c r="E59" i="1" s="1"/>
  <c r="E49" i="1"/>
  <c r="E45" i="1"/>
  <c r="E29" i="1"/>
  <c r="E31" i="1" s="1"/>
  <c r="F24" i="1"/>
  <c r="C29" i="1"/>
  <c r="D29" i="1"/>
  <c r="B29" i="1"/>
  <c r="F56" i="1" l="1"/>
  <c r="F59" i="1" s="1"/>
  <c r="E51" i="1"/>
  <c r="F29" i="1"/>
  <c r="F31" i="1" s="1"/>
  <c r="F32" i="1" s="1"/>
  <c r="F49" i="1" l="1"/>
  <c r="C24" i="1"/>
  <c r="C45" i="1"/>
  <c r="C51" i="1" s="1"/>
  <c r="D45" i="1"/>
  <c r="D51" i="1" s="1"/>
  <c r="D24" i="1"/>
  <c r="C31" i="1" l="1"/>
  <c r="C9" i="1" s="1"/>
  <c r="C33" i="1" l="1"/>
  <c r="D31" i="1"/>
  <c r="D9" i="1" s="1"/>
  <c r="E9" i="1" s="1"/>
  <c r="D59" i="1"/>
  <c r="F9" i="1" l="1"/>
  <c r="E32" i="1"/>
  <c r="D33" i="1"/>
  <c r="C59" i="1"/>
  <c r="B45" i="1"/>
  <c r="B51" i="1" s="1"/>
  <c r="B24" i="1"/>
  <c r="B31" i="1" s="1"/>
  <c r="B9" i="1" s="1"/>
  <c r="F33" i="1" l="1"/>
  <c r="E33" i="1"/>
  <c r="E62" i="1" s="1"/>
  <c r="B33" i="1"/>
  <c r="B59" i="1"/>
  <c r="F62" i="1" l="1"/>
  <c r="F63" i="1" s="1"/>
  <c r="F65" i="1" s="1"/>
  <c r="E63" i="1"/>
  <c r="B63" i="1"/>
  <c r="B65" i="1" s="1"/>
  <c r="E65" i="1" l="1"/>
  <c r="E67" i="1" s="1"/>
  <c r="H63" i="1"/>
  <c r="C63" i="1"/>
  <c r="C65" i="1" s="1"/>
  <c r="D63" i="1"/>
  <c r="D65" i="1" s="1"/>
  <c r="H64" i="1" l="1"/>
  <c r="I63" i="1" s="1"/>
  <c r="L63" i="1" s="1"/>
  <c r="B79" i="1"/>
  <c r="F45" i="1"/>
  <c r="F51" i="1" s="1"/>
  <c r="F67" i="1" s="1"/>
  <c r="I58" i="1" l="1"/>
  <c r="I64" i="1" s="1"/>
  <c r="L58" i="1" l="1"/>
  <c r="L64" i="1" s="1"/>
  <c r="B92" i="1" s="1"/>
</calcChain>
</file>

<file path=xl/sharedStrings.xml><?xml version="1.0" encoding="utf-8"?>
<sst xmlns="http://schemas.openxmlformats.org/spreadsheetml/2006/main" count="80" uniqueCount="78">
  <si>
    <t>Revenue</t>
  </si>
  <si>
    <t>Total Operating Expenses</t>
  </si>
  <si>
    <t>Depreciation Expense</t>
  </si>
  <si>
    <t>Net Income</t>
  </si>
  <si>
    <t>Gross Margin</t>
  </si>
  <si>
    <t>Income Statement</t>
  </si>
  <si>
    <t>Balance Sheet</t>
  </si>
  <si>
    <t>Cash</t>
  </si>
  <si>
    <t>Inventory</t>
  </si>
  <si>
    <t>Current Assets</t>
  </si>
  <si>
    <t>Total Current Assets</t>
  </si>
  <si>
    <t>Accumulated Depreciation</t>
  </si>
  <si>
    <t>Total Assets</t>
  </si>
  <si>
    <t>Current Liabilities</t>
  </si>
  <si>
    <t>Accounts Payable</t>
  </si>
  <si>
    <t>Taxes Payable</t>
  </si>
  <si>
    <t>Long-term Debt</t>
  </si>
  <si>
    <t>Total Liabilities</t>
  </si>
  <si>
    <t>Total Current Liabilities</t>
  </si>
  <si>
    <t>Stock</t>
  </si>
  <si>
    <t>Retained Earnings</t>
  </si>
  <si>
    <t>Total Equity</t>
  </si>
  <si>
    <t>Total Liabilities and Equity</t>
  </si>
  <si>
    <t>Tire City, Inc.</t>
  </si>
  <si>
    <t>Cost of Sales</t>
  </si>
  <si>
    <t>Sales, General, and Administrative Expenses</t>
  </si>
  <si>
    <t>Net Interest Expense</t>
  </si>
  <si>
    <t>Pre-Tax Income</t>
  </si>
  <si>
    <t>Income Taxes</t>
  </si>
  <si>
    <t>Dividends</t>
  </si>
  <si>
    <t>Accounts Receivable</t>
  </si>
  <si>
    <t>Gross Plant and Equipment</t>
  </si>
  <si>
    <t>Ratios:</t>
  </si>
  <si>
    <t>Accounts Receivable % of Sales</t>
  </si>
  <si>
    <t>Tax % of Taxable Income</t>
  </si>
  <si>
    <t>Cost of Sales % of Sales</t>
  </si>
  <si>
    <t>Cash % of Sales</t>
  </si>
  <si>
    <t>SG&amp;A % of Sales</t>
  </si>
  <si>
    <t>Interest Expense % of Debt</t>
  </si>
  <si>
    <t>Accounts Payable % of Sales</t>
  </si>
  <si>
    <t>Taxes Payable % of Sales</t>
  </si>
  <si>
    <t>In Thousands ($000)</t>
  </si>
  <si>
    <t>Inventory % of Sales</t>
  </si>
  <si>
    <t>Total Fixed Assets</t>
  </si>
  <si>
    <t>DFN</t>
  </si>
  <si>
    <t>Days of Accounts Recivable</t>
  </si>
  <si>
    <t>Days of Inventory</t>
  </si>
  <si>
    <t>Days of Accounts Payable</t>
  </si>
  <si>
    <t>Forecast Change</t>
  </si>
  <si>
    <t>Interest Rate</t>
  </si>
  <si>
    <t>Information</t>
  </si>
  <si>
    <t>Given:</t>
  </si>
  <si>
    <t>Unlevered Beta</t>
  </si>
  <si>
    <t>Long-Term Debt Interest Rate</t>
  </si>
  <si>
    <t>Income Tax Rate</t>
  </si>
  <si>
    <t>T-bill Rate</t>
  </si>
  <si>
    <t>S&amp;P 500 Rate</t>
  </si>
  <si>
    <t>Calculations:</t>
  </si>
  <si>
    <t>Average Debt</t>
  </si>
  <si>
    <t>Average Equity</t>
  </si>
  <si>
    <t>Levered Beta</t>
  </si>
  <si>
    <t>EMRP</t>
  </si>
  <si>
    <t>CAPM</t>
  </si>
  <si>
    <t>Average</t>
  </si>
  <si>
    <t>Proportion</t>
  </si>
  <si>
    <t>Rate</t>
  </si>
  <si>
    <t>Adj Rate</t>
  </si>
  <si>
    <t>Weighted</t>
  </si>
  <si>
    <t>-</t>
  </si>
  <si>
    <t>Year 0</t>
  </si>
  <si>
    <t>Year 1</t>
  </si>
  <si>
    <t>Year 2</t>
  </si>
  <si>
    <t>Year 3</t>
  </si>
  <si>
    <t>Year 4</t>
  </si>
  <si>
    <t>Year 5</t>
  </si>
  <si>
    <t>sum of cash flows</t>
  </si>
  <si>
    <t>IRR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</si>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</sst>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&quot;$&quot;* #,##0.000_);_(&quot;$&quot;* \(#,##0.000\);_(&quot;$&quot;* &quot;-&quot;??_);_(@_)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165" fontId="0" fillId="0" borderId="0" xfId="2" applyNumberFormat="1" applyFont="1"/>
    <xf numFmtId="44" fontId="0" fillId="0" borderId="0" xfId="0" applyNumberFormat="1"/>
    <xf numFmtId="166" fontId="0" fillId="0" borderId="0" xfId="0" applyNumberFormat="1"/>
    <xf numFmtId="164" fontId="0" fillId="0" borderId="0" xfId="1" applyNumberFormat="1" applyFont="1" applyFill="1"/>
    <xf numFmtId="164" fontId="0" fillId="0" borderId="2" xfId="1" applyNumberFormat="1" applyFont="1" applyFill="1" applyBorder="1"/>
    <xf numFmtId="167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164" fontId="5" fillId="0" borderId="0" xfId="1" applyNumberFormat="1" applyFont="1" applyFill="1"/>
    <xf numFmtId="164" fontId="0" fillId="0" borderId="0" xfId="0" applyNumberFormat="1"/>
    <xf numFmtId="168" fontId="0" fillId="0" borderId="0" xfId="3" applyNumberFormat="1" applyFont="1"/>
    <xf numFmtId="9" fontId="0" fillId="0" borderId="0" xfId="0" applyNumberFormat="1"/>
    <xf numFmtId="169" fontId="0" fillId="0" borderId="0" xfId="0" applyNumberFormat="1"/>
    <xf numFmtId="0" fontId="6" fillId="0" borderId="0" xfId="0" applyFont="1"/>
    <xf numFmtId="0" fontId="7" fillId="0" borderId="0" xfId="0" applyFont="1"/>
    <xf numFmtId="10" fontId="7" fillId="0" borderId="0" xfId="2" applyNumberFormat="1" applyFont="1" applyFill="1" applyBorder="1"/>
    <xf numFmtId="165" fontId="7" fillId="0" borderId="0" xfId="0" applyNumberFormat="1" applyFont="1"/>
    <xf numFmtId="9" fontId="7" fillId="0" borderId="0" xfId="0" applyNumberFormat="1" applyFont="1"/>
    <xf numFmtId="164" fontId="7" fillId="2" borderId="0" xfId="1" applyNumberFormat="1" applyFont="1" applyFill="1" applyBorder="1"/>
    <xf numFmtId="164" fontId="7" fillId="2" borderId="0" xfId="0" applyNumberFormat="1" applyFont="1" applyFill="1"/>
    <xf numFmtId="2" fontId="7" fillId="2" borderId="0" xfId="0" applyNumberFormat="1" applyFont="1" applyFill="1"/>
    <xf numFmtId="165" fontId="7" fillId="2" borderId="0" xfId="2" applyNumberFormat="1" applyFont="1" applyFill="1" applyBorder="1"/>
    <xf numFmtId="0" fontId="7" fillId="0" borderId="2" xfId="0" applyFont="1" applyBorder="1"/>
    <xf numFmtId="10" fontId="7" fillId="2" borderId="0" xfId="2" applyNumberFormat="1" applyFont="1" applyFill="1"/>
    <xf numFmtId="165" fontId="7" fillId="2" borderId="0" xfId="2" applyNumberFormat="1" applyFont="1" applyFill="1"/>
    <xf numFmtId="10" fontId="7" fillId="0" borderId="0" xfId="2" applyNumberFormat="1" applyFont="1"/>
    <xf numFmtId="10" fontId="7" fillId="0" borderId="0" xfId="0" applyNumberFormat="1" applyFont="1"/>
    <xf numFmtId="164" fontId="7" fillId="2" borderId="2" xfId="0" applyNumberFormat="1" applyFont="1" applyFill="1" applyBorder="1"/>
    <xf numFmtId="10" fontId="7" fillId="2" borderId="2" xfId="2" applyNumberFormat="1" applyFont="1" applyFill="1" applyBorder="1"/>
    <xf numFmtId="165" fontId="7" fillId="2" borderId="2" xfId="0" applyNumberFormat="1" applyFont="1" applyFill="1" applyBorder="1"/>
    <xf numFmtId="10" fontId="7" fillId="2" borderId="2" xfId="0" applyNumberFormat="1" applyFont="1" applyFill="1" applyBorder="1"/>
    <xf numFmtId="10" fontId="7" fillId="2" borderId="0" xfId="0" applyNumberFormat="1" applyFont="1" applyFill="1"/>
    <xf numFmtId="0" fontId="7" fillId="2" borderId="0" xfId="0" applyFont="1" applyFill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2"/>
  <sheetViews>
    <sheetView tabSelected="1" topLeftCell="A55" zoomScaleNormal="100" workbookViewId="0">
      <selection activeCell="L64" sqref="L64"/>
    </sheetView>
  </sheetViews>
  <sheetFormatPr defaultRowHeight="15" x14ac:dyDescent="0.25"/>
  <cols>
    <col min="1" max="1" width="36.42578125" customWidth="1"/>
    <col min="2" max="6" width="15.7109375" customWidth="1"/>
    <col min="7" max="7" width="10.5703125" bestFit="1" customWidth="1"/>
    <col min="8" max="8" width="15.5703125" bestFit="1" customWidth="1"/>
    <col min="9" max="9" width="10.5703125" bestFit="1" customWidth="1"/>
  </cols>
  <sheetData>
    <row r="1" spans="1:8" ht="18.75" x14ac:dyDescent="0.3">
      <c r="A1" s="2" t="s">
        <v>23</v>
      </c>
    </row>
    <row r="2" spans="1:8" ht="18.75" x14ac:dyDescent="0.3">
      <c r="A2" s="2" t="s">
        <v>5</v>
      </c>
    </row>
    <row r="3" spans="1:8" ht="18.75" x14ac:dyDescent="0.3">
      <c r="A3" s="2" t="s">
        <v>41</v>
      </c>
    </row>
    <row r="4" spans="1:8" ht="14.45" customHeight="1" x14ac:dyDescent="0.3">
      <c r="A4" s="2"/>
    </row>
    <row r="5" spans="1:8" ht="14.45" customHeight="1" x14ac:dyDescent="0.25">
      <c r="A5" s="15" t="s">
        <v>32</v>
      </c>
      <c r="B5" s="13"/>
      <c r="C5" s="13"/>
      <c r="D5" s="13"/>
      <c r="H5" t="s">
        <v>48</v>
      </c>
    </row>
    <row r="6" spans="1:8" ht="14.45" customHeight="1" x14ac:dyDescent="0.25">
      <c r="A6" s="13" t="s">
        <v>35</v>
      </c>
      <c r="B6" s="7">
        <f>B23/B22</f>
        <v>0.58102279728897099</v>
      </c>
      <c r="C6" s="7">
        <f t="shared" ref="C6:D6" si="0">C23/C22</f>
        <v>0.58452468680913783</v>
      </c>
      <c r="D6" s="7">
        <f t="shared" si="0"/>
        <v>0.57911082748351417</v>
      </c>
      <c r="E6" s="14">
        <f>D6*(1+$H6)</f>
        <v>0.57911082748351417</v>
      </c>
      <c r="F6" s="14">
        <f>E6*(1+$H6)</f>
        <v>0.57911082748351417</v>
      </c>
      <c r="H6">
        <v>0</v>
      </c>
    </row>
    <row r="7" spans="1:8" ht="14.45" customHeight="1" x14ac:dyDescent="0.25">
      <c r="A7" s="13" t="s">
        <v>37</v>
      </c>
      <c r="B7" s="7">
        <f>B26/B22</f>
        <v>0.32008626001232288</v>
      </c>
      <c r="C7" s="7">
        <f t="shared" ref="C7:D7" si="1">C26/C22</f>
        <v>0.3120609186931958</v>
      </c>
      <c r="D7" s="7">
        <f t="shared" si="1"/>
        <v>0.31784726653903422</v>
      </c>
      <c r="E7" s="14">
        <f t="shared" ref="E7:F7" si="2">D7*(1+$H7)</f>
        <v>0.31784726653903422</v>
      </c>
      <c r="F7" s="14">
        <f t="shared" si="2"/>
        <v>0.31784726653903422</v>
      </c>
      <c r="H7">
        <v>0</v>
      </c>
    </row>
    <row r="8" spans="1:8" ht="14.45" customHeight="1" x14ac:dyDescent="0.25">
      <c r="A8" s="13" t="s">
        <v>38</v>
      </c>
      <c r="B8" s="7">
        <f>B28/B58</f>
        <v>0.10577777777777778</v>
      </c>
      <c r="C8" s="7">
        <f t="shared" ref="C8:D8" si="3">C28/C58</f>
        <v>0.106</v>
      </c>
      <c r="D8" s="7">
        <f t="shared" si="3"/>
        <v>0.10742857142857143</v>
      </c>
      <c r="E8" s="14">
        <f t="shared" ref="E8:F8" si="4">D8*(1+$H8)</f>
        <v>0.10742857142857143</v>
      </c>
      <c r="F8" s="14">
        <f t="shared" si="4"/>
        <v>0.10742857142857143</v>
      </c>
      <c r="H8">
        <v>0</v>
      </c>
    </row>
    <row r="9" spans="1:8" ht="14.45" customHeight="1" x14ac:dyDescent="0.25">
      <c r="A9" s="13" t="s">
        <v>34</v>
      </c>
      <c r="B9" s="7">
        <f>B32/B31</f>
        <v>0.41176470588235292</v>
      </c>
      <c r="C9" s="7">
        <f t="shared" ref="C9:D9" si="5">C32/C31</f>
        <v>0.45189664650907091</v>
      </c>
      <c r="D9" s="7">
        <f t="shared" si="5"/>
        <v>0.43735224586288418</v>
      </c>
      <c r="E9" s="14">
        <f t="shared" ref="E9:F9" si="6">D9*(1+$H9)</f>
        <v>0.43735224586288418</v>
      </c>
      <c r="F9" s="14">
        <f t="shared" si="6"/>
        <v>0.43735224586288418</v>
      </c>
      <c r="H9">
        <v>0</v>
      </c>
    </row>
    <row r="10" spans="1:8" ht="14.45" customHeight="1" x14ac:dyDescent="0.25">
      <c r="A10" s="13" t="s">
        <v>36</v>
      </c>
      <c r="B10" s="7">
        <f>B42/B22</f>
        <v>3.1300061614294515E-2</v>
      </c>
      <c r="C10" s="7">
        <f t="shared" ref="C10:D10" si="7">C42/C22</f>
        <v>2.9918938835666913E-2</v>
      </c>
      <c r="D10" s="7">
        <f t="shared" si="7"/>
        <v>3.003616251861306E-2</v>
      </c>
      <c r="E10" s="14">
        <f t="shared" ref="E10:F10" si="8">D10*(1+$H10)</f>
        <v>3.003616251861306E-2</v>
      </c>
      <c r="F10" s="14">
        <f t="shared" si="8"/>
        <v>3.003616251861306E-2</v>
      </c>
      <c r="H10">
        <v>0</v>
      </c>
    </row>
    <row r="11" spans="1:8" ht="14.45" customHeight="1" x14ac:dyDescent="0.25">
      <c r="A11" s="13" t="s">
        <v>33</v>
      </c>
      <c r="B11" s="7">
        <f>B43/B22</f>
        <v>0.15680837954405422</v>
      </c>
      <c r="C11" s="7">
        <f t="shared" ref="C11:D11" si="9">C43/C22</f>
        <v>0.15205109309751905</v>
      </c>
      <c r="D11" s="7">
        <f t="shared" si="9"/>
        <v>0.15537119761752818</v>
      </c>
      <c r="E11" s="14">
        <f t="shared" ref="E11:F11" si="10">D11*(1+$H11)</f>
        <v>0.15537119761752818</v>
      </c>
      <c r="F11" s="14">
        <f t="shared" si="10"/>
        <v>0.15537119761752818</v>
      </c>
      <c r="H11">
        <v>0</v>
      </c>
    </row>
    <row r="12" spans="1:8" ht="14.45" customHeight="1" x14ac:dyDescent="0.25">
      <c r="A12" s="13" t="s">
        <v>42</v>
      </c>
      <c r="B12" s="7">
        <f>B44/B22</f>
        <v>0.1004313000616143</v>
      </c>
      <c r="C12" s="7">
        <f t="shared" ref="C12:F12" si="11">C44/C22</f>
        <v>9.0297224269221321E-2</v>
      </c>
      <c r="D12" s="7">
        <f t="shared" si="11"/>
        <v>9.3171665603063183E-2</v>
      </c>
      <c r="E12" s="7">
        <f t="shared" si="11"/>
        <v>5.7611855633553144E-2</v>
      </c>
      <c r="F12" s="7">
        <f t="shared" si="11"/>
        <v>9.3171665603063183E-2</v>
      </c>
    </row>
    <row r="13" spans="1:8" ht="14.45" customHeight="1" x14ac:dyDescent="0.25">
      <c r="A13" s="13" t="s">
        <v>39</v>
      </c>
      <c r="B13" s="7">
        <f>B54/B22</f>
        <v>6.4202094886013555E-2</v>
      </c>
      <c r="C13" s="7">
        <f t="shared" ref="C13:D13" si="12">C54/C22</f>
        <v>6.50945713583886E-2</v>
      </c>
      <c r="D13" s="7">
        <f t="shared" si="12"/>
        <v>6.1263560944479899E-2</v>
      </c>
      <c r="E13" s="14">
        <f t="shared" ref="E13:F13" si="13">D13*(1+$H13)</f>
        <v>6.1263560944479899E-2</v>
      </c>
      <c r="F13" s="14">
        <f t="shared" si="13"/>
        <v>6.1263560944479899E-2</v>
      </c>
      <c r="H13">
        <v>0</v>
      </c>
    </row>
    <row r="14" spans="1:8" ht="14.45" customHeight="1" x14ac:dyDescent="0.25">
      <c r="A14" s="13" t="s">
        <v>40</v>
      </c>
      <c r="B14" s="7">
        <f>B55/B22</f>
        <v>7.0548367221195313E-2</v>
      </c>
      <c r="C14" s="7">
        <f t="shared" ref="C14:D14" si="14">C55/C22</f>
        <v>7.0351265045443381E-2</v>
      </c>
      <c r="D14" s="7">
        <f t="shared" si="14"/>
        <v>7.0325462667517546E-2</v>
      </c>
      <c r="E14" s="14">
        <f t="shared" ref="E14:F14" si="15">D14*(1+$H14)</f>
        <v>7.0325462667517546E-2</v>
      </c>
      <c r="F14" s="14">
        <f t="shared" si="15"/>
        <v>7.0325462667517546E-2</v>
      </c>
      <c r="H14">
        <v>0</v>
      </c>
    </row>
    <row r="15" spans="1:8" ht="14.45" customHeight="1" x14ac:dyDescent="0.25">
      <c r="A15" s="13" t="s">
        <v>49</v>
      </c>
      <c r="B15" s="7"/>
      <c r="C15" s="7"/>
      <c r="D15" s="7"/>
      <c r="E15" s="14">
        <v>0.1</v>
      </c>
      <c r="F15" s="14">
        <v>0.1</v>
      </c>
    </row>
    <row r="16" spans="1:8" ht="14.45" customHeight="1" x14ac:dyDescent="0.25">
      <c r="A16" s="13"/>
      <c r="B16" s="7"/>
      <c r="C16" s="7"/>
      <c r="D16" s="7"/>
      <c r="E16" s="14"/>
      <c r="F16" s="14"/>
    </row>
    <row r="17" spans="1:8" ht="14.45" customHeight="1" x14ac:dyDescent="0.25">
      <c r="A17" s="13" t="s">
        <v>45</v>
      </c>
      <c r="B17" s="18">
        <f>B43/(B22/365)</f>
        <v>57.235058533579789</v>
      </c>
      <c r="C17" s="18">
        <f t="shared" ref="C17:D17" si="16">C43/(C22/365)</f>
        <v>55.498648980594446</v>
      </c>
      <c r="D17" s="18">
        <f t="shared" si="16"/>
        <v>56.710487130397787</v>
      </c>
      <c r="E17" s="20">
        <f>D17*(1+$H17)</f>
        <v>56.710487130397787</v>
      </c>
      <c r="F17" s="20">
        <f>E17*(1+$H17)</f>
        <v>56.710487130397787</v>
      </c>
      <c r="H17">
        <v>0</v>
      </c>
    </row>
    <row r="18" spans="1:8" ht="14.45" customHeight="1" x14ac:dyDescent="0.25">
      <c r="A18" s="13" t="s">
        <v>46</v>
      </c>
      <c r="B18" s="18">
        <f>B44/(B23/365)</f>
        <v>63.091198303287378</v>
      </c>
      <c r="C18" s="18">
        <f t="shared" ref="C18:F18" si="17">C44/(C23/365)</f>
        <v>56.385106740628679</v>
      </c>
      <c r="D18" s="18">
        <f t="shared" si="17"/>
        <v>58.723920070526013</v>
      </c>
      <c r="E18" s="18">
        <f t="shared" si="17"/>
        <v>36.311404153198154</v>
      </c>
      <c r="F18" s="18">
        <f t="shared" si="17"/>
        <v>58.723920070526006</v>
      </c>
    </row>
    <row r="19" spans="1:8" ht="14.45" customHeight="1" x14ac:dyDescent="0.25">
      <c r="A19" s="13" t="s">
        <v>47</v>
      </c>
      <c r="B19" s="18">
        <f>B54/(B23/365)</f>
        <v>40.331919406150583</v>
      </c>
      <c r="C19" s="18">
        <f t="shared" ref="C19:D19" si="18">C54/(C23/365)</f>
        <v>40.647587829887378</v>
      </c>
      <c r="D19" s="18">
        <f t="shared" si="18"/>
        <v>38.612988539523954</v>
      </c>
      <c r="E19" s="20">
        <f>D19*(1+$H19)</f>
        <v>38.612988539523954</v>
      </c>
      <c r="F19" s="20">
        <f>E19*(1+$H19)</f>
        <v>38.612988539523954</v>
      </c>
      <c r="H19">
        <v>0</v>
      </c>
    </row>
    <row r="20" spans="1:8" ht="14.45" customHeight="1" x14ac:dyDescent="0.25">
      <c r="A20" s="13"/>
      <c r="B20" s="13"/>
      <c r="C20" s="13"/>
      <c r="D20" s="13"/>
    </row>
    <row r="21" spans="1:8" x14ac:dyDescent="0.25">
      <c r="A21" s="13"/>
      <c r="B21" s="3">
        <v>1993</v>
      </c>
      <c r="C21" s="3">
        <v>1994</v>
      </c>
      <c r="D21" s="3">
        <v>1995</v>
      </c>
      <c r="E21" s="3">
        <v>1996</v>
      </c>
      <c r="F21" s="3">
        <v>1997</v>
      </c>
    </row>
    <row r="22" spans="1:8" x14ac:dyDescent="0.25">
      <c r="A22" t="s">
        <v>0</v>
      </c>
      <c r="B22" s="4">
        <v>16230</v>
      </c>
      <c r="C22" s="4">
        <v>20355</v>
      </c>
      <c r="D22" s="4">
        <v>23505</v>
      </c>
      <c r="E22" s="4">
        <f>D22*($H22+1)</f>
        <v>28206</v>
      </c>
      <c r="F22" s="4">
        <f>E22*($H22+1)</f>
        <v>33847.199999999997</v>
      </c>
      <c r="H22" s="19">
        <v>0.2</v>
      </c>
    </row>
    <row r="23" spans="1:8" ht="14.45" customHeight="1" x14ac:dyDescent="0.25">
      <c r="A23" t="s">
        <v>24</v>
      </c>
      <c r="B23" s="5">
        <v>9430</v>
      </c>
      <c r="C23" s="5">
        <v>11898</v>
      </c>
      <c r="D23" s="5">
        <v>13612</v>
      </c>
      <c r="E23" s="5">
        <f>E6*E22</f>
        <v>16334.400000000001</v>
      </c>
      <c r="F23" s="5">
        <f>F6*F22</f>
        <v>19601.28</v>
      </c>
    </row>
    <row r="24" spans="1:8" x14ac:dyDescent="0.25">
      <c r="A24" t="s">
        <v>4</v>
      </c>
      <c r="B24" s="4">
        <f>B22-B23</f>
        <v>6800</v>
      </c>
      <c r="C24" s="4">
        <f>C22-C23</f>
        <v>8457</v>
      </c>
      <c r="D24" s="4">
        <f>D22-D23</f>
        <v>9893</v>
      </c>
      <c r="E24" s="4">
        <f t="shared" ref="E24:F24" si="19">E22-E23</f>
        <v>11871.599999999999</v>
      </c>
      <c r="F24" s="4">
        <f t="shared" si="19"/>
        <v>14245.919999999998</v>
      </c>
    </row>
    <row r="25" spans="1:8" x14ac:dyDescent="0.25">
      <c r="B25" s="4"/>
      <c r="C25" s="4"/>
      <c r="D25" s="4"/>
      <c r="E25" s="4"/>
      <c r="F25" s="4"/>
    </row>
    <row r="26" spans="1:8" x14ac:dyDescent="0.25">
      <c r="A26" t="s">
        <v>25</v>
      </c>
      <c r="B26" s="4">
        <v>5195</v>
      </c>
      <c r="C26" s="4">
        <v>6352</v>
      </c>
      <c r="D26" s="4">
        <v>7471</v>
      </c>
      <c r="E26" s="4">
        <f>E7*E22</f>
        <v>8965.1999999999989</v>
      </c>
      <c r="F26" s="4">
        <f>F7*F22</f>
        <v>10758.239999999998</v>
      </c>
    </row>
    <row r="27" spans="1:8" x14ac:dyDescent="0.25">
      <c r="A27" t="s">
        <v>2</v>
      </c>
      <c r="B27" s="4">
        <v>160</v>
      </c>
      <c r="C27" s="4">
        <v>180</v>
      </c>
      <c r="D27" s="4">
        <v>213</v>
      </c>
      <c r="E27" s="4">
        <f>D27</f>
        <v>213</v>
      </c>
      <c r="F27" s="4">
        <v>333</v>
      </c>
    </row>
    <row r="28" spans="1:8" x14ac:dyDescent="0.25">
      <c r="A28" t="s">
        <v>26</v>
      </c>
      <c r="B28" s="5">
        <v>119</v>
      </c>
      <c r="C28" s="5">
        <v>106</v>
      </c>
      <c r="D28" s="5">
        <v>94</v>
      </c>
      <c r="E28" s="5">
        <f>E58*E15</f>
        <v>113.86292585170298</v>
      </c>
      <c r="F28" s="5">
        <f>F58*F15</f>
        <v>161.39139095034182</v>
      </c>
    </row>
    <row r="29" spans="1:8" x14ac:dyDescent="0.25">
      <c r="A29" t="s">
        <v>1</v>
      </c>
      <c r="B29" s="4">
        <f>SUM(B26:B28)</f>
        <v>5474</v>
      </c>
      <c r="C29" s="4">
        <f t="shared" ref="C29:D29" si="20">SUM(C26:C28)</f>
        <v>6638</v>
      </c>
      <c r="D29" s="4">
        <f t="shared" si="20"/>
        <v>7778</v>
      </c>
      <c r="E29" s="4">
        <f t="shared" ref="E29:F29" si="21">SUM(E26:E28)</f>
        <v>9292.0629258517019</v>
      </c>
      <c r="F29" s="4">
        <f t="shared" si="21"/>
        <v>11252.631390950341</v>
      </c>
    </row>
    <row r="30" spans="1:8" x14ac:dyDescent="0.25">
      <c r="B30" s="4"/>
      <c r="C30" s="4"/>
      <c r="D30" s="4"/>
      <c r="E30" s="4"/>
      <c r="F30" s="4"/>
    </row>
    <row r="31" spans="1:8" x14ac:dyDescent="0.25">
      <c r="A31" t="s">
        <v>27</v>
      </c>
      <c r="B31" s="4">
        <f>B24-B29</f>
        <v>1326</v>
      </c>
      <c r="C31" s="4">
        <f>C24-C29</f>
        <v>1819</v>
      </c>
      <c r="D31" s="4">
        <f>D24-D29</f>
        <v>2115</v>
      </c>
      <c r="E31" s="4">
        <f t="shared" ref="E31:F31" si="22">E24-E29</f>
        <v>2579.5370741482966</v>
      </c>
      <c r="F31" s="4">
        <f t="shared" si="22"/>
        <v>2993.2886090496577</v>
      </c>
    </row>
    <row r="32" spans="1:8" x14ac:dyDescent="0.25">
      <c r="A32" t="s">
        <v>28</v>
      </c>
      <c r="B32" s="5">
        <v>546</v>
      </c>
      <c r="C32" s="5">
        <v>822</v>
      </c>
      <c r="D32" s="5">
        <v>925</v>
      </c>
      <c r="E32" s="5">
        <f>E31*E9</f>
        <v>1128.1663326653306</v>
      </c>
      <c r="F32" s="5">
        <f>F31*F9</f>
        <v>1309.1214956836566</v>
      </c>
    </row>
    <row r="33" spans="1:6" ht="15.75" thickBot="1" x14ac:dyDescent="0.3">
      <c r="A33" t="s">
        <v>3</v>
      </c>
      <c r="B33" s="6">
        <f>B31-B32</f>
        <v>780</v>
      </c>
      <c r="C33" s="6">
        <f t="shared" ref="C33:D33" si="23">C31-C32</f>
        <v>997</v>
      </c>
      <c r="D33" s="6">
        <f t="shared" si="23"/>
        <v>1190</v>
      </c>
      <c r="E33" s="6">
        <f t="shared" ref="E33:F33" si="24">E31-E32</f>
        <v>1451.370741482966</v>
      </c>
      <c r="F33" s="6">
        <f t="shared" si="24"/>
        <v>1684.1671133660011</v>
      </c>
    </row>
    <row r="34" spans="1:6" ht="15.75" thickTop="1" x14ac:dyDescent="0.25">
      <c r="B34" s="7"/>
      <c r="C34" s="7"/>
      <c r="D34" s="7"/>
      <c r="E34" s="7"/>
      <c r="F34" s="7"/>
    </row>
    <row r="35" spans="1:6" x14ac:dyDescent="0.25">
      <c r="A35" t="s">
        <v>29</v>
      </c>
      <c r="B35" s="4">
        <v>155</v>
      </c>
      <c r="C35" s="4">
        <v>200</v>
      </c>
      <c r="D35" s="4">
        <v>240</v>
      </c>
      <c r="E35" s="4">
        <v>240</v>
      </c>
      <c r="F35" s="4">
        <v>240</v>
      </c>
    </row>
    <row r="36" spans="1:6" x14ac:dyDescent="0.25">
      <c r="B36" s="7"/>
      <c r="C36" s="7"/>
      <c r="D36" s="7"/>
    </row>
    <row r="37" spans="1:6" ht="18.75" x14ac:dyDescent="0.3">
      <c r="A37" s="2" t="s">
        <v>23</v>
      </c>
      <c r="B37" s="9"/>
      <c r="C37" s="9"/>
      <c r="D37" s="12"/>
    </row>
    <row r="38" spans="1:6" ht="18.75" x14ac:dyDescent="0.3">
      <c r="A38" s="2" t="s">
        <v>6</v>
      </c>
      <c r="B38" s="8"/>
    </row>
    <row r="39" spans="1:6" ht="18.75" x14ac:dyDescent="0.3">
      <c r="A39" s="2" t="s">
        <v>41</v>
      </c>
      <c r="B39" s="8"/>
    </row>
    <row r="40" spans="1:6" x14ac:dyDescent="0.25">
      <c r="B40" s="3">
        <v>1993</v>
      </c>
      <c r="C40" s="3">
        <v>1994</v>
      </c>
      <c r="D40" s="3">
        <v>1995</v>
      </c>
      <c r="E40" s="3">
        <v>1996</v>
      </c>
      <c r="F40" s="3">
        <v>1997</v>
      </c>
    </row>
    <row r="41" spans="1:6" x14ac:dyDescent="0.25">
      <c r="A41" s="1" t="s">
        <v>9</v>
      </c>
      <c r="B41" s="8"/>
    </row>
    <row r="42" spans="1:6" x14ac:dyDescent="0.25">
      <c r="A42" t="s">
        <v>7</v>
      </c>
      <c r="B42" s="4">
        <v>508</v>
      </c>
      <c r="C42" s="4">
        <v>609</v>
      </c>
      <c r="D42" s="4">
        <v>706</v>
      </c>
      <c r="E42" s="4">
        <f>E10*E22</f>
        <v>847.19999999999993</v>
      </c>
      <c r="F42" s="4">
        <f>F10*F22</f>
        <v>1016.6399999999999</v>
      </c>
    </row>
    <row r="43" spans="1:6" x14ac:dyDescent="0.25">
      <c r="A43" t="s">
        <v>30</v>
      </c>
      <c r="B43" s="4">
        <v>2545</v>
      </c>
      <c r="C43" s="4">
        <v>3095</v>
      </c>
      <c r="D43" s="4">
        <v>3652</v>
      </c>
      <c r="E43" s="4">
        <f>E17*(E22/365)</f>
        <v>4382.3999999999996</v>
      </c>
      <c r="F43" s="4">
        <f>F17*(F22/365)</f>
        <v>5258.8799999999992</v>
      </c>
    </row>
    <row r="44" spans="1:6" x14ac:dyDescent="0.25">
      <c r="A44" t="s">
        <v>8</v>
      </c>
      <c r="B44" s="5">
        <v>1630</v>
      </c>
      <c r="C44" s="5">
        <v>1838</v>
      </c>
      <c r="D44" s="5">
        <v>2190</v>
      </c>
      <c r="E44" s="5">
        <v>1625</v>
      </c>
      <c r="F44" s="5">
        <f>D12*F22</f>
        <v>3153.6</v>
      </c>
    </row>
    <row r="45" spans="1:6" x14ac:dyDescent="0.25">
      <c r="A45" t="s">
        <v>10</v>
      </c>
      <c r="B45" s="4">
        <f>SUM(B42:B44)</f>
        <v>4683</v>
      </c>
      <c r="C45" s="4">
        <f>SUM(C42:C44)</f>
        <v>5542</v>
      </c>
      <c r="D45" s="4">
        <f>SUM(D42:D44)</f>
        <v>6548</v>
      </c>
      <c r="E45" s="4">
        <f t="shared" ref="E45:F45" si="25">SUM(E42:E44)</f>
        <v>6854.5999999999995</v>
      </c>
      <c r="F45" s="4">
        <f t="shared" si="25"/>
        <v>9429.119999999999</v>
      </c>
    </row>
    <row r="46" spans="1:6" x14ac:dyDescent="0.25">
      <c r="B46" s="4"/>
      <c r="C46" s="4"/>
      <c r="D46" s="4"/>
      <c r="E46" s="4"/>
      <c r="F46" s="4"/>
    </row>
    <row r="47" spans="1:6" x14ac:dyDescent="0.25">
      <c r="A47" t="s">
        <v>31</v>
      </c>
      <c r="B47" s="4">
        <v>3232</v>
      </c>
      <c r="C47" s="4">
        <v>3795</v>
      </c>
      <c r="D47" s="4">
        <v>4163</v>
      </c>
      <c r="E47" s="4">
        <f>D47+2000</f>
        <v>6163</v>
      </c>
      <c r="F47" s="4">
        <f>E47+400</f>
        <v>6563</v>
      </c>
    </row>
    <row r="48" spans="1:6" x14ac:dyDescent="0.25">
      <c r="A48" t="s">
        <v>11</v>
      </c>
      <c r="B48" s="5">
        <v>-1335</v>
      </c>
      <c r="C48" s="5">
        <v>-1515</v>
      </c>
      <c r="D48" s="5">
        <v>-1728</v>
      </c>
      <c r="E48" s="5">
        <f>D48-E27</f>
        <v>-1941</v>
      </c>
      <c r="F48" s="5">
        <f>E48-F27</f>
        <v>-2274</v>
      </c>
    </row>
    <row r="49" spans="1:12" x14ac:dyDescent="0.25">
      <c r="A49" t="s">
        <v>43</v>
      </c>
      <c r="B49" s="4">
        <f>B47+B48</f>
        <v>1897</v>
      </c>
      <c r="C49" s="4">
        <f>C47+C48</f>
        <v>2280</v>
      </c>
      <c r="D49" s="4">
        <f>D47+D48</f>
        <v>2435</v>
      </c>
      <c r="E49" s="4">
        <f>E47+E48</f>
        <v>4222</v>
      </c>
      <c r="F49" s="4">
        <f>F47+F48</f>
        <v>4289</v>
      </c>
    </row>
    <row r="50" spans="1:12" x14ac:dyDescent="0.25">
      <c r="B50" s="4"/>
      <c r="C50" s="4"/>
      <c r="D50" s="4"/>
      <c r="E50" s="4"/>
      <c r="F50" s="4"/>
    </row>
    <row r="51" spans="1:12" ht="15.75" thickBot="1" x14ac:dyDescent="0.3">
      <c r="A51" t="s">
        <v>12</v>
      </c>
      <c r="B51" s="6">
        <f>B45+B49</f>
        <v>6580</v>
      </c>
      <c r="C51" s="6">
        <f t="shared" ref="C51:D51" si="26">C45+C49</f>
        <v>7822</v>
      </c>
      <c r="D51" s="6">
        <f t="shared" si="26"/>
        <v>8983</v>
      </c>
      <c r="E51" s="6">
        <f t="shared" ref="E51:F51" si="27">E45+E49</f>
        <v>11076.599999999999</v>
      </c>
      <c r="F51" s="6">
        <f t="shared" si="27"/>
        <v>13718.119999999999</v>
      </c>
    </row>
    <row r="52" spans="1:12" ht="15.75" thickTop="1" x14ac:dyDescent="0.25">
      <c r="B52" s="4"/>
      <c r="C52" s="4"/>
      <c r="D52" s="4"/>
      <c r="E52" s="4"/>
      <c r="F52" s="4"/>
    </row>
    <row r="53" spans="1:12" ht="15.75" x14ac:dyDescent="0.25">
      <c r="A53" s="1" t="s">
        <v>13</v>
      </c>
      <c r="B53" s="4"/>
      <c r="C53" s="4"/>
      <c r="D53" s="4"/>
      <c r="E53" s="4"/>
      <c r="F53" s="4"/>
      <c r="H53" s="30" t="s">
        <v>63</v>
      </c>
      <c r="I53" s="30" t="s">
        <v>64</v>
      </c>
      <c r="J53" s="30" t="s">
        <v>65</v>
      </c>
      <c r="K53" s="30" t="s">
        <v>66</v>
      </c>
      <c r="L53" s="30" t="s">
        <v>67</v>
      </c>
    </row>
    <row r="54" spans="1:12" ht="15.75" x14ac:dyDescent="0.25">
      <c r="A54" t="s">
        <v>14</v>
      </c>
      <c r="B54" s="4">
        <v>1042</v>
      </c>
      <c r="C54" s="4">
        <v>1325</v>
      </c>
      <c r="D54" s="4">
        <v>1440</v>
      </c>
      <c r="E54" s="4">
        <f>E19*(E23/365)</f>
        <v>1728.0000000000005</v>
      </c>
      <c r="F54" s="4">
        <f>F19*(F23/365)</f>
        <v>2073.6000000000004</v>
      </c>
      <c r="H54" s="22"/>
      <c r="I54" s="22"/>
      <c r="J54" s="22"/>
      <c r="K54" s="22"/>
      <c r="L54" s="22"/>
    </row>
    <row r="55" spans="1:12" ht="15.75" x14ac:dyDescent="0.25">
      <c r="A55" t="s">
        <v>15</v>
      </c>
      <c r="B55" s="5">
        <v>1145</v>
      </c>
      <c r="C55" s="5">
        <v>1432</v>
      </c>
      <c r="D55" s="5">
        <v>1653</v>
      </c>
      <c r="E55" s="5">
        <f>E14*E22</f>
        <v>1983.6</v>
      </c>
      <c r="F55" s="5">
        <f>F14*F22</f>
        <v>2380.3199999999997</v>
      </c>
      <c r="H55" s="22"/>
      <c r="I55" s="22"/>
      <c r="J55" s="22"/>
      <c r="K55" s="22"/>
      <c r="L55" s="22"/>
    </row>
    <row r="56" spans="1:12" ht="15.75" x14ac:dyDescent="0.25">
      <c r="A56" t="s">
        <v>18</v>
      </c>
      <c r="B56" s="4">
        <f>SUM(B54:B55)</f>
        <v>2187</v>
      </c>
      <c r="C56" s="4">
        <f t="shared" ref="C56:F56" si="28">SUM(C54:C55)</f>
        <v>2757</v>
      </c>
      <c r="D56" s="4">
        <f t="shared" si="28"/>
        <v>3093</v>
      </c>
      <c r="E56" s="4">
        <f t="shared" si="28"/>
        <v>3711.6000000000004</v>
      </c>
      <c r="F56" s="4">
        <f t="shared" si="28"/>
        <v>4453.92</v>
      </c>
      <c r="H56" s="22"/>
      <c r="I56" s="22"/>
      <c r="J56" s="22"/>
      <c r="K56" s="22"/>
      <c r="L56" s="22"/>
    </row>
    <row r="57" spans="1:12" ht="15.75" x14ac:dyDescent="0.25">
      <c r="B57" s="4"/>
      <c r="C57" s="4"/>
      <c r="D57" s="4"/>
      <c r="E57" s="4"/>
      <c r="F57" s="4"/>
      <c r="H57" s="22"/>
      <c r="I57" s="22"/>
      <c r="J57" s="22"/>
      <c r="K57" s="22"/>
      <c r="L57" s="22"/>
    </row>
    <row r="58" spans="1:12" ht="15.75" x14ac:dyDescent="0.25">
      <c r="A58" t="s">
        <v>16</v>
      </c>
      <c r="B58" s="5">
        <v>1125</v>
      </c>
      <c r="C58" s="5">
        <v>1000</v>
      </c>
      <c r="D58" s="11">
        <v>875</v>
      </c>
      <c r="E58" s="11">
        <v>1138.6292585170297</v>
      </c>
      <c r="F58" s="11">
        <v>1613.9139095034179</v>
      </c>
      <c r="H58" s="27">
        <f>AVERAGE(B58:F58)</f>
        <v>1150.5086336040895</v>
      </c>
      <c r="I58" s="31">
        <f>H58/H64</f>
        <v>0.17975455488313732</v>
      </c>
      <c r="J58" s="31">
        <f>B72</f>
        <v>0.1</v>
      </c>
      <c r="K58" s="32">
        <f>J58*(1-B73)</f>
        <v>5.6299999999999996E-2</v>
      </c>
      <c r="L58" s="31">
        <f>I58*K58</f>
        <v>1.012018143992063E-2</v>
      </c>
    </row>
    <row r="59" spans="1:12" ht="15.75" x14ac:dyDescent="0.25">
      <c r="A59" t="s">
        <v>17</v>
      </c>
      <c r="B59" s="4">
        <f>B56+B58</f>
        <v>3312</v>
      </c>
      <c r="C59" s="4">
        <f t="shared" ref="C59:D59" si="29">C56+C58</f>
        <v>3757</v>
      </c>
      <c r="D59" s="10">
        <f t="shared" si="29"/>
        <v>3968</v>
      </c>
      <c r="E59" s="10">
        <f t="shared" ref="E59:F59" si="30">E56+E58</f>
        <v>4850.2292585170298</v>
      </c>
      <c r="F59" s="10">
        <f t="shared" si="30"/>
        <v>6067.833909503418</v>
      </c>
      <c r="H59" s="22"/>
      <c r="I59" s="22"/>
      <c r="J59" s="33"/>
      <c r="K59" s="34"/>
      <c r="L59" s="34"/>
    </row>
    <row r="60" spans="1:12" ht="15.75" x14ac:dyDescent="0.25">
      <c r="B60" s="4"/>
      <c r="C60" s="4"/>
      <c r="D60" s="10"/>
      <c r="E60" s="10"/>
      <c r="F60" s="10"/>
      <c r="H60" s="22"/>
      <c r="I60" s="22"/>
      <c r="J60" s="22"/>
      <c r="K60" s="22"/>
      <c r="L60" s="34"/>
    </row>
    <row r="61" spans="1:12" ht="15.75" x14ac:dyDescent="0.25">
      <c r="A61" t="s">
        <v>19</v>
      </c>
      <c r="B61" s="4">
        <v>1135</v>
      </c>
      <c r="C61" s="4">
        <v>1135</v>
      </c>
      <c r="D61" s="10">
        <v>1135</v>
      </c>
      <c r="E61" s="16">
        <v>1139.7590934493135</v>
      </c>
      <c r="F61" s="16">
        <v>1135</v>
      </c>
      <c r="H61" s="22"/>
      <c r="I61" s="22"/>
      <c r="J61" s="22"/>
      <c r="K61" s="22"/>
      <c r="L61" s="34"/>
    </row>
    <row r="62" spans="1:12" ht="15.75" x14ac:dyDescent="0.25">
      <c r="A62" t="s">
        <v>20</v>
      </c>
      <c r="B62" s="5">
        <v>2133</v>
      </c>
      <c r="C62" s="5">
        <v>2930</v>
      </c>
      <c r="D62" s="5">
        <v>3880</v>
      </c>
      <c r="E62" s="5">
        <f>D62+E33-E35</f>
        <v>5091.370741482966</v>
      </c>
      <c r="F62" s="5">
        <f>E62+F33-F35</f>
        <v>6535.5378548489671</v>
      </c>
      <c r="H62" s="22"/>
      <c r="I62" s="22"/>
      <c r="J62" s="22"/>
      <c r="K62" s="22"/>
      <c r="L62" s="34"/>
    </row>
    <row r="63" spans="1:12" ht="15.75" x14ac:dyDescent="0.25">
      <c r="A63" t="s">
        <v>21</v>
      </c>
      <c r="B63" s="4">
        <f>SUM(B61:B62)</f>
        <v>3268</v>
      </c>
      <c r="C63" s="4">
        <f t="shared" ref="C63:D63" si="31">SUM(C61:C62)</f>
        <v>4065</v>
      </c>
      <c r="D63" s="4">
        <f t="shared" si="31"/>
        <v>5015</v>
      </c>
      <c r="E63" s="4">
        <f t="shared" ref="E63:F63" si="32">SUM(E61:E62)</f>
        <v>6231.1298349322797</v>
      </c>
      <c r="F63" s="4">
        <f t="shared" si="32"/>
        <v>7670.5378548489671</v>
      </c>
      <c r="H63" s="35">
        <f>AVERAGE(B63:F63)</f>
        <v>5249.933537956249</v>
      </c>
      <c r="I63" s="36">
        <f>H63/H64</f>
        <v>0.8202454451168627</v>
      </c>
      <c r="J63" s="37">
        <f>B82</f>
        <v>0.15000000000000002</v>
      </c>
      <c r="K63" s="37">
        <f>J63</f>
        <v>0.15000000000000002</v>
      </c>
      <c r="L63" s="38">
        <f>I63*K63</f>
        <v>0.12303681676752942</v>
      </c>
    </row>
    <row r="64" spans="1:12" ht="15.75" x14ac:dyDescent="0.25">
      <c r="B64" s="4"/>
      <c r="C64" s="4"/>
      <c r="D64" s="4"/>
      <c r="E64" s="4"/>
      <c r="F64" s="4"/>
      <c r="H64" s="27">
        <f>SUM(H58:H63)</f>
        <v>6400.4421715603385</v>
      </c>
      <c r="I64" s="39">
        <f>SUM(I58:I63)</f>
        <v>1</v>
      </c>
      <c r="J64" s="40"/>
      <c r="K64" s="40"/>
      <c r="L64" s="39">
        <f>L63+L58</f>
        <v>0.13315699820745006</v>
      </c>
    </row>
    <row r="65" spans="1:6" ht="15.75" thickBot="1" x14ac:dyDescent="0.3">
      <c r="A65" t="s">
        <v>22</v>
      </c>
      <c r="B65" s="6">
        <f>B59+B63</f>
        <v>6580</v>
      </c>
      <c r="C65" s="6">
        <f t="shared" ref="C65:D65" si="33">C59+C63</f>
        <v>7822</v>
      </c>
      <c r="D65" s="6">
        <f t="shared" si="33"/>
        <v>8983</v>
      </c>
      <c r="E65" s="6">
        <f t="shared" ref="E65:F65" si="34">E59+E63</f>
        <v>11081.35909344931</v>
      </c>
      <c r="F65" s="6">
        <f t="shared" si="34"/>
        <v>13738.371764352385</v>
      </c>
    </row>
    <row r="66" spans="1:6" ht="15.75" thickTop="1" x14ac:dyDescent="0.25">
      <c r="B66" s="4"/>
      <c r="C66" s="4"/>
      <c r="D66" s="4"/>
    </row>
    <row r="67" spans="1:6" x14ac:dyDescent="0.25">
      <c r="A67" t="s">
        <v>44</v>
      </c>
      <c r="B67" s="4"/>
      <c r="C67" s="4"/>
      <c r="D67" s="4"/>
      <c r="E67" s="17">
        <f>E51-E65</f>
        <v>-4.7590934493109671</v>
      </c>
      <c r="F67" s="17">
        <f>F51-F65</f>
        <v>-20.25176435238609</v>
      </c>
    </row>
    <row r="69" spans="1:6" ht="15.75" x14ac:dyDescent="0.25">
      <c r="A69" s="21" t="s">
        <v>50</v>
      </c>
      <c r="B69" s="22"/>
    </row>
    <row r="70" spans="1:6" ht="15.75" x14ac:dyDescent="0.25">
      <c r="A70" s="21" t="s">
        <v>51</v>
      </c>
      <c r="B70" s="22"/>
    </row>
    <row r="71" spans="1:6" ht="15.75" x14ac:dyDescent="0.25">
      <c r="A71" s="22" t="s">
        <v>52</v>
      </c>
      <c r="B71" s="22" t="s">
        <v>68</v>
      </c>
    </row>
    <row r="72" spans="1:6" ht="15.75" x14ac:dyDescent="0.25">
      <c r="A72" s="22" t="s">
        <v>53</v>
      </c>
      <c r="B72" s="23">
        <v>0.1</v>
      </c>
    </row>
    <row r="73" spans="1:6" ht="15.75" x14ac:dyDescent="0.25">
      <c r="A73" s="22" t="s">
        <v>54</v>
      </c>
      <c r="B73" s="24">
        <v>0.437</v>
      </c>
    </row>
    <row r="74" spans="1:6" ht="15.75" x14ac:dyDescent="0.25">
      <c r="A74" s="22" t="s">
        <v>55</v>
      </c>
      <c r="B74" s="24">
        <v>1.7999999999999999E-2</v>
      </c>
    </row>
    <row r="75" spans="1:6" ht="15.75" x14ac:dyDescent="0.25">
      <c r="A75" s="22" t="s">
        <v>56</v>
      </c>
      <c r="B75" s="24">
        <v>0.13800000000000001</v>
      </c>
    </row>
    <row r="76" spans="1:6" ht="15.75" x14ac:dyDescent="0.25">
      <c r="A76" s="22"/>
      <c r="B76" s="25"/>
    </row>
    <row r="77" spans="1:6" ht="15.75" x14ac:dyDescent="0.25">
      <c r="A77" s="21" t="s">
        <v>57</v>
      </c>
      <c r="B77" s="25"/>
    </row>
    <row r="78" spans="1:6" ht="15.75" x14ac:dyDescent="0.25">
      <c r="A78" s="22" t="s">
        <v>58</v>
      </c>
      <c r="B78" s="26">
        <f>H58</f>
        <v>1150.5086336040895</v>
      </c>
    </row>
    <row r="79" spans="1:6" ht="15.75" x14ac:dyDescent="0.25">
      <c r="A79" s="22" t="s">
        <v>59</v>
      </c>
      <c r="B79" s="27">
        <f>H63</f>
        <v>5249.933537956249</v>
      </c>
    </row>
    <row r="80" spans="1:6" ht="15.75" x14ac:dyDescent="0.25">
      <c r="A80" s="22" t="s">
        <v>60</v>
      </c>
      <c r="B80" s="28">
        <v>1.1000000000000001</v>
      </c>
    </row>
    <row r="81" spans="1:7" ht="15.75" x14ac:dyDescent="0.25">
      <c r="A81" s="22" t="s">
        <v>61</v>
      </c>
      <c r="B81" s="29">
        <f>B75-B74</f>
        <v>0.12000000000000001</v>
      </c>
    </row>
    <row r="82" spans="1:7" ht="15.75" x14ac:dyDescent="0.25">
      <c r="A82" s="22" t="s">
        <v>62</v>
      </c>
      <c r="B82" s="29">
        <f>B74+(B80*B81)</f>
        <v>0.15000000000000002</v>
      </c>
    </row>
    <row r="86" spans="1:7" x14ac:dyDescent="0.25">
      <c r="B86" t="s">
        <v>69</v>
      </c>
      <c r="C86" t="s">
        <v>70</v>
      </c>
      <c r="D86" t="s">
        <v>71</v>
      </c>
      <c r="E86" t="s">
        <v>72</v>
      </c>
      <c r="F86" t="s">
        <v>73</v>
      </c>
      <c r="G86" t="s">
        <v>74</v>
      </c>
    </row>
    <row r="87" spans="1:7" x14ac:dyDescent="0.25">
      <c r="B87" s="4">
        <v>-2400</v>
      </c>
      <c r="C87" s="4"/>
      <c r="D87" s="4"/>
      <c r="E87" s="4"/>
      <c r="F87" s="4"/>
      <c r="G87" s="4">
        <v>3150</v>
      </c>
    </row>
    <row r="88" spans="1:7" x14ac:dyDescent="0.25">
      <c r="B88" s="4"/>
      <c r="C88" s="4">
        <v>200</v>
      </c>
      <c r="D88" s="4">
        <v>250</v>
      </c>
      <c r="E88" s="4">
        <v>300</v>
      </c>
      <c r="F88" s="4">
        <v>325</v>
      </c>
      <c r="G88" s="4">
        <v>350</v>
      </c>
    </row>
    <row r="90" spans="1:7" x14ac:dyDescent="0.25">
      <c r="A90" t="s">
        <v>75</v>
      </c>
      <c r="B90" s="17">
        <f>SUM(B87:B88)</f>
        <v>-2400</v>
      </c>
      <c r="C90" s="17">
        <f t="shared" ref="C90:G90" si="35">SUM(C87:C88)</f>
        <v>200</v>
      </c>
      <c r="D90" s="17">
        <f t="shared" si="35"/>
        <v>250</v>
      </c>
      <c r="E90" s="17">
        <f t="shared" si="35"/>
        <v>300</v>
      </c>
      <c r="F90" s="17">
        <f t="shared" si="35"/>
        <v>325</v>
      </c>
      <c r="G90" s="17">
        <f t="shared" si="35"/>
        <v>3500</v>
      </c>
    </row>
    <row r="91" spans="1:7" x14ac:dyDescent="0.25">
      <c r="A91" t="s">
        <v>76</v>
      </c>
      <c r="B91" s="19">
        <f>IRR(B90:G90)</f>
        <v>0.15957751657432206</v>
      </c>
    </row>
    <row r="92" spans="1:7" x14ac:dyDescent="0.25">
      <c r="A92" t="s">
        <v>77</v>
      </c>
      <c r="B92" s="8">
        <f>NPV(L64,C90:G90)+B87</f>
        <v>247.83831015857868</v>
      </c>
    </row>
  </sheetData>
  <phoneticPr fontId="8" type="noConversion"/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Tire City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Bailey Savage</cp:lastModifiedBy>
  <cp:lastPrinted>2019-06-13T18:21:52Z</cp:lastPrinted>
  <dcterms:created xsi:type="dcterms:W3CDTF">2019-02-20T15:47:38Z</dcterms:created>
  <dcterms:modified xsi:type="dcterms:W3CDTF">2022-05-02T18:27:18Z</dcterms:modified>
</cp:coreProperties>
</file>