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4"/>
  <workbookPr defaultThemeVersion="166925"/>
  <mc:AlternateContent xmlns:mc="http://schemas.openxmlformats.org/markup-compatibility/2006">
    <mc:Choice Requires="x15">
      <x15ac:absPath xmlns:x15ac="http://schemas.microsoft.com/office/spreadsheetml/2010/11/ac" url="/Users/Savannah/Library/CloudStorage/Box-Box/Coastal_Processes_Lab/BRPTs_InnovationScholars/"/>
    </mc:Choice>
  </mc:AlternateContent>
  <xr:revisionPtr revIDLastSave="51" documentId="13_ncr:1_{54BA4E64-F977-874A-B197-387B4AB2C6F8}" xr6:coauthVersionLast="47" xr6:coauthVersionMax="47" xr10:uidLastSave="{988F68EA-0791-4171-AF83-EC00EE1C0E05}"/>
  <bookViews>
    <workbookView xWindow="2020" yWindow="620" windowWidth="27640" windowHeight="16940" xr2:uid="{B2DBC6BD-71F9-1C4A-A4ED-FF30B1D1A384}"/>
  </bookViews>
  <sheets>
    <sheet name="SRD_BRPT_v3.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L6" i="1" s="1"/>
  <c r="J7" i="1"/>
  <c r="K7" i="1" s="1"/>
  <c r="L7" i="1" s="1"/>
  <c r="K8" i="1"/>
  <c r="L8" i="1" s="1"/>
  <c r="J9" i="1"/>
  <c r="K9" i="1" s="1"/>
  <c r="L9" i="1" s="1"/>
  <c r="K10" i="1"/>
  <c r="L10" i="1" s="1"/>
  <c r="J11" i="1"/>
  <c r="K11" i="1" s="1"/>
  <c r="L11" i="1" s="1"/>
  <c r="J12" i="1"/>
  <c r="K12" i="1" s="1"/>
  <c r="L12" i="1" s="1"/>
  <c r="J13" i="1"/>
  <c r="K13" i="1" s="1"/>
  <c r="L13" i="1" s="1"/>
  <c r="K14" i="1"/>
  <c r="L14" i="1" s="1"/>
  <c r="K15" i="1"/>
  <c r="L15" i="1" s="1"/>
  <c r="J16" i="1"/>
  <c r="K16" i="1" s="1"/>
  <c r="L16" i="1" s="1"/>
  <c r="J17" i="1"/>
  <c r="K17" i="1" s="1"/>
  <c r="L17" i="1" s="1"/>
  <c r="J18" i="1"/>
  <c r="K18" i="1" s="1"/>
  <c r="L18" i="1" s="1"/>
  <c r="J19" i="1"/>
  <c r="K19" i="1" s="1"/>
  <c r="L19" i="1" s="1"/>
  <c r="J20" i="1"/>
  <c r="K20" i="1" s="1"/>
  <c r="L20" i="1" s="1"/>
  <c r="J21" i="1"/>
  <c r="K21" i="1" s="1"/>
  <c r="L21" i="1" s="1"/>
  <c r="J22" i="1"/>
  <c r="K22" i="1" s="1"/>
  <c r="L22" i="1" s="1"/>
  <c r="J23" i="1"/>
  <c r="K23" i="1" s="1"/>
  <c r="L23" i="1" s="1"/>
  <c r="J24" i="1"/>
  <c r="K24" i="1" s="1"/>
  <c r="L24" i="1" s="1"/>
  <c r="J25" i="1"/>
  <c r="K25" i="1" s="1"/>
  <c r="L25" i="1" s="1"/>
  <c r="J26" i="1"/>
  <c r="K26" i="1" s="1"/>
  <c r="L26" i="1" s="1"/>
  <c r="J27" i="1"/>
  <c r="K27" i="1" s="1"/>
  <c r="L27" i="1" s="1"/>
  <c r="J28" i="1"/>
  <c r="K28" i="1" s="1"/>
  <c r="L28" i="1" s="1"/>
  <c r="J29" i="1"/>
  <c r="K29" i="1" s="1"/>
  <c r="L29" i="1" s="1"/>
  <c r="J30" i="1"/>
  <c r="K30" i="1" s="1"/>
  <c r="L30" i="1" s="1"/>
  <c r="J31" i="1"/>
  <c r="K31" i="1" s="1"/>
  <c r="L31" i="1" s="1"/>
  <c r="J32" i="1"/>
  <c r="K32" i="1" s="1"/>
  <c r="L32" i="1" s="1"/>
  <c r="K34" i="1"/>
  <c r="L34" i="1"/>
  <c r="J35" i="1"/>
  <c r="K35" i="1" s="1"/>
  <c r="L35" i="1" s="1"/>
  <c r="J36" i="1"/>
  <c r="K36" i="1"/>
  <c r="L36" i="1" s="1"/>
  <c r="K37" i="1"/>
  <c r="L37" i="1"/>
  <c r="J38" i="1"/>
  <c r="K38" i="1" s="1"/>
  <c r="L38" i="1" s="1"/>
  <c r="J39" i="1"/>
  <c r="K39" i="1"/>
  <c r="L39" i="1" s="1"/>
  <c r="K40" i="1"/>
  <c r="L40" i="1"/>
  <c r="K41" i="1"/>
  <c r="L41" i="1" s="1"/>
  <c r="K42" i="1"/>
  <c r="L42" i="1"/>
  <c r="L43" i="1"/>
  <c r="J46" i="1"/>
  <c r="K46" i="1"/>
  <c r="J47" i="1"/>
  <c r="K47" i="1" s="1"/>
  <c r="L47" i="1" s="1"/>
  <c r="J48" i="1"/>
  <c r="K48" i="1"/>
  <c r="L48" i="1" s="1"/>
  <c r="J33" i="1" l="1"/>
  <c r="K33" i="1" s="1"/>
  <c r="L33" i="1" s="1"/>
  <c r="L49" i="1" s="1"/>
  <c r="L50" i="1" s="1"/>
</calcChain>
</file>

<file path=xl/sharedStrings.xml><?xml version="1.0" encoding="utf-8"?>
<sst xmlns="http://schemas.openxmlformats.org/spreadsheetml/2006/main" count="307" uniqueCount="213">
  <si>
    <t>DISCLAIMER: THIS SHEET CONTAINS A MIXTURE OF SUGGESTED AND REQUIRED MATERIALS TO CONSTRUCT THE BRPT INSTRUMENT. Prices and availability shown as of September 2022. Items should be purchased at your own discretion. Cells and prices are meant to change automatically depending on the number of NEW BRPTs you want to make (specified in J6) and spare circuitry/battery components you wish to make (specified in J2), but should be verified by the reader prior to making purchases.</t>
  </si>
  <si>
    <t>SPARES?</t>
  </si>
  <si>
    <t>num of spare circuitry components (e.g., sensors, PCBs, etc.)</t>
  </si>
  <si>
    <t>Rev 2.0</t>
  </si>
  <si>
    <t>Savannah DeVoe</t>
  </si>
  <si>
    <t>Item #</t>
  </si>
  <si>
    <t>Note and/or BRPT Version</t>
  </si>
  <si>
    <t>Part Name</t>
  </si>
  <si>
    <t>Part Description</t>
  </si>
  <si>
    <t>Company</t>
  </si>
  <si>
    <t>PartNnumber (SKU)</t>
  </si>
  <si>
    <t>Price</t>
  </si>
  <si>
    <t>Unit</t>
  </si>
  <si>
    <t>QTY Have</t>
  </si>
  <si>
    <t>QTY Need</t>
  </si>
  <si>
    <t>QTY To Purchase</t>
  </si>
  <si>
    <t>Subtotal</t>
  </si>
  <si>
    <t>Link</t>
  </si>
  <si>
    <t>INPUT QTY OF BRPTs YOU WANT TO MAKE IN THIS ROW, AND ALL OTHERS SHOULD POPULATE</t>
  </si>
  <si>
    <t>Acrylic Pipe</t>
  </si>
  <si>
    <t>3" series cast acrylic 300mm (11.8") length, 150 m depth rating, 75mm (3") dia.</t>
  </si>
  <si>
    <t>Blue Robotics</t>
  </si>
  <si>
    <t>WTE3-P-LOCKING-TUBE-300-R2-RP</t>
  </si>
  <si>
    <t>/EA</t>
  </si>
  <si>
    <t>https://bluerobotics.com/store/watertight-enclosures/locking-series/wte-locking-tube-r1-vp/</t>
  </si>
  <si>
    <t>v3.1 only</t>
  </si>
  <si>
    <t>O-Ring Flange</t>
  </si>
  <si>
    <t>75 mm (3") dia., comes with o-rings and screws</t>
  </si>
  <si>
    <t>WTE3-M-LOCKING-FLANGE-SEAL-R1-RP</t>
  </si>
  <si>
    <t>https://bluerobotics.com/store/watertight-enclosures/locking-series/wte-flange-vp/</t>
  </si>
  <si>
    <t>CHOOSE EITHER 3 OR 4. v3.1 and v3.2</t>
  </si>
  <si>
    <t>Blank Acrylic End Cap</t>
  </si>
  <si>
    <t>End Cap - Acrylic - Blank - 400 m 75 mm (3") dia.</t>
  </si>
  <si>
    <t> WTE3-P-END-CAP-R1-RP</t>
  </si>
  <si>
    <t>https://bluerobotics.com/store/watertight-enclosures/locking-series/wte-end-cap-vp/</t>
  </si>
  <si>
    <t>Blank Aluminum End Cap</t>
  </si>
  <si>
    <t>End Cap - Aluminum - Blank - 950 m 75 mm (3") dia.</t>
  </si>
  <si>
    <t>WTE3-M-END-CAP-R1-RP</t>
  </si>
  <si>
    <t>Not a totally necessary part (we machine item 2 or 3 to have 3 holes) but it's here for reference. V3.1 and v3.2</t>
  </si>
  <si>
    <t>4 Hole Aluminum End Cap</t>
  </si>
  <si>
    <t>End Cap - Aluminum - 4 Holes - 950 m 75 mm (3") dia.</t>
  </si>
  <si>
    <t>WTE3-M-END-CAP-4-HOLE-R1-RP</t>
  </si>
  <si>
    <t>NOTE: This part optional. We will use backflow prevention valves (see below) instead of the enclosure vent and plug for Foster Lab BRPTsv3.1 and v3.2</t>
  </si>
  <si>
    <t>Enclosure Vent and Plug</t>
  </si>
  <si>
    <t>M10 Enclosure Vent and Plug</t>
  </si>
  <si>
    <t>VENT-M10-R1-RP</t>
  </si>
  <si>
    <t>https://bluerobotics.com/store/cables-connectors/penetrators/vent-asm-r1/</t>
  </si>
  <si>
    <t>v3.1 and v3.2</t>
  </si>
  <si>
    <t>Pressure Sensor</t>
  </si>
  <si>
    <t>Bar02 Ultra High Resolution 10m Depth/Pressure Sensor</t>
  </si>
  <si>
    <t>BAR02-SENSOR-R2-RP</t>
  </si>
  <si>
    <t>https://bluerobotics.com/store/sensors-sonars-cameras/sensors/bar02-sensor-r1-rp/</t>
  </si>
  <si>
    <t>Temperature Sensor</t>
  </si>
  <si>
    <t>Celsius Fast-Response, ±0.1°C Temperature Sensor (I2C)</t>
  </si>
  <si>
    <t>CELSIUS-SENSOR-R2-RP</t>
  </si>
  <si>
    <t>https://bluerobotics.com/store/sensors-sonars-cameras/sensors/celsius-sensor-r1/</t>
  </si>
  <si>
    <t>Manual Vacuum Pump</t>
  </si>
  <si>
    <t>Mityvac Hand Operated Vacuum Pump</t>
  </si>
  <si>
    <t>VACUUM-PUMP-KIT-R4-RP</t>
  </si>
  <si>
    <t>https://bluerobotics.com/store/watertight-enclosures/enclosure-tools-supplies/vacuum-pump-kit-r2-rp/</t>
  </si>
  <si>
    <t>Vacuum Plug</t>
  </si>
  <si>
    <t>Adapter for vacuum pump</t>
  </si>
  <si>
    <t>VENT-M10-VACUUM-PLUG-R1-RP</t>
  </si>
  <si>
    <t>https://bluerobotics.com/store/watertight-enclosures/enclosure-tools-supplies/vacuum-plug/</t>
  </si>
  <si>
    <t>Spare Locking Cord and Handles</t>
  </si>
  <si>
    <t>WTE-LOCKING-CORD-SPARE-SET-R1-RP</t>
  </si>
  <si>
    <t>https://bluerobotics.com/store/watertight-enclosures/locking-series/wte-locking-cord/</t>
  </si>
  <si>
    <t>Spare O-Ring Set</t>
  </si>
  <si>
    <t>Spare O-ring Set 75 mm (3") dia.</t>
  </si>
  <si>
    <t>WTE3-O-RING-SET-R2-RP</t>
  </si>
  <si>
    <t>https://bluerobotics.com/store/watertight-enclosures/locking-series/spare-o-ring-set/</t>
  </si>
  <si>
    <t>Datalogger</t>
  </si>
  <si>
    <t>SSR-LC Single Channel Serial Data Logger</t>
  </si>
  <si>
    <t>SLERJ</t>
  </si>
  <si>
    <t>SSRLC</t>
  </si>
  <si>
    <t>https://www.slerj.com/ssr-lc.html</t>
  </si>
  <si>
    <t>microSD card</t>
  </si>
  <si>
    <t>SanDisk Industrial MLC MicroSD SDHC UHS-I Class 10 SDSDQAF3-008G-I with SanDisk Adapter (8GB)</t>
  </si>
  <si>
    <t>SanDisk; purchased  via Amazon</t>
  </si>
  <si>
    <t>https://www.amazon.com/SanDisk-Industrial-MicroSD-SDSDQAF3-008G-I-Adapter/dp/B07BZ5SY18?ref_=ast_sto_dp</t>
  </si>
  <si>
    <t>v3.1 and v3.2. NOTE: 3D-printed battery holders are designed for particular battery length.</t>
  </si>
  <si>
    <t>Batteries</t>
  </si>
  <si>
    <t>18650 2600mAH 3.7V battery</t>
  </si>
  <si>
    <t>Dantona Industries; purchased via DigiKey</t>
  </si>
  <si>
    <t>3145-LION-1865-26-ND</t>
  </si>
  <si>
    <t>https://www.digikey.com/en/products/detail/dantona-industries/LION-1865-26/13692661</t>
  </si>
  <si>
    <t>Voltage Regulator</t>
  </si>
  <si>
    <t>IC Reg linear 5V 1.5A TO220-3</t>
  </si>
  <si>
    <t>DigiKey</t>
  </si>
  <si>
    <t>Digi-Key Part Number: 296-39515-5-ND</t>
  </si>
  <si>
    <t>https://www.digikey.com/en/products/detail/texas-instruments/UA7805CKCT/3458146?s=N4IgTCBcDa4JwDYC0BmOBWAjOpOByAIiALoC%2BQA</t>
  </si>
  <si>
    <t>Battery Springs</t>
  </si>
  <si>
    <t>Battery contact spring</t>
  </si>
  <si>
    <t>36-209-ND</t>
  </si>
  <si>
    <t>https://www.digikey.com/en/products/detail/209/36-209-ND/151583?itemSeq=362037172</t>
  </si>
  <si>
    <t>On-Off Button</t>
  </si>
  <si>
    <t>Tactile Switch Buttons (12mm square, 6mm tall) x 10 pack</t>
  </si>
  <si>
    <t>Adafruit</t>
  </si>
  <si>
    <t>https://www.adafruit.com/product/1119</t>
  </si>
  <si>
    <t>Coin Cell Battery Board</t>
  </si>
  <si>
    <t>20mm Coin Cell Breakout Board (CR2032)</t>
  </si>
  <si>
    <t>https://www.adafruit.com/product/1870</t>
  </si>
  <si>
    <t>Teensy</t>
  </si>
  <si>
    <t>Teensy 4.0 Microcontroller</t>
  </si>
  <si>
    <t>Adafruit, purchased via DigiKey</t>
  </si>
  <si>
    <t>Digi-Key Part Number: 1568-DEV-15583-ND</t>
  </si>
  <si>
    <t>https://www.digikey.com/en/products/detail/sparkfun-electronics/DEV-15583/10384551</t>
  </si>
  <si>
    <t>Coin Cell Battery</t>
  </si>
  <si>
    <t>CR2032 3.0V LITHIUM - PACK OF 5</t>
  </si>
  <si>
    <t>PKCell; purchased via DigiKey</t>
  </si>
  <si>
    <t>2375-CR2032-5B-ND</t>
  </si>
  <si>
    <t>https://www.digikey.com/en/products/detail/pkcell/CR2032-5B/11629990</t>
  </si>
  <si>
    <t>Sensor Cable GH Connectors/Plugs</t>
  </si>
  <si>
    <t>CQRobot 100 Sets/600 Pieces JST GH 1.25mm Pitch 4 Pin JST Connector Kit. JST 1.25mm Pitch Terminals, JST GH 4 Pin Housing JST Adapter Cable Connector Socket Male and Female, Crimp DIP Pins kit.</t>
  </si>
  <si>
    <t>CQRobot, purchased via amazon</t>
  </si>
  <si>
    <t>JST-GH1.25 GH 4P</t>
  </si>
  <si>
    <t>https://www.amazon.com/CQRobot-Connector-Terminals-Housing-Adapter/dp/B0B3NB2PM8/ref=sr_1_4?crid=E43WMS6FEVDF&amp;keywords=jst%2Bgh%2B1.25mm&amp;qid=1663181420&amp;sprefix=jst%2Bgh%2B1.25mm%2Caps%2C98&amp;sr=8-4&amp;th=1</t>
  </si>
  <si>
    <t>Battery/Jumper Cable JST Connectors/Plugs</t>
  </si>
  <si>
    <t>720Pcs 2.54mm JST-XHP 2/3 / 4/5 Pin Housing and Male Female Pin Header Connector Adapter Plug Set</t>
  </si>
  <si>
    <t>FUNMANY; purchased via Amazon</t>
  </si>
  <si>
    <t>https://www.amazon.com/gp/product/B0752C431F/ref=ox_sc_act_title_1?smid=A6QA7SV6MW7GH&amp;psc=1</t>
  </si>
  <si>
    <t>Threaded Rod</t>
  </si>
  <si>
    <t>8-32 x 7" low-strength steel threaded rods, pk of 10</t>
  </si>
  <si>
    <t>McMaster-Carr</t>
  </si>
  <si>
    <t>91565A345</t>
  </si>
  <si>
    <t>https://www.mcmaster.com/91565A345/</t>
  </si>
  <si>
    <t>Wing Nut</t>
  </si>
  <si>
    <t>8-32x5/8x7/8 zinc alloy flanged wing nut, pk of 25</t>
  </si>
  <si>
    <t>92239A100</t>
  </si>
  <si>
    <t>https://www.mcmaster.com/92239A100/</t>
  </si>
  <si>
    <t>Standoff Screws</t>
  </si>
  <si>
    <t>4-40x1/2" long 3/16" aluminum male-female threaded hex standoff</t>
  </si>
  <si>
    <t>93505A103</t>
  </si>
  <si>
    <t>https://www.mcmaster.com/93505A103/</t>
  </si>
  <si>
    <t>Flat Head Screws</t>
  </si>
  <si>
    <t>4-40x1/2" long 18-8 Stainless Steel Slotted Flat Head Screw, pk of 100</t>
  </si>
  <si>
    <t>91781A110</t>
  </si>
  <si>
    <t>https://www.mcmaster.com/91781A110/</t>
  </si>
  <si>
    <t>Hex Nut</t>
  </si>
  <si>
    <t>4-40 18-8 Stainless Steel Narrow Hex Nut, pk of 100</t>
  </si>
  <si>
    <t>90730A005</t>
  </si>
  <si>
    <t>https://www.mcmaster.com/90730A005/</t>
  </si>
  <si>
    <t>not really necessary (they come with the end caps), but good to have; v3.1 and v3.2</t>
  </si>
  <si>
    <t>End Cap Screw Replacements</t>
  </si>
  <si>
    <t>M3x0.5-12 18-8 stainless steel socket head screw, pk of 100</t>
  </si>
  <si>
    <t>91292A114</t>
  </si>
  <si>
    <t>https://www.mcmaster.com/91292A114/</t>
  </si>
  <si>
    <t>End Cap Tap Screws</t>
  </si>
  <si>
    <t>4-40x3/4" long 18-8 stainless steel socket head screw, pk of 100</t>
  </si>
  <si>
    <t>92196A113</t>
  </si>
  <si>
    <t>https://www.mcmaster.com/92196A113/</t>
  </si>
  <si>
    <t>Threaded Inserts</t>
  </si>
  <si>
    <t>18-8 Stainless Steel Helical Insert, 4-40 Right-Hand Thread, 0.168" Long, pk of 10</t>
  </si>
  <si>
    <t>91732A285</t>
  </si>
  <si>
    <t>https://www.mcmaster.com/91732A285/</t>
  </si>
  <si>
    <t>Heat Shrink Tubing</t>
  </si>
  <si>
    <t>Ginsco 580 pcs 2:1 Heat Shrink Tubing Kit 6 Colors 11 Sizes Assorted Sleeving Tube Wrap Cable Wire Kit for DIY</t>
  </si>
  <si>
    <t>Ginsco, purchased via Amazon</t>
  </si>
  <si>
    <t>https://www.amazon.com/Ginsco-580-pcs-Assorted-Sleeving/dp/B01MFA3OFA/ref=sr_1_3?keywords=heat+shrink+tubing&amp;qid=1663166953&amp;sr=8-3</t>
  </si>
  <si>
    <t>Resistors</t>
  </si>
  <si>
    <t>EDGELEC 100pcs 10K ohm Resistor 1/4w (0.25 Watt) ±1% Tolerance Metal Film Fixed Resistor, Multiple Values of Resistance Optional</t>
  </si>
  <si>
    <t>EDGELEC, purchased via Amazon</t>
  </si>
  <si>
    <t>[E6P011] 10K ohm</t>
  </si>
  <si>
    <t>https://www.amazon.com/EDGELEC-Resistor-Tolerance-Resistance-Optional/dp/B07HDGX5LM/ref=sr_1_3?crid=31QWCFB9MIXFP&amp;keywords=10000+ohm+1%2F4w+resistor&amp;qid=1663168432&amp;sprefix=10000+ohm+1%2F4w+resistor%2Caps%2C68&amp;sr=8-3</t>
  </si>
  <si>
    <t>Note, exact cost per board is approximate and changes based on number ordered; v3.1 and v3.2</t>
  </si>
  <si>
    <t>PCB</t>
  </si>
  <si>
    <t>Printed Circuit Board, multiples of 3</t>
  </si>
  <si>
    <t>Print on Aisler.net; Fritzing file is BRPT_v1.fzz; or gerber file is in BRPT_gerber.zip</t>
  </si>
  <si>
    <t>/EA (mult of 5)</t>
  </si>
  <si>
    <t>https://www.jlcpcb.com</t>
  </si>
  <si>
    <t>Wire</t>
  </si>
  <si>
    <t>Striveday™Flexible Silicone Wire 22awg Electric Wire 22 Gauge Coper Hook Up Wire 300V Cables Electronic Stranded Wire Cable Electrics DIY Box-1</t>
  </si>
  <si>
    <t>Striveday, purchased via Amazon</t>
  </si>
  <si>
    <t>https://www.amazon.com/StrivedayTM-Flexible-Silicone-electronic-electrics/dp/B01LH1FR6M/ref=sr_1_3?keywords=striveday&amp;qid=1663182194&amp;sr=8-3&amp;th=1</t>
  </si>
  <si>
    <t>this cable to be modified, used to connect circuit to PC; v3.1 and v3.2</t>
  </si>
  <si>
    <t>USB Cable</t>
  </si>
  <si>
    <t>UGREEN USB to USB Cable, USB 3.0 Male to Male Type A to Type A Cable for Data Transfer Compatible with Hard Drive, Laptop, DVD Player, TV, USB 3.0 Hub, Monitor, Camera, Set Up Box and More 3FT</t>
  </si>
  <si>
    <t>UGREEN, purchased via Amazon</t>
  </si>
  <si>
    <t>https://www.amazon.com/dp/B00P0E39CM/ref=twister_B07CJ2Z4DZ?_encoding=UTF8&amp;psc=1</t>
  </si>
  <si>
    <t>Epoxy</t>
  </si>
  <si>
    <t>Structural Adhesive epoxy, Loctite 615</t>
  </si>
  <si>
    <t>McMaster Carr</t>
  </si>
  <si>
    <t>1813A246</t>
  </si>
  <si>
    <t>https://www.mcmaster.com/1813A246/</t>
  </si>
  <si>
    <t>Silicone sealant</t>
  </si>
  <si>
    <t>Molykote 55 o-ring grease</t>
  </si>
  <si>
    <t>1325K54</t>
  </si>
  <si>
    <t>https://www.mcmaster.com/1325K54/</t>
  </si>
  <si>
    <t>Battery charger</t>
  </si>
  <si>
    <t>8 Slots 18650 Battery Charger XTAR VC8 Charger USB C 3A Fast Charger 21700 Battery Charger with LCD Display for 3.6V 3.7V Li-ion 10440 18700 26650 1.2V Ni-MH AA AAA C Full Set with QC3.0 Wall Charger</t>
  </si>
  <si>
    <t>XTAR, purchased via Amazon</t>
  </si>
  <si>
    <t>VC8+QC3.0 Adapter</t>
  </si>
  <si>
    <t>-</t>
  </si>
  <si>
    <t>https://www.amazon.com/gp/product/B0836VHG67/ref=sw_img_1?smid=A3DHI68LB66BYX&amp;th=1</t>
  </si>
  <si>
    <t>v3.1 and v3.2. NOTE: These used for particular deployment case. Different/additional materials are likely required for your particular deployment strategy.</t>
  </si>
  <si>
    <t>Gasket sheet mcmaster</t>
  </si>
  <si>
    <t>1370N553</t>
  </si>
  <si>
    <t>Screw anchors from amazon</t>
  </si>
  <si>
    <r>
      <t>MTB 30 Inches Auger Earth Anchor 3 Inches W Helix, 12mm Rod, Painted red, Heavy Duty Ground Anchor Hook for Guying Tents Fencing Canopies, Pack of 6</t>
    </r>
    <r>
      <rPr>
        <sz val="12"/>
        <color rgb="FF000000"/>
        <rFont val="Geneva"/>
        <family val="2"/>
      </rPr>
      <t>  </t>
    </r>
  </si>
  <si>
    <t>Purchased via Amazon</t>
  </si>
  <si>
    <t>https://www.amazon.com/MTB-Anchor-Painted-Fencing-Canopies/dp/B01MUZ9CLL/ref=sr_1_13?crid=19RKQ6HTQBN3W&amp;keywords=screw%2Banchor%2Bfor%2Bdirt&amp;qid=1664299912&amp;qu=eyJxc2MiOiIwLjAwIiwicXNhIjoiMC4wMCIsInFzcCI6IjAuMDAifQ%3D%3D&amp;sprefix=screw%2Banchor%2Bfor%2Bdirt%2Caps%2C90&amp;sr=8-13&amp;th=1</t>
  </si>
  <si>
    <t>hose clamps</t>
  </si>
  <si>
    <t>Worm-Drive Clamp for Firm Hose and Tube 316 Stainless Steel, 1/2" Band Width, 2-9/16"- 3-1/2" Clamp ID, pk of 5</t>
  </si>
  <si>
    <t>5011T25</t>
  </si>
  <si>
    <t>https://www.mcmaster.com/5011T25/</t>
  </si>
  <si>
    <t>FOSTER LAB OPTION, v3.1 and v3.2</t>
  </si>
  <si>
    <t>Back Flow prevention valve</t>
  </si>
  <si>
    <t>Brass Threaded Check Valve with Brass Spring-Loaded Piston, 1/8 NPTF Male</t>
  </si>
  <si>
    <t>7775K61</t>
  </si>
  <si>
    <t>/Ea</t>
  </si>
  <si>
    <t>https://www.mcmaster.com/7775K61/</t>
  </si>
  <si>
    <t>TOTAL COST:</t>
  </si>
  <si>
    <t>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</si>
</sst>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30">
    <font>
      <sz val="11"/>
      <color theme="1"/>
      <name val="Calibri"/>
      <family val="2"/>
      <scheme val="minor"/>
    </font>
    <font>
      <sz val="12"/>
      <color theme="1"/>
      <name val="Calibri"/>
      <family val="2"/>
      <scheme val="minor"/>
    </font>
    <font>
      <sz val="14"/>
      <color rgb="FF336633"/>
      <name val="Arial"/>
      <family val="2"/>
    </font>
    <font>
      <sz val="21"/>
      <color rgb="FF336633"/>
      <name val="Arial"/>
      <family val="2"/>
    </font>
    <font>
      <u/>
      <sz val="11"/>
      <color theme="10"/>
      <name val="Calibri"/>
      <family val="2"/>
      <scheme val="minor"/>
    </font>
    <font>
      <b/>
      <sz val="14"/>
      <color theme="1"/>
      <name val="Calibri"/>
      <family val="2"/>
      <scheme val="minor"/>
    </font>
    <font>
      <sz val="11"/>
      <color theme="1"/>
      <name val="Calibri"/>
      <family val="2"/>
    </font>
    <font>
      <sz val="12"/>
      <color rgb="FF333333"/>
      <name val="Arial"/>
      <family val="2"/>
    </font>
    <font>
      <sz val="11"/>
      <color rgb="FF444444"/>
      <name val="Calibri"/>
      <family val="2"/>
    </font>
    <font>
      <sz val="11"/>
      <color theme="2" tint="-0.249977111117893"/>
      <name val="Calibri"/>
      <family val="2"/>
      <scheme val="minor"/>
    </font>
    <font>
      <sz val="12"/>
      <color theme="2" tint="-0.249977111117893"/>
      <name val="Arial"/>
      <family val="2"/>
    </font>
    <font>
      <sz val="11"/>
      <color theme="1"/>
      <name val="Arial"/>
      <family val="2"/>
    </font>
    <font>
      <sz val="11"/>
      <color theme="1"/>
      <name val="Geneva"/>
      <family val="2"/>
    </font>
    <font>
      <sz val="12"/>
      <color rgb="FF000000"/>
      <name val="Geneva"/>
      <family val="2"/>
    </font>
    <font>
      <sz val="13"/>
      <color rgb="FF000000"/>
      <name val="Geneva"/>
      <family val="2"/>
    </font>
    <font>
      <sz val="11"/>
      <color rgb="FF0F1111"/>
      <name val="Calibri"/>
      <family val="2"/>
      <scheme val="minor"/>
    </font>
    <font>
      <sz val="11"/>
      <color rgb="FF0F1111"/>
      <name val="Calibri"/>
      <family val="2"/>
    </font>
    <font>
      <u/>
      <sz val="11"/>
      <color theme="2" tint="-0.249977111117893"/>
      <name val="Calibri"/>
      <family val="2"/>
      <scheme val="minor"/>
    </font>
    <font>
      <sz val="11"/>
      <color theme="2" tint="-0.249977111117893"/>
      <name val="Calibri"/>
      <family val="2"/>
    </font>
    <font>
      <sz val="12"/>
      <color rgb="FF444444"/>
      <name val="Arial"/>
      <family val="2"/>
    </font>
    <font>
      <sz val="11"/>
      <color rgb="FF1D252C"/>
      <name val="Helvetica Neue"/>
      <family val="2"/>
    </font>
    <font>
      <u/>
      <sz val="11"/>
      <color theme="0" tint="-0.249977111117893"/>
      <name val="Calibri"/>
      <family val="2"/>
      <scheme val="minor"/>
    </font>
    <font>
      <sz val="11"/>
      <color theme="0" tint="-0.249977111117893"/>
      <name val="Calibri"/>
      <family val="2"/>
    </font>
    <font>
      <sz val="11"/>
      <color theme="0" tint="-0.249977111117893"/>
      <name val="Helvetica Neue"/>
      <family val="2"/>
    </font>
    <font>
      <sz val="11"/>
      <color theme="0" tint="-0.249977111117893"/>
      <name val="Calibri"/>
      <family val="2"/>
      <scheme val="minor"/>
    </font>
    <font>
      <sz val="11"/>
      <color theme="2"/>
      <name val="Calibri"/>
      <family val="2"/>
      <scheme val="minor"/>
    </font>
    <font>
      <sz val="11"/>
      <color rgb="FF000000"/>
      <name val="Geneva"/>
      <family val="2"/>
    </font>
    <font>
      <b/>
      <sz val="11"/>
      <color theme="1"/>
      <name val="Calibri"/>
      <family val="2"/>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s>
  <borders count="2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22">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center" wrapText="1"/>
    </xf>
    <xf numFmtId="0" fontId="0" fillId="0" borderId="0" xfId="0" applyAlignment="1">
      <alignment wrapText="1"/>
    </xf>
    <xf numFmtId="0" fontId="2" fillId="0" borderId="0" xfId="0" applyFont="1"/>
    <xf numFmtId="0" fontId="3" fillId="0" borderId="0" xfId="0" applyFont="1"/>
    <xf numFmtId="164" fontId="1" fillId="0" borderId="1" xfId="0" applyNumberFormat="1" applyFont="1" applyBorder="1" applyAlignment="1">
      <alignment horizontal="center"/>
    </xf>
    <xf numFmtId="0" fontId="4" fillId="0" borderId="0" xfId="1"/>
    <xf numFmtId="164" fontId="5" fillId="0" borderId="4" xfId="0" applyNumberFormat="1" applyFont="1" applyBorder="1" applyAlignment="1">
      <alignment horizontal="center"/>
    </xf>
    <xf numFmtId="0" fontId="6" fillId="0" borderId="0" xfId="0" applyFont="1" applyAlignment="1">
      <alignment horizontal="center" wrapText="1"/>
    </xf>
    <xf numFmtId="0" fontId="7" fillId="0" borderId="0" xfId="0" applyFont="1"/>
    <xf numFmtId="0" fontId="8" fillId="0" borderId="0" xfId="0" applyFont="1" applyAlignment="1">
      <alignment wrapText="1"/>
    </xf>
    <xf numFmtId="0" fontId="9" fillId="0" borderId="0" xfId="0" applyFont="1"/>
    <xf numFmtId="164" fontId="9" fillId="0" borderId="0" xfId="0" applyNumberFormat="1" applyFont="1" applyAlignment="1">
      <alignment horizontal="center"/>
    </xf>
    <xf numFmtId="0" fontId="9" fillId="2" borderId="0" xfId="0" applyFont="1" applyFill="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0" borderId="0" xfId="0" applyFont="1" applyAlignment="1">
      <alignment horizontal="center" wrapText="1"/>
    </xf>
    <xf numFmtId="0" fontId="10"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xf numFmtId="0" fontId="0" fillId="2" borderId="0" xfId="0" applyFill="1" applyAlignment="1">
      <alignment horizontal="center"/>
    </xf>
    <xf numFmtId="0" fontId="0" fillId="3" borderId="0" xfId="0" applyFill="1" applyAlignment="1">
      <alignment horizontal="center"/>
    </xf>
    <xf numFmtId="0" fontId="11"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0" fillId="4" borderId="0" xfId="0" applyFill="1" applyAlignment="1">
      <alignment horizontal="center"/>
    </xf>
    <xf numFmtId="0" fontId="12" fillId="0" borderId="0" xfId="0" applyFont="1" applyAlignment="1">
      <alignment wrapText="1"/>
    </xf>
    <xf numFmtId="0" fontId="14" fillId="0" borderId="0" xfId="0" applyFont="1"/>
    <xf numFmtId="0" fontId="15" fillId="0" borderId="0" xfId="0" applyFont="1" applyAlignment="1">
      <alignment wrapText="1"/>
    </xf>
    <xf numFmtId="164" fontId="6" fillId="0" borderId="8" xfId="0" applyNumberFormat="1" applyFont="1" applyBorder="1" applyAlignment="1">
      <alignment horizontal="center" vertical="center"/>
    </xf>
    <xf numFmtId="0" fontId="4" fillId="0" borderId="0" xfId="1" applyAlignment="1">
      <alignment vertical="center"/>
    </xf>
    <xf numFmtId="0" fontId="6" fillId="2" borderId="9" xfId="0" applyFont="1" applyFill="1" applyBorder="1" applyAlignment="1">
      <alignment horizontal="center" vertical="center"/>
    </xf>
    <xf numFmtId="0" fontId="6" fillId="0" borderId="10" xfId="0" applyFont="1" applyBorder="1" applyAlignment="1">
      <alignment horizontal="center" vertical="center"/>
    </xf>
    <xf numFmtId="0" fontId="6" fillId="4" borderId="10" xfId="0" applyFont="1" applyFill="1" applyBorder="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vertical="center" wrapText="1"/>
    </xf>
    <xf numFmtId="0" fontId="0" fillId="0" borderId="0" xfId="0" applyAlignment="1">
      <alignment vertical="center" wrapText="1"/>
    </xf>
    <xf numFmtId="164" fontId="6" fillId="0" borderId="0" xfId="0" applyNumberFormat="1" applyFont="1" applyAlignment="1">
      <alignment horizontal="center" vertical="center" wrapText="1"/>
    </xf>
    <xf numFmtId="0" fontId="7" fillId="0" borderId="0" xfId="0" applyFont="1" applyAlignment="1">
      <alignment vertical="center"/>
    </xf>
    <xf numFmtId="0" fontId="16" fillId="0" borderId="0" xfId="0" applyFont="1" applyAlignment="1">
      <alignment wrapText="1"/>
    </xf>
    <xf numFmtId="0" fontId="0" fillId="0" borderId="0" xfId="0"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7" fillId="0" borderId="0" xfId="1" applyFont="1" applyAlignment="1">
      <alignment vertical="center"/>
    </xf>
    <xf numFmtId="164" fontId="18" fillId="0" borderId="8" xfId="0" applyNumberFormat="1" applyFont="1" applyBorder="1" applyAlignment="1">
      <alignment horizontal="center" vertical="center"/>
    </xf>
    <xf numFmtId="0" fontId="18" fillId="2" borderId="9" xfId="0" applyFont="1" applyFill="1" applyBorder="1" applyAlignment="1">
      <alignment horizontal="center" vertical="center"/>
    </xf>
    <xf numFmtId="0" fontId="18" fillId="0" borderId="10" xfId="0" applyFont="1" applyBorder="1" applyAlignment="1">
      <alignment horizontal="center" vertical="center"/>
    </xf>
    <xf numFmtId="0" fontId="18" fillId="4" borderId="10" xfId="0" applyFont="1" applyFill="1" applyBorder="1" applyAlignment="1">
      <alignment horizontal="center" vertical="center"/>
    </xf>
    <xf numFmtId="164" fontId="18" fillId="0" borderId="0" xfId="0" applyNumberFormat="1" applyFont="1" applyAlignment="1">
      <alignment horizontal="center" vertical="center"/>
    </xf>
    <xf numFmtId="0" fontId="10" fillId="0" borderId="0" xfId="0" applyFont="1" applyAlignment="1">
      <alignment vertical="center"/>
    </xf>
    <xf numFmtId="0" fontId="18" fillId="0" borderId="0" xfId="0" applyFont="1" applyAlignment="1">
      <alignment horizontal="center" vertical="center" wrapText="1"/>
    </xf>
    <xf numFmtId="0" fontId="18" fillId="0" borderId="0" xfId="0" applyFont="1" applyAlignment="1">
      <alignment vertical="center" wrapText="1"/>
    </xf>
    <xf numFmtId="0" fontId="9" fillId="0" borderId="0" xfId="0" applyFont="1" applyAlignment="1">
      <alignment horizontal="center" vertical="center" wrapText="1"/>
    </xf>
    <xf numFmtId="0" fontId="0" fillId="0" borderId="10" xfId="0" applyBorder="1" applyAlignment="1">
      <alignment horizontal="center" vertical="center"/>
    </xf>
    <xf numFmtId="0" fontId="0" fillId="4" borderId="10" xfId="0" applyFill="1" applyBorder="1" applyAlignment="1">
      <alignment horizontal="center" vertical="center"/>
    </xf>
    <xf numFmtId="164" fontId="0" fillId="0" borderId="0" xfId="0" applyNumberFormat="1" applyAlignment="1">
      <alignment horizontal="center" vertical="center"/>
    </xf>
    <xf numFmtId="0" fontId="4" fillId="0" borderId="0" xfId="1" applyAlignment="1">
      <alignment horizontal="left" vertical="center"/>
    </xf>
    <xf numFmtId="0" fontId="6" fillId="0" borderId="0" xfId="0" applyFont="1" applyAlignment="1">
      <alignment wrapText="1"/>
    </xf>
    <xf numFmtId="0" fontId="19"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center" vertical="center"/>
    </xf>
    <xf numFmtId="0" fontId="6" fillId="2" borderId="11" xfId="0" applyFont="1" applyFill="1" applyBorder="1" applyAlignment="1">
      <alignment horizontal="center" vertical="center"/>
    </xf>
    <xf numFmtId="0" fontId="6" fillId="0" borderId="12" xfId="0" applyFont="1" applyBorder="1" applyAlignment="1">
      <alignment horizontal="center" vertical="center"/>
    </xf>
    <xf numFmtId="0" fontId="6" fillId="4" borderId="12" xfId="0" applyFont="1" applyFill="1" applyBorder="1" applyAlignment="1">
      <alignment horizontal="center" vertical="center"/>
    </xf>
    <xf numFmtId="0" fontId="4" fillId="0" borderId="16" xfId="1" applyBorder="1" applyAlignment="1">
      <alignment horizontal="left" vertical="center"/>
    </xf>
    <xf numFmtId="0" fontId="6" fillId="0" borderId="8" xfId="0" applyFont="1" applyBorder="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left" vertical="center" wrapText="1"/>
    </xf>
    <xf numFmtId="0" fontId="0" fillId="0" borderId="8" xfId="0" applyBorder="1" applyAlignment="1">
      <alignment vertical="center" wrapText="1"/>
    </xf>
    <xf numFmtId="0" fontId="0" fillId="0" borderId="17" xfId="0" applyBorder="1" applyAlignment="1">
      <alignment horizontal="center" vertical="center"/>
    </xf>
    <xf numFmtId="0" fontId="6" fillId="0" borderId="18" xfId="0" applyFont="1" applyBorder="1" applyAlignment="1">
      <alignment horizontal="center" vertical="center"/>
    </xf>
    <xf numFmtId="0" fontId="6" fillId="4" borderId="18" xfId="0" applyFont="1" applyFill="1" applyBorder="1" applyAlignment="1">
      <alignment horizontal="center" vertical="center"/>
    </xf>
    <xf numFmtId="0" fontId="20" fillId="0" borderId="0" xfId="0" applyFont="1" applyAlignment="1">
      <alignment horizontal="center" vertical="center"/>
    </xf>
    <xf numFmtId="0" fontId="21" fillId="0" borderId="0" xfId="1" applyFont="1" applyAlignment="1">
      <alignment horizontal="left" vertical="center"/>
    </xf>
    <xf numFmtId="0" fontId="22" fillId="2" borderId="9" xfId="0" applyFont="1" applyFill="1" applyBorder="1" applyAlignment="1">
      <alignment horizontal="center" vertical="center"/>
    </xf>
    <xf numFmtId="0" fontId="22" fillId="0" borderId="10" xfId="0" applyFont="1" applyBorder="1" applyAlignment="1">
      <alignment horizontal="center" vertical="center"/>
    </xf>
    <xf numFmtId="0" fontId="22" fillId="4" borderId="10" xfId="0" applyFont="1" applyFill="1" applyBorder="1" applyAlignment="1">
      <alignment horizontal="center" vertical="center"/>
    </xf>
    <xf numFmtId="164" fontId="22" fillId="0" borderId="0" xfId="0" applyNumberFormat="1" applyFont="1" applyAlignment="1">
      <alignment horizontal="center" vertical="center"/>
    </xf>
    <xf numFmtId="0" fontId="23" fillId="0" borderId="0" xfId="0" applyFont="1" applyAlignment="1">
      <alignment horizontal="center" vertical="center"/>
    </xf>
    <xf numFmtId="0" fontId="22" fillId="0" borderId="0" xfId="0" applyFont="1" applyAlignment="1">
      <alignment horizontal="center" vertical="center" wrapText="1"/>
    </xf>
    <xf numFmtId="0" fontId="22" fillId="0" borderId="0" xfId="0" applyFont="1" applyAlignment="1">
      <alignment horizontal="left" vertical="center" wrapText="1"/>
    </xf>
    <xf numFmtId="0" fontId="24" fillId="0" borderId="0" xfId="0" applyFont="1" applyAlignment="1">
      <alignment horizontal="center" vertical="center"/>
    </xf>
    <xf numFmtId="0" fontId="4" fillId="0" borderId="13" xfId="1" applyBorder="1" applyAlignment="1">
      <alignment horizontal="left" vertical="center"/>
    </xf>
    <xf numFmtId="164" fontId="6" fillId="0" borderId="14" xfId="0" applyNumberFormat="1" applyFont="1" applyBorder="1" applyAlignment="1">
      <alignment horizontal="center" vertical="center"/>
    </xf>
    <xf numFmtId="0" fontId="20" fillId="0" borderId="14" xfId="0" applyFont="1" applyBorder="1" applyAlignment="1">
      <alignment horizontal="center" vertical="center"/>
    </xf>
    <xf numFmtId="0" fontId="6" fillId="0" borderId="14" xfId="0" applyFont="1" applyBorder="1" applyAlignment="1">
      <alignment horizontal="center" vertical="center" wrapText="1"/>
    </xf>
    <xf numFmtId="0" fontId="6" fillId="0" borderId="15" xfId="0" applyFont="1" applyBorder="1" applyAlignment="1">
      <alignment horizontal="left" vertical="center" wrapText="1"/>
    </xf>
    <xf numFmtId="0" fontId="21" fillId="0" borderId="16" xfId="1" applyFont="1" applyBorder="1" applyAlignment="1">
      <alignment horizontal="left" vertical="center"/>
    </xf>
    <xf numFmtId="164" fontId="22" fillId="0" borderId="8" xfId="0" applyNumberFormat="1" applyFont="1" applyBorder="1" applyAlignment="1">
      <alignment horizontal="center" vertical="center"/>
    </xf>
    <xf numFmtId="0" fontId="23" fillId="0" borderId="8" xfId="0" applyFont="1" applyBorder="1" applyAlignment="1">
      <alignment horizontal="center" vertical="center"/>
    </xf>
    <xf numFmtId="0" fontId="22" fillId="0" borderId="8" xfId="0" applyFont="1" applyBorder="1" applyAlignment="1">
      <alignment horizontal="center" vertical="center" wrapText="1"/>
    </xf>
    <xf numFmtId="0" fontId="22" fillId="0" borderId="17" xfId="0" applyFont="1" applyBorder="1" applyAlignment="1">
      <alignment horizontal="left" vertical="center" wrapText="1"/>
    </xf>
    <xf numFmtId="0" fontId="25" fillId="0" borderId="0" xfId="0" applyFont="1" applyAlignment="1">
      <alignment horizontal="center" vertical="center"/>
    </xf>
    <xf numFmtId="0" fontId="6" fillId="5" borderId="10" xfId="0" applyFont="1" applyFill="1" applyBorder="1" applyAlignment="1">
      <alignment horizontal="center" vertical="center"/>
    </xf>
    <xf numFmtId="0" fontId="26" fillId="0" borderId="0" xfId="0" applyFont="1" applyAlignment="1">
      <alignment horizontal="center" vertical="center"/>
    </xf>
    <xf numFmtId="0" fontId="0" fillId="5" borderId="10" xfId="0" applyFill="1" applyBorder="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center" vertical="center"/>
    </xf>
    <xf numFmtId="0" fontId="27" fillId="2" borderId="19" xfId="0" applyFont="1" applyFill="1" applyBorder="1" applyAlignment="1">
      <alignment horizontal="center" vertical="center" wrapText="1"/>
    </xf>
    <xf numFmtId="0" fontId="27" fillId="0" borderId="10" xfId="0" applyFont="1" applyBorder="1" applyAlignment="1">
      <alignment horizontal="center" vertical="center"/>
    </xf>
    <xf numFmtId="0" fontId="27" fillId="4" borderId="10" xfId="0" applyFont="1" applyFill="1" applyBorder="1" applyAlignment="1">
      <alignment horizontal="center" vertical="center"/>
    </xf>
    <xf numFmtId="164" fontId="27" fillId="0" borderId="0" xfId="0" applyNumberFormat="1" applyFont="1" applyAlignment="1">
      <alignment horizontal="center" vertical="center"/>
    </xf>
    <xf numFmtId="0" fontId="27" fillId="0" borderId="0" xfId="0" applyFont="1" applyAlignment="1">
      <alignment horizontal="center" vertical="center" wrapText="1"/>
    </xf>
    <xf numFmtId="0" fontId="28" fillId="0" borderId="0" xfId="0" applyFont="1" applyAlignment="1">
      <alignment horizontal="center" vertical="center"/>
    </xf>
    <xf numFmtId="0" fontId="29"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0" fillId="0" borderId="0" xfId="0" applyAlignment="1">
      <alignment horizontal="center"/>
    </xf>
    <xf numFmtId="0" fontId="5" fillId="0" borderId="0" xfId="0" applyFont="1" applyAlignment="1">
      <alignment horizontal="left"/>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5" fillId="0" borderId="7" xfId="0" applyFont="1" applyBorder="1" applyAlignment="1">
      <alignment horizontal="right"/>
    </xf>
    <xf numFmtId="0" fontId="5" fillId="0" borderId="6" xfId="0" applyFont="1" applyBorder="1" applyAlignment="1">
      <alignment horizontal="right"/>
    </xf>
    <xf numFmtId="0" fontId="5" fillId="0" borderId="5" xfId="0" applyFont="1" applyBorder="1" applyAlignment="1">
      <alignment horizontal="right"/>
    </xf>
    <xf numFmtId="0" fontId="1" fillId="0" borderId="3" xfId="0" applyFont="1" applyBorder="1" applyAlignment="1">
      <alignment horizontal="right"/>
    </xf>
    <xf numFmtId="0" fontId="1" fillId="0" borderId="2" xfId="0" applyFont="1" applyBorder="1" applyAlignment="1">
      <alignment horizontal="right"/>
    </xf>
    <xf numFmtId="0" fontId="5" fillId="5" borderId="0" xfId="0" applyFont="1" applyFill="1" applyAlignment="1">
      <alignment horizontal="left" vertical="center" wrapText="1"/>
    </xf>
    <xf numFmtId="17" fontId="2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cmaster.com/91565A345/" TargetMode="External"/><Relationship Id="rId3" Type="http://schemas.openxmlformats.org/officeDocument/2006/relationships/hyperlink" Target="https://bluerobotics.com/store/watertight-enclosures/locking-series/wte-end-cap-vp/" TargetMode="External"/><Relationship Id="rId7" Type="http://schemas.openxmlformats.org/officeDocument/2006/relationships/hyperlink" Target="https://www.mcmaster.com/91781A110/" TargetMode="External"/><Relationship Id="rId2" Type="http://schemas.openxmlformats.org/officeDocument/2006/relationships/hyperlink" Target="https://bluerobotics.com/store/cables-connectors/penetrators/vent-asm-r1/" TargetMode="External"/><Relationship Id="rId1" Type="http://schemas.openxmlformats.org/officeDocument/2006/relationships/hyperlink" Target="https://www.digikey.com/en/products/detail/209/36-209-ND/151583?itemSeq=362037172" TargetMode="External"/><Relationship Id="rId6" Type="http://schemas.openxmlformats.org/officeDocument/2006/relationships/hyperlink" Target="https://bluerobotics.com/store/watertight-enclosures/locking-series/wte-locking-tube-r1-vp/" TargetMode="External"/><Relationship Id="rId5" Type="http://schemas.openxmlformats.org/officeDocument/2006/relationships/hyperlink" Target="https://www.mcmaster.com/1813A246/" TargetMode="External"/><Relationship Id="rId10" Type="http://schemas.openxmlformats.org/officeDocument/2006/relationships/printerSettings" Target="../printerSettings/printerSettings1.bin"/><Relationship Id="rId4" Type="http://schemas.openxmlformats.org/officeDocument/2006/relationships/hyperlink" Target="https://www.digikey.com/en/products/detail/texas-instruments/UA7805CKCT/3458146?s=N4IgTCBcDa4JwDYC0BmOBWAjOpOByAIiALoC%2BQA" TargetMode="External"/><Relationship Id="rId9" Type="http://schemas.openxmlformats.org/officeDocument/2006/relationships/hyperlink" Target="https://www.jlcpc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D7478-7EE6-E94E-A3D5-9DC8FBCBF520}">
  <dimension ref="A2:M55"/>
  <sheetViews>
    <sheetView tabSelected="1" zoomScale="91" workbookViewId="0">
      <selection activeCell="C6" sqref="C6"/>
    </sheetView>
  </sheetViews>
  <sheetFormatPr defaultColWidth="8.85546875" defaultRowHeight="15"/>
  <cols>
    <col min="2" max="2" width="25.5703125" customWidth="1"/>
    <col min="3" max="3" width="26.7109375" style="4" customWidth="1"/>
    <col min="4" max="4" width="36.7109375" style="4" customWidth="1"/>
    <col min="5" max="5" width="19.85546875" style="3" customWidth="1"/>
    <col min="6" max="6" width="39.28515625" customWidth="1"/>
    <col min="7" max="8" width="8.85546875" style="2"/>
    <col min="9" max="9" width="12.7109375" style="1" customWidth="1"/>
    <col min="10" max="10" width="10.140625" style="1" bestFit="1" customWidth="1"/>
    <col min="11" max="11" width="10.140625" style="1" customWidth="1"/>
    <col min="12" max="12" width="16.7109375" style="1" customWidth="1"/>
    <col min="13" max="13" width="111.140625" bestFit="1" customWidth="1"/>
  </cols>
  <sheetData>
    <row r="2" spans="1:13" ht="78.75" customHeight="1">
      <c r="A2" s="120" t="s">
        <v>0</v>
      </c>
      <c r="B2" s="120"/>
      <c r="C2" s="120"/>
      <c r="D2" s="120"/>
      <c r="E2" s="120"/>
      <c r="F2" s="120"/>
      <c r="G2" s="109"/>
      <c r="H2" s="109"/>
      <c r="I2" s="109" t="s">
        <v>1</v>
      </c>
      <c r="J2" s="110">
        <v>2</v>
      </c>
      <c r="K2" s="112" t="s">
        <v>2</v>
      </c>
      <c r="L2" s="112"/>
      <c r="M2" s="112"/>
    </row>
    <row r="3" spans="1:13" ht="18.95">
      <c r="A3" t="s">
        <v>3</v>
      </c>
      <c r="B3" s="108" t="s">
        <v>4</v>
      </c>
      <c r="C3" s="121">
        <v>45017</v>
      </c>
      <c r="I3"/>
      <c r="J3"/>
      <c r="K3"/>
      <c r="L3"/>
    </row>
    <row r="4" spans="1:13" ht="15.95" thickBot="1">
      <c r="C4"/>
    </row>
    <row r="5" spans="1:13" ht="32.1">
      <c r="A5" s="107" t="s">
        <v>5</v>
      </c>
      <c r="B5" s="107" t="s">
        <v>6</v>
      </c>
      <c r="C5" s="106" t="s">
        <v>7</v>
      </c>
      <c r="D5" s="106" t="s">
        <v>8</v>
      </c>
      <c r="E5" s="106" t="s">
        <v>9</v>
      </c>
      <c r="F5" s="101" t="s">
        <v>10</v>
      </c>
      <c r="G5" s="105" t="s">
        <v>11</v>
      </c>
      <c r="H5" s="105" t="s">
        <v>12</v>
      </c>
      <c r="I5" s="104" t="s">
        <v>13</v>
      </c>
      <c r="J5" s="103" t="s">
        <v>14</v>
      </c>
      <c r="K5" s="102" t="s">
        <v>15</v>
      </c>
      <c r="L5" s="101" t="s">
        <v>16</v>
      </c>
      <c r="M5" s="100" t="s">
        <v>17</v>
      </c>
    </row>
    <row r="6" spans="1:13" ht="60.75">
      <c r="A6" s="26">
        <v>1</v>
      </c>
      <c r="B6" s="99" t="s">
        <v>18</v>
      </c>
      <c r="C6" s="40" t="s">
        <v>19</v>
      </c>
      <c r="D6" s="63" t="s">
        <v>20</v>
      </c>
      <c r="E6" s="38" t="s">
        <v>21</v>
      </c>
      <c r="F6" s="98" t="s">
        <v>22</v>
      </c>
      <c r="G6" s="36">
        <v>215</v>
      </c>
      <c r="H6" s="36" t="s">
        <v>23</v>
      </c>
      <c r="I6" s="35">
        <v>0</v>
      </c>
      <c r="J6" s="97">
        <v>2</v>
      </c>
      <c r="K6" s="33">
        <f t="shared" ref="K6:K20" si="0">J6-I6</f>
        <v>2</v>
      </c>
      <c r="L6" s="31">
        <f t="shared" ref="L6:L43" si="1">K6*G6</f>
        <v>430</v>
      </c>
      <c r="M6" s="86" t="s">
        <v>24</v>
      </c>
    </row>
    <row r="7" spans="1:13" ht="32.1">
      <c r="A7" s="26">
        <v>2</v>
      </c>
      <c r="B7" s="26" t="s">
        <v>25</v>
      </c>
      <c r="C7" s="40" t="s">
        <v>26</v>
      </c>
      <c r="D7" s="63" t="s">
        <v>27</v>
      </c>
      <c r="E7" s="38" t="s">
        <v>21</v>
      </c>
      <c r="F7" s="76" t="s">
        <v>28</v>
      </c>
      <c r="G7" s="36">
        <v>35</v>
      </c>
      <c r="H7" s="36" t="s">
        <v>23</v>
      </c>
      <c r="I7" s="35">
        <v>0</v>
      </c>
      <c r="J7" s="34">
        <f>J6*2</f>
        <v>4</v>
      </c>
      <c r="K7" s="33">
        <f t="shared" si="0"/>
        <v>4</v>
      </c>
      <c r="L7" s="31">
        <f t="shared" si="1"/>
        <v>140</v>
      </c>
      <c r="M7" s="60" t="s">
        <v>29</v>
      </c>
    </row>
    <row r="8" spans="1:13" ht="32.1">
      <c r="A8" s="96">
        <v>3</v>
      </c>
      <c r="B8" s="113" t="s">
        <v>30</v>
      </c>
      <c r="C8" s="95" t="s">
        <v>31</v>
      </c>
      <c r="D8" s="95" t="s">
        <v>32</v>
      </c>
      <c r="E8" s="94" t="s">
        <v>21</v>
      </c>
      <c r="F8" s="93" t="s">
        <v>33</v>
      </c>
      <c r="G8" s="92">
        <v>15</v>
      </c>
      <c r="H8" s="92" t="s">
        <v>23</v>
      </c>
      <c r="I8" s="80">
        <v>0</v>
      </c>
      <c r="J8" s="79">
        <v>0</v>
      </c>
      <c r="K8" s="78">
        <f t="shared" si="0"/>
        <v>0</v>
      </c>
      <c r="L8" s="31">
        <f t="shared" si="1"/>
        <v>0</v>
      </c>
      <c r="M8" s="91" t="s">
        <v>34</v>
      </c>
    </row>
    <row r="9" spans="1:13" ht="32.1">
      <c r="A9" s="26">
        <v>4</v>
      </c>
      <c r="B9" s="114"/>
      <c r="C9" s="90" t="s">
        <v>35</v>
      </c>
      <c r="D9" s="90" t="s">
        <v>36</v>
      </c>
      <c r="E9" s="89" t="s">
        <v>21</v>
      </c>
      <c r="F9" s="88" t="s">
        <v>37</v>
      </c>
      <c r="G9" s="87">
        <v>14</v>
      </c>
      <c r="H9" s="87" t="s">
        <v>23</v>
      </c>
      <c r="I9" s="35">
        <v>0</v>
      </c>
      <c r="J9" s="34">
        <f>(J6+J2)*2</f>
        <v>8</v>
      </c>
      <c r="K9" s="33">
        <f t="shared" si="0"/>
        <v>8</v>
      </c>
      <c r="L9" s="31">
        <f t="shared" si="1"/>
        <v>112</v>
      </c>
      <c r="M9" s="86" t="s">
        <v>34</v>
      </c>
    </row>
    <row r="10" spans="1:13" ht="60.75">
      <c r="A10" s="85">
        <v>5</v>
      </c>
      <c r="B10" s="44" t="s">
        <v>38</v>
      </c>
      <c r="C10" s="84" t="s">
        <v>39</v>
      </c>
      <c r="D10" s="84" t="s">
        <v>40</v>
      </c>
      <c r="E10" s="83" t="s">
        <v>21</v>
      </c>
      <c r="F10" s="82" t="s">
        <v>41</v>
      </c>
      <c r="G10" s="81">
        <v>14</v>
      </c>
      <c r="H10" s="81" t="s">
        <v>23</v>
      </c>
      <c r="I10" s="80">
        <v>0</v>
      </c>
      <c r="J10" s="79">
        <v>0</v>
      </c>
      <c r="K10" s="78">
        <f t="shared" si="0"/>
        <v>0</v>
      </c>
      <c r="L10" s="31">
        <f t="shared" si="1"/>
        <v>0</v>
      </c>
      <c r="M10" s="77" t="s">
        <v>34</v>
      </c>
    </row>
    <row r="11" spans="1:13" ht="111.95">
      <c r="A11" s="26">
        <v>6</v>
      </c>
      <c r="B11" s="44" t="s">
        <v>42</v>
      </c>
      <c r="C11" s="40" t="s">
        <v>43</v>
      </c>
      <c r="D11" s="63" t="s">
        <v>44</v>
      </c>
      <c r="E11" s="38" t="s">
        <v>21</v>
      </c>
      <c r="F11" s="76" t="s">
        <v>45</v>
      </c>
      <c r="G11" s="36">
        <v>9</v>
      </c>
      <c r="H11" s="36" t="s">
        <v>23</v>
      </c>
      <c r="I11" s="35">
        <v>0</v>
      </c>
      <c r="J11" s="34">
        <f>J2+J6</f>
        <v>4</v>
      </c>
      <c r="K11" s="33">
        <f t="shared" si="0"/>
        <v>4</v>
      </c>
      <c r="L11" s="31">
        <f t="shared" si="1"/>
        <v>36</v>
      </c>
      <c r="M11" s="60" t="s">
        <v>46</v>
      </c>
    </row>
    <row r="12" spans="1:13" ht="32.1">
      <c r="A12" s="26">
        <v>7</v>
      </c>
      <c r="B12" s="26" t="s">
        <v>47</v>
      </c>
      <c r="C12" s="40" t="s">
        <v>48</v>
      </c>
      <c r="D12" s="63" t="s">
        <v>49</v>
      </c>
      <c r="E12" s="38" t="s">
        <v>21</v>
      </c>
      <c r="F12" s="76" t="s">
        <v>50</v>
      </c>
      <c r="G12" s="36">
        <v>75</v>
      </c>
      <c r="H12" s="36" t="s">
        <v>23</v>
      </c>
      <c r="I12" s="35">
        <v>0</v>
      </c>
      <c r="J12" s="34">
        <f>J2+J6</f>
        <v>4</v>
      </c>
      <c r="K12" s="33">
        <f t="shared" si="0"/>
        <v>4</v>
      </c>
      <c r="L12" s="31">
        <f t="shared" si="1"/>
        <v>300</v>
      </c>
      <c r="M12" s="60" t="s">
        <v>51</v>
      </c>
    </row>
    <row r="13" spans="1:13" ht="32.1">
      <c r="A13" s="26">
        <v>8</v>
      </c>
      <c r="B13" s="26" t="s">
        <v>47</v>
      </c>
      <c r="C13" s="40" t="s">
        <v>52</v>
      </c>
      <c r="D13" s="63" t="s">
        <v>53</v>
      </c>
      <c r="E13" s="38" t="s">
        <v>21</v>
      </c>
      <c r="F13" s="76" t="s">
        <v>54</v>
      </c>
      <c r="G13" s="36">
        <v>70</v>
      </c>
      <c r="H13" s="36" t="s">
        <v>23</v>
      </c>
      <c r="I13" s="35">
        <v>0</v>
      </c>
      <c r="J13" s="34">
        <f>J2+J6</f>
        <v>4</v>
      </c>
      <c r="K13" s="33">
        <f t="shared" si="0"/>
        <v>4</v>
      </c>
      <c r="L13" s="31">
        <f t="shared" si="1"/>
        <v>280</v>
      </c>
      <c r="M13" s="60" t="s">
        <v>55</v>
      </c>
    </row>
    <row r="14" spans="1:13" ht="111.95">
      <c r="A14" s="26">
        <v>9</v>
      </c>
      <c r="B14" s="44" t="s">
        <v>42</v>
      </c>
      <c r="C14" s="40" t="s">
        <v>56</v>
      </c>
      <c r="D14" s="63" t="s">
        <v>57</v>
      </c>
      <c r="E14" s="38" t="s">
        <v>21</v>
      </c>
      <c r="F14" s="76" t="s">
        <v>58</v>
      </c>
      <c r="G14" s="36">
        <v>98</v>
      </c>
      <c r="H14" s="36" t="s">
        <v>23</v>
      </c>
      <c r="I14" s="35">
        <v>0</v>
      </c>
      <c r="J14" s="34">
        <v>0</v>
      </c>
      <c r="K14" s="33">
        <f t="shared" si="0"/>
        <v>0</v>
      </c>
      <c r="L14" s="31">
        <f t="shared" si="1"/>
        <v>0</v>
      </c>
      <c r="M14" s="60" t="s">
        <v>59</v>
      </c>
    </row>
    <row r="15" spans="1:13" ht="111.95">
      <c r="A15" s="26">
        <v>10</v>
      </c>
      <c r="B15" s="44" t="s">
        <v>42</v>
      </c>
      <c r="C15" s="40" t="s">
        <v>60</v>
      </c>
      <c r="D15" s="63" t="s">
        <v>61</v>
      </c>
      <c r="E15" s="38" t="s">
        <v>21</v>
      </c>
      <c r="F15" s="76" t="s">
        <v>62</v>
      </c>
      <c r="G15" s="36">
        <v>8</v>
      </c>
      <c r="H15" s="36" t="s">
        <v>23</v>
      </c>
      <c r="I15" s="35">
        <v>0</v>
      </c>
      <c r="J15" s="34">
        <v>0</v>
      </c>
      <c r="K15" s="33">
        <f t="shared" si="0"/>
        <v>0</v>
      </c>
      <c r="L15" s="31">
        <f t="shared" si="1"/>
        <v>0</v>
      </c>
      <c r="M15" s="60" t="s">
        <v>63</v>
      </c>
    </row>
    <row r="16" spans="1:13" ht="15.95">
      <c r="A16" s="26">
        <v>11</v>
      </c>
      <c r="B16" s="26" t="s">
        <v>25</v>
      </c>
      <c r="C16" s="40" t="s">
        <v>64</v>
      </c>
      <c r="D16" s="63"/>
      <c r="E16" s="38" t="s">
        <v>21</v>
      </c>
      <c r="F16" s="76" t="s">
        <v>65</v>
      </c>
      <c r="G16" s="36">
        <v>10</v>
      </c>
      <c r="H16" s="36" t="s">
        <v>23</v>
      </c>
      <c r="I16" s="35">
        <v>0</v>
      </c>
      <c r="J16" s="34">
        <f>CEILING((J6)/2,1)</f>
        <v>1</v>
      </c>
      <c r="K16" s="33">
        <f t="shared" si="0"/>
        <v>1</v>
      </c>
      <c r="L16" s="31">
        <f t="shared" si="1"/>
        <v>10</v>
      </c>
      <c r="M16" s="60" t="s">
        <v>66</v>
      </c>
    </row>
    <row r="17" spans="1:13" ht="15.95">
      <c r="A17" s="26">
        <v>12</v>
      </c>
      <c r="B17" s="26" t="s">
        <v>47</v>
      </c>
      <c r="C17" s="40" t="s">
        <v>67</v>
      </c>
      <c r="D17" s="63" t="s">
        <v>68</v>
      </c>
      <c r="E17" s="38" t="s">
        <v>21</v>
      </c>
      <c r="F17" s="76" t="s">
        <v>69</v>
      </c>
      <c r="G17" s="36">
        <v>3</v>
      </c>
      <c r="H17" s="36" t="s">
        <v>23</v>
      </c>
      <c r="I17" s="35">
        <v>0</v>
      </c>
      <c r="J17" s="34">
        <f>J2</f>
        <v>2</v>
      </c>
      <c r="K17" s="33">
        <f t="shared" si="0"/>
        <v>2</v>
      </c>
      <c r="L17" s="31">
        <f t="shared" si="1"/>
        <v>6</v>
      </c>
      <c r="M17" s="60" t="s">
        <v>70</v>
      </c>
    </row>
    <row r="18" spans="1:13" ht="15.95">
      <c r="A18" s="26">
        <v>13</v>
      </c>
      <c r="B18" s="26" t="s">
        <v>47</v>
      </c>
      <c r="C18" s="40" t="s">
        <v>71</v>
      </c>
      <c r="D18" s="63" t="s">
        <v>72</v>
      </c>
      <c r="E18" s="38" t="s">
        <v>73</v>
      </c>
      <c r="F18" s="64" t="s">
        <v>74</v>
      </c>
      <c r="G18" s="36">
        <v>39</v>
      </c>
      <c r="H18" s="36" t="s">
        <v>23</v>
      </c>
      <c r="I18" s="35">
        <v>0</v>
      </c>
      <c r="J18" s="34">
        <f>J6+J2</f>
        <v>4</v>
      </c>
      <c r="K18" s="33">
        <f t="shared" si="0"/>
        <v>4</v>
      </c>
      <c r="L18" s="31">
        <f t="shared" si="1"/>
        <v>156</v>
      </c>
      <c r="M18" s="60" t="s">
        <v>75</v>
      </c>
    </row>
    <row r="19" spans="1:13" ht="45.75">
      <c r="A19" s="26">
        <v>14</v>
      </c>
      <c r="B19" s="26" t="s">
        <v>47</v>
      </c>
      <c r="C19" s="40" t="s">
        <v>76</v>
      </c>
      <c r="D19" s="39" t="s">
        <v>77</v>
      </c>
      <c r="E19" s="38" t="s">
        <v>78</v>
      </c>
      <c r="F19" s="64"/>
      <c r="G19" s="36">
        <v>9.1</v>
      </c>
      <c r="H19" s="36" t="s">
        <v>23</v>
      </c>
      <c r="I19" s="75">
        <v>0</v>
      </c>
      <c r="J19" s="74">
        <f>J6+J2</f>
        <v>4</v>
      </c>
      <c r="K19" s="33">
        <f t="shared" si="0"/>
        <v>4</v>
      </c>
      <c r="L19" s="31">
        <f t="shared" si="1"/>
        <v>36.4</v>
      </c>
      <c r="M19" s="60" t="s">
        <v>79</v>
      </c>
    </row>
    <row r="20" spans="1:13" ht="84.95" customHeight="1">
      <c r="A20" s="73">
        <v>15</v>
      </c>
      <c r="B20" s="72" t="s">
        <v>80</v>
      </c>
      <c r="C20" s="72" t="s">
        <v>81</v>
      </c>
      <c r="D20" s="71" t="s">
        <v>82</v>
      </c>
      <c r="E20" s="70" t="s">
        <v>83</v>
      </c>
      <c r="F20" s="69" t="s">
        <v>84</v>
      </c>
      <c r="G20" s="31">
        <v>6.6</v>
      </c>
      <c r="H20" s="31" t="s">
        <v>23</v>
      </c>
      <c r="I20" s="35">
        <v>0</v>
      </c>
      <c r="J20" s="34">
        <f>12*(J6+J2)</f>
        <v>48</v>
      </c>
      <c r="K20" s="33">
        <f t="shared" si="0"/>
        <v>48</v>
      </c>
      <c r="L20" s="31">
        <f t="shared" si="1"/>
        <v>316.79999999999995</v>
      </c>
      <c r="M20" s="68" t="s">
        <v>85</v>
      </c>
    </row>
    <row r="21" spans="1:13">
      <c r="A21" s="26">
        <v>16</v>
      </c>
      <c r="B21" s="26" t="s">
        <v>47</v>
      </c>
      <c r="C21" s="40" t="s">
        <v>86</v>
      </c>
      <c r="D21" s="63" t="s">
        <v>87</v>
      </c>
      <c r="E21" s="38" t="s">
        <v>88</v>
      </c>
      <c r="F21" s="64" t="s">
        <v>89</v>
      </c>
      <c r="G21" s="36">
        <v>0.87</v>
      </c>
      <c r="H21" s="36" t="s">
        <v>23</v>
      </c>
      <c r="I21" s="67">
        <v>0</v>
      </c>
      <c r="J21" s="66">
        <f>(J6+J2)*2</f>
        <v>8</v>
      </c>
      <c r="K21" s="65">
        <f t="shared" ref="K21:K33" si="2">J21-I21</f>
        <v>8</v>
      </c>
      <c r="L21" s="36">
        <f t="shared" si="1"/>
        <v>6.96</v>
      </c>
      <c r="M21" s="60" t="s">
        <v>90</v>
      </c>
    </row>
    <row r="22" spans="1:13" ht="15.95">
      <c r="A22" s="26">
        <v>17</v>
      </c>
      <c r="B22" s="26" t="s">
        <v>47</v>
      </c>
      <c r="C22" s="40" t="s">
        <v>91</v>
      </c>
      <c r="D22" s="63" t="s">
        <v>92</v>
      </c>
      <c r="E22" s="38" t="s">
        <v>88</v>
      </c>
      <c r="F22" s="64" t="s">
        <v>93</v>
      </c>
      <c r="G22" s="36">
        <v>0.22</v>
      </c>
      <c r="H22" s="36" t="s">
        <v>23</v>
      </c>
      <c r="I22" s="35">
        <v>0</v>
      </c>
      <c r="J22" s="34">
        <f>12*(J6+J2)*2</f>
        <v>96</v>
      </c>
      <c r="K22" s="33">
        <f t="shared" si="2"/>
        <v>96</v>
      </c>
      <c r="L22" s="31">
        <f t="shared" si="1"/>
        <v>21.12</v>
      </c>
      <c r="M22" s="60" t="s">
        <v>94</v>
      </c>
    </row>
    <row r="23" spans="1:13" ht="33.950000000000003" customHeight="1">
      <c r="A23" s="26">
        <v>18</v>
      </c>
      <c r="B23" s="26" t="s">
        <v>47</v>
      </c>
      <c r="C23" s="40" t="s">
        <v>95</v>
      </c>
      <c r="D23" s="63" t="s">
        <v>96</v>
      </c>
      <c r="E23" s="38" t="s">
        <v>97</v>
      </c>
      <c r="F23" s="64">
        <v>1119</v>
      </c>
      <c r="G23" s="36">
        <v>2.5</v>
      </c>
      <c r="H23" s="36" t="s">
        <v>23</v>
      </c>
      <c r="I23" s="35">
        <v>0</v>
      </c>
      <c r="J23" s="34">
        <f>CEILING((J6+J2)/10,1)</f>
        <v>1</v>
      </c>
      <c r="K23" s="33">
        <f t="shared" si="2"/>
        <v>1</v>
      </c>
      <c r="L23" s="31">
        <f t="shared" si="1"/>
        <v>2.5</v>
      </c>
      <c r="M23" s="60" t="s">
        <v>98</v>
      </c>
    </row>
    <row r="24" spans="1:13" ht="33.950000000000003" customHeight="1">
      <c r="A24" s="26">
        <v>19</v>
      </c>
      <c r="B24" s="26" t="s">
        <v>47</v>
      </c>
      <c r="C24" s="40" t="s">
        <v>99</v>
      </c>
      <c r="D24" s="63" t="s">
        <v>100</v>
      </c>
      <c r="E24" s="38" t="s">
        <v>97</v>
      </c>
      <c r="F24" s="64">
        <v>1870</v>
      </c>
      <c r="G24" s="36">
        <v>2.25</v>
      </c>
      <c r="H24" s="36" t="s">
        <v>23</v>
      </c>
      <c r="I24" s="35">
        <v>0</v>
      </c>
      <c r="J24" s="34">
        <f>(J6+J2)</f>
        <v>4</v>
      </c>
      <c r="K24" s="33">
        <f t="shared" si="2"/>
        <v>4</v>
      </c>
      <c r="L24" s="31">
        <f t="shared" si="1"/>
        <v>9</v>
      </c>
      <c r="M24" s="60" t="s">
        <v>101</v>
      </c>
    </row>
    <row r="25" spans="1:13" ht="33.950000000000003" customHeight="1">
      <c r="A25" s="26">
        <v>20</v>
      </c>
      <c r="B25" s="26" t="s">
        <v>47</v>
      </c>
      <c r="C25" s="40" t="s">
        <v>102</v>
      </c>
      <c r="D25" s="63" t="s">
        <v>103</v>
      </c>
      <c r="E25" s="38" t="s">
        <v>104</v>
      </c>
      <c r="F25" s="64" t="s">
        <v>105</v>
      </c>
      <c r="G25" s="36">
        <v>21.88</v>
      </c>
      <c r="H25" s="36" t="s">
        <v>23</v>
      </c>
      <c r="I25" s="35">
        <v>0</v>
      </c>
      <c r="J25" s="34">
        <f>J6+J2</f>
        <v>4</v>
      </c>
      <c r="K25" s="33">
        <f t="shared" si="2"/>
        <v>4</v>
      </c>
      <c r="L25" s="31">
        <f t="shared" si="1"/>
        <v>87.52</v>
      </c>
      <c r="M25" s="60" t="s">
        <v>106</v>
      </c>
    </row>
    <row r="26" spans="1:13" ht="33.950000000000003" customHeight="1">
      <c r="A26" s="26">
        <v>21</v>
      </c>
      <c r="B26" s="26" t="s">
        <v>47</v>
      </c>
      <c r="C26" s="40" t="s">
        <v>107</v>
      </c>
      <c r="D26" s="63" t="s">
        <v>108</v>
      </c>
      <c r="E26" s="38" t="s">
        <v>109</v>
      </c>
      <c r="F26" s="62" t="s">
        <v>110</v>
      </c>
      <c r="G26" s="36">
        <v>1</v>
      </c>
      <c r="H26" s="36" t="s">
        <v>23</v>
      </c>
      <c r="I26" s="35">
        <v>0</v>
      </c>
      <c r="J26" s="34">
        <f>CEILING((J6+J2)/5,1)</f>
        <v>1</v>
      </c>
      <c r="K26" s="33">
        <f t="shared" si="2"/>
        <v>1</v>
      </c>
      <c r="L26" s="31">
        <f t="shared" si="1"/>
        <v>1</v>
      </c>
      <c r="M26" s="60" t="s">
        <v>111</v>
      </c>
    </row>
    <row r="27" spans="1:13" ht="60" customHeight="1">
      <c r="A27" s="26">
        <v>22</v>
      </c>
      <c r="B27" s="26" t="s">
        <v>47</v>
      </c>
      <c r="C27" s="40" t="s">
        <v>112</v>
      </c>
      <c r="D27" s="61" t="s">
        <v>113</v>
      </c>
      <c r="E27" s="38" t="s">
        <v>114</v>
      </c>
      <c r="F27" s="26" t="s">
        <v>115</v>
      </c>
      <c r="G27" s="36">
        <v>11.69</v>
      </c>
      <c r="H27" s="36" t="s">
        <v>23</v>
      </c>
      <c r="I27" s="35">
        <v>0</v>
      </c>
      <c r="J27" s="34">
        <f>CEILING(((J2+J6)*2)/100,1)</f>
        <v>1</v>
      </c>
      <c r="K27" s="33">
        <f t="shared" si="2"/>
        <v>1</v>
      </c>
      <c r="L27" s="31">
        <f t="shared" si="1"/>
        <v>11.69</v>
      </c>
      <c r="M27" s="60" t="s">
        <v>116</v>
      </c>
    </row>
    <row r="28" spans="1:13" ht="48">
      <c r="A28" s="26">
        <v>23</v>
      </c>
      <c r="B28" s="26" t="s">
        <v>47</v>
      </c>
      <c r="C28" s="40" t="s">
        <v>117</v>
      </c>
      <c r="D28" s="61" t="s">
        <v>118</v>
      </c>
      <c r="E28" s="44" t="s">
        <v>119</v>
      </c>
      <c r="F28" s="26"/>
      <c r="G28" s="59">
        <v>13.99</v>
      </c>
      <c r="H28" s="59" t="s">
        <v>23</v>
      </c>
      <c r="I28" s="58">
        <v>0</v>
      </c>
      <c r="J28" s="57">
        <f>CEILING((J6+J2)*3/20,1)</f>
        <v>1</v>
      </c>
      <c r="K28" s="33">
        <f t="shared" si="2"/>
        <v>1</v>
      </c>
      <c r="L28" s="31">
        <f t="shared" si="1"/>
        <v>13.99</v>
      </c>
      <c r="M28" s="60" t="s">
        <v>120</v>
      </c>
    </row>
    <row r="29" spans="1:13" ht="32.1">
      <c r="A29" s="26">
        <v>24</v>
      </c>
      <c r="B29" s="26" t="s">
        <v>47</v>
      </c>
      <c r="C29" s="40" t="s">
        <v>121</v>
      </c>
      <c r="D29" s="39" t="s">
        <v>122</v>
      </c>
      <c r="E29" s="38" t="s">
        <v>123</v>
      </c>
      <c r="F29" s="42" t="s">
        <v>124</v>
      </c>
      <c r="G29" s="36">
        <v>7.88</v>
      </c>
      <c r="H29" s="36" t="s">
        <v>23</v>
      </c>
      <c r="I29" s="35">
        <v>0</v>
      </c>
      <c r="J29" s="34">
        <f>CEILING((J6+J2)/10,1)</f>
        <v>1</v>
      </c>
      <c r="K29" s="33">
        <f t="shared" si="2"/>
        <v>1</v>
      </c>
      <c r="L29" s="31">
        <f t="shared" si="1"/>
        <v>7.88</v>
      </c>
      <c r="M29" s="32" t="s">
        <v>125</v>
      </c>
    </row>
    <row r="30" spans="1:13" ht="32.1">
      <c r="A30" s="26">
        <v>25</v>
      </c>
      <c r="B30" s="26" t="s">
        <v>47</v>
      </c>
      <c r="C30" s="40" t="s">
        <v>126</v>
      </c>
      <c r="D30" s="39" t="s">
        <v>127</v>
      </c>
      <c r="E30" s="38" t="s">
        <v>123</v>
      </c>
      <c r="F30" s="42" t="s">
        <v>128</v>
      </c>
      <c r="G30" s="36">
        <v>11.18</v>
      </c>
      <c r="H30" s="36" t="s">
        <v>23</v>
      </c>
      <c r="I30" s="35">
        <v>0</v>
      </c>
      <c r="J30" s="34">
        <f>CEILING((J6+J2)*2/25,1)</f>
        <v>1</v>
      </c>
      <c r="K30" s="33">
        <f t="shared" si="2"/>
        <v>1</v>
      </c>
      <c r="L30" s="31">
        <f t="shared" si="1"/>
        <v>11.18</v>
      </c>
      <c r="M30" s="32" t="s">
        <v>129</v>
      </c>
    </row>
    <row r="31" spans="1:13" ht="32.1">
      <c r="A31" s="26">
        <v>26</v>
      </c>
      <c r="B31" s="26" t="s">
        <v>47</v>
      </c>
      <c r="C31" s="40" t="s">
        <v>130</v>
      </c>
      <c r="D31" s="39" t="s">
        <v>131</v>
      </c>
      <c r="E31" s="38" t="s">
        <v>123</v>
      </c>
      <c r="F31" s="42" t="s">
        <v>132</v>
      </c>
      <c r="G31" s="36">
        <v>0.43</v>
      </c>
      <c r="H31" s="36" t="s">
        <v>23</v>
      </c>
      <c r="I31" s="35">
        <v>0</v>
      </c>
      <c r="J31" s="34">
        <f>2*(J6+J2)</f>
        <v>8</v>
      </c>
      <c r="K31" s="33">
        <f t="shared" si="2"/>
        <v>8</v>
      </c>
      <c r="L31" s="31">
        <f t="shared" si="1"/>
        <v>3.44</v>
      </c>
      <c r="M31" s="32" t="s">
        <v>133</v>
      </c>
    </row>
    <row r="32" spans="1:13" ht="32.1">
      <c r="A32" s="26">
        <v>27</v>
      </c>
      <c r="B32" s="26" t="s">
        <v>47</v>
      </c>
      <c r="C32" s="40" t="s">
        <v>134</v>
      </c>
      <c r="D32" s="40" t="s">
        <v>135</v>
      </c>
      <c r="E32" s="44" t="s">
        <v>123</v>
      </c>
      <c r="F32" s="42" t="s">
        <v>136</v>
      </c>
      <c r="G32" s="59">
        <v>5.81</v>
      </c>
      <c r="H32" s="59" t="s">
        <v>23</v>
      </c>
      <c r="I32" s="58">
        <v>0</v>
      </c>
      <c r="J32" s="57">
        <f>CEILING(2*(J6+J2)/100,1)</f>
        <v>1</v>
      </c>
      <c r="K32" s="33">
        <f t="shared" si="2"/>
        <v>1</v>
      </c>
      <c r="L32" s="31">
        <f t="shared" si="1"/>
        <v>5.81</v>
      </c>
      <c r="M32" s="32" t="s">
        <v>137</v>
      </c>
    </row>
    <row r="33" spans="1:13" ht="32.1">
      <c r="A33" s="26">
        <v>28</v>
      </c>
      <c r="B33" s="26" t="s">
        <v>47</v>
      </c>
      <c r="C33" s="40" t="s">
        <v>138</v>
      </c>
      <c r="D33" s="39" t="s">
        <v>139</v>
      </c>
      <c r="E33" s="38" t="s">
        <v>123</v>
      </c>
      <c r="F33" s="42" t="s">
        <v>140</v>
      </c>
      <c r="G33" s="36">
        <v>4.21</v>
      </c>
      <c r="H33" s="36" t="s">
        <v>23</v>
      </c>
      <c r="I33" s="35">
        <v>0</v>
      </c>
      <c r="J33" s="34">
        <f>J32</f>
        <v>1</v>
      </c>
      <c r="K33" s="33">
        <f t="shared" si="2"/>
        <v>1</v>
      </c>
      <c r="L33" s="31">
        <f t="shared" si="1"/>
        <v>4.21</v>
      </c>
      <c r="M33" s="32" t="s">
        <v>141</v>
      </c>
    </row>
    <row r="34" spans="1:13" ht="60.75">
      <c r="A34" s="26">
        <v>29</v>
      </c>
      <c r="B34" s="56" t="s">
        <v>142</v>
      </c>
      <c r="C34" s="21" t="s">
        <v>143</v>
      </c>
      <c r="D34" s="55" t="s">
        <v>144</v>
      </c>
      <c r="E34" s="54" t="s">
        <v>123</v>
      </c>
      <c r="F34" s="53" t="s">
        <v>145</v>
      </c>
      <c r="G34" s="52">
        <v>6</v>
      </c>
      <c r="H34" s="52" t="s">
        <v>23</v>
      </c>
      <c r="I34" s="51">
        <v>0</v>
      </c>
      <c r="J34" s="50">
        <v>0</v>
      </c>
      <c r="K34" s="49">
        <f>J34</f>
        <v>0</v>
      </c>
      <c r="L34" s="48">
        <f t="shared" si="1"/>
        <v>0</v>
      </c>
      <c r="M34" s="47" t="s">
        <v>146</v>
      </c>
    </row>
    <row r="35" spans="1:13" ht="32.1">
      <c r="A35" s="26">
        <v>30</v>
      </c>
      <c r="B35" s="26" t="s">
        <v>47</v>
      </c>
      <c r="C35" s="40" t="s">
        <v>147</v>
      </c>
      <c r="D35" s="39" t="s">
        <v>148</v>
      </c>
      <c r="E35" s="38" t="s">
        <v>123</v>
      </c>
      <c r="F35" s="42" t="s">
        <v>149</v>
      </c>
      <c r="G35" s="36">
        <v>7.33</v>
      </c>
      <c r="H35" s="36" t="s">
        <v>23</v>
      </c>
      <c r="I35" s="35">
        <v>0</v>
      </c>
      <c r="J35" s="34">
        <f>CEILING((J6+J2)*4/100,1)</f>
        <v>1</v>
      </c>
      <c r="K35" s="33">
        <f t="shared" ref="K35:K42" si="3">J35-I35</f>
        <v>1</v>
      </c>
      <c r="L35" s="31">
        <f t="shared" si="1"/>
        <v>7.33</v>
      </c>
      <c r="M35" s="32" t="s">
        <v>150</v>
      </c>
    </row>
    <row r="36" spans="1:13" ht="32.1">
      <c r="A36" s="26">
        <v>31</v>
      </c>
      <c r="B36" s="26" t="s">
        <v>47</v>
      </c>
      <c r="C36" s="40" t="s">
        <v>151</v>
      </c>
      <c r="D36" s="39" t="s">
        <v>152</v>
      </c>
      <c r="E36" s="38" t="s">
        <v>123</v>
      </c>
      <c r="F36" s="42" t="s">
        <v>153</v>
      </c>
      <c r="G36" s="36">
        <v>5.7</v>
      </c>
      <c r="H36" s="36" t="s">
        <v>23</v>
      </c>
      <c r="I36" s="35">
        <v>0</v>
      </c>
      <c r="J36" s="34">
        <f>CEILING((J6+J2)*4/10,1)</f>
        <v>2</v>
      </c>
      <c r="K36" s="33">
        <f t="shared" si="3"/>
        <v>2</v>
      </c>
      <c r="L36" s="31">
        <f t="shared" si="1"/>
        <v>11.4</v>
      </c>
      <c r="M36" s="32" t="s">
        <v>154</v>
      </c>
    </row>
    <row r="37" spans="1:13" ht="48">
      <c r="A37" s="26">
        <v>32</v>
      </c>
      <c r="B37" s="26" t="s">
        <v>47</v>
      </c>
      <c r="C37" s="40" t="s">
        <v>155</v>
      </c>
      <c r="D37" s="46" t="s">
        <v>156</v>
      </c>
      <c r="E37" s="38" t="s">
        <v>157</v>
      </c>
      <c r="F37" s="42"/>
      <c r="G37" s="36">
        <v>6.2</v>
      </c>
      <c r="H37" s="36" t="s">
        <v>23</v>
      </c>
      <c r="I37" s="35">
        <v>0</v>
      </c>
      <c r="J37" s="34">
        <v>1</v>
      </c>
      <c r="K37" s="33">
        <f t="shared" si="3"/>
        <v>1</v>
      </c>
      <c r="L37" s="31">
        <f t="shared" si="1"/>
        <v>6.2</v>
      </c>
      <c r="M37" s="32" t="s">
        <v>158</v>
      </c>
    </row>
    <row r="38" spans="1:13" ht="63.95">
      <c r="A38" s="26">
        <v>33</v>
      </c>
      <c r="B38" s="26" t="s">
        <v>47</v>
      </c>
      <c r="C38" s="40" t="s">
        <v>159</v>
      </c>
      <c r="D38" s="45" t="s">
        <v>160</v>
      </c>
      <c r="E38" s="38" t="s">
        <v>161</v>
      </c>
      <c r="F38" s="42" t="s">
        <v>162</v>
      </c>
      <c r="G38" s="36">
        <v>4.99</v>
      </c>
      <c r="H38" s="36" t="s">
        <v>23</v>
      </c>
      <c r="I38" s="35">
        <v>0</v>
      </c>
      <c r="J38" s="34">
        <f>CEILING(2*(J6+J2)/100,1)</f>
        <v>1</v>
      </c>
      <c r="K38" s="33">
        <f t="shared" si="3"/>
        <v>1</v>
      </c>
      <c r="L38" s="31">
        <f t="shared" si="1"/>
        <v>4.99</v>
      </c>
      <c r="M38" s="32" t="s">
        <v>163</v>
      </c>
    </row>
    <row r="39" spans="1:13" ht="63.95">
      <c r="A39" s="26">
        <v>34</v>
      </c>
      <c r="B39" s="44" t="s">
        <v>164</v>
      </c>
      <c r="C39" s="40" t="s">
        <v>165</v>
      </c>
      <c r="D39" s="45" t="s">
        <v>166</v>
      </c>
      <c r="E39" s="38" t="s">
        <v>167</v>
      </c>
      <c r="F39" s="42"/>
      <c r="G39" s="36">
        <v>11</v>
      </c>
      <c r="H39" s="41" t="s">
        <v>168</v>
      </c>
      <c r="I39" s="35">
        <v>0</v>
      </c>
      <c r="J39" s="34">
        <f>CEILING((J6+3*CEILING(J2/3,1))/3,1)</f>
        <v>2</v>
      </c>
      <c r="K39" s="33">
        <f t="shared" si="3"/>
        <v>2</v>
      </c>
      <c r="L39" s="31">
        <f t="shared" si="1"/>
        <v>22</v>
      </c>
      <c r="M39" s="32" t="s">
        <v>169</v>
      </c>
    </row>
    <row r="40" spans="1:13" ht="63.95">
      <c r="A40" s="26">
        <v>35</v>
      </c>
      <c r="B40" s="44" t="s">
        <v>47</v>
      </c>
      <c r="C40" s="40" t="s">
        <v>170</v>
      </c>
      <c r="D40" s="45" t="s">
        <v>171</v>
      </c>
      <c r="E40" s="38" t="s">
        <v>172</v>
      </c>
      <c r="F40" s="42"/>
      <c r="G40" s="36">
        <v>15.99</v>
      </c>
      <c r="H40" s="41" t="s">
        <v>23</v>
      </c>
      <c r="I40" s="35">
        <v>0</v>
      </c>
      <c r="J40" s="34">
        <v>1</v>
      </c>
      <c r="K40" s="33">
        <f t="shared" si="3"/>
        <v>1</v>
      </c>
      <c r="L40" s="31">
        <f t="shared" si="1"/>
        <v>15.99</v>
      </c>
      <c r="M40" s="32" t="s">
        <v>173</v>
      </c>
    </row>
    <row r="41" spans="1:13" ht="80.099999999999994">
      <c r="A41" s="26">
        <v>36</v>
      </c>
      <c r="B41" s="44" t="s">
        <v>174</v>
      </c>
      <c r="C41" s="40" t="s">
        <v>175</v>
      </c>
      <c r="D41" s="43" t="s">
        <v>176</v>
      </c>
      <c r="E41" s="38" t="s">
        <v>177</v>
      </c>
      <c r="F41" s="42"/>
      <c r="G41" s="36">
        <v>8.89</v>
      </c>
      <c r="H41" s="41" t="s">
        <v>23</v>
      </c>
      <c r="I41" s="35">
        <v>0</v>
      </c>
      <c r="J41" s="34">
        <v>4</v>
      </c>
      <c r="K41" s="33">
        <f t="shared" si="3"/>
        <v>4</v>
      </c>
      <c r="L41" s="31">
        <f t="shared" si="1"/>
        <v>35.56</v>
      </c>
      <c r="M41" s="32" t="s">
        <v>178</v>
      </c>
    </row>
    <row r="42" spans="1:13" ht="15.95">
      <c r="A42" s="26">
        <v>37</v>
      </c>
      <c r="B42" s="25" t="s">
        <v>47</v>
      </c>
      <c r="C42" s="40" t="s">
        <v>179</v>
      </c>
      <c r="D42" s="39" t="s">
        <v>180</v>
      </c>
      <c r="E42" s="38" t="s">
        <v>181</v>
      </c>
      <c r="F42" s="37" t="s">
        <v>182</v>
      </c>
      <c r="G42" s="36">
        <v>18.260000000000002</v>
      </c>
      <c r="H42" s="36" t="s">
        <v>23</v>
      </c>
      <c r="I42" s="35">
        <v>0</v>
      </c>
      <c r="J42" s="34">
        <v>1</v>
      </c>
      <c r="K42" s="33">
        <f t="shared" si="3"/>
        <v>1</v>
      </c>
      <c r="L42" s="31">
        <f t="shared" si="1"/>
        <v>18.260000000000002</v>
      </c>
      <c r="M42" s="32" t="s">
        <v>183</v>
      </c>
    </row>
    <row r="43" spans="1:13" ht="15.95">
      <c r="A43" s="26">
        <v>38</v>
      </c>
      <c r="B43" s="25" t="s">
        <v>47</v>
      </c>
      <c r="C43" s="4" t="s">
        <v>184</v>
      </c>
      <c r="D43" s="4" t="s">
        <v>185</v>
      </c>
      <c r="E43" s="3" t="s">
        <v>123</v>
      </c>
      <c r="F43" s="11" t="s">
        <v>186</v>
      </c>
      <c r="G43" s="2">
        <v>46.04</v>
      </c>
      <c r="H43" s="2" t="s">
        <v>23</v>
      </c>
      <c r="I43" s="27">
        <v>0</v>
      </c>
      <c r="J43" s="1">
        <v>1</v>
      </c>
      <c r="K43" s="22">
        <v>1</v>
      </c>
      <c r="L43" s="31">
        <f t="shared" si="1"/>
        <v>46.04</v>
      </c>
      <c r="M43" t="s">
        <v>187</v>
      </c>
    </row>
    <row r="44" spans="1:13" ht="80.099999999999994">
      <c r="A44" s="26">
        <v>39</v>
      </c>
      <c r="B44" s="25" t="s">
        <v>47</v>
      </c>
      <c r="C44" s="4" t="s">
        <v>188</v>
      </c>
      <c r="D44" s="30" t="s">
        <v>189</v>
      </c>
      <c r="E44" s="3" t="s">
        <v>190</v>
      </c>
      <c r="F44" t="s">
        <v>191</v>
      </c>
      <c r="G44" s="2">
        <v>40</v>
      </c>
      <c r="H44" s="2" t="s">
        <v>23</v>
      </c>
      <c r="I44" s="27">
        <v>0</v>
      </c>
      <c r="J44" s="1">
        <v>2</v>
      </c>
      <c r="K44" s="22">
        <v>2</v>
      </c>
      <c r="L44" s="1" t="s">
        <v>192</v>
      </c>
      <c r="M44" t="s">
        <v>193</v>
      </c>
    </row>
    <row r="45" spans="1:13" ht="106.5">
      <c r="A45" s="26">
        <v>40</v>
      </c>
      <c r="B45" s="44" t="s">
        <v>194</v>
      </c>
      <c r="C45" s="4" t="s">
        <v>195</v>
      </c>
      <c r="D45" s="30"/>
      <c r="F45" s="29" t="s">
        <v>196</v>
      </c>
      <c r="G45" s="2">
        <v>27.73</v>
      </c>
      <c r="I45" s="27">
        <v>0</v>
      </c>
      <c r="K45" s="22">
        <v>2</v>
      </c>
      <c r="L45" s="1">
        <v>27.73</v>
      </c>
    </row>
    <row r="46" spans="1:13" ht="106.5">
      <c r="A46" s="26">
        <v>41</v>
      </c>
      <c r="B46" s="44" t="s">
        <v>194</v>
      </c>
      <c r="C46" s="4" t="s">
        <v>197</v>
      </c>
      <c r="D46" s="28" t="s">
        <v>198</v>
      </c>
      <c r="E46" s="3" t="s">
        <v>199</v>
      </c>
      <c r="G46" s="2">
        <v>44.14</v>
      </c>
      <c r="H46" s="2" t="s">
        <v>23</v>
      </c>
      <c r="I46" s="27">
        <v>0</v>
      </c>
      <c r="J46" s="1">
        <f>CEILING((J6+J2)/6,1)</f>
        <v>1</v>
      </c>
      <c r="K46" s="22">
        <f>J46-I46</f>
        <v>1</v>
      </c>
      <c r="L46" s="1">
        <v>44.14</v>
      </c>
      <c r="M46" t="s">
        <v>200</v>
      </c>
    </row>
    <row r="47" spans="1:13" ht="106.5">
      <c r="A47" s="26">
        <v>42</v>
      </c>
      <c r="B47" s="44" t="s">
        <v>194</v>
      </c>
      <c r="C47" s="4" t="s">
        <v>201</v>
      </c>
      <c r="D47" s="24" t="s">
        <v>202</v>
      </c>
      <c r="E47" s="3" t="s">
        <v>181</v>
      </c>
      <c r="F47" t="s">
        <v>203</v>
      </c>
      <c r="G47" s="2">
        <v>18.04</v>
      </c>
      <c r="H47" s="2" t="s">
        <v>23</v>
      </c>
      <c r="I47" s="23">
        <v>0</v>
      </c>
      <c r="J47" s="1">
        <f>CEILING((J6+J2)*2/5,1)</f>
        <v>2</v>
      </c>
      <c r="K47" s="22">
        <f>J47-I47</f>
        <v>2</v>
      </c>
      <c r="L47" s="2">
        <f>K47*G47</f>
        <v>36.08</v>
      </c>
      <c r="M47" t="s">
        <v>204</v>
      </c>
    </row>
    <row r="48" spans="1:13" ht="45.75">
      <c r="A48" s="26">
        <v>43</v>
      </c>
      <c r="B48" s="21" t="s">
        <v>205</v>
      </c>
      <c r="C48" s="20" t="s">
        <v>206</v>
      </c>
      <c r="D48" s="19" t="s">
        <v>207</v>
      </c>
      <c r="E48" s="18" t="s">
        <v>181</v>
      </c>
      <c r="F48" s="13" t="s">
        <v>208</v>
      </c>
      <c r="G48" s="14">
        <v>14.67</v>
      </c>
      <c r="H48" s="14" t="s">
        <v>209</v>
      </c>
      <c r="I48" s="17">
        <v>0</v>
      </c>
      <c r="J48" s="16">
        <f>J6+J2</f>
        <v>4</v>
      </c>
      <c r="K48" s="15">
        <f>J48-I48</f>
        <v>4</v>
      </c>
      <c r="L48" s="14">
        <f>K48*G48</f>
        <v>58.68</v>
      </c>
      <c r="M48" s="13" t="s">
        <v>210</v>
      </c>
    </row>
    <row r="49" spans="3:13" ht="20.100000000000001" thickBot="1">
      <c r="C49" s="12"/>
      <c r="D49" s="11"/>
      <c r="E49" s="10"/>
      <c r="I49" s="115" t="s">
        <v>211</v>
      </c>
      <c r="J49" s="116"/>
      <c r="K49" s="117"/>
      <c r="L49" s="9">
        <f>SUM(L6:L42)</f>
        <v>2131.23</v>
      </c>
      <c r="M49" s="8"/>
    </row>
    <row r="50" spans="3:13" ht="17.100000000000001" thickBot="1">
      <c r="I50" s="118" t="s">
        <v>212</v>
      </c>
      <c r="J50" s="119"/>
      <c r="K50" s="119"/>
      <c r="L50" s="7">
        <f>L49/(J6)</f>
        <v>1065.615</v>
      </c>
    </row>
    <row r="51" spans="3:13">
      <c r="J51" s="111"/>
      <c r="K51" s="111"/>
      <c r="L51" s="2"/>
    </row>
    <row r="52" spans="3:13">
      <c r="J52" s="111"/>
      <c r="K52" s="111"/>
      <c r="L52" s="2"/>
    </row>
    <row r="53" spans="3:13" ht="26.1">
      <c r="D53" s="6"/>
      <c r="J53" s="111"/>
      <c r="K53" s="111"/>
      <c r="L53" s="2"/>
    </row>
    <row r="54" spans="3:13" ht="18">
      <c r="D54" s="5"/>
      <c r="L54" s="2"/>
    </row>
    <row r="55" spans="3:13">
      <c r="L55" s="2"/>
    </row>
  </sheetData>
  <mergeCells count="8">
    <mergeCell ref="J51:K51"/>
    <mergeCell ref="J52:K52"/>
    <mergeCell ref="J53:K53"/>
    <mergeCell ref="K2:M2"/>
    <mergeCell ref="B8:B9"/>
    <mergeCell ref="I49:K49"/>
    <mergeCell ref="I50:K50"/>
    <mergeCell ref="A2:F2"/>
  </mergeCells>
  <hyperlinks>
    <hyperlink ref="M22" r:id="rId1" xr:uid="{AC69DD69-EB9C-B145-9BEE-B3F94B1BBCA9}"/>
    <hyperlink ref="M11" r:id="rId2" xr:uid="{0EF13494-271F-0248-AD23-147FB6B63A87}"/>
    <hyperlink ref="M9" r:id="rId3" xr:uid="{8358CB6F-7036-D54E-92D5-FFCB46344A40}"/>
    <hyperlink ref="M21" r:id="rId4" xr:uid="{A951A219-9D7C-D44E-8B6D-F3642C95F8AE}"/>
    <hyperlink ref="M42" r:id="rId5" xr:uid="{46231444-1169-3F4D-8DF7-4A735888503B}"/>
    <hyperlink ref="M6" r:id="rId6" xr:uid="{62ECF23F-3835-AA47-AAA2-D7E971B17243}"/>
    <hyperlink ref="M32" r:id="rId7" xr:uid="{51CBCC3D-1480-164C-B1C3-B6505B750EF6}"/>
    <hyperlink ref="M29" r:id="rId8" xr:uid="{F12EFCC0-1E77-E74B-BE54-F7DBAEEFC8FB}"/>
    <hyperlink ref="M39" r:id="rId9" xr:uid="{92AA6577-8228-8C4E-BDED-F0B7A570F0B1}"/>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Savannah DeVoe</cp:lastModifiedBy>
  <cp:revision/>
  <dcterms:created xsi:type="dcterms:W3CDTF">2022-10-03T14:16:42Z</dcterms:created>
  <dcterms:modified xsi:type="dcterms:W3CDTF">2023-04-27T21:10:40Z</dcterms:modified>
  <cp:category/>
  <cp:contentStatus/>
</cp:coreProperties>
</file>