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TP\_Databases\_GartleBudgeting\workbooks\"/>
    </mc:Choice>
  </mc:AlternateContent>
  <xr:revisionPtr revIDLastSave="0" documentId="13_ncr:1_{A1A476E2-81E1-482C-B307-8AEF5EC86CFE}" xr6:coauthVersionLast="47" xr6:coauthVersionMax="47" xr10:uidLastSave="{00000000-0000-0000-0000-000000000000}"/>
  <bookViews>
    <workbookView xWindow="-120" yWindow="-120" windowWidth="29040" windowHeight="15840" activeTab="1" xr2:uid="{888DE3F6-B914-4600-A1AF-C9F1F861ACD3}"/>
  </bookViews>
  <sheets>
    <sheet name="Readme" sheetId="8" r:id="rId1"/>
    <sheet name="Request1" sheetId="1" r:id="rId2"/>
    <sheet name="Request2" sheetId="7" r:id="rId3"/>
    <sheet name="TableViews_Data" sheetId="2" state="veryHidden" r:id="rId4"/>
    <sheet name="SaveToDB_Data" sheetId="3" state="veryHidden" r:id="rId5"/>
    <sheet name="SaveToDB_LoadedID" sheetId="4" state="veryHidden" r:id="rId6"/>
    <sheet name="SaveToDB_UpdatedID" sheetId="5" state="veryHidden" r:id="rId7"/>
    <sheet name="SaveToDB_Lists" sheetId="6" state="veryHidden" r:id="rId8"/>
  </sheets>
  <definedNames>
    <definedName name="_xlnm._FilterDatabase" localSheetId="2" hidden="1">Request2!$B$4:$BC$7</definedName>
    <definedName name="category_id__name" localSheetId="1">Request1!$B$1</definedName>
    <definedName name="category_id__name" localSheetId="2">Request2!$B$1</definedName>
    <definedName name="entity_id__name" localSheetId="1">Request1!$D$1</definedName>
    <definedName name="entity_id__name" localSheetId="2">Request2!$D$1</definedName>
    <definedName name="ExternalData_1" localSheetId="1" hidden="1">Request1!$B$8:$BC$34</definedName>
    <definedName name="ExternalData_1" localSheetId="2" hidden="1">Request2!$B$8:$BC$34</definedName>
    <definedName name="ExternalData_1" localSheetId="7" hidden="1">SaveToDB_Lists!$A$3:$B$28</definedName>
    <definedName name="ExternalData_10" localSheetId="7" hidden="1">SaveToDB_Lists!$A$107:$B$124</definedName>
    <definedName name="ExternalData_11" localSheetId="7" hidden="1">SaveToDB_Lists!$A$126:$B$128</definedName>
    <definedName name="ExternalData_12" localSheetId="7" hidden="1">SaveToDB_Lists!$A$130:$B$133</definedName>
    <definedName name="ExternalData_2" localSheetId="7" hidden="1">SaveToDB_Lists!$A$30:$B$34</definedName>
    <definedName name="ExternalData_3" localSheetId="7" hidden="1">SaveToDB_Lists!$A$36:$B$39</definedName>
    <definedName name="ExternalData_4" localSheetId="7" hidden="1">SaveToDB_Lists!$A$41:$B$58</definedName>
    <definedName name="ExternalData_5" localSheetId="7" hidden="1">SaveToDB_Lists!$A$60:$B$62</definedName>
    <definedName name="ExternalData_6" localSheetId="7" hidden="1">SaveToDB_Lists!$A$64:$B$67</definedName>
    <definedName name="ExternalData_7" localSheetId="7" hidden="1">SaveToDB_Lists!$A$69:$B$94</definedName>
    <definedName name="ExternalData_8" localSheetId="7" hidden="1">SaveToDB_Lists!$A$96:$B$100</definedName>
    <definedName name="ExternalData_9" localSheetId="7" hidden="1">SaveToDB_Lists!$A$102:$B$105</definedName>
    <definedName name="_xlnm.Print_Area" localSheetId="0">Readme!$B$2:$D$29</definedName>
    <definedName name="_xlnm.Print_Area" localSheetId="1">Request1!$E$2:$AT$38</definedName>
    <definedName name="_xlnm.Print_Area" localSheetId="2">Request2!$E$2:$AT$38</definedName>
    <definedName name="time_id__name" localSheetId="1">Request1!$C$1</definedName>
    <definedName name="time_id__name" localSheetId="2">Request2!$C$1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3" i="7" l="1"/>
  <c r="AA32" i="7"/>
  <c r="AM32" i="7"/>
  <c r="Z32" i="7"/>
  <c r="Y32" i="7"/>
  <c r="AL32" i="7" s="1"/>
  <c r="AK32" i="7"/>
  <c r="X32" i="7"/>
  <c r="W32" i="7"/>
  <c r="AJ32" i="7" s="1"/>
  <c r="AI32" i="7"/>
  <c r="V32" i="7"/>
  <c r="U32" i="7"/>
  <c r="AH32" i="7" s="1"/>
  <c r="AG32" i="7"/>
  <c r="T32" i="7"/>
  <c r="S32" i="7"/>
  <c r="AF32" i="7" s="1"/>
  <c r="AE32" i="7"/>
  <c r="R32" i="7"/>
  <c r="Q32" i="7"/>
  <c r="AD32" i="7" s="1"/>
  <c r="AC32" i="7"/>
  <c r="P32" i="7"/>
  <c r="AB32" i="7"/>
  <c r="AM21" i="7"/>
  <c r="AL21" i="7"/>
  <c r="AK21" i="7"/>
  <c r="AJ21" i="7"/>
  <c r="AI21" i="7"/>
  <c r="AC21" i="7"/>
  <c r="AJ20" i="7"/>
  <c r="AN17" i="7"/>
  <c r="AO17" i="7" s="1"/>
  <c r="AP17" i="7" s="1"/>
  <c r="AQ17" i="7" s="1"/>
  <c r="AR17" i="7" s="1"/>
  <c r="AS17" i="7" s="1"/>
  <c r="AT17" i="7" s="1"/>
  <c r="AU17" i="7" s="1"/>
  <c r="AV17" i="7" s="1"/>
  <c r="AW17" i="7" s="1"/>
  <c r="AX17" i="7" s="1"/>
  <c r="AY17" i="7" s="1"/>
  <c r="N17" i="7"/>
  <c r="M17" i="7"/>
  <c r="Z16" i="7"/>
  <c r="AA16" i="7" s="1"/>
  <c r="Y16" i="7"/>
  <c r="AH15" i="7"/>
  <c r="V15" i="7"/>
  <c r="W15" i="7" s="1"/>
  <c r="AA13" i="7"/>
  <c r="Z13" i="7"/>
  <c r="Y13" i="7"/>
  <c r="X13" i="7"/>
  <c r="W13" i="7"/>
  <c r="V13" i="7"/>
  <c r="U13" i="7"/>
  <c r="T13" i="7"/>
  <c r="N13" i="7" s="1"/>
  <c r="S13" i="7"/>
  <c r="R13" i="7"/>
  <c r="Q13" i="7"/>
  <c r="AO13" i="7" s="1"/>
  <c r="AP13" i="7" s="1"/>
  <c r="AQ13" i="7" s="1"/>
  <c r="AR13" i="7" s="1"/>
  <c r="AS13" i="7" s="1"/>
  <c r="AT13" i="7" s="1"/>
  <c r="AU13" i="7" s="1"/>
  <c r="AV13" i="7" s="1"/>
  <c r="AW13" i="7" s="1"/>
  <c r="AX13" i="7" s="1"/>
  <c r="AY13" i="7" s="1"/>
  <c r="AM11" i="7"/>
  <c r="AL11" i="7"/>
  <c r="AK11" i="7"/>
  <c r="AJ11" i="7"/>
  <c r="AI11" i="7"/>
  <c r="AH11" i="7"/>
  <c r="AG11" i="7"/>
  <c r="AF11" i="7"/>
  <c r="AE11" i="7"/>
  <c r="AD11" i="7"/>
  <c r="AC11" i="7"/>
  <c r="AB11" i="7"/>
  <c r="M11" i="7" s="1"/>
  <c r="AC10" i="7"/>
  <c r="AD10" i="7" s="1"/>
  <c r="AE10" i="7" s="1"/>
  <c r="AF10" i="7" s="1"/>
  <c r="AG10" i="7" s="1"/>
  <c r="AH10" i="7" s="1"/>
  <c r="AI10" i="7" s="1"/>
  <c r="AJ10" i="7" s="1"/>
  <c r="AK10" i="7" s="1"/>
  <c r="AL10" i="7" s="1"/>
  <c r="AM10" i="7" s="1"/>
  <c r="AY9" i="7"/>
  <c r="AY12" i="7"/>
  <c r="AY14" i="7"/>
  <c r="AY18" i="7"/>
  <c r="AY19" i="7"/>
  <c r="AY22" i="7"/>
  <c r="AY23" i="7"/>
  <c r="AY24" i="7"/>
  <c r="AY25" i="7"/>
  <c r="AY26" i="7"/>
  <c r="AY27" i="7"/>
  <c r="AY28" i="7"/>
  <c r="AY29" i="7"/>
  <c r="AY30" i="7"/>
  <c r="AY31" i="7"/>
  <c r="AY34" i="7"/>
  <c r="AX9" i="7"/>
  <c r="AX12" i="7"/>
  <c r="AX14" i="7"/>
  <c r="AX18" i="7"/>
  <c r="AX19" i="7"/>
  <c r="AX22" i="7"/>
  <c r="AX23" i="7"/>
  <c r="AX24" i="7"/>
  <c r="AX25" i="7"/>
  <c r="AX26" i="7"/>
  <c r="AX27" i="7"/>
  <c r="AX28" i="7"/>
  <c r="AX29" i="7"/>
  <c r="AX30" i="7"/>
  <c r="AX31" i="7"/>
  <c r="AX34" i="7"/>
  <c r="AW9" i="7"/>
  <c r="AW12" i="7"/>
  <c r="AW14" i="7"/>
  <c r="AW16" i="7"/>
  <c r="AX16" i="7" s="1"/>
  <c r="AW18" i="7"/>
  <c r="AW19" i="7"/>
  <c r="AW22" i="7"/>
  <c r="AW23" i="7"/>
  <c r="AW24" i="7"/>
  <c r="AW25" i="7"/>
  <c r="AW26" i="7"/>
  <c r="AW27" i="7"/>
  <c r="AW28" i="7"/>
  <c r="AW29" i="7"/>
  <c r="AW30" i="7"/>
  <c r="AW31" i="7"/>
  <c r="AW34" i="7"/>
  <c r="AV9" i="7"/>
  <c r="AV12" i="7"/>
  <c r="AV14" i="7"/>
  <c r="AV16" i="7"/>
  <c r="AV18" i="7"/>
  <c r="AV19" i="7"/>
  <c r="AV20" i="7"/>
  <c r="AV22" i="7"/>
  <c r="AV23" i="7"/>
  <c r="AV24" i="7"/>
  <c r="AV25" i="7"/>
  <c r="AV26" i="7"/>
  <c r="AV27" i="7"/>
  <c r="AV28" i="7"/>
  <c r="AV29" i="7"/>
  <c r="AV30" i="7"/>
  <c r="AV31" i="7"/>
  <c r="AV34" i="7"/>
  <c r="AU9" i="7"/>
  <c r="AU12" i="7"/>
  <c r="AU14" i="7"/>
  <c r="AU16" i="7"/>
  <c r="AU18" i="7"/>
  <c r="AU19" i="7"/>
  <c r="AU20" i="7"/>
  <c r="AU22" i="7"/>
  <c r="AU23" i="7"/>
  <c r="AU24" i="7"/>
  <c r="AU25" i="7"/>
  <c r="AU26" i="7"/>
  <c r="AU27" i="7"/>
  <c r="AU28" i="7"/>
  <c r="AU29" i="7"/>
  <c r="AU30" i="7"/>
  <c r="AU31" i="7"/>
  <c r="AU34" i="7"/>
  <c r="AT9" i="7"/>
  <c r="AT12" i="7"/>
  <c r="AT14" i="7"/>
  <c r="AT16" i="7"/>
  <c r="AT18" i="7"/>
  <c r="AT19" i="7"/>
  <c r="AT20" i="7"/>
  <c r="AT22" i="7"/>
  <c r="AT23" i="7"/>
  <c r="AT24" i="7"/>
  <c r="AT25" i="7"/>
  <c r="AT26" i="7"/>
  <c r="AT27" i="7"/>
  <c r="AT28" i="7"/>
  <c r="AT29" i="7"/>
  <c r="AT30" i="7"/>
  <c r="AT31" i="7"/>
  <c r="AT34" i="7"/>
  <c r="AS9" i="7"/>
  <c r="AS12" i="7"/>
  <c r="AS14" i="7"/>
  <c r="AS15" i="7"/>
  <c r="AS16" i="7"/>
  <c r="AS18" i="7"/>
  <c r="AS19" i="7"/>
  <c r="AS20" i="7"/>
  <c r="AS22" i="7"/>
  <c r="AS23" i="7"/>
  <c r="AS24" i="7"/>
  <c r="AS25" i="7"/>
  <c r="AS26" i="7"/>
  <c r="AS27" i="7"/>
  <c r="AS28" i="7"/>
  <c r="AS29" i="7"/>
  <c r="AS30" i="7"/>
  <c r="AS31" i="7"/>
  <c r="AS34" i="7"/>
  <c r="AR9" i="7"/>
  <c r="AR12" i="7"/>
  <c r="AR14" i="7"/>
  <c r="AR15" i="7"/>
  <c r="AR16" i="7"/>
  <c r="AR18" i="7"/>
  <c r="AR19" i="7"/>
  <c r="AR20" i="7"/>
  <c r="AR22" i="7"/>
  <c r="AR23" i="7"/>
  <c r="AR24" i="7"/>
  <c r="AR25" i="7"/>
  <c r="AR26" i="7"/>
  <c r="AR27" i="7"/>
  <c r="AR28" i="7"/>
  <c r="AR29" i="7"/>
  <c r="AR30" i="7"/>
  <c r="AR31" i="7"/>
  <c r="AR34" i="7"/>
  <c r="AQ9" i="7"/>
  <c r="AQ12" i="7"/>
  <c r="AQ14" i="7"/>
  <c r="AQ15" i="7"/>
  <c r="AQ16" i="7"/>
  <c r="AQ18" i="7"/>
  <c r="AQ19" i="7"/>
  <c r="AQ20" i="7"/>
  <c r="AQ22" i="7"/>
  <c r="AQ23" i="7"/>
  <c r="AQ24" i="7"/>
  <c r="AQ25" i="7"/>
  <c r="AQ26" i="7"/>
  <c r="AQ27" i="7"/>
  <c r="AQ28" i="7"/>
  <c r="AQ29" i="7"/>
  <c r="AQ30" i="7"/>
  <c r="AQ31" i="7"/>
  <c r="AQ34" i="7"/>
  <c r="AP9" i="7"/>
  <c r="AP12" i="7"/>
  <c r="AP14" i="7"/>
  <c r="AP15" i="7"/>
  <c r="AP16" i="7"/>
  <c r="AP18" i="7"/>
  <c r="AP19" i="7"/>
  <c r="AP20" i="7"/>
  <c r="AP22" i="7"/>
  <c r="AP23" i="7"/>
  <c r="AP24" i="7"/>
  <c r="AP25" i="7"/>
  <c r="AP26" i="7"/>
  <c r="AP27" i="7"/>
  <c r="AP28" i="7"/>
  <c r="AP29" i="7"/>
  <c r="AP30" i="7"/>
  <c r="AP31" i="7"/>
  <c r="AP33" i="7"/>
  <c r="AQ33" i="7" s="1"/>
  <c r="AR33" i="7" s="1"/>
  <c r="AS33" i="7" s="1"/>
  <c r="AT33" i="7" s="1"/>
  <c r="AU33" i="7" s="1"/>
  <c r="AV33" i="7" s="1"/>
  <c r="AW33" i="7" s="1"/>
  <c r="AX33" i="7" s="1"/>
  <c r="AY33" i="7" s="1"/>
  <c r="AP34" i="7"/>
  <c r="AO9" i="7"/>
  <c r="AO10" i="7"/>
  <c r="AO12" i="7"/>
  <c r="AO14" i="7"/>
  <c r="AO15" i="7"/>
  <c r="AO16" i="7"/>
  <c r="AO18" i="7"/>
  <c r="AO19" i="7"/>
  <c r="AO20" i="7"/>
  <c r="AO21" i="7"/>
  <c r="AO22" i="7"/>
  <c r="AO23" i="7"/>
  <c r="AO24" i="7"/>
  <c r="AO25" i="7"/>
  <c r="AO26" i="7"/>
  <c r="AO27" i="7"/>
  <c r="AO28" i="7"/>
  <c r="AO29" i="7"/>
  <c r="AO30" i="7"/>
  <c r="AO31" i="7"/>
  <c r="AO33" i="7"/>
  <c r="AO34" i="7"/>
  <c r="AN9" i="7"/>
  <c r="AN10" i="7"/>
  <c r="AN11" i="7"/>
  <c r="AO11" i="7" s="1"/>
  <c r="AP11" i="7" s="1"/>
  <c r="AQ11" i="7" s="1"/>
  <c r="AR11" i="7" s="1"/>
  <c r="AS11" i="7" s="1"/>
  <c r="AT11" i="7" s="1"/>
  <c r="AU11" i="7" s="1"/>
  <c r="AV11" i="7" s="1"/>
  <c r="AW11" i="7" s="1"/>
  <c r="AX11" i="7" s="1"/>
  <c r="AY11" i="7" s="1"/>
  <c r="AN12" i="7"/>
  <c r="AN13" i="7"/>
  <c r="AN14" i="7"/>
  <c r="AN15" i="7"/>
  <c r="AN16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O32" i="7" s="1"/>
  <c r="AP32" i="7" s="1"/>
  <c r="AQ32" i="7" s="1"/>
  <c r="AN33" i="7"/>
  <c r="AN34" i="7"/>
  <c r="N9" i="7"/>
  <c r="N10" i="7"/>
  <c r="N11" i="7"/>
  <c r="N12" i="7"/>
  <c r="N14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3" i="7"/>
  <c r="N34" i="7"/>
  <c r="M9" i="7"/>
  <c r="M12" i="7"/>
  <c r="M13" i="7"/>
  <c r="M14" i="7"/>
  <c r="M15" i="7"/>
  <c r="M16" i="7"/>
  <c r="M18" i="7"/>
  <c r="M19" i="7"/>
  <c r="M22" i="7"/>
  <c r="M23" i="7"/>
  <c r="M24" i="7"/>
  <c r="M25" i="7"/>
  <c r="M26" i="7"/>
  <c r="M27" i="7"/>
  <c r="M28" i="7"/>
  <c r="M29" i="7"/>
  <c r="M30" i="7"/>
  <c r="M31" i="7"/>
  <c r="M33" i="7"/>
  <c r="M34" i="7"/>
  <c r="V33" i="1"/>
  <c r="AX32" i="1"/>
  <c r="AW32" i="1"/>
  <c r="AU32" i="1"/>
  <c r="AR32" i="1"/>
  <c r="AT32" i="1" s="1"/>
  <c r="AQ32" i="1"/>
  <c r="AO32" i="1"/>
  <c r="AL32" i="1"/>
  <c r="AN32" i="1" s="1"/>
  <c r="AK32" i="1"/>
  <c r="AI32" i="1"/>
  <c r="AF32" i="1"/>
  <c r="AH32" i="1" s="1"/>
  <c r="AE32" i="1"/>
  <c r="AC32" i="1"/>
  <c r="Z32" i="1"/>
  <c r="AB32" i="1" s="1"/>
  <c r="Y32" i="1"/>
  <c r="W32" i="1"/>
  <c r="T32" i="1"/>
  <c r="V32" i="1" s="1"/>
  <c r="S32" i="1"/>
  <c r="Q32" i="1"/>
  <c r="P32" i="1"/>
  <c r="AW21" i="1"/>
  <c r="AT21" i="1"/>
  <c r="AQ21" i="1"/>
  <c r="AN21" i="1"/>
  <c r="AK21" i="1"/>
  <c r="S21" i="1"/>
  <c r="AN20" i="1"/>
  <c r="R17" i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N17" i="1"/>
  <c r="M17" i="1"/>
  <c r="AU16" i="1"/>
  <c r="AX16" i="1" s="1"/>
  <c r="AR16" i="1"/>
  <c r="AH15" i="1"/>
  <c r="AI15" i="1"/>
  <c r="AX13" i="1"/>
  <c r="AU13" i="1"/>
  <c r="AR13" i="1"/>
  <c r="AO13" i="1"/>
  <c r="AL13" i="1"/>
  <c r="AI13" i="1"/>
  <c r="AF13" i="1"/>
  <c r="AC13" i="1"/>
  <c r="Z13" i="1"/>
  <c r="W13" i="1"/>
  <c r="T13" i="1"/>
  <c r="U13" i="1" s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AW11" i="1"/>
  <c r="AT11" i="1"/>
  <c r="AQ11" i="1"/>
  <c r="AN11" i="1"/>
  <c r="AK11" i="1"/>
  <c r="AH11" i="1"/>
  <c r="AE11" i="1"/>
  <c r="AB11" i="1"/>
  <c r="Y11" i="1"/>
  <c r="V11" i="1"/>
  <c r="S11" i="1"/>
  <c r="P11" i="1"/>
  <c r="M11" i="1" s="1"/>
  <c r="S10" i="1"/>
  <c r="V10" i="1" s="1"/>
  <c r="Y10" i="1" s="1"/>
  <c r="AB10" i="1" s="1"/>
  <c r="AE10" i="1" s="1"/>
  <c r="AH10" i="1" s="1"/>
  <c r="AK10" i="1" s="1"/>
  <c r="AN10" i="1" s="1"/>
  <c r="AQ10" i="1" s="1"/>
  <c r="AT10" i="1" s="1"/>
  <c r="AW10" i="1" s="1"/>
  <c r="AY9" i="1"/>
  <c r="AY12" i="1"/>
  <c r="AY14" i="1"/>
  <c r="AY18" i="1"/>
  <c r="AY19" i="1"/>
  <c r="AY22" i="1"/>
  <c r="AY23" i="1"/>
  <c r="AY24" i="1"/>
  <c r="AY25" i="1"/>
  <c r="AY26" i="1"/>
  <c r="AY27" i="1"/>
  <c r="AY28" i="1"/>
  <c r="AY29" i="1"/>
  <c r="AY30" i="1"/>
  <c r="AY31" i="1"/>
  <c r="AY34" i="1"/>
  <c r="AV9" i="1"/>
  <c r="AV12" i="1"/>
  <c r="AV14" i="1"/>
  <c r="AV18" i="1"/>
  <c r="AV19" i="1"/>
  <c r="AV22" i="1"/>
  <c r="AV23" i="1"/>
  <c r="AV24" i="1"/>
  <c r="AV25" i="1"/>
  <c r="AV26" i="1"/>
  <c r="AV27" i="1"/>
  <c r="AV28" i="1"/>
  <c r="AV29" i="1"/>
  <c r="AV30" i="1"/>
  <c r="AV31" i="1"/>
  <c r="AV34" i="1"/>
  <c r="AS9" i="1"/>
  <c r="AS12" i="1"/>
  <c r="AS14" i="1"/>
  <c r="AS16" i="1"/>
  <c r="AV16" i="1" s="1"/>
  <c r="AY16" i="1" s="1"/>
  <c r="AS18" i="1"/>
  <c r="AS19" i="1"/>
  <c r="AS22" i="1"/>
  <c r="AS23" i="1"/>
  <c r="AS24" i="1"/>
  <c r="AS25" i="1"/>
  <c r="AS26" i="1"/>
  <c r="AS27" i="1"/>
  <c r="AS28" i="1"/>
  <c r="AS29" i="1"/>
  <c r="AS30" i="1"/>
  <c r="AS31" i="1"/>
  <c r="AS34" i="1"/>
  <c r="AP9" i="1"/>
  <c r="AP12" i="1"/>
  <c r="AP14" i="1"/>
  <c r="AP16" i="1"/>
  <c r="AP18" i="1"/>
  <c r="AP19" i="1"/>
  <c r="AP20" i="1"/>
  <c r="AP22" i="1"/>
  <c r="AP23" i="1"/>
  <c r="AP24" i="1"/>
  <c r="AP25" i="1"/>
  <c r="AP26" i="1"/>
  <c r="AP27" i="1"/>
  <c r="AP28" i="1"/>
  <c r="AP29" i="1"/>
  <c r="AP30" i="1"/>
  <c r="AP31" i="1"/>
  <c r="AP34" i="1"/>
  <c r="AM9" i="1"/>
  <c r="AM12" i="1"/>
  <c r="AM14" i="1"/>
  <c r="AM16" i="1"/>
  <c r="AM18" i="1"/>
  <c r="AM19" i="1"/>
  <c r="AM20" i="1"/>
  <c r="AM22" i="1"/>
  <c r="AM23" i="1"/>
  <c r="AM24" i="1"/>
  <c r="AM25" i="1"/>
  <c r="AM26" i="1"/>
  <c r="AM27" i="1"/>
  <c r="AM28" i="1"/>
  <c r="AM29" i="1"/>
  <c r="AM30" i="1"/>
  <c r="AM31" i="1"/>
  <c r="AM34" i="1"/>
  <c r="AJ9" i="1"/>
  <c r="AJ12" i="1"/>
  <c r="AJ14" i="1"/>
  <c r="AJ16" i="1"/>
  <c r="AJ18" i="1"/>
  <c r="AJ19" i="1"/>
  <c r="AJ20" i="1"/>
  <c r="AJ22" i="1"/>
  <c r="AJ23" i="1"/>
  <c r="AJ24" i="1"/>
  <c r="AJ25" i="1"/>
  <c r="AJ26" i="1"/>
  <c r="AJ27" i="1"/>
  <c r="AJ28" i="1"/>
  <c r="AJ29" i="1"/>
  <c r="AJ30" i="1"/>
  <c r="AJ31" i="1"/>
  <c r="AJ34" i="1"/>
  <c r="AG9" i="1"/>
  <c r="AG12" i="1"/>
  <c r="AG14" i="1"/>
  <c r="AG15" i="1"/>
  <c r="AG16" i="1"/>
  <c r="AG18" i="1"/>
  <c r="AG19" i="1"/>
  <c r="AG20" i="1"/>
  <c r="AG22" i="1"/>
  <c r="AG23" i="1"/>
  <c r="AG24" i="1"/>
  <c r="AG25" i="1"/>
  <c r="AG26" i="1"/>
  <c r="AG27" i="1"/>
  <c r="AG28" i="1"/>
  <c r="AG29" i="1"/>
  <c r="AG30" i="1"/>
  <c r="AG31" i="1"/>
  <c r="AG34" i="1"/>
  <c r="AD9" i="1"/>
  <c r="AD12" i="1"/>
  <c r="AD14" i="1"/>
  <c r="AD15" i="1"/>
  <c r="AD16" i="1"/>
  <c r="AD18" i="1"/>
  <c r="AD19" i="1"/>
  <c r="AD20" i="1"/>
  <c r="AD22" i="1"/>
  <c r="AD23" i="1"/>
  <c r="AD24" i="1"/>
  <c r="AD25" i="1"/>
  <c r="AD26" i="1"/>
  <c r="AD27" i="1"/>
  <c r="AD28" i="1"/>
  <c r="AD29" i="1"/>
  <c r="AD30" i="1"/>
  <c r="AD31" i="1"/>
  <c r="AD34" i="1"/>
  <c r="AA9" i="1"/>
  <c r="AA12" i="1"/>
  <c r="AA14" i="1"/>
  <c r="AA15" i="1"/>
  <c r="AA16" i="1"/>
  <c r="AA18" i="1"/>
  <c r="AA19" i="1"/>
  <c r="AA20" i="1"/>
  <c r="AA22" i="1"/>
  <c r="AA23" i="1"/>
  <c r="AA24" i="1"/>
  <c r="AA25" i="1"/>
  <c r="AA26" i="1"/>
  <c r="AA27" i="1"/>
  <c r="AA28" i="1"/>
  <c r="AA29" i="1"/>
  <c r="AA30" i="1"/>
  <c r="AA31" i="1"/>
  <c r="AA34" i="1"/>
  <c r="X9" i="1"/>
  <c r="X12" i="1"/>
  <c r="X14" i="1"/>
  <c r="X15" i="1"/>
  <c r="X16" i="1"/>
  <c r="X18" i="1"/>
  <c r="X19" i="1"/>
  <c r="X20" i="1"/>
  <c r="X22" i="1"/>
  <c r="X23" i="1"/>
  <c r="X24" i="1"/>
  <c r="X25" i="1"/>
  <c r="X26" i="1"/>
  <c r="X27" i="1"/>
  <c r="X28" i="1"/>
  <c r="X29" i="1"/>
  <c r="X30" i="1"/>
  <c r="X31" i="1"/>
  <c r="X33" i="1"/>
  <c r="AA33" i="1" s="1"/>
  <c r="AD33" i="1" s="1"/>
  <c r="AG33" i="1" s="1"/>
  <c r="AJ33" i="1" s="1"/>
  <c r="AM33" i="1" s="1"/>
  <c r="AP33" i="1" s="1"/>
  <c r="AS33" i="1" s="1"/>
  <c r="AV33" i="1" s="1"/>
  <c r="AY33" i="1" s="1"/>
  <c r="X34" i="1"/>
  <c r="U9" i="1"/>
  <c r="U10" i="1"/>
  <c r="X10" i="1" s="1"/>
  <c r="AA10" i="1" s="1"/>
  <c r="AD10" i="1" s="1"/>
  <c r="AG10" i="1" s="1"/>
  <c r="AJ10" i="1" s="1"/>
  <c r="AM10" i="1" s="1"/>
  <c r="AP10" i="1" s="1"/>
  <c r="AS10" i="1" s="1"/>
  <c r="AV10" i="1" s="1"/>
  <c r="AY10" i="1" s="1"/>
  <c r="U12" i="1"/>
  <c r="U14" i="1"/>
  <c r="U15" i="1"/>
  <c r="U16" i="1"/>
  <c r="U18" i="1"/>
  <c r="U19" i="1"/>
  <c r="U20" i="1"/>
  <c r="U21" i="1"/>
  <c r="V21" i="1" s="1"/>
  <c r="U22" i="1"/>
  <c r="U23" i="1"/>
  <c r="U24" i="1"/>
  <c r="U25" i="1"/>
  <c r="U26" i="1"/>
  <c r="U27" i="1"/>
  <c r="U28" i="1"/>
  <c r="U29" i="1"/>
  <c r="U30" i="1"/>
  <c r="U31" i="1"/>
  <c r="U33" i="1"/>
  <c r="U34" i="1"/>
  <c r="R9" i="1"/>
  <c r="R10" i="1"/>
  <c r="R11" i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R12" i="1"/>
  <c r="R13" i="1"/>
  <c r="R14" i="1"/>
  <c r="R15" i="1"/>
  <c r="R16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U32" i="1" s="1"/>
  <c r="R33" i="1"/>
  <c r="R34" i="1"/>
  <c r="N9" i="1"/>
  <c r="N10" i="1"/>
  <c r="N11" i="1"/>
  <c r="N12" i="1"/>
  <c r="N13" i="1"/>
  <c r="N14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3" i="1"/>
  <c r="N34" i="1"/>
  <c r="M9" i="1"/>
  <c r="M12" i="1"/>
  <c r="M13" i="1"/>
  <c r="M14" i="1"/>
  <c r="M15" i="1"/>
  <c r="M16" i="1"/>
  <c r="M18" i="1"/>
  <c r="M19" i="1"/>
  <c r="M22" i="1"/>
  <c r="M23" i="1"/>
  <c r="M24" i="1"/>
  <c r="M25" i="1"/>
  <c r="M26" i="1"/>
  <c r="M27" i="1"/>
  <c r="M28" i="1"/>
  <c r="M29" i="1"/>
  <c r="M30" i="1"/>
  <c r="M31" i="1"/>
  <c r="M33" i="1"/>
  <c r="M34" i="1"/>
  <c r="AY16" i="7" l="1"/>
  <c r="AR32" i="7"/>
  <c r="AS32" i="7" s="1"/>
  <c r="AT32" i="7" s="1"/>
  <c r="AU32" i="7" s="1"/>
  <c r="AV32" i="7" s="1"/>
  <c r="AW32" i="7" s="1"/>
  <c r="AX32" i="7" s="1"/>
  <c r="AY32" i="7" s="1"/>
  <c r="M20" i="7"/>
  <c r="AW20" i="7"/>
  <c r="AX20" i="7" s="1"/>
  <c r="AY20" i="7" s="1"/>
  <c r="M32" i="7"/>
  <c r="AP10" i="7"/>
  <c r="AQ10" i="7" s="1"/>
  <c r="AR10" i="7" s="1"/>
  <c r="AS10" i="7" s="1"/>
  <c r="AT10" i="7" s="1"/>
  <c r="AU10" i="7" s="1"/>
  <c r="AV10" i="7" s="1"/>
  <c r="AW10" i="7" s="1"/>
  <c r="AX10" i="7" s="1"/>
  <c r="AY10" i="7" s="1"/>
  <c r="AD21" i="7"/>
  <c r="AE21" i="7" s="1"/>
  <c r="AF21" i="7" s="1"/>
  <c r="AG21" i="7" s="1"/>
  <c r="N16" i="7"/>
  <c r="AT15" i="7"/>
  <c r="AU15" i="7" s="1"/>
  <c r="AV15" i="7" s="1"/>
  <c r="AW15" i="7" s="1"/>
  <c r="AX15" i="7" s="1"/>
  <c r="AY15" i="7" s="1"/>
  <c r="N32" i="7"/>
  <c r="N15" i="7"/>
  <c r="AK20" i="7"/>
  <c r="AL20" i="7" s="1"/>
  <c r="AM20" i="7" s="1"/>
  <c r="M10" i="7"/>
  <c r="X32" i="1"/>
  <c r="AA32" i="1" s="1"/>
  <c r="AD32" i="1" s="1"/>
  <c r="AG32" i="1" s="1"/>
  <c r="AJ32" i="1" s="1"/>
  <c r="AM32" i="1" s="1"/>
  <c r="AP32" i="1" s="1"/>
  <c r="AS32" i="1" s="1"/>
  <c r="AV32" i="1" s="1"/>
  <c r="AY32" i="1" s="1"/>
  <c r="M20" i="1"/>
  <c r="N15" i="1"/>
  <c r="M32" i="1"/>
  <c r="X21" i="1"/>
  <c r="AL15" i="1"/>
  <c r="N16" i="1"/>
  <c r="AJ15" i="1"/>
  <c r="AM15" i="1" s="1"/>
  <c r="AP15" i="1" s="1"/>
  <c r="AS15" i="1" s="1"/>
  <c r="AV15" i="1" s="1"/>
  <c r="AY15" i="1" s="1"/>
  <c r="N32" i="1"/>
  <c r="AQ20" i="1"/>
  <c r="AT20" i="1" s="1"/>
  <c r="AW20" i="1" s="1"/>
  <c r="M10" i="1"/>
  <c r="AP21" i="7" l="1"/>
  <c r="AQ21" i="7" s="1"/>
  <c r="AR21" i="7" s="1"/>
  <c r="AS21" i="7" s="1"/>
  <c r="AT21" i="7" s="1"/>
  <c r="AU21" i="7" s="1"/>
  <c r="AV21" i="7" s="1"/>
  <c r="AW21" i="7" s="1"/>
  <c r="AX21" i="7" s="1"/>
  <c r="AY21" i="7" s="1"/>
  <c r="M21" i="7"/>
  <c r="AA21" i="1"/>
  <c r="Y21" i="1"/>
  <c r="AS20" i="1"/>
  <c r="AV20" i="1" s="1"/>
  <c r="AY20" i="1" s="1"/>
  <c r="AB21" i="1" l="1"/>
  <c r="AD21" i="1"/>
  <c r="AY38" i="7"/>
  <c r="AX38" i="7"/>
  <c r="AW38" i="7"/>
  <c r="AV38" i="7"/>
  <c r="AU38" i="7"/>
  <c r="AT38" i="7"/>
  <c r="AS38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AY37" i="7"/>
  <c r="AX37" i="7"/>
  <c r="AW37" i="7"/>
  <c r="AV37" i="7"/>
  <c r="AU37" i="7"/>
  <c r="AT37" i="7"/>
  <c r="AS37" i="7"/>
  <c r="AR37" i="7"/>
  <c r="AQ37" i="7"/>
  <c r="AP37" i="7"/>
  <c r="AO37" i="7"/>
  <c r="AN37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AY36" i="7"/>
  <c r="AX36" i="7"/>
  <c r="AW36" i="7"/>
  <c r="AV36" i="7"/>
  <c r="AU36" i="7"/>
  <c r="AT36" i="7"/>
  <c r="AS36" i="7"/>
  <c r="AR36" i="7"/>
  <c r="AQ36" i="7"/>
  <c r="AP36" i="7"/>
  <c r="AO36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P35" i="7"/>
  <c r="O35" i="7"/>
  <c r="F2" i="7"/>
  <c r="E2" i="7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Q35" i="1"/>
  <c r="P35" i="1"/>
  <c r="AX4" i="1"/>
  <c r="AU4" i="1"/>
  <c r="AR4" i="1"/>
  <c r="AO4" i="1"/>
  <c r="AL4" i="1"/>
  <c r="AI4" i="1"/>
  <c r="AF4" i="1"/>
  <c r="AC4" i="1"/>
  <c r="Z4" i="1"/>
  <c r="W4" i="1"/>
  <c r="T4" i="1"/>
  <c r="Q4" i="1"/>
  <c r="N4" i="1"/>
  <c r="F2" i="1"/>
  <c r="E2" i="1"/>
  <c r="AE21" i="1" l="1"/>
  <c r="M21" i="1" s="1"/>
  <c r="AG21" i="1"/>
  <c r="AJ21" i="1" s="1"/>
  <c r="AM21" i="1" s="1"/>
  <c r="AP21" i="1" s="1"/>
  <c r="AS21" i="1" s="1"/>
  <c r="AV21" i="1" s="1"/>
  <c r="AY21" i="1" s="1"/>
  <c r="Q35" i="7"/>
  <c r="O35" i="1"/>
  <c r="S35" i="1"/>
  <c r="AN35" i="7"/>
  <c r="R35" i="7"/>
  <c r="AB35" i="7"/>
  <c r="R35" i="1"/>
  <c r="W35" i="1"/>
  <c r="T35" i="1"/>
  <c r="AC35" i="7" l="1"/>
  <c r="AD35" i="7"/>
  <c r="S35" i="7"/>
  <c r="AO35" i="7"/>
  <c r="Z35" i="1"/>
  <c r="V35" i="1"/>
  <c r="U35" i="1" l="1"/>
  <c r="AP35" i="7"/>
  <c r="AE35" i="7"/>
  <c r="T35" i="7"/>
  <c r="Y35" i="1"/>
  <c r="AC35" i="1"/>
  <c r="X35" i="1"/>
  <c r="AF35" i="7" l="1"/>
  <c r="AQ35" i="7"/>
  <c r="U35" i="7"/>
  <c r="AB35" i="1"/>
  <c r="AF35" i="1"/>
  <c r="AR35" i="7" l="1"/>
  <c r="V35" i="7"/>
  <c r="AI35" i="1"/>
  <c r="AE35" i="1"/>
  <c r="AL35" i="1"/>
  <c r="AA35" i="1"/>
  <c r="W35" i="7" l="1"/>
  <c r="AG35" i="7"/>
  <c r="AI35" i="7"/>
  <c r="X35" i="7"/>
  <c r="AS35" i="7"/>
  <c r="AH35" i="7"/>
  <c r="AK35" i="1"/>
  <c r="AH35" i="1"/>
  <c r="AD35" i="1"/>
  <c r="AO35" i="1"/>
  <c r="AG35" i="1"/>
  <c r="AJ35" i="7" l="1"/>
  <c r="AT35" i="7"/>
  <c r="Y35" i="7"/>
  <c r="AN35" i="1"/>
  <c r="AJ35" i="1"/>
  <c r="AR35" i="1"/>
  <c r="Z35" i="7" l="1"/>
  <c r="AU35" i="7"/>
  <c r="AU35" i="1"/>
  <c r="AM35" i="1"/>
  <c r="AQ35" i="1"/>
  <c r="AK35" i="7" l="1"/>
  <c r="AV35" i="7"/>
  <c r="AA35" i="7"/>
  <c r="AL35" i="7"/>
  <c r="AT35" i="1"/>
  <c r="AX35" i="1"/>
  <c r="AP35" i="1"/>
  <c r="N35" i="7" l="1"/>
  <c r="AW35" i="7"/>
  <c r="AS35" i="1"/>
  <c r="AW35" i="1"/>
  <c r="M35" i="1"/>
  <c r="N35" i="1"/>
  <c r="M35" i="7" l="1"/>
  <c r="AM35" i="7"/>
  <c r="AX35" i="7"/>
  <c r="AY35" i="7"/>
  <c r="AV35" i="1"/>
  <c r="AY3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8C8197-BE65-4EC7-A177-4FD35A280814}" keepAlive="1" name="Connection" type="5" refreshedVersion="8" savePassword="1" saveData="1">
    <dbPr connection="Provider=SQLOLEDB.1;Password=Usr_2011#_Xls4168;Persist Security Info=True;User ID=ba_user_401;Initial Catalog=gBudgetingApp;Data Source=mssql.savetodb.com;Use Procedure for Prepare=1;Auto Translate=True;Packet Size=4096;Workstation ID=DELL;Use Encryption for Data=False;Tag with column collation when possible=False" command="EXEC [xls27].[usp_budget_request1] @company_id = 1, @category_id = 70, @time_id = 68, @entity_id = 75, @rows = 26, @data_language = N'en'"/>
  </connection>
  <connection id="2" xr16:uid="{6CE4E04B-4BD0-49D4-905E-8B54EC2F8964}" keepAlive="1" name="Connection1" type="5" refreshedVersion="8" savePassword="1" saveData="1">
    <dbPr connection="Provider=SQLOLEDB.1;Password=Usr_2011#_Xls4168;Persist Security Info=True;User ID=ba_user_401;Initial Catalog=gBudgetingApp;Data Source=mssql.savetodb.com;Use Procedure for Prepare=1;Auto Translate=True;Packet Size=4096;Workstation ID=DELL;Use Encryption for Data=False;Tag with column collation when possible=False" command="EXEC [xls27].[xl_validation_list_budgeting_account_id_code] @company_id = 1"/>
  </connection>
  <connection id="3" xr16:uid="{E08E60F8-C405-4D3F-9711-8D23DF35992C}" keepAlive="1" name="Connection10" type="5" refreshedVersion="8" savePassword="1" saveData="1">
    <dbPr connection="Provider=SQLOLEDB.1;Password=Usr_2011#_Xls4168;Persist Security Info=True;User ID=ba_user_401;Initial Catalog=gBudgetingApp;Data Source=mssql.savetodb.com;Use Procedure for Prepare=1;Auto Translate=True;Packet Size=4096;Workstation ID=DELL;Use Encryption for Data=False;Tag with column collation when possible=False" command="EXEC [xls27].[xl_validation_list_subsidiary_account_id] @company_id = 1, @data_language = N'en'"/>
  </connection>
  <connection id="4" xr16:uid="{5DA33F34-C7BA-47EC-9C45-466D9A91FBFC}" keepAlive="1" name="Connection11" type="5" refreshedVersion="8" savePassword="1" saveData="1">
    <dbPr connection="Provider=SQLOLEDB.1;Password=Usr_2011#_Xls4168;Persist Security Info=True;User ID=ba_user_401;Initial Catalog=gBudgetingApp;Data Source=mssql.savetodb.com;Use Procedure for Prepare=1;Auto Translate=True;Packet Size=4096;Workstation ID=DELL;Use Encryption for Data=False;Tag with column collation when possible=False" command="EXEC [xls27].[xl_validation_list_unit_id_code] @company_id = 1"/>
  </connection>
  <connection id="5" xr16:uid="{A8E48C53-4785-47DF-BB1A-A7286A9025CD}" keepAlive="1" name="Connection12" type="5" refreshedVersion="8" savePassword="1" saveData="1">
    <dbPr connection="Provider=SQLOLEDB.1;Password=Usr_2011#_Xls4168;Persist Security Info=True;User ID=ba_user_401;Initial Catalog=gBudgetingApp;Data Source=mssql.savetodb.com;Use Procedure for Prepare=1;Auto Translate=True;Packet Size=4096;Workstation ID=DELL;Use Encryption for Data=False;Tag with column collation when possible=False" command="EXEC [xls27].[xl_validation_list_vat_rate_id] @company_id = 1, @data_language = N'en'"/>
  </connection>
  <connection id="6" xr16:uid="{BA014A17-D09A-4EC0-AA14-7B9D651FFFBF}" keepAlive="1" name="Connection17" type="5" refreshedVersion="8" savePassword="1" saveData="1">
    <dbPr connection="Provider=SQLOLEDB.1;Password=Usr_2011#_Xls4168;Persist Security Info=True;User ID=ba_user_401;Initial Catalog=gBudgetingApp;Data Source=mssql.savetodb.com;Use Procedure for Prepare=1;Auto Translate=True;Packet Size=4096;Workstation ID=DELL;Use Encryption for Data=False;Tag with column collation when possible=False" command="EXEC [xls27].[usp_budget_request2] @company_id = 1, @category_id = 70, @time_id = 68, @entity_id = 75, @rows = 26, @data_language = N'en'"/>
  </connection>
  <connection id="7" xr16:uid="{EB729428-2DFA-4E9A-A95A-52CC05883ACF}" keepAlive="1" name="Connection2" type="5" refreshedVersion="8" savePassword="1" saveData="1">
    <dbPr connection="Provider=SQLOLEDB.1;Password=Usr_2011#_Xls4168;Persist Security Info=True;User ID=ba_user_401;Initial Catalog=gBudgetingApp;Data Source=mssql.savetodb.com;Use Procedure for Prepare=1;Auto Translate=True;Packet Size=4096;Workstation ID=DELL;Use Encryption for Data=False;Tag with column collation when possible=False" command="EXEC [xls27].[xl_validation_list_product_id_code] @company_id = 1"/>
  </connection>
  <connection id="8" xr16:uid="{03132580-8AA6-4BB2-9B35-39E3498F19C2}" keepAlive="1" name="Connection3" type="5" refreshedVersion="8" savePassword="1" saveData="1">
    <dbPr connection="Provider=SQLOLEDB.1;Password=Usr_2011#_Xls4168;Persist Security Info=True;User ID=ba_user_401;Initial Catalog=gBudgetingApp;Data Source=mssql.savetodb.com;Use Procedure for Prepare=1;Auto Translate=True;Packet Size=4096;Workstation ID=DELL;Use Encryption for Data=False;Tag with column collation when possible=False" command="EXEC [xls27].[xl_validation_list_region_id_code] @company_id = 1"/>
  </connection>
  <connection id="9" xr16:uid="{10C39DE1-0066-4755-9D5D-908E86604E05}" keepAlive="1" name="Connection4" type="5" refreshedVersion="8" savePassword="1" saveData="1">
    <dbPr connection="Provider=SQLOLEDB.1;Password=Usr_2011#_Xls4168;Persist Security Info=True;User ID=ba_user_401;Initial Catalog=gBudgetingApp;Data Source=mssql.savetodb.com;Use Procedure for Prepare=1;Auto Translate=True;Packet Size=4096;Workstation ID=DELL;Use Encryption for Data=False;Tag with column collation when possible=False" command="EXEC [xls27].[xl_validation_list_subsidiary_account_id] @company_id = 1, @data_language = N'en'"/>
  </connection>
  <connection id="10" xr16:uid="{60F93564-24D9-4157-B9FB-8DC941E146A6}" keepAlive="1" name="Connection5" type="5" refreshedVersion="8" savePassword="1" saveData="1">
    <dbPr connection="Provider=SQLOLEDB.1;Password=Usr_2011#_Xls4168;Persist Security Info=True;User ID=ba_user_401;Initial Catalog=gBudgetingApp;Data Source=mssql.savetodb.com;Use Procedure for Prepare=1;Auto Translate=True;Packet Size=4096;Workstation ID=DELL;Use Encryption for Data=False;Tag with column collation when possible=False" command="EXEC [xls27].[xl_validation_list_unit_id_code] @company_id = 1"/>
  </connection>
  <connection id="11" xr16:uid="{F1C05A8A-535B-44F0-9ABC-46B457379C90}" keepAlive="1" name="Connection6" type="5" refreshedVersion="8" savePassword="1" saveData="1">
    <dbPr connection="Provider=SQLOLEDB.1;Password=Usr_2011#_Xls4168;Persist Security Info=True;User ID=ba_user_401;Initial Catalog=gBudgetingApp;Data Source=mssql.savetodb.com;Use Procedure for Prepare=1;Auto Translate=True;Packet Size=4096;Workstation ID=DELL;Use Encryption for Data=False;Tag with column collation when possible=False" command="EXEC [xls27].[xl_validation_list_vat_rate_id] @company_id = 1, @data_language = N'en'"/>
  </connection>
  <connection id="12" xr16:uid="{D656607C-D60A-4CBE-8D8F-6FD63EE1D144}" keepAlive="1" name="Connection7" type="5" refreshedVersion="8" savePassword="1" saveData="1">
    <dbPr connection="Provider=SQLOLEDB.1;Password=Usr_2011#_Xls4168;Persist Security Info=True;User ID=ba_user_401;Initial Catalog=gBudgetingApp;Data Source=mssql.savetodb.com;Use Procedure for Prepare=1;Auto Translate=True;Packet Size=4096;Workstation ID=DELL;Use Encryption for Data=False;Tag with column collation when possible=False" command="EXEC [xls27].[xl_validation_list_budgeting_account_id_code] @company_id = 1"/>
  </connection>
  <connection id="13" xr16:uid="{2DC58CA6-91C4-44A7-B5D0-B8519609AC95}" keepAlive="1" name="Connection8" type="5" refreshedVersion="8" savePassword="1" saveData="1">
    <dbPr connection="Provider=SQLOLEDB.1;Password=Usr_2011#_Xls4168;Persist Security Info=True;User ID=ba_user_401;Initial Catalog=gBudgetingApp;Data Source=mssql.savetodb.com;Use Procedure for Prepare=1;Auto Translate=True;Packet Size=4096;Workstation ID=DELL;Use Encryption for Data=False;Tag with column collation when possible=False" command="EXEC [xls27].[xl_validation_list_product_id_code] @company_id = 1"/>
  </connection>
  <connection id="14" xr16:uid="{083508ED-C968-4668-8A24-4DF71C2A19E7}" keepAlive="1" name="Connection9" type="5" refreshedVersion="8" savePassword="1" saveData="1">
    <dbPr connection="Provider=SQLOLEDB.1;Password=Usr_2011#_Xls4168;Persist Security Info=True;User ID=ba_user_401;Initial Catalog=gBudgetingApp;Data Source=mssql.savetodb.com;Use Procedure for Prepare=1;Auto Translate=True;Packet Size=4096;Workstation ID=DELL;Use Encryption for Data=False;Tag with column collation when possible=False" command="EXEC [xls27].[xl_validation_list_region_id_code] @company_id = 1"/>
  </connection>
</connections>
</file>

<file path=xl/sharedStrings.xml><?xml version="1.0" encoding="utf-8"?>
<sst xmlns="http://schemas.openxmlformats.org/spreadsheetml/2006/main" count="7948" uniqueCount="678">
  <si>
    <t>Budget</t>
  </si>
  <si>
    <t>Entity 101</t>
  </si>
  <si>
    <t>Row</t>
  </si>
  <si>
    <t>Description</t>
  </si>
  <si>
    <t>Item</t>
  </si>
  <si>
    <t>Item Name</t>
  </si>
  <si>
    <t>Subsidiary</t>
  </si>
  <si>
    <t>Region</t>
  </si>
  <si>
    <t>Prod.</t>
  </si>
  <si>
    <t>VAT</t>
  </si>
  <si>
    <t>Curr.</t>
  </si>
  <si>
    <t>Total</t>
  </si>
  <si>
    <t xml:space="preserve">Balance </t>
  </si>
  <si>
    <t>January</t>
  </si>
  <si>
    <t>Balance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</si>
  <si>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</si>
  <si>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</si>
  <si>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</si>
  <si>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</si>
  <si>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</si>
  <si>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</si>
  <si>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</si>
  <si>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</si>
  <si>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</si>
  <si>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</si>
  <si>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</si>
  <si>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Row Formulas</t>
  </si>
  <si>
    <t>Modified by</t>
  </si>
  <si>
    <t>Modified</t>
  </si>
  <si>
    <t>Num</t>
  </si>
  <si>
    <t>number</t>
  </si>
  <si>
    <t>Format</t>
  </si>
  <si>
    <t>Account</t>
  </si>
  <si>
    <t>Payments</t>
  </si>
  <si>
    <t>Charges</t>
  </si>
  <si>
    <t>on  01.01</t>
  </si>
  <si>
    <t>on 01.02</t>
  </si>
  <si>
    <t>on 01.03</t>
  </si>
  <si>
    <t>on 01.04</t>
  </si>
  <si>
    <t>on 01.05</t>
  </si>
  <si>
    <t>on 01.06</t>
  </si>
  <si>
    <t>on 01.07</t>
  </si>
  <si>
    <t>on 01.08</t>
  </si>
  <si>
    <t>on 01.09</t>
  </si>
  <si>
    <t>on 01.10</t>
  </si>
  <si>
    <t>on 01.11</t>
  </si>
  <si>
    <t>on 01.12</t>
  </si>
  <si>
    <t>on 01.01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</si>
  <si>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</si>
  <si>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</si>
  <si>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</si>
  <si>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</si>
  <si>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</si>
  <si>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</si>
  <si>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</si>
  <si>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</si>
  <si>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</si>
  <si>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</si>
  <si>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</si>
  <si>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</si>
  <si>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</si>
  <si>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</si>
  <si>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</si>
  <si>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</si>
  <si>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</si>
  <si>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</si>
  <si>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</si>
  <si>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</si>
  <si>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</si>
  <si>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</si>
  <si>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</si>
  <si>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</si>
  <si>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</si>
  <si>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</si>
  <si>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</si>
  <si>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</si>
  <si>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</si>
  <si>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</si>
  <si>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</si>
  <si>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</si>
  <si>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</si>
  <si>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</si>
  <si>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</si>
  <si>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</si>
  <si>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</si>
  <si>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</si>
  <si>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</si>
  <si>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</si>
  <si>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</si>
  <si>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</si>
  <si>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</si>
  <si>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</si>
  <si>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</si>
  <si>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</si>
  <si>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</si>
  <si>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</si>
  <si>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</si>
  <si>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</si>
  <si>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</si>
  <si>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</si>
  <si>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</si>
  <si>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_RowNum</t>
  </si>
  <si>
    <t>row_index</t>
  </si>
  <si>
    <t>row_format</t>
  </si>
  <si>
    <t>description</t>
  </si>
  <si>
    <t>account_id</t>
  </si>
  <si>
    <t>account_name</t>
  </si>
  <si>
    <t>subsidiary_account_id</t>
  </si>
  <si>
    <t>region_id</t>
  </si>
  <si>
    <t>product_id</t>
  </si>
  <si>
    <t>vat_rate_id</t>
  </si>
  <si>
    <t>unit_id</t>
  </si>
  <si>
    <t>total_payments</t>
  </si>
  <si>
    <t>total_charges</t>
  </si>
  <si>
    <t>balance00</t>
  </si>
  <si>
    <t>payments01</t>
  </si>
  <si>
    <t>charges01</t>
  </si>
  <si>
    <t>balance01</t>
  </si>
  <si>
    <t>payments02</t>
  </si>
  <si>
    <t>charges02</t>
  </si>
  <si>
    <t>balance02</t>
  </si>
  <si>
    <t>payments03</t>
  </si>
  <si>
    <t>charges03</t>
  </si>
  <si>
    <t>balance03</t>
  </si>
  <si>
    <t>payments04</t>
  </si>
  <si>
    <t>charges04</t>
  </si>
  <si>
    <t>balance04</t>
  </si>
  <si>
    <t>payments05</t>
  </si>
  <si>
    <t>charges05</t>
  </si>
  <si>
    <t>balance05</t>
  </si>
  <si>
    <t>payments06</t>
  </si>
  <si>
    <t>charges06</t>
  </si>
  <si>
    <t>balance06</t>
  </si>
  <si>
    <t>payments07</t>
  </si>
  <si>
    <t>charges07</t>
  </si>
  <si>
    <t>balance07</t>
  </si>
  <si>
    <t>payments08</t>
  </si>
  <si>
    <t>charges08</t>
  </si>
  <si>
    <t>balance08</t>
  </si>
  <si>
    <t>payments09</t>
  </si>
  <si>
    <t>charges09</t>
  </si>
  <si>
    <t>balance09</t>
  </si>
  <si>
    <t>payments10</t>
  </si>
  <si>
    <t>charges10</t>
  </si>
  <si>
    <t>balance10</t>
  </si>
  <si>
    <t>payments11</t>
  </si>
  <si>
    <t>charges11</t>
  </si>
  <si>
    <t>balance11</t>
  </si>
  <si>
    <t>payments12</t>
  </si>
  <si>
    <t>charges12</t>
  </si>
  <si>
    <t>balance12</t>
  </si>
  <si>
    <t>row_formulas</t>
  </si>
  <si>
    <t>modified_by</t>
  </si>
  <si>
    <t>modified_on</t>
  </si>
  <si>
    <t>11.01</t>
  </si>
  <si>
    <t>Customer 1</t>
  </si>
  <si>
    <t>R01</t>
  </si>
  <si>
    <t>OW</t>
  </si>
  <si>
    <t>20%</t>
  </si>
  <si>
    <t>EUR</t>
  </si>
  <si>
    <t>21.01</t>
  </si>
  <si>
    <t>Supplier 1</t>
  </si>
  <si>
    <t>21.02</t>
  </si>
  <si>
    <t>Total:</t>
  </si>
  <si>
    <t>GBP</t>
  </si>
  <si>
    <t>CHF</t>
  </si>
  <si>
    <t>USD</t>
  </si>
  <si>
    <t>ID</t>
  </si>
  <si>
    <t>Start Column Properties of object [query:xls27.usp_budget_request1 - Form]</t>
  </si>
  <si>
    <t/>
  </si>
  <si>
    <t>ListObjectName</t>
  </si>
  <si>
    <t>budget_request1</t>
  </si>
  <si>
    <t>ShowTotals</t>
  </si>
  <si>
    <t>EntireColumn.Hidden</t>
  </si>
  <si>
    <t>End Column Properties of object [query:xls27.usp_budget_request1 - Form]</t>
  </si>
  <si>
    <t>Start Column Properties of object [query:xls27.usp_budget_request1 - All Columns]</t>
  </si>
  <si>
    <t>AutoFilter.Off</t>
  </si>
  <si>
    <t>End Column Properties of object [query:xls27.usp_budget_request1 - All Columns]</t>
  </si>
  <si>
    <t>Start Column Properties of object [query:xls27.usp_budget_request1 - Payments]</t>
  </si>
  <si>
    <t>End Column Properties of object [query:xls27.usp_budget_request1 - Payments]</t>
  </si>
  <si>
    <t>Start Column Properties of object [query:xls27.usp_budget_request1 - Charges]</t>
  </si>
  <si>
    <t>End Column Properties of object [query:xls27.usp_budget_request1 - Charges]</t>
  </si>
  <si>
    <t>Start Column Properties of object [query:xls27.usp_budget_request1 - Balances]</t>
  </si>
  <si>
    <t>End Column Properties of object [query:xls27.usp_budget_request1 - Balances]</t>
  </si>
  <si>
    <t>Start Column Properties of object [query:xls27.usp_budget_request1 - Totals]</t>
  </si>
  <si>
    <t>End Column Properties of object [query:xls27.usp_budget_request1 - Totals]</t>
  </si>
  <si>
    <t>Start Views of [query:xls27.usp_budget_request1]</t>
  </si>
  <si>
    <t>Form</t>
  </si>
  <si>
    <t>All Columns</t>
  </si>
  <si>
    <t>Balances</t>
  </si>
  <si>
    <t>Totals</t>
  </si>
  <si>
    <t>End Views of [query:xls27.usp_budget_request1]</t>
  </si>
  <si>
    <t>Start Queries</t>
  </si>
  <si>
    <t>xls27.usp_budget_request1</t>
  </si>
  <si>
    <t>End Queries</t>
  </si>
  <si>
    <t>Start ListObjects</t>
  </si>
  <si>
    <t>(Default)</t>
  </si>
  <si>
    <t>PROCEDURE</t>
  </si>
  <si>
    <t>xls27.usp_budget_request1_insert</t>
  </si>
  <si>
    <t>xls27.usp_budget_request1_update</t>
  </si>
  <si>
    <t>xls27.usp_budget_request1_delete</t>
  </si>
  <si>
    <t>End ListObjects</t>
  </si>
  <si>
    <t>budget_request2</t>
  </si>
  <si>
    <t>xls27.usp_budget_request2</t>
  </si>
  <si>
    <t>Start Column Properties of object [query:xls27.usp_budget_request2 - Form]</t>
  </si>
  <si>
    <t>End Column Properties of object [query:xls27.usp_budget_request2 - Form]</t>
  </si>
  <si>
    <t>Start Column Properties of object [query:xls27.usp_budget_request2 - All Columns]</t>
  </si>
  <si>
    <t>End Column Properties of object [query:xls27.usp_budget_request2 - All Columns]</t>
  </si>
  <si>
    <t>Start Column Properties of object [query:xls27.usp_budget_request2 - Payments]</t>
  </si>
  <si>
    <t>End Column Properties of object [query:xls27.usp_budget_request2 - Payments]</t>
  </si>
  <si>
    <t>Start Column Properties of object [query:xls27.usp_budget_request2 - Charges]</t>
  </si>
  <si>
    <t>End Column Properties of object [query:xls27.usp_budget_request2 - Charges]</t>
  </si>
  <si>
    <t>Start Column Properties of object [query:xls27.usp_budget_request2 - Balances]</t>
  </si>
  <si>
    <t>End Column Properties of object [query:xls27.usp_budget_request2 - Balances]</t>
  </si>
  <si>
    <t>Start Column Properties of object [query:xls27.usp_budget_request2 - Totals]</t>
  </si>
  <si>
    <t>End Column Properties of object [query:xls27.usp_budget_request2 - Totals]</t>
  </si>
  <si>
    <t>Start Views of [query:xls27.usp_budget_request2]</t>
  </si>
  <si>
    <t>End Views of [query:xls27.usp_budget_request2]</t>
  </si>
  <si>
    <t>xls27.usp_budget_request2_insert</t>
  </si>
  <si>
    <t>xls27.usp_budget_request2_update</t>
  </si>
  <si>
    <t>xls27.usp_budget_request2_delete</t>
  </si>
  <si>
    <t>Gartle Budgeting</t>
  </si>
  <si>
    <t>Target audience: analysts and developers</t>
  </si>
  <si>
    <t>This workbook contains budget requests used by end-users.</t>
  </si>
  <si>
    <t>Users may add any number of lines themselves, use formulas, including links on source data worksheets.</t>
  </si>
  <si>
    <t>Then, users must fill-in accounts and other related information like products or regions.</t>
  </si>
  <si>
    <t>Then, users must save the request. And that's all. The user's data is in the budget.</t>
  </si>
  <si>
    <t>The workbook contains two forms with the same data but the different order of columns.</t>
  </si>
  <si>
    <t>Users may choose the appropriate form themselves.</t>
  </si>
  <si>
    <t>This workbook is a part of a Gartle Budgeting demo hosted online.</t>
  </si>
  <si>
    <r>
      <t xml:space="preserve">To change the connection credentials, use </t>
    </r>
    <r>
      <rPr>
        <b/>
        <sz val="11"/>
        <color theme="1"/>
        <rFont val="Calibri"/>
        <family val="2"/>
        <charset val="204"/>
        <scheme val="minor"/>
      </rPr>
      <t>Wizards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charset val="204"/>
        <scheme val="minor"/>
      </rPr>
      <t>Change Connection Wizard</t>
    </r>
    <r>
      <rPr>
        <sz val="11"/>
        <color theme="1"/>
        <rFont val="Calibri"/>
        <family val="2"/>
        <charset val="204"/>
        <scheme val="minor"/>
      </rPr>
      <t>.</t>
    </r>
  </si>
  <si>
    <r>
      <t xml:space="preserve">Then use </t>
    </r>
    <r>
      <rPr>
        <b/>
        <sz val="11"/>
        <color theme="1"/>
        <rFont val="Calibri"/>
        <family val="2"/>
        <charset val="204"/>
        <scheme val="minor"/>
      </rPr>
      <t>Reload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charset val="204"/>
        <scheme val="minor"/>
      </rPr>
      <t>Reload Workbook Tables…</t>
    </r>
    <r>
      <rPr>
        <sz val="11"/>
        <color theme="1"/>
        <rFont val="Calibri"/>
        <family val="2"/>
        <scheme val="minor"/>
      </rPr>
      <t xml:space="preserve"> to update the entire workbook.</t>
    </r>
  </si>
  <si>
    <r>
      <t xml:space="preserve">Please contact us at </t>
    </r>
    <r>
      <rPr>
        <b/>
        <sz val="11"/>
        <color theme="1"/>
        <rFont val="Calibri"/>
        <family val="2"/>
        <charset val="204"/>
        <scheme val="minor"/>
      </rPr>
      <t>sales@savetodb.com</t>
    </r>
    <r>
      <rPr>
        <sz val="11"/>
        <color theme="1"/>
        <rFont val="Calibri"/>
        <family val="2"/>
        <scheme val="minor"/>
      </rPr>
      <t xml:space="preserve"> to acquire the budgeting application.</t>
    </r>
  </si>
  <si>
    <t>We may create a demo for your company and host it for testing purposes.</t>
  </si>
  <si>
    <t>https://www.savetodb.com</t>
  </si>
  <si>
    <t>IN</t>
  </si>
  <si>
    <t>company_id</t>
  </si>
  <si>
    <t>int</t>
  </si>
  <si>
    <t>xls27</t>
  </si>
  <si>
    <t>xl_parameter_values_company_id</t>
  </si>
  <si>
    <t>category_id</t>
  </si>
  <si>
    <t>xl_parameter_values_category_id_not_null</t>
  </si>
  <si>
    <t>time_id</t>
  </si>
  <si>
    <t>xl_parameter_values_time_id_not_null</t>
  </si>
  <si>
    <t>entity_id</t>
  </si>
  <si>
    <t>xl_parameter_values_entity_id</t>
  </si>
  <si>
    <t>rows</t>
  </si>
  <si>
    <t>data_language</t>
  </si>
  <si>
    <t>char</t>
  </si>
  <si>
    <t>gBudgetingApp</t>
  </si>
  <si>
    <t>usp_budget_request1</t>
  </si>
  <si>
    <t>Actions</t>
  </si>
  <si>
    <t>xls27.xl_actions_select_members</t>
  </si>
  <si>
    <t>False</t>
  </si>
  <si>
    <t>xls27.MenuSeparator90</t>
  </si>
  <si>
    <t>MENUSEPARATOR</t>
  </si>
  <si>
    <t>[xls27].[Online Database Help - xls27.usp_budget_request1]</t>
  </si>
  <si>
    <t>HTTP</t>
  </si>
  <si>
    <t>https://www.savetodb.com/help/budgeting-application-procedures.htm#xls27.usp_budget_request1</t>
  </si>
  <si>
    <t>KeepFormulas</t>
  </si>
  <si>
    <t>rownum</t>
  </si>
  <si>
    <t>ValidationList</t>
  </si>
  <si>
    <t>xls27.xl_validation_list_budgeting_account_id_code</t>
  </si>
  <si>
    <t>xls27.xl_validation_list_product_id_code</t>
  </si>
  <si>
    <t>xls27.xl_validation_list_region_id_code</t>
  </si>
  <si>
    <t>xls27.xl_validation_list_subsidiary_account_id</t>
  </si>
  <si>
    <t>xls27.xl_validation_list_unit_id_code</t>
  </si>
  <si>
    <t>xls27.xl_validation_list_vat_rate_id</t>
  </si>
  <si>
    <t>Start Parameters of object [gBudgetingApp.xls27.usp_budget_request1_insert] on server [.\SQLEXPRESS]</t>
  </si>
  <si>
    <t>nvarchar</t>
  </si>
  <si>
    <t>money</t>
  </si>
  <si>
    <t>transaction_start_time</t>
  </si>
  <si>
    <t>datetime</t>
  </si>
  <si>
    <t>End Parameters of object [gBudgetingApp.xls27.usp_budget_request1_insert] on server [.\SQLEXPRESS]</t>
  </si>
  <si>
    <t>Start Parameters of object [gBudgetingApp.xls27.usp_budget_request1_update] on server [.\SQLEXPRESS]</t>
  </si>
  <si>
    <t>tinyint</t>
  </si>
  <si>
    <t>float</t>
  </si>
  <si>
    <t>is_insert</t>
  </si>
  <si>
    <t>bit</t>
  </si>
  <si>
    <t>End Parameters of object [gBudgetingApp.xls27.usp_budget_request1_update] on server [.\SQLEXPRESS]</t>
  </si>
  <si>
    <t>Start Parameters of object [gBudgetingApp.xls27.usp_budget_request1_delete] on server [.\SQLEXPRESS]</t>
  </si>
  <si>
    <t>End Parameters of object [gBudgetingApp.xls27.usp_budget_request1_delete] on server [.\SQLEXPRESS]</t>
  </si>
  <si>
    <t>Start Parameters of object [gBudgetingApp.xls27.xl_parameter_values_company_id] on server [.\SQLEXPRESS]</t>
  </si>
  <si>
    <t>End Parameters of object [gBudgetingApp.xls27.xl_parameter_values_company_id] on server [.\SQLEXPRESS]</t>
  </si>
  <si>
    <t>Start Parameters of object [gBudgetingApp.xls27.xl_parameter_values_category_id_not_null] on server [.\SQLEXPRESS]</t>
  </si>
  <si>
    <t>End Parameters of object [gBudgetingApp.xls27.xl_parameter_values_category_id_not_null] on server [.\SQLEXPRESS]</t>
  </si>
  <si>
    <t>Start Parameters of object [gBudgetingApp.xls27.xl_parameter_values_time_id_not_null] on server [.\SQLEXPRESS]</t>
  </si>
  <si>
    <t>End Parameters of object [gBudgetingApp.xls27.xl_parameter_values_time_id_not_null] on server [.\SQLEXPRESS]</t>
  </si>
  <si>
    <t>Start Parameters of object [gBudgetingApp.xls27.xl_parameter_values_entity_id] on server [.\SQLEXPRESS]</t>
  </si>
  <si>
    <t>End Parameters of object [gBudgetingApp.xls27.xl_parameter_values_entity_id] on server [.\SQLEXPRESS]</t>
  </si>
  <si>
    <t>Start Parameters of object [gBudgetingApp.xls27.xl_actions_select_members] on server [.\SQLEXPRESS]</t>
  </si>
  <si>
    <t>End Parameters of object [gBudgetingApp.xls27.xl_actions_select_members] on server [.\SQLEXPRESS]</t>
  </si>
  <si>
    <t>Railway Corp.</t>
  </si>
  <si>
    <t>Start IDs of object [xls27.usp_budget_request1] on sheet [Request1]</t>
  </si>
  <si>
    <t>End IDs of object [xls27.usp_budget_request1] on sheet [Request1]</t>
  </si>
  <si>
    <t>id</t>
  </si>
  <si>
    <t>name</t>
  </si>
  <si>
    <t>vl_xls27_xl_validation_list_budgeting_account_id_code_1</t>
  </si>
  <si>
    <t>vl_xls27_xl_validation_list_product_id_code_1</t>
  </si>
  <si>
    <t>x</t>
  </si>
  <si>
    <t>vl_xls27_xl_validation_list_region_id_code_1</t>
  </si>
  <si>
    <t>vl_xls27_xl_validation_list_subsidiary_account_id_1</t>
  </si>
  <si>
    <t>code</t>
  </si>
  <si>
    <t>vl_xls27_xl_validation_list_unit_id_code_1</t>
  </si>
  <si>
    <t>0%</t>
  </si>
  <si>
    <t>vl_xls27_xl_validation_list_vat_rate_id_1</t>
  </si>
  <si>
    <t>usp_budget_request2</t>
  </si>
  <si>
    <t>[xls27].[Online Database Help - xls27.usp_budget_request2]</t>
  </si>
  <si>
    <t>https://www.savetodb.com/help/budgeting-application-procedures.htm#xls27.usp_budget_request2</t>
  </si>
  <si>
    <t>Start Parameters of object [gBudgetingApp.xls27.usp_budget_request2_insert] on server [.\SQLEXPRESS]</t>
  </si>
  <si>
    <t>End Parameters of object [gBudgetingApp.xls27.usp_budget_request2_insert] on server [.\SQLEXPRESS]</t>
  </si>
  <si>
    <t>Start Parameters of object [gBudgetingApp.xls27.usp_budget_request2_update] on server [.\SQLEXPRESS]</t>
  </si>
  <si>
    <t>End Parameters of object [gBudgetingApp.xls27.usp_budget_request2_update] on server [.\SQLEXPRESS]</t>
  </si>
  <si>
    <t>Start Parameters of object [gBudgetingApp.xls27.usp_budget_request2_delete] on server [.\SQLEXPRESS]</t>
  </si>
  <si>
    <t>End Parameters of object [gBudgetingApp.xls27.usp_budget_request2_delete] on server [.\SQLEXPRESS]</t>
  </si>
  <si>
    <t>Start IDs of object [xls27.usp_budget_request2] on sheet [Request2]</t>
  </si>
  <si>
    <t>End IDs of object [xls27.usp_budget_request2] on sheet [Request2]</t>
  </si>
  <si>
    <t>vl_xls27_xl_validation_list_budgeting_account_id_code_2</t>
  </si>
  <si>
    <t>vl_xls27_xl_validation_list_product_id_code_2</t>
  </si>
  <si>
    <t>vl_xls27_xl_validation_list_region_id_code_2</t>
  </si>
  <si>
    <t>vl_xls27_xl_validation_list_subsidiary_account_id_2</t>
  </si>
  <si>
    <t>vl_xls27_xl_validation_list_unit_id_code_2</t>
  </si>
  <si>
    <t>vl_xls27_xl_validation_list_vat_rate_id_2</t>
  </si>
  <si>
    <t>Start Workbook Options</t>
  </si>
  <si>
    <t>en</t>
  </si>
  <si>
    <t>End Workbook Options</t>
  </si>
  <si>
    <t>Company</t>
  </si>
  <si>
    <t>Category</t>
  </si>
  <si>
    <t>Period</t>
  </si>
  <si>
    <t>Entity</t>
  </si>
  <si>
    <t>Number of Rows</t>
  </si>
  <si>
    <t>Show Members</t>
  </si>
  <si>
    <t>Row Index</t>
  </si>
  <si>
    <t>Row Format</t>
  </si>
  <si>
    <t>Sub.Account</t>
  </si>
  <si>
    <t>Product</t>
  </si>
  <si>
    <t>VAT Rate</t>
  </si>
  <si>
    <t>Unit</t>
  </si>
  <si>
    <t>Total Payments</t>
  </si>
  <si>
    <t>Total Charges</t>
  </si>
  <si>
    <t>Balance00</t>
  </si>
  <si>
    <t>Payments01</t>
  </si>
  <si>
    <t>Charges01</t>
  </si>
  <si>
    <t>Balance01</t>
  </si>
  <si>
    <t>Payments02</t>
  </si>
  <si>
    <t>Charges02</t>
  </si>
  <si>
    <t>Balance02</t>
  </si>
  <si>
    <t>Payments03</t>
  </si>
  <si>
    <t>Charges03</t>
  </si>
  <si>
    <t>Balance03</t>
  </si>
  <si>
    <t>Payments04</t>
  </si>
  <si>
    <t>Charges04</t>
  </si>
  <si>
    <t>Balance04</t>
  </si>
  <si>
    <t>Payments05</t>
  </si>
  <si>
    <t>Charges05</t>
  </si>
  <si>
    <t>Balance05</t>
  </si>
  <si>
    <t>Payments06</t>
  </si>
  <si>
    <t>Charges06</t>
  </si>
  <si>
    <t>Balance06</t>
  </si>
  <si>
    <t>Payments07</t>
  </si>
  <si>
    <t>Charges07</t>
  </si>
  <si>
    <t>Balance07</t>
  </si>
  <si>
    <t>Payments08</t>
  </si>
  <si>
    <t>Charges08</t>
  </si>
  <si>
    <t>Balance08</t>
  </si>
  <si>
    <t>Payments09</t>
  </si>
  <si>
    <t>Charges09</t>
  </si>
  <si>
    <t>Balance09</t>
  </si>
  <si>
    <t>Payments10</t>
  </si>
  <si>
    <t>Charges10</t>
  </si>
  <si>
    <t>Balance10</t>
  </si>
  <si>
    <t>Payments11</t>
  </si>
  <si>
    <t>Charges11</t>
  </si>
  <si>
    <t>Balance11</t>
  </si>
  <si>
    <t>Payments12</t>
  </si>
  <si>
    <t>Charges12</t>
  </si>
  <si>
    <t>Balance12</t>
  </si>
  <si>
    <t>Transaction Start Time</t>
  </si>
  <si>
    <t>Budget Request 1</t>
  </si>
  <si>
    <t>Account Name</t>
  </si>
  <si>
    <t>Subsidiary Account</t>
  </si>
  <si>
    <t>xxx</t>
  </si>
  <si>
    <t>Start Column translation of object [xls27.usp_budget_request1] on sheet [Request1]</t>
  </si>
  <si>
    <t>QueryObject</t>
  </si>
  <si>
    <t>End Column translation of object [xls27.usp_budget_request1] on sheet [Request1]</t>
  </si>
  <si>
    <t>Budget Request 2</t>
  </si>
  <si>
    <t>Start Column translation of object [xls27.usp_budget_request2] on sheet [Request2]</t>
  </si>
  <si>
    <t>End Column translation of object [xls27.usp_budget_request2] on sheet [Request2]</t>
  </si>
  <si>
    <t>Entity 201</t>
  </si>
  <si>
    <t>Entity 401</t>
  </si>
  <si>
    <t>18.01</t>
  </si>
  <si>
    <t>18.02</t>
  </si>
  <si>
    <t>21.03</t>
  </si>
  <si>
    <t>21.04</t>
  </si>
  <si>
    <t>21.05</t>
  </si>
  <si>
    <t>21.06</t>
  </si>
  <si>
    <t>23.01</t>
  </si>
  <si>
    <t>23.02</t>
  </si>
  <si>
    <t>23.90</t>
  </si>
  <si>
    <t>24.01</t>
  </si>
  <si>
    <t>28.01</t>
  </si>
  <si>
    <t>28.03</t>
  </si>
  <si>
    <t>28.04</t>
  </si>
  <si>
    <t>29.02</t>
  </si>
  <si>
    <t>29.03</t>
  </si>
  <si>
    <t>32.01</t>
  </si>
  <si>
    <t>36.01</t>
  </si>
  <si>
    <t>38.01</t>
  </si>
  <si>
    <t>38.02</t>
  </si>
  <si>
    <t>39.01</t>
  </si>
  <si>
    <t>39.02</t>
  </si>
  <si>
    <t>xx</t>
  </si>
  <si>
    <t>TW</t>
  </si>
  <si>
    <t>Customer 2</t>
  </si>
  <si>
    <t>Customer 3</t>
  </si>
  <si>
    <t>Supplier 2</t>
  </si>
  <si>
    <t>Supplier 3</t>
  </si>
  <si>
    <t>Supplier 4</t>
  </si>
  <si>
    <t>Supplier 5</t>
  </si>
  <si>
    <t>Supplier 6</t>
  </si>
  <si>
    <t>Supplier 7</t>
  </si>
  <si>
    <t>Supplier 8</t>
  </si>
  <si>
    <t>Supplier 9</t>
  </si>
  <si>
    <t>Loan 1</t>
  </si>
  <si>
    <t>Loan 2</t>
  </si>
  <si>
    <t>Loan 3</t>
  </si>
  <si>
    <t>Repayment of a long-term loan</t>
  </si>
  <si>
    <t>Repayment of long-term loans</t>
  </si>
  <si>
    <t>{"payments02":"=[@payments01]","payments03":"=[@payments02]","payments04":"=[@payments03]","payments05":"=[@payments04]","payments06":"=[@payments05]","payments07":"=[@payments06]","payments08":"=[@payments07]","payments09":"=[@payments08]","payments10":"=[@payments09]","payments11":"=[@payments10]","payments12":"=[@payments11]"}</t>
  </si>
  <si>
    <t>Interest on a long-term loan</t>
  </si>
  <si>
    <t>Interest on long-term loans</t>
  </si>
  <si>
    <t>{"payments01":"=[@balance00]","payments02":"=[@charges01]","payments03":"=[@charges02]","payments04":"=[@charges03]","payments05":"=[@charges04]","payments06":"=[@charges05]","payments07":"=[@charges06]","payments08":"=[@charges07]","payments09":"=[@charges08]","payments10":"=[@charges09]","payments11":"=[@charges10]","payments12":"=[@charges11]"}</t>
  </si>
  <si>
    <t>Depreciation of rolling stock</t>
  </si>
  <si>
    <t>{"charges02":"=[@charges01]","charges03":"=[@charges01]","charges04":"=[@charges01]","charges05":"=[@charges01]","charges06":"=[@charges01]","charges07":"=[@charges01]","charges08":"=[@charges01]","charges09":"=[@charges01]","charges10":"=[@charges01]","charges11":"=[@charges01]","charges12":"=[@charges01]"}</t>
  </si>
  <si>
    <t>Purchase of rolling stock</t>
  </si>
  <si>
    <t>{"charges07":"=[@payments07]/2","charges08":"=[@payments07]-[@charges07]","payments07":"=100*1800000*1.2"}</t>
  </si>
  <si>
    <t>Depreciation of the purchased rolling stock</t>
  </si>
  <si>
    <t>{"charges10":"=[@charges09]","charges11":"=[@charges10]","charges12":"=[@charges11]"}</t>
  </si>
  <si>
    <t>Set-off of VAT on purchase rolling stock</t>
  </si>
  <si>
    <t>Set-off of VAT on purchase fixed assets</t>
  </si>
  <si>
    <t>Long-term loan to purchase rolling stock</t>
  </si>
  <si>
    <t>Proceeds from long-term borrowings</t>
  </si>
  <si>
    <t>{"payments09":"=[@payments08]","payments10":"=[@payments09]","payments11":"=[@payments10]","payments12":"=[@payments11]"}</t>
  </si>
  <si>
    <t>{"payments02":"=[@charges01]","payments03":"=RC[-1]","payments04":"=RC[-1]","payments05":"=RC[-1]","payments06":"=RC[-1]","payments08":"=[@charges07]","payments09":"=[@charges08]","payments10":"=[@charges09]","payments11":"=[@charges10]","payments12":"=[@charges11]"}</t>
  </si>
  <si>
    <t>Short-term loan to purchase rolling stock</t>
  </si>
  <si>
    <t>Proceeds from short-term borrowings</t>
  </si>
  <si>
    <t>Repayment of a short-term loan</t>
  </si>
  <si>
    <t>Repayment of short-term loans</t>
  </si>
  <si>
    <t>Interest on a short-term loan</t>
  </si>
  <si>
    <t>Interest on short-term loans</t>
  </si>
  <si>
    <t>Set-off of VAT on purchase goods and materials</t>
  </si>
  <si>
    <t>Set-off of VAT on purchase services</t>
  </si>
  <si>
    <t>VAT payments</t>
  </si>
  <si>
    <t>Profit before tax</t>
  </si>
  <si>
    <t>Income tax</t>
  </si>
  <si>
    <t>{"payments01":"=[@balance00]","charges01":"=R[-1]C*0.2","payments02":"=[@charges01]","charges02":"=R[-1]C*0.2","payments03":"=[@charges02]","charges03":"=R[-1]C*0.2","payments04":"=[@charges03]","charges04":"=R[-1]C*0.2","payments05":"=[@charges04]","charges05":"=R[-1]C*0.2","payments06":"=[@charges05]","charges06":"=R[-1]C*0.2","payments07":"=[@charges06]","charges07":"=R[-1]C*0.2","payments08":"=[@charges07]","charges08":"=R[-1]C*0.2","payments09":"=[@charges08]","charges09":"=R[-1]C*0.2","payments10":"=[@charges09]","charges10":"=R[-1]C*0.2","payments11":"=[@charges10]","charges11":"=R[-1]C*0.2","payments12":"=[@charges11]","charges12":"=R[-1]C*0.2"}</t>
  </si>
  <si>
    <t>Dividends</t>
  </si>
  <si>
    <t>{"payments03":"=[@charges03]"}</t>
  </si>
  <si>
    <t>{"total_payments":"=[@Payments01]+[@Payments02]+[@Payments03]+[@Payments04]+[@Payments05]+[@Payments06]+[@Payments07]+[@Payments08]+[@Payments09]+[@Payments10]+[@Payments11]+[@Payments12]","total_charges":"=[@Charges01]+[@Charges02]+[@Charges03]+[@Charges04]+[@Charges05]+[@Charges06]+[@Charges07]+[@Charges08]+[@Charges09]+[@Charges10]+[@Charges11]+[@Charges12]","Balance01":"=[@Balance00]-[@Payments01]+[@Charges01]","Balance02":"=[@Balance01]-[@Payments02]+[@Charges02]","Balance03":"=[@Balance02]-[@Payments03]+[@Charges03]","Balance04":"=[@Balance03]-[@Payments04]+[@Charges04]","Balance05":"=[@Balance04]-[@Payments05]+[@Charges05]","Balance06":"=[@Balance05]-[@Payments06]+[@Charges06]","Balance07":"=[@Balance06]-[@Payments07]+[@Charges07]","Balance08":"=[@Balance07]-[@Payments08]+[@Charges08]","Balance09":"=[@Balance08]-[@Payments09]+[@Charges09]","Balance10":"=[@Balance09]-[@Payments10]+[@Charges10]","Balance11":"=[@Balance10]-[@Payments11]+[@Charges11]","Balance12":"=[@Balance11]-[@Payments12]+[@Charges12]"}</t>
  </si>
  <si>
    <t>It requires the SaveToDB add-in for Microsoft Excel, version 9.9 or higher.</t>
  </si>
  <si>
    <t>Start Parameters of object [gBudgetingApp.xls27.usp_budget_request1] on server [mssql.savetodb.com]</t>
  </si>
  <si>
    <t>End Parameters of object [gBudgetingApp.xls27.usp_budget_request1] on server [mssql.savetodb.com]</t>
  </si>
  <si>
    <t>Start Event handlers of object [gBudgetingApp.xls27.usp_budget_request1] on server [mssql.savetodb.com]</t>
  </si>
  <si>
    <t>End Event handlers of object [gBudgetingApp.xls27.usp_budget_request1] on server [mssql.savetodb.com]</t>
  </si>
  <si>
    <t>Start User parameter values of object [gBudgetingApp.xls27.usp_budget_request1] parameter [company_id] on server [mssql.savetodb.com]</t>
  </si>
  <si>
    <t>End User parameter values of object [gBudgetingApp.xls27.usp_budget_request1] parameter [company_id] on server [mssql.savetodb.com]</t>
  </si>
  <si>
    <t>Start User parameter values of object [gBudgetingApp.xls27.usp_budget_request1] parameter [category_id] with [company_id = 1] on server [mssql.savetodb.com]</t>
  </si>
  <si>
    <t>End User parameter values of object [gBudgetingApp.xls27.usp_budget_request1] parameter [category_id] with [company_id = 1] on server [mssql.savetodb.com]</t>
  </si>
  <si>
    <t>Start User parameter values of object [gBudgetingApp.xls27.usp_budget_request1] parameter [time_id] with [company_id = 1] on server [mssql.savetodb.com]</t>
  </si>
  <si>
    <t>End User parameter values of object [gBudgetingApp.xls27.usp_budget_request1] parameter [time_id] with [company_id = 1] on server [mssql.savetodb.com]</t>
  </si>
  <si>
    <t>Start Fields of object [gBudgetingApp.xls27.usp_budget_request1] on server [mssql.savetodb.com]</t>
  </si>
  <si>
    <t>End Fields of object [gBudgetingApp.xls27.usp_budget_request1] on server [mssql.savetodb.com]</t>
  </si>
  <si>
    <t>Start User parameter values of object [gBudgetingApp.xls27.usp_budget_request1] parameter [entity_id] with [company_id = 1] on server [mssql.savetodb.com]</t>
  </si>
  <si>
    <t>End User parameter values of object [gBudgetingApp.xls27.usp_budget_request1] parameter [entity_id] with [company_id = 1] on server [mssql.savetodb.com]</t>
  </si>
  <si>
    <t>Start Parameters of object [gBudgetingApp.xls27.usp_budget_request2] on server [mssql.savetodb.com]</t>
  </si>
  <si>
    <t>End Parameters of object [gBudgetingApp.xls27.usp_budget_request2] on server [mssql.savetodb.com]</t>
  </si>
  <si>
    <t>Start Event handlers of object [gBudgetingApp.xls27.usp_budget_request2] on server [mssql.savetodb.com]</t>
  </si>
  <si>
    <t>End Event handlers of object [gBudgetingApp.xls27.usp_budget_request2] on server [mssql.savetodb.com]</t>
  </si>
  <si>
    <t>Start User parameter values of object [gBudgetingApp.xls27.usp_budget_request2] parameter [company_id] on server [mssql.savetodb.com]</t>
  </si>
  <si>
    <t>End User parameter values of object [gBudgetingApp.xls27.usp_budget_request2] parameter [company_id] on server [mssql.savetodb.com]</t>
  </si>
  <si>
    <t>Start User parameter values of object [gBudgetingApp.xls27.usp_budget_request2] parameter [rows] on server [mssql.savetodb.com]</t>
  </si>
  <si>
    <t>End User parameter values of object [gBudgetingApp.xls27.usp_budget_request2] parameter [rows] on server [mssql.savetodb.com]</t>
  </si>
  <si>
    <t>Start User parameter values of object [gBudgetingApp.xls27.usp_budget_request2] parameter [category_id] with [company_id = 1] on server [mssql.savetodb.com]</t>
  </si>
  <si>
    <t>End User parameter values of object [gBudgetingApp.xls27.usp_budget_request2] parameter [category_id] with [company_id = 1] on server [mssql.savetodb.com]</t>
  </si>
  <si>
    <t>Start User parameter values of object [gBudgetingApp.xls27.usp_budget_request2] parameter [time_id] with [company_id = 1] on server [mssql.savetodb.com]</t>
  </si>
  <si>
    <t>End User parameter values of object [gBudgetingApp.xls27.usp_budget_request2] parameter [time_id] with [company_id = 1] on server [mssql.savetodb.com]</t>
  </si>
  <si>
    <t>Start Fields of object [gBudgetingApp.xls27.usp_budget_request2] on server [mssql.savetodb.com]</t>
  </si>
  <si>
    <t>End Fields of object [gBudgetingApp.xls27.usp_budget_request2] on server [mssql.savetodb.com]</t>
  </si>
  <si>
    <t>Start User parameter values of object [gBudgetingApp.xls27.usp_budget_request2] parameter [entity_id] with [company_id = 1] on server [mssql.savetodb.com]</t>
  </si>
  <si>
    <t>End User parameter values of object [gBudgetingApp.xls27.usp_budget_request2] parameter [entity_id] with [company_id = 1] on server [mssql.savetodb.com]</t>
  </si>
  <si>
    <t>Start Parameters of object [gBudgetingApp.xls27.xl_validation_list_budgeting_account_id_code] on server [mssql.savetodb.com]</t>
  </si>
  <si>
    <t>End Parameters of object [gBudgetingApp.xls27.xl_validation_list_budgeting_account_id_code] on server [mssql.savetodb.com]</t>
  </si>
  <si>
    <t>Start Fields of object [gBudgetingApp.xls27.xl_validation_list_budgeting_account_id_code] on server [mssql.savetodb.com]</t>
  </si>
  <si>
    <t>End Fields of object [gBudgetingApp.xls27.xl_validation_list_budgeting_account_id_code] on server [mssql.savetodb.com]</t>
  </si>
  <si>
    <t>Start Parameters of object [gBudgetingApp.xls27.xl_validation_list_product_id_code] on server [mssql.savetodb.com]</t>
  </si>
  <si>
    <t>End Parameters of object [gBudgetingApp.xls27.xl_validation_list_product_id_code] on server [mssql.savetodb.com]</t>
  </si>
  <si>
    <t>Start Fields of object [gBudgetingApp.xls27.xl_validation_list_product_id_code] on server [mssql.savetodb.com]</t>
  </si>
  <si>
    <t>End Fields of object [gBudgetingApp.xls27.xl_validation_list_product_id_code] on server [mssql.savetodb.com]</t>
  </si>
  <si>
    <t>Start Parameters of object [gBudgetingApp.xls27.xl_validation_list_region_id_code] on server [mssql.savetodb.com]</t>
  </si>
  <si>
    <t>End Parameters of object [gBudgetingApp.xls27.xl_validation_list_region_id_code] on server [mssql.savetodb.com]</t>
  </si>
  <si>
    <t>Start Fields of object [gBudgetingApp.xls27.xl_validation_list_region_id_code] on server [mssql.savetodb.com]</t>
  </si>
  <si>
    <t>End Fields of object [gBudgetingApp.xls27.xl_validation_list_region_id_code] on server [mssql.savetodb.com]</t>
  </si>
  <si>
    <t>Start Parameters of object [gBudgetingApp.xls27.xl_validation_list_subsidiary_account_id] on server [mssql.savetodb.com]</t>
  </si>
  <si>
    <t>End Parameters of object [gBudgetingApp.xls27.xl_validation_list_subsidiary_account_id] on server [mssql.savetodb.com]</t>
  </si>
  <si>
    <t>Start Fields of object [gBudgetingApp.xls27.xl_validation_list_subsidiary_account_id] on server [mssql.savetodb.com]</t>
  </si>
  <si>
    <t>End Fields of object [gBudgetingApp.xls27.xl_validation_list_subsidiary_account_id] on server [mssql.savetodb.com]</t>
  </si>
  <si>
    <t>Start Parameters of object [gBudgetingApp.xls27.xl_validation_list_unit_id_code] on server [mssql.savetodb.com]</t>
  </si>
  <si>
    <t>End Parameters of object [gBudgetingApp.xls27.xl_validation_list_unit_id_code] on server [mssql.savetodb.com]</t>
  </si>
  <si>
    <t>Start Fields of object [gBudgetingApp.xls27.xl_validation_list_unit_id_code] on server [mssql.savetodb.com]</t>
  </si>
  <si>
    <t>End Fields of object [gBudgetingApp.xls27.xl_validation_list_unit_id_code] on server [mssql.savetodb.com]</t>
  </si>
  <si>
    <t>Start Parameters of object [gBudgetingApp.xls27.xl_validation_list_vat_rate_id] on server [mssql.savetodb.com]</t>
  </si>
  <si>
    <t>End Parameters of object [gBudgetingApp.xls27.xl_validation_list_vat_rate_id] on server [mssql.savetodb.com]</t>
  </si>
  <si>
    <t>Start Fields of object [gBudgetingApp.xls27.xl_validation_list_vat_rate_id] on server [mssql.savetodb.com]</t>
  </si>
  <si>
    <t>End Fields of object [gBudgetingApp.xls27.xl_validation_list_vat_rate_id] on server [mssql.savetodb.com]</t>
  </si>
  <si>
    <t>DoNotSort</t>
  </si>
  <si>
    <t>ATTRIBUTE</t>
  </si>
  <si>
    <t>Start Parameters of object [gBudgetingApp.xls27.usp_budget_request1_insert] on server [mssql.savetodb.com]</t>
  </si>
  <si>
    <t>End Parameters of object [gBudgetingApp.xls27.usp_budget_request1_insert] on server [mssql.savetodb.com]</t>
  </si>
  <si>
    <t>Start Parameters of object [gBudgetingApp.xls27.usp_budget_request1_update] on server [mssql.savetodb.com]</t>
  </si>
  <si>
    <t>End Parameters of object [gBudgetingApp.xls27.usp_budget_request1_update] on server [mssql.savetodb.com]</t>
  </si>
  <si>
    <t>Start Parameters of object [gBudgetingApp.xls27.usp_budget_request1_delete] on server [mssql.savetodb.com]</t>
  </si>
  <si>
    <t>End Parameters of object [gBudgetingApp.xls27.usp_budget_request1_delete] on server [mssql.savetodb.com]</t>
  </si>
  <si>
    <t>Start Parameters of object [gBudgetingApp.xls27.xl_parameter_values_company_id] on server [mssql.savetodb.com]</t>
  </si>
  <si>
    <t>End Parameters of object [gBudgetingApp.xls27.xl_parameter_values_company_id] on server [mssql.savetodb.com]</t>
  </si>
  <si>
    <t>Start Parameters of object [gBudgetingApp.xls27.xl_parameter_values_category_id_not_null] on server [mssql.savetodb.com]</t>
  </si>
  <si>
    <t>End Parameters of object [gBudgetingApp.xls27.xl_parameter_values_category_id_not_null] on server [mssql.savetodb.com]</t>
  </si>
  <si>
    <t>Start Parameters of object [gBudgetingApp.xls27.xl_parameter_values_time_id_not_null] on server [mssql.savetodb.com]</t>
  </si>
  <si>
    <t>End Parameters of object [gBudgetingApp.xls27.xl_parameter_values_time_id_not_null] on server [mssql.savetodb.com]</t>
  </si>
  <si>
    <t>Start Parameters of object [gBudgetingApp.xls27.xl_parameter_values_entity_id] on server [mssql.savetodb.com]</t>
  </si>
  <si>
    <t>End Parameters of object [gBudgetingApp.xls27.xl_parameter_values_entity_id] on server [mssql.savetodb.com]</t>
  </si>
  <si>
    <t>Start Parameters of object [gBudgetingApp.xls27.xl_actions_select_members] on server [mssql.savetodb.com]</t>
  </si>
  <si>
    <t>End Parameters of object [gBudgetingApp.xls27.xl_actions_select_members] on server [mssql.savetodb.com]</t>
  </si>
  <si>
    <t>Start Parameters of object [gBudgetingApp.xls27.usp_budget_request2_insert] on server [mssql.savetodb.com]</t>
  </si>
  <si>
    <t>End Parameters of object [gBudgetingApp.xls27.usp_budget_request2_insert] on server [mssql.savetodb.com]</t>
  </si>
  <si>
    <t>Start Parameters of object [gBudgetingApp.xls27.usp_budget_request2_update] on server [mssql.savetodb.com]</t>
  </si>
  <si>
    <t>End Parameters of object [gBudgetingApp.xls27.usp_budget_request2_update] on server [mssql.savetodb.com]</t>
  </si>
  <si>
    <t>Start Parameters of object [gBudgetingApp.xls27.usp_budget_request2_delete] on server [mssql.savetodb.com]</t>
  </si>
  <si>
    <t>End Parameters of object [gBudgetingApp.xls27.usp_budget_request2_delete] on server [mssql.savetodb.com]</t>
  </si>
  <si>
    <t>Version 3.0</t>
  </si>
  <si>
    <t>xls27.Online Database Help - xls27.usp_budget_request1</t>
  </si>
  <si>
    <t>DefaultValue</t>
  </si>
  <si>
    <t>70</t>
  </si>
  <si>
    <t>75</t>
  </si>
  <si>
    <t>68</t>
  </si>
  <si>
    <t>[{"format":"font-size: 14px;"},{"formula":"row_format=1","format":"font-weight: bold;"}]</t>
  </si>
  <si>
    <t>row_comments</t>
  </si>
  <si>
    <t>KeepComments</t>
  </si>
  <si>
    <t>Row Comments</t>
  </si>
  <si>
    <t>Start Column Properties of object [xls27.usp_budget_request1]</t>
  </si>
  <si>
    <t>TableStyle.Name</t>
  </si>
  <si>
    <t>TableStyleMedium15</t>
  </si>
  <si>
    <t>ShowTableStyleColumnStripes</t>
  </si>
  <si>
    <t>ShowTableStyleFirstColumn</t>
  </si>
  <si>
    <t>ShowShowTableStyleLastColumn</t>
  </si>
  <si>
    <t>ShowTableStyleRowStripes</t>
  </si>
  <si>
    <t>Address</t>
  </si>
  <si>
    <t>$B$9</t>
  </si>
  <si>
    <t>NumberFormat</t>
  </si>
  <si>
    <t>General</t>
  </si>
  <si>
    <t>BorderxlEdgeLeft.LineStyle</t>
  </si>
  <si>
    <t>BorderxlEdgeLeft.Weight</t>
  </si>
  <si>
    <t>BorderxlEdgeRight.LineStyle</t>
  </si>
  <si>
    <t>BorderxlEdgeRight.Weight</t>
  </si>
  <si>
    <t>$C$9</t>
  </si>
  <si>
    <t>$D$9</t>
  </si>
  <si>
    <t>$E$9</t>
  </si>
  <si>
    <t>ColumnWidth</t>
  </si>
  <si>
    <t>$F$9</t>
  </si>
  <si>
    <t>@</t>
  </si>
  <si>
    <t>$G$9</t>
  </si>
  <si>
    <t>$H$9</t>
  </si>
  <si>
    <t>$I$9</t>
  </si>
  <si>
    <t>$J$9</t>
  </si>
  <si>
    <t>$K$9</t>
  </si>
  <si>
    <t>$L$9</t>
  </si>
  <si>
    <t>$M$9</t>
  </si>
  <si>
    <t>FormulaR1C1</t>
  </si>
  <si>
    <t>=[@payments01]+[@payments02]+[@payments03]+[@payments04]+[@payments05]+[@payments06]+[@payments07]+[@payments08]+[@payments09]+[@payments10]+[@payments11]+[@payments12]</t>
  </si>
  <si>
    <t>#,##0.00;-#,##0.00;</t>
  </si>
  <si>
    <t>$N$9</t>
  </si>
  <si>
    <t>=[@charges01]+[@charges02]+[@charges03]+[@charges04]+[@charges05]+[@charges06]+[@charges07]+[@charges08]+[@charges09]+[@charges10]+[@charges11]+[@charges12]</t>
  </si>
  <si>
    <t>$O$9</t>
  </si>
  <si>
    <t>Validation.Type</t>
  </si>
  <si>
    <t>Validation.Operator</t>
  </si>
  <si>
    <t>Validation.Formula1</t>
  </si>
  <si>
    <t>-1.11222333444555E+29</t>
  </si>
  <si>
    <t>Validation.AlertStyle</t>
  </si>
  <si>
    <t>Validation.IgnoreBlank</t>
  </si>
  <si>
    <t>Validation.InCellDropdown</t>
  </si>
  <si>
    <t>Validation.ShowInput</t>
  </si>
  <si>
    <t>Validation.ShowError</t>
  </si>
  <si>
    <t>$P$9</t>
  </si>
  <si>
    <t>$Q$9</t>
  </si>
  <si>
    <t>$R$9</t>
  </si>
  <si>
    <t>=[@balance00]-[@payments01]+[@charges01]</t>
  </si>
  <si>
    <t>$S$9</t>
  </si>
  <si>
    <t>$T$9</t>
  </si>
  <si>
    <t>$U$9</t>
  </si>
  <si>
    <t>=[@balance01]-[@payments02]+[@charges02]</t>
  </si>
  <si>
    <t>$V$9</t>
  </si>
  <si>
    <t>$W$9</t>
  </si>
  <si>
    <t>$X$9</t>
  </si>
  <si>
    <t>=[@balance02]-[@payments03]+[@charges03]</t>
  </si>
  <si>
    <t>$Y$9</t>
  </si>
  <si>
    <t>$Z$9</t>
  </si>
  <si>
    <t>$AA$9</t>
  </si>
  <si>
    <t>=[@balance03]-[@payments04]+[@charges04]</t>
  </si>
  <si>
    <t>$AB$9</t>
  </si>
  <si>
    <t>$AC$9</t>
  </si>
  <si>
    <t>$AD$9</t>
  </si>
  <si>
    <t>=[@balance04]-[@payments05]+[@charges05]</t>
  </si>
  <si>
    <t>$AE$9</t>
  </si>
  <si>
    <t>$AF$9</t>
  </si>
  <si>
    <t>$AG$9</t>
  </si>
  <si>
    <t>=[@balance05]-[@payments06]+[@charges06]</t>
  </si>
  <si>
    <t>$AH$9</t>
  </si>
  <si>
    <t>$AI$9</t>
  </si>
  <si>
    <t>$AJ$9</t>
  </si>
  <si>
    <t>=[@balance06]-[@payments07]+[@charges07]</t>
  </si>
  <si>
    <t>$AK$9</t>
  </si>
  <si>
    <t>$AL$9</t>
  </si>
  <si>
    <t>$AM$9</t>
  </si>
  <si>
    <t>=[@balance07]-[@payments08]+[@charges08]</t>
  </si>
  <si>
    <t>$AN$9</t>
  </si>
  <si>
    <t>$AO$9</t>
  </si>
  <si>
    <t>$AP$9</t>
  </si>
  <si>
    <t>=[@balance08]-[@payments09]+[@charges09]</t>
  </si>
  <si>
    <t>$AQ$9</t>
  </si>
  <si>
    <t>$AR$9</t>
  </si>
  <si>
    <t>$AS$9</t>
  </si>
  <si>
    <t>=[@balance09]-[@payments10]+[@charges10]</t>
  </si>
  <si>
    <t>$AT$9</t>
  </si>
  <si>
    <t>$AU$9</t>
  </si>
  <si>
    <t>$AV$9</t>
  </si>
  <si>
    <t>=[@balance10]-[@payments11]+[@charges11]</t>
  </si>
  <si>
    <t>$AW$9</t>
  </si>
  <si>
    <t>$AX$9</t>
  </si>
  <si>
    <t>$AY$9</t>
  </si>
  <si>
    <t>=[@balance11]-[@payments12]+[@charges12]</t>
  </si>
  <si>
    <t>$AZ$9</t>
  </si>
  <si>
    <t>$BA$9</t>
  </si>
  <si>
    <t>$BB$9</t>
  </si>
  <si>
    <t>m/d/yyyy</t>
  </si>
  <si>
    <t>FormatConditions(1).AppliesToTable</t>
  </si>
  <si>
    <t>FormatConditions(1).AppliesTo.Address</t>
  </si>
  <si>
    <t>FormatConditions(1).Type</t>
  </si>
  <si>
    <t>FormatConditions(1).Priority</t>
  </si>
  <si>
    <t>FormatConditions(1).Formula1</t>
  </si>
  <si>
    <t>=$D9=1</t>
  </si>
  <si>
    <t>FormatConditions(1).Font.Bold</t>
  </si>
  <si>
    <t>Tab.Color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</si>
  <si>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</si>
  <si>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</si>
  <si>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</si>
  <si>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</si>
  <si>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</si>
  <si>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</si>
  <si>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</si>
  <si>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</si>
  <si>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PageSetup.PaperSize</t>
  </si>
  <si>
    <t>End Column Properties of object [xls27.usp_budget_request1]</t>
  </si>
  <si>
    <t>dbo</t>
  </si>
  <si>
    <t>Start User parameter values of object [gBudgetingApp.xls27.usp_budget_request1] parameter [rows] on server [mssql.savetodb.com]</t>
  </si>
  <si>
    <t>End User parameter values of object [gBudgetingApp.xls27.usp_budget_request1] parameter [rows] on server [mssql.savetodb.com]</t>
  </si>
  <si>
    <t>Name</t>
  </si>
  <si>
    <t>Code</t>
  </si>
  <si>
    <t>xls27.Online Database Help - xls27.usp_budget_request2</t>
  </si>
  <si>
    <t>Start Column Properties of object [xls27.usp_budget_request2]</t>
  </si>
  <si>
    <t>End Column Properties of object [xls27.usp_budget_request2]</t>
  </si>
  <si>
    <t>53</t>
  </si>
  <si>
    <t>$BC$9</t>
  </si>
  <si>
    <t>$B$9:$BC$34</t>
  </si>
  <si>
    <t>varchar</t>
  </si>
  <si>
    <t>2023</t>
  </si>
  <si>
    <t>de en es fr it ru</t>
  </si>
  <si>
    <t>dd.MM.yyyy</t>
  </si>
  <si>
    <t>HH:mm:ss</t>
  </si>
  <si>
    <t>Copyright © 2019-2023 Gartle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</si>
</sst>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;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4"/>
      <color rgb="FF0070C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6" fillId="0" borderId="0" applyNumberFormat="0" applyFill="0" applyBorder="0" applyAlignment="0" applyProtection="0"/>
  </cellStyleXfs>
  <cellXfs count="100">
    <xf numFmtId="0" fontId="0" fillId="0" borderId="0" xfId="0"/>
    <xf numFmtId="0" fontId="3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Continuous"/>
    </xf>
    <xf numFmtId="0" fontId="2" fillId="0" borderId="9" xfId="0" applyFont="1" applyBorder="1" applyAlignment="1">
      <alignment horizontal="centerContinuous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49" fontId="2" fillId="0" borderId="21" xfId="0" applyNumberFormat="1" applyFont="1" applyBorder="1" applyAlignment="1">
      <alignment horizontal="center"/>
    </xf>
    <xf numFmtId="49" fontId="2" fillId="0" borderId="22" xfId="0" applyNumberFormat="1" applyFont="1" applyBorder="1" applyAlignment="1">
      <alignment horizontal="center"/>
    </xf>
    <xf numFmtId="49" fontId="2" fillId="0" borderId="23" xfId="0" applyNumberFormat="1" applyFont="1" applyBorder="1" applyAlignment="1">
      <alignment horizontal="center"/>
    </xf>
    <xf numFmtId="49" fontId="2" fillId="0" borderId="24" xfId="0" applyNumberFormat="1" applyFont="1" applyBorder="1" applyAlignment="1">
      <alignment horizontal="center"/>
    </xf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0" fillId="0" borderId="28" xfId="0" applyBorder="1"/>
    <xf numFmtId="49" fontId="0" fillId="0" borderId="29" xfId="0" applyNumberFormat="1" applyBorder="1"/>
    <xf numFmtId="0" fontId="0" fillId="0" borderId="30" xfId="0" applyBorder="1"/>
    <xf numFmtId="0" fontId="0" fillId="0" borderId="31" xfId="0" applyBorder="1"/>
    <xf numFmtId="0" fontId="0" fillId="0" borderId="29" xfId="0" applyBorder="1"/>
    <xf numFmtId="164" fontId="0" fillId="0" borderId="29" xfId="0" applyNumberFormat="1" applyBorder="1"/>
    <xf numFmtId="164" fontId="0" fillId="0" borderId="31" xfId="0" applyNumberFormat="1" applyBorder="1"/>
    <xf numFmtId="164" fontId="0" fillId="0" borderId="28" xfId="0" applyNumberFormat="1" applyBorder="1"/>
    <xf numFmtId="49" fontId="0" fillId="0" borderId="32" xfId="0" applyNumberFormat="1" applyBorder="1"/>
    <xf numFmtId="14" fontId="0" fillId="0" borderId="33" xfId="0" applyNumberFormat="1" applyBorder="1"/>
    <xf numFmtId="49" fontId="0" fillId="0" borderId="29" xfId="0" quotePrefix="1" applyNumberFormat="1" applyBorder="1"/>
    <xf numFmtId="0" fontId="0" fillId="0" borderId="30" xfId="0" quotePrefix="1" applyBorder="1"/>
    <xf numFmtId="0" fontId="0" fillId="0" borderId="31" xfId="0" quotePrefix="1" applyBorder="1"/>
    <xf numFmtId="0" fontId="0" fillId="0" borderId="29" xfId="0" quotePrefix="1" applyBorder="1"/>
    <xf numFmtId="0" fontId="0" fillId="0" borderId="28" xfId="0" quotePrefix="1" applyBorder="1"/>
    <xf numFmtId="0" fontId="0" fillId="0" borderId="12" xfId="0" applyBorder="1"/>
    <xf numFmtId="49" fontId="0" fillId="0" borderId="16" xfId="0" applyNumberFormat="1" applyBorder="1"/>
    <xf numFmtId="0" fontId="0" fillId="0" borderId="14" xfId="0" applyBorder="1"/>
    <xf numFmtId="0" fontId="0" fillId="0" borderId="20" xfId="0" applyBorder="1"/>
    <xf numFmtId="0" fontId="0" fillId="0" borderId="16" xfId="0" applyBorder="1"/>
    <xf numFmtId="164" fontId="0" fillId="0" borderId="16" xfId="0" applyNumberFormat="1" applyBorder="1"/>
    <xf numFmtId="164" fontId="0" fillId="0" borderId="20" xfId="0" applyNumberFormat="1" applyBorder="1"/>
    <xf numFmtId="164" fontId="0" fillId="0" borderId="12" xfId="0" applyNumberFormat="1" applyBorder="1"/>
    <xf numFmtId="49" fontId="0" fillId="0" borderId="11" xfId="0" applyNumberFormat="1" applyBorder="1"/>
    <xf numFmtId="14" fontId="0" fillId="0" borderId="17" xfId="0" applyNumberFormat="1" applyBorder="1"/>
    <xf numFmtId="0" fontId="0" fillId="0" borderId="34" xfId="0" applyBorder="1"/>
    <xf numFmtId="0" fontId="0" fillId="0" borderId="7" xfId="0" applyBorder="1"/>
    <xf numFmtId="0" fontId="2" fillId="0" borderId="1" xfId="0" applyFont="1" applyBorder="1"/>
    <xf numFmtId="0" fontId="2" fillId="0" borderId="34" xfId="0" applyFont="1" applyBorder="1"/>
    <xf numFmtId="0" fontId="2" fillId="0" borderId="7" xfId="0" applyFont="1" applyBorder="1"/>
    <xf numFmtId="0" fontId="2" fillId="0" borderId="35" xfId="0" applyFont="1" applyBorder="1"/>
    <xf numFmtId="164" fontId="0" fillId="0" borderId="8" xfId="0" quotePrefix="1" applyNumberFormat="1" applyBorder="1"/>
    <xf numFmtId="164" fontId="0" fillId="0" borderId="9" xfId="0" quotePrefix="1" applyNumberFormat="1" applyBorder="1"/>
    <xf numFmtId="164" fontId="0" fillId="0" borderId="35" xfId="0" quotePrefix="1" applyNumberFormat="1" applyBorder="1"/>
    <xf numFmtId="0" fontId="0" fillId="0" borderId="1" xfId="0" applyBorder="1"/>
    <xf numFmtId="0" fontId="2" fillId="0" borderId="32" xfId="0" applyFont="1" applyBorder="1"/>
    <xf numFmtId="0" fontId="2" fillId="0" borderId="0" xfId="0" applyFont="1"/>
    <xf numFmtId="0" fontId="2" fillId="0" borderId="33" xfId="0" applyFont="1" applyBorder="1"/>
    <xf numFmtId="0" fontId="2" fillId="0" borderId="36" xfId="0" applyFont="1" applyBorder="1"/>
    <xf numFmtId="164" fontId="0" fillId="0" borderId="37" xfId="0" quotePrefix="1" applyNumberFormat="1" applyBorder="1"/>
    <xf numFmtId="164" fontId="0" fillId="0" borderId="38" xfId="0" quotePrefix="1" applyNumberFormat="1" applyBorder="1"/>
    <xf numFmtId="164" fontId="0" fillId="0" borderId="36" xfId="0" quotePrefix="1" applyNumberFormat="1" applyBorder="1"/>
    <xf numFmtId="0" fontId="2" fillId="0" borderId="39" xfId="0" applyFont="1" applyBorder="1"/>
    <xf numFmtId="0" fontId="2" fillId="0" borderId="11" xfId="0" applyFont="1" applyBorder="1"/>
    <xf numFmtId="0" fontId="2" fillId="0" borderId="40" xfId="0" applyFont="1" applyBorder="1"/>
    <xf numFmtId="0" fontId="2" fillId="0" borderId="17" xfId="0" applyFont="1" applyBorder="1"/>
    <xf numFmtId="0" fontId="2" fillId="0" borderId="41" xfId="0" applyFont="1" applyBorder="1"/>
    <xf numFmtId="164" fontId="0" fillId="0" borderId="18" xfId="0" quotePrefix="1" applyNumberFormat="1" applyBorder="1"/>
    <xf numFmtId="164" fontId="0" fillId="0" borderId="19" xfId="0" quotePrefix="1" applyNumberFormat="1" applyBorder="1"/>
    <xf numFmtId="164" fontId="0" fillId="0" borderId="41" xfId="0" quotePrefix="1" applyNumberFormat="1" applyBorder="1"/>
    <xf numFmtId="0" fontId="0" fillId="0" borderId="0" xfId="0" quotePrefix="1"/>
    <xf numFmtId="0" fontId="2" fillId="0" borderId="42" xfId="0" applyFont="1" applyBorder="1" applyAlignment="1">
      <alignment horizontal="centerContinuous"/>
    </xf>
    <xf numFmtId="0" fontId="2" fillId="0" borderId="43" xfId="0" applyFont="1" applyBorder="1" applyAlignment="1">
      <alignment horizontal="center"/>
    </xf>
    <xf numFmtId="49" fontId="2" fillId="0" borderId="44" xfId="0" applyNumberFormat="1" applyFont="1" applyBorder="1" applyAlignment="1">
      <alignment horizontal="center"/>
    </xf>
    <xf numFmtId="0" fontId="0" fillId="0" borderId="32" xfId="0" applyBorder="1"/>
    <xf numFmtId="0" fontId="0" fillId="0" borderId="33" xfId="0" applyBorder="1"/>
    <xf numFmtId="164" fontId="0" fillId="0" borderId="30" xfId="0" applyNumberFormat="1" applyBorder="1"/>
    <xf numFmtId="14" fontId="0" fillId="0" borderId="31" xfId="0" applyNumberFormat="1" applyBorder="1"/>
    <xf numFmtId="164" fontId="0" fillId="0" borderId="42" xfId="0" quotePrefix="1" applyNumberFormat="1" applyBorder="1"/>
    <xf numFmtId="164" fontId="0" fillId="0" borderId="45" xfId="0" quotePrefix="1" applyNumberFormat="1" applyBorder="1"/>
    <xf numFmtId="164" fontId="0" fillId="0" borderId="43" xfId="0" quotePrefix="1" applyNumberFormat="1" applyBorder="1"/>
    <xf numFmtId="0" fontId="5" fillId="0" borderId="0" xfId="1" applyFont="1"/>
    <xf numFmtId="0" fontId="4" fillId="0" borderId="0" xfId="1"/>
    <xf numFmtId="0" fontId="2" fillId="0" borderId="0" xfId="1" applyFont="1" applyAlignment="1">
      <alignment horizontal="right"/>
    </xf>
    <xf numFmtId="0" fontId="6" fillId="0" borderId="0" xfId="2"/>
    <xf numFmtId="49" fontId="0" fillId="0" borderId="0" xfId="0" applyNumberFormat="1"/>
    <xf numFmtId="14" fontId="0" fillId="0" borderId="28" xfId="0" applyNumberFormat="1" applyBorder="1"/>
    <xf numFmtId="164" fontId="0" fillId="0" borderId="14" xfId="0" applyNumberFormat="1" applyBorder="1"/>
    <xf numFmtId="3" fontId="0" fillId="0" borderId="28" xfId="0" applyNumberFormat="1" applyBorder="1"/>
    <xf numFmtId="3" fontId="0" fillId="0" borderId="12" xfId="0" applyNumberFormat="1" applyBorder="1"/>
  </cellXfs>
  <cellStyles count="3">
    <cellStyle name="Hyperlink 2" xfId="2" xr:uid="{720D0BC6-3EFC-4166-BCAA-ACD02959BD88}"/>
    <cellStyle name="Normal" xfId="0" builtinId="0"/>
    <cellStyle name="Normal 2" xfId="1" xr:uid="{899F61CA-8117-462E-82AE-7F0B3B288912}"/>
  </cellStyles>
  <dxfs count="110">
    <dxf>
      <numFmt numFmtId="19" formatCode="dd/mm/yyyy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30" formatCode="@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9" formatCode="dd/mm/yyyy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30" formatCode="@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/>
        <i val="0"/>
      </font>
    </dxf>
    <dxf>
      <numFmt numFmtId="19" formatCode="dd/mm/yyyy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30" formatCode="@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9" formatCode="dd/mm/yyyy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30" formatCode="@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3" formatCode="#,##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3" formatCode="#,##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1" xr16:uid="{4D9211C1-5E0A-4C9D-A2F7-4A91DE3E0DC6}" autoFormatId="16" applyNumberFormats="0" applyBorderFormats="0" applyFontFormats="1" applyPatternFormats="1" applyAlignmentFormats="0" applyWidthHeightFormats="0">
  <queryTableRefresh nextId="56">
    <queryTableFields count="54">
      <queryTableField id="1" rowNumbers="1" tableColumnId="54"/>
      <queryTableField id="2" name="row_index" tableColumnId="55"/>
      <queryTableField id="3" name="row_format" tableColumnId="56"/>
      <queryTableField id="4" name="description" tableColumnId="57"/>
      <queryTableField id="5" name="account_id" tableColumnId="58"/>
      <queryTableField id="6" name="account_name" tableColumnId="59"/>
      <queryTableField id="7" name="subsidiary_account_id" tableColumnId="60"/>
      <queryTableField id="8" name="region_id" tableColumnId="61"/>
      <queryTableField id="9" name="product_id" tableColumnId="62"/>
      <queryTableField id="10" name="vat_rate_id" tableColumnId="63"/>
      <queryTableField id="11" name="unit_id" tableColumnId="64"/>
      <queryTableField id="12" name="total_payments" tableColumnId="65"/>
      <queryTableField id="13" name="total_charges" tableColumnId="66"/>
      <queryTableField id="14" name="balance00" tableColumnId="67"/>
      <queryTableField id="15" name="payments01" tableColumnId="68"/>
      <queryTableField id="16" name="charges01" tableColumnId="69"/>
      <queryTableField id="17" name="balance01" tableColumnId="70"/>
      <queryTableField id="18" name="payments02" tableColumnId="71"/>
      <queryTableField id="19" name="charges02" tableColumnId="72"/>
      <queryTableField id="20" name="balance02" tableColumnId="73"/>
      <queryTableField id="21" name="payments03" tableColumnId="74"/>
      <queryTableField id="22" name="charges03" tableColumnId="75"/>
      <queryTableField id="23" name="balance03" tableColumnId="76"/>
      <queryTableField id="24" name="payments04" tableColumnId="77"/>
      <queryTableField id="25" name="charges04" tableColumnId="78"/>
      <queryTableField id="26" name="balance04" tableColumnId="79"/>
      <queryTableField id="27" name="payments05" tableColumnId="80"/>
      <queryTableField id="28" name="charges05" tableColumnId="81"/>
      <queryTableField id="29" name="balance05" tableColumnId="82"/>
      <queryTableField id="30" name="payments06" tableColumnId="83"/>
      <queryTableField id="31" name="charges06" tableColumnId="84"/>
      <queryTableField id="32" name="balance06" tableColumnId="85"/>
      <queryTableField id="33" name="payments07" tableColumnId="86"/>
      <queryTableField id="34" name="charges07" tableColumnId="87"/>
      <queryTableField id="35" name="balance07" tableColumnId="88"/>
      <queryTableField id="36" name="payments08" tableColumnId="89"/>
      <queryTableField id="37" name="charges08" tableColumnId="90"/>
      <queryTableField id="38" name="balance08" tableColumnId="91"/>
      <queryTableField id="39" name="payments09" tableColumnId="92"/>
      <queryTableField id="40" name="charges09" tableColumnId="93"/>
      <queryTableField id="41" name="balance09" tableColumnId="94"/>
      <queryTableField id="42" name="payments10" tableColumnId="95"/>
      <queryTableField id="43" name="charges10" tableColumnId="96"/>
      <queryTableField id="44" name="balance10" tableColumnId="97"/>
      <queryTableField id="45" name="payments11" tableColumnId="98"/>
      <queryTableField id="46" name="charges11" tableColumnId="99"/>
      <queryTableField id="47" name="balance11" tableColumnId="100"/>
      <queryTableField id="48" name="payments12" tableColumnId="101"/>
      <queryTableField id="49" name="charges12" tableColumnId="102"/>
      <queryTableField id="50" name="balance12" tableColumnId="103"/>
      <queryTableField id="51" name="row_formulas" tableColumnId="104"/>
      <queryTableField id="54" name="row_comments" tableColumnId="1"/>
      <queryTableField id="52" name="modified_by" tableColumnId="105"/>
      <queryTableField id="53" name="modified_on" tableColumnId="106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backgroundRefresh="0" preserveFormatting="0" adjustColumnWidth="0" connectionId="13" xr16:uid="{44A1A3F3-98EA-4D61-B178-E8807E3BEAB7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backgroundRefresh="0" preserveFormatting="0" adjustColumnWidth="0" connectionId="14" xr16:uid="{D89C1FBE-FF55-4573-BBB8-F8BCBE18C844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backgroundRefresh="0" preserveFormatting="0" adjustColumnWidth="0" connectionId="3" xr16:uid="{519834DE-7221-4DB7-97A2-8C9FD1EA0EDD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backgroundRefresh="0" preserveFormatting="0" adjustColumnWidth="0" connectionId="4" xr16:uid="{0B383F44-9E6E-4228-999A-9A25BE9C65A2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code" tableColumnId="2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backgroundRefresh="0" preserveFormatting="0" adjustColumnWidth="0" connectionId="5" xr16:uid="{575905E8-33CD-4416-A050-69CA2AB3210A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6" xr16:uid="{5948E451-603F-48A5-B45D-355EA6113168}" autoFormatId="16" applyNumberFormats="0" applyBorderFormats="0" applyFontFormats="1" applyPatternFormats="1" applyAlignmentFormats="0" applyWidthHeightFormats="0">
  <queryTableRefresh nextId="56">
    <queryTableFields count="54">
      <queryTableField id="1" rowNumbers="1" tableColumnId="54"/>
      <queryTableField id="2" name="row_index" tableColumnId="55"/>
      <queryTableField id="3" name="row_format" tableColumnId="56"/>
      <queryTableField id="4" name="description" tableColumnId="57"/>
      <queryTableField id="5" name="account_id" tableColumnId="58"/>
      <queryTableField id="6" name="account_name" tableColumnId="59"/>
      <queryTableField id="7" name="subsidiary_account_id" tableColumnId="60"/>
      <queryTableField id="8" name="region_id" tableColumnId="61"/>
      <queryTableField id="9" name="product_id" tableColumnId="62"/>
      <queryTableField id="10" name="vat_rate_id" tableColumnId="63"/>
      <queryTableField id="11" name="unit_id" tableColumnId="64"/>
      <queryTableField id="12" name="total_payments" tableColumnId="65"/>
      <queryTableField id="13" name="total_charges" tableColumnId="66"/>
      <queryTableField id="14" name="balance00" tableColumnId="67"/>
      <queryTableField id="15" name="charges01" tableColumnId="68"/>
      <queryTableField id="16" name="charges02" tableColumnId="69"/>
      <queryTableField id="17" name="charges03" tableColumnId="70"/>
      <queryTableField id="18" name="charges04" tableColumnId="71"/>
      <queryTableField id="19" name="charges05" tableColumnId="72"/>
      <queryTableField id="20" name="charges06" tableColumnId="73"/>
      <queryTableField id="21" name="charges07" tableColumnId="74"/>
      <queryTableField id="22" name="charges08" tableColumnId="75"/>
      <queryTableField id="23" name="charges09" tableColumnId="76"/>
      <queryTableField id="24" name="charges10" tableColumnId="77"/>
      <queryTableField id="25" name="charges11" tableColumnId="78"/>
      <queryTableField id="26" name="charges12" tableColumnId="79"/>
      <queryTableField id="27" name="payments01" tableColumnId="80"/>
      <queryTableField id="28" name="payments02" tableColumnId="81"/>
      <queryTableField id="29" name="payments03" tableColumnId="82"/>
      <queryTableField id="30" name="payments04" tableColumnId="83"/>
      <queryTableField id="31" name="payments05" tableColumnId="84"/>
      <queryTableField id="32" name="payments06" tableColumnId="85"/>
      <queryTableField id="33" name="payments07" tableColumnId="86"/>
      <queryTableField id="34" name="payments08" tableColumnId="87"/>
      <queryTableField id="35" name="payments09" tableColumnId="88"/>
      <queryTableField id="36" name="payments10" tableColumnId="89"/>
      <queryTableField id="37" name="payments11" tableColumnId="90"/>
      <queryTableField id="38" name="payments12" tableColumnId="91"/>
      <queryTableField id="39" name="balance01" tableColumnId="92"/>
      <queryTableField id="40" name="balance02" tableColumnId="93"/>
      <queryTableField id="41" name="balance03" tableColumnId="94"/>
      <queryTableField id="42" name="balance04" tableColumnId="95"/>
      <queryTableField id="43" name="balance05" tableColumnId="96"/>
      <queryTableField id="44" name="balance06" tableColumnId="97"/>
      <queryTableField id="45" name="balance07" tableColumnId="98"/>
      <queryTableField id="46" name="balance08" tableColumnId="99"/>
      <queryTableField id="47" name="balance09" tableColumnId="100"/>
      <queryTableField id="48" name="balance10" tableColumnId="101"/>
      <queryTableField id="49" name="balance11" tableColumnId="102"/>
      <queryTableField id="50" name="balance12" tableColumnId="103"/>
      <queryTableField id="51" name="row_formulas" tableColumnId="104"/>
      <queryTableField id="54" name="row_comments" tableColumnId="1"/>
      <queryTableField id="52" name="modified_by" tableColumnId="105"/>
      <queryTableField id="53" name="modified_on" tableColumnId="10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preserveFormatting="0" adjustColumnWidth="0" connectionId="2" xr16:uid="{9412982F-27C9-451C-8254-689B839C0B17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preserveFormatting="0" adjustColumnWidth="0" connectionId="7" xr16:uid="{E71D1670-8D61-4AD8-BAA2-88DF09FDBAD7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preserveFormatting="0" adjustColumnWidth="0" connectionId="8" xr16:uid="{45581707-F95B-4020-A645-DAE0D7CC7A5E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backgroundRefresh="0" preserveFormatting="0" adjustColumnWidth="0" connectionId="9" xr16:uid="{9318F4A1-3FCB-4985-B008-9A42A0BA5007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backgroundRefresh="0" preserveFormatting="0" adjustColumnWidth="0" connectionId="10" xr16:uid="{8D0D9D4E-3839-4B3C-B9CB-C44CEABB6040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code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backgroundRefresh="0" preserveFormatting="0" adjustColumnWidth="0" connectionId="11" xr16:uid="{621A6B6B-6553-418E-96F5-791C5DE240C4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backgroundRefresh="0" preserveFormatting="0" adjustColumnWidth="0" connectionId="12" xr16:uid="{A956609F-AFBE-4D05-A71C-003196788FB0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0151F1-03D2-45ED-93AB-B9E3A4BFD0F0}" name="budget_request1" displayName="budget_request1" ref="B8:BC34" tableType="queryTable" totalsRowShown="0">
  <autoFilter ref="B8:BC34" xr:uid="{B4628354-FCAD-4FC5-8DC2-369BC759680A}"/>
  <tableColumns count="54">
    <tableColumn id="54" xr3:uid="{1097064B-F220-4A6B-A5F4-80FE83FDBA45}" uniqueName="54" name="_RowNum" queryTableFieldId="1" dataDxfId="108"/>
    <tableColumn id="55" xr3:uid="{21D775FD-B6CB-413E-A99B-714BEEA55E0C}" uniqueName="55" name="Row Index" queryTableFieldId="2" dataDxfId="107"/>
    <tableColumn id="56" xr3:uid="{B0118889-4AF3-4F64-84A7-CA712517BA9E}" uniqueName="56" name="Row Format" queryTableFieldId="3" dataDxfId="106"/>
    <tableColumn id="57" xr3:uid="{DAD0FD2F-56F0-43E2-90BA-DB6AC1822F45}" uniqueName="57" name="Description" queryTableFieldId="4" dataDxfId="105"/>
    <tableColumn id="58" xr3:uid="{6EA21F73-E575-4626-A839-AEC52C1EEB7E}" uniqueName="58" name="Account" queryTableFieldId="5" dataDxfId="104"/>
    <tableColumn id="59" xr3:uid="{A288EB8D-0134-46A1-B537-BFC18F741453}" uniqueName="59" name="Account Name" queryTableFieldId="6" dataDxfId="103"/>
    <tableColumn id="60" xr3:uid="{DC173644-FB86-43B8-9D99-533C509918F5}" uniqueName="60" name="Subsidiary Account" queryTableFieldId="7" dataDxfId="102"/>
    <tableColumn id="61" xr3:uid="{254AA490-4650-446E-B774-FC78F37AF160}" uniqueName="61" name="Region" queryTableFieldId="8" dataDxfId="101"/>
    <tableColumn id="62" xr3:uid="{D17755C6-FD86-4CA0-B9E6-AEE9BF2CA426}" uniqueName="62" name="Product" queryTableFieldId="9" dataDxfId="100"/>
    <tableColumn id="63" xr3:uid="{633E2A78-3D7A-49E6-AF82-782AB1F09138}" uniqueName="63" name="VAT Rate" queryTableFieldId="10" dataDxfId="99"/>
    <tableColumn id="64" xr3:uid="{F1D7DF6E-0A14-43EB-B788-11956C4B4761}" uniqueName="64" name="Unit" queryTableFieldId="11" dataDxfId="98"/>
    <tableColumn id="65" xr3:uid="{1EE07A16-2CB4-45FA-8B04-5E6EE0C7945F}" uniqueName="65" name="Total Payments" queryTableFieldId="12" dataDxfId="97"/>
    <tableColumn id="66" xr3:uid="{4FBEF3D9-CABD-4639-959E-B821341B9B8F}" uniqueName="66" name="Total Charges" queryTableFieldId="13" dataDxfId="96"/>
    <tableColumn id="67" xr3:uid="{383AB7DA-78B5-4BDB-B4D8-0EFF100C3388}" uniqueName="67" name="Balance00" queryTableFieldId="14" dataDxfId="95"/>
    <tableColumn id="68" xr3:uid="{A58A6DE3-F998-4D0C-825A-CEEEF753D9F6}" uniqueName="68" name="Payments01" queryTableFieldId="15" dataDxfId="94"/>
    <tableColumn id="69" xr3:uid="{8644E017-D53C-49E3-BF88-36C9A945F7D4}" uniqueName="69" name="Charges01" queryTableFieldId="16" dataDxfId="93"/>
    <tableColumn id="70" xr3:uid="{CDA3F58F-409A-43C2-A549-413291A4563F}" uniqueName="70" name="Balance01" queryTableFieldId="17" dataDxfId="92"/>
    <tableColumn id="71" xr3:uid="{D87D0D90-DCA9-4140-8611-B97759279217}" uniqueName="71" name="Payments02" queryTableFieldId="18" dataDxfId="91"/>
    <tableColumn id="72" xr3:uid="{664CA58B-3455-4F18-8552-632485F379C2}" uniqueName="72" name="Charges02" queryTableFieldId="19" dataDxfId="90"/>
    <tableColumn id="73" xr3:uid="{6A0D1AB5-1BF1-4801-AE38-091C66329370}" uniqueName="73" name="Balance02" queryTableFieldId="20" dataDxfId="89"/>
    <tableColumn id="74" xr3:uid="{CA9D76CE-B71D-47A0-9EA3-087E03B6A4B7}" uniqueName="74" name="Payments03" queryTableFieldId="21" dataDxfId="88"/>
    <tableColumn id="75" xr3:uid="{3609DFB1-980E-4821-A30A-9BCA95733A70}" uniqueName="75" name="Charges03" queryTableFieldId="22" dataDxfId="87"/>
    <tableColumn id="76" xr3:uid="{987D3481-A809-4E80-A951-E153AEE222C7}" uniqueName="76" name="Balance03" queryTableFieldId="23" dataDxfId="86"/>
    <tableColumn id="77" xr3:uid="{D99AE072-0DB6-4CD4-BA17-A1F03C28585D}" uniqueName="77" name="Payments04" queryTableFieldId="24" dataDxfId="85"/>
    <tableColumn id="78" xr3:uid="{813505D8-C19B-4396-B9C2-A913EF4906B5}" uniqueName="78" name="Charges04" queryTableFieldId="25" dataDxfId="84"/>
    <tableColumn id="79" xr3:uid="{2E59065B-1A49-4185-A7A8-2B63C3425A60}" uniqueName="79" name="Balance04" queryTableFieldId="26" dataDxfId="83"/>
    <tableColumn id="80" xr3:uid="{66BE6531-5B7A-401D-A9E4-D8513A2E5DBA}" uniqueName="80" name="Payments05" queryTableFieldId="27" dataDxfId="82"/>
    <tableColumn id="81" xr3:uid="{6D4C8764-EB1D-4242-8A99-42BE54B9C041}" uniqueName="81" name="Charges05" queryTableFieldId="28" dataDxfId="81"/>
    <tableColumn id="82" xr3:uid="{43277355-2A67-4358-90BB-840B7C54B697}" uniqueName="82" name="Balance05" queryTableFieldId="29" dataDxfId="80"/>
    <tableColumn id="83" xr3:uid="{150E016E-7E66-42E7-BB0A-FB62AB1CA282}" uniqueName="83" name="Payments06" queryTableFieldId="30" dataDxfId="79"/>
    <tableColumn id="84" xr3:uid="{760C339F-E736-49CB-9C35-989DF68C820A}" uniqueName="84" name="Charges06" queryTableFieldId="31" dataDxfId="78"/>
    <tableColumn id="85" xr3:uid="{9ABF8C1C-0972-41FB-8929-F212D3801E22}" uniqueName="85" name="Balance06" queryTableFieldId="32" dataDxfId="77"/>
    <tableColumn id="86" xr3:uid="{36135CA0-CEE5-4220-B7E5-9ADF65A85917}" uniqueName="86" name="Payments07" queryTableFieldId="33" dataDxfId="76"/>
    <tableColumn id="87" xr3:uid="{59EF98AE-A3CC-40A0-AAD1-BC12EEC87FFA}" uniqueName="87" name="Charges07" queryTableFieldId="34" dataDxfId="75"/>
    <tableColumn id="88" xr3:uid="{DC5E8B18-C0F6-4D38-9E3D-82B081BF12C2}" uniqueName="88" name="Balance07" queryTableFieldId="35" dataDxfId="74"/>
    <tableColumn id="89" xr3:uid="{438557E6-51CF-4D9E-8911-17CB1275B401}" uniqueName="89" name="Payments08" queryTableFieldId="36" dataDxfId="73"/>
    <tableColumn id="90" xr3:uid="{2C2E6B65-0B25-4ECB-9987-E6159A84A42A}" uniqueName="90" name="Charges08" queryTableFieldId="37" dataDxfId="72"/>
    <tableColumn id="91" xr3:uid="{ACB40584-38C4-4204-A38E-BEAF5A9EC667}" uniqueName="91" name="Balance08" queryTableFieldId="38" dataDxfId="71"/>
    <tableColumn id="92" xr3:uid="{9376033A-A176-40BB-8165-97F47CF711DE}" uniqueName="92" name="Payments09" queryTableFieldId="39" dataDxfId="70"/>
    <tableColumn id="93" xr3:uid="{44F795C8-ABC8-4029-87EC-41E80EE876A4}" uniqueName="93" name="Charges09" queryTableFieldId="40" dataDxfId="69"/>
    <tableColumn id="94" xr3:uid="{9BE0906F-F58D-41C5-A903-8B0381E2E925}" uniqueName="94" name="Balance09" queryTableFieldId="41" dataDxfId="68"/>
    <tableColumn id="95" xr3:uid="{64C9AE67-825F-45A3-8D01-C800239AAA58}" uniqueName="95" name="Payments10" queryTableFieldId="42" dataDxfId="67"/>
    <tableColumn id="96" xr3:uid="{02C3C99A-88AA-43EA-A8C2-695A5F8517F5}" uniqueName="96" name="Charges10" queryTableFieldId="43" dataDxfId="66"/>
    <tableColumn id="97" xr3:uid="{6BE4945D-C596-443C-9FC3-FEB8B7156DED}" uniqueName="97" name="Balance10" queryTableFieldId="44" dataDxfId="65"/>
    <tableColumn id="98" xr3:uid="{F5357B37-4E18-4097-9F3D-71A36D1F256A}" uniqueName="98" name="Payments11" queryTableFieldId="45" dataDxfId="64"/>
    <tableColumn id="99" xr3:uid="{45A64F4B-9FDA-4447-A645-C8853B306402}" uniqueName="99" name="Charges11" queryTableFieldId="46" dataDxfId="63"/>
    <tableColumn id="100" xr3:uid="{0324BD01-8DD6-4E90-A94B-55E76941B258}" uniqueName="100" name="Balance11" queryTableFieldId="47" dataDxfId="62"/>
    <tableColumn id="101" xr3:uid="{30AFA3EB-7186-4348-80EA-1D8F4366A1F1}" uniqueName="101" name="Payments12" queryTableFieldId="48" dataDxfId="61"/>
    <tableColumn id="102" xr3:uid="{065E4DA2-10A6-41B7-9B8E-1626F7CEDC89}" uniqueName="102" name="Charges12" queryTableFieldId="49" dataDxfId="60"/>
    <tableColumn id="103" xr3:uid="{4DC1D331-E7ED-4386-B867-8F921C220379}" uniqueName="103" name="Balance12" queryTableFieldId="50" dataDxfId="59"/>
    <tableColumn id="104" xr3:uid="{71DBC0BC-E7F7-41C5-87F9-1BBBF20AFBDF}" uniqueName="104" name="Row Formulas" queryTableFieldId="51" dataDxfId="58"/>
    <tableColumn id="1" xr3:uid="{C9636DCF-2B2F-4D4D-B7F9-09A071F83477}" uniqueName="1" name="Row Comments" queryTableFieldId="54" dataDxfId="57"/>
    <tableColumn id="105" xr3:uid="{98D53638-2F3E-4B50-9568-AB616CE6B10A}" uniqueName="105" name="Modified by" queryTableFieldId="52" dataDxfId="56"/>
    <tableColumn id="106" xr3:uid="{9CC7ED6A-43E0-457E-94EA-EA0AE6F99521}" uniqueName="106" name="Modified" queryTableFieldId="53" dataDxfId="55"/>
  </tableColumns>
  <tableStyleInfo name="TableStyleMedium15"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9A83404-B782-4610-BD80-A8C729AD0988}" name="vl_xls27_xl_validation_list_product_id_code_2" displayName="vl_xls27_xl_validation_list_product_id_code_2" ref="A96:B100" tableType="queryTable" totalsRowShown="0">
  <autoFilter ref="A96:B100" xr:uid="{D9A83404-B782-4610-BD80-A8C729AD0988}"/>
  <tableColumns count="2">
    <tableColumn id="1" xr3:uid="{9ED9DA45-B374-4EBE-8A1D-DDCC6B3A3223}" uniqueName="1" name="id" queryTableFieldId="1"/>
    <tableColumn id="2" xr3:uid="{3B9C61BD-DB74-41B5-AB54-9C5E9D23C096}" uniqueName="2" name="name" queryTableFieldId="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0E06E26-1BAF-43D2-8C13-C3F238D6D00A}" name="vl_xls27_xl_validation_list_region_id_code_2" displayName="vl_xls27_xl_validation_list_region_id_code_2" ref="A102:B105" tableType="queryTable" totalsRowShown="0">
  <autoFilter ref="A102:B105" xr:uid="{90E06E26-1BAF-43D2-8C13-C3F238D6D00A}"/>
  <tableColumns count="2">
    <tableColumn id="1" xr3:uid="{EF0B69B8-A376-44C6-8E75-B5429D1D984D}" uniqueName="1" name="id" queryTableFieldId="1"/>
    <tableColumn id="2" xr3:uid="{611BBEAC-C9E1-4554-B614-FED362879B2F}" uniqueName="2" name="name" queryTableFieldId="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B8E751A-201C-45CD-A9A4-2B0DC22F7AB7}" name="vl_xls27_xl_validation_list_subsidiary_account_id_2" displayName="vl_xls27_xl_validation_list_subsidiary_account_id_2" ref="A107:B124" tableType="queryTable" totalsRowShown="0">
  <autoFilter ref="A107:B124" xr:uid="{0B8E751A-201C-45CD-A9A4-2B0DC22F7AB7}"/>
  <tableColumns count="2">
    <tableColumn id="1" xr3:uid="{90C830DA-81ED-4F92-989D-11D13E60BDB9}" uniqueName="1" name="id" queryTableFieldId="1"/>
    <tableColumn id="2" xr3:uid="{B32D4EE6-1B6D-439B-BF87-C1710D6B41DC}" uniqueName="2" name="name" queryTableFieldId="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5F8EF7F-4FD3-40E4-B964-17369F0BF084}" name="vl_xls27_xl_validation_list_unit_id_code_2" displayName="vl_xls27_xl_validation_list_unit_id_code_2" ref="A126:B128" tableType="queryTable" totalsRowShown="0">
  <autoFilter ref="A126:B128" xr:uid="{95F8EF7F-4FD3-40E4-B964-17369F0BF084}"/>
  <tableColumns count="2">
    <tableColumn id="1" xr3:uid="{14B27363-114E-4DE4-A266-1E285C72992F}" uniqueName="1" name="id" queryTableFieldId="1"/>
    <tableColumn id="2" xr3:uid="{4CD5B700-2D16-4DBC-8EC4-3DCA40D62811}" uniqueName="2" name="code" queryTableFieldId="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65AC2D8-846D-4B52-9081-5E476A820CC7}" name="vl_xls27_xl_validation_list_vat_rate_id_2" displayName="vl_xls27_xl_validation_list_vat_rate_id_2" ref="A130:B133" tableType="queryTable" totalsRowShown="0">
  <autoFilter ref="A130:B133" xr:uid="{165AC2D8-846D-4B52-9081-5E476A820CC7}"/>
  <tableColumns count="2">
    <tableColumn id="1" xr3:uid="{7B544111-AD19-4ADD-B3D6-09A7B5C97113}" uniqueName="1" name="id" queryTableFieldId="1"/>
    <tableColumn id="2" xr3:uid="{44F58FFD-A9F5-4F00-9F31-79A7036BB61B}" uniqueName="2" name="name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F201CD-0A59-446F-8469-30AE080106A2}" name="budget_request2" displayName="budget_request2" ref="B8:BC34" tableType="queryTable" totalsRowShown="0">
  <autoFilter ref="B8:BC34" xr:uid="{56B38B94-8C5B-497C-9975-5EE4E78C0C84}"/>
  <tableColumns count="54">
    <tableColumn id="54" xr3:uid="{8CA0AF2B-B271-48E9-BD0B-2B3C0BFDAC8E}" uniqueName="54" name="_RowNum" queryTableFieldId="1" dataDxfId="53"/>
    <tableColumn id="55" xr3:uid="{EB22C20C-4932-4F6A-AD46-CA5B43797225}" uniqueName="55" name="Row Index" queryTableFieldId="2" dataDxfId="52"/>
    <tableColumn id="56" xr3:uid="{E3691915-A7CE-4E4F-A5D1-1DEEDA890F95}" uniqueName="56" name="Row Format" queryTableFieldId="3" dataDxfId="51"/>
    <tableColumn id="57" xr3:uid="{4633215F-BE15-4BB8-9409-DF29489B2C32}" uniqueName="57" name="Description" queryTableFieldId="4" dataDxfId="50"/>
    <tableColumn id="58" xr3:uid="{C8BE6A2D-9B1B-4831-B12D-1D5569D3CCAF}" uniqueName="58" name="Account" queryTableFieldId="5" dataDxfId="49"/>
    <tableColumn id="59" xr3:uid="{CEB749B2-2711-4E16-A54D-6BC4183187AB}" uniqueName="59" name="Account Name" queryTableFieldId="6" dataDxfId="48"/>
    <tableColumn id="60" xr3:uid="{9EA1CE72-F238-494A-9D96-28AA579E6B75}" uniqueName="60" name="Subsidiary Account" queryTableFieldId="7" dataDxfId="47"/>
    <tableColumn id="61" xr3:uid="{F5A02026-218C-43CE-BC75-6E7DAA77E215}" uniqueName="61" name="Region" queryTableFieldId="8" dataDxfId="46"/>
    <tableColumn id="62" xr3:uid="{A42D1B5F-A1ED-43EB-871D-49B9D3C21514}" uniqueName="62" name="Product" queryTableFieldId="9" dataDxfId="45"/>
    <tableColumn id="63" xr3:uid="{FE259B4D-671E-4067-A3B7-6E93B44A6E8F}" uniqueName="63" name="VAT Rate" queryTableFieldId="10" dataDxfId="44"/>
    <tableColumn id="64" xr3:uid="{DA2D3B2B-E872-470E-A2F1-291E129CBCC0}" uniqueName="64" name="Unit" queryTableFieldId="11" dataDxfId="43"/>
    <tableColumn id="65" xr3:uid="{F516794E-7026-4790-967A-2741A6D131CB}" uniqueName="65" name="Total Payments" queryTableFieldId="12" dataDxfId="42"/>
    <tableColumn id="66" xr3:uid="{A86EB83F-6F4A-426B-9F77-36AB858D111E}" uniqueName="66" name="Total Charges" queryTableFieldId="13" dataDxfId="41"/>
    <tableColumn id="67" xr3:uid="{782FECA5-9C33-465B-B4FC-78489FF701F0}" uniqueName="67" name="Balance00" queryTableFieldId="14" dataDxfId="40"/>
    <tableColumn id="68" xr3:uid="{933EE4BC-1326-490D-8AFE-71BDED02BB33}" uniqueName="68" name="Charges01" queryTableFieldId="15" dataDxfId="39"/>
    <tableColumn id="69" xr3:uid="{9E9D8302-F312-457A-9F1B-F9774FB82540}" uniqueName="69" name="Charges02" queryTableFieldId="16" dataDxfId="38"/>
    <tableColumn id="70" xr3:uid="{44D0ECCF-7FF5-4061-B180-B86632C7BE4B}" uniqueName="70" name="Charges03" queryTableFieldId="17" dataDxfId="37"/>
    <tableColumn id="71" xr3:uid="{808B8CF4-67B6-4C4E-8222-2101C8486285}" uniqueName="71" name="Charges04" queryTableFieldId="18" dataDxfId="36"/>
    <tableColumn id="72" xr3:uid="{61939371-0C76-4F4D-B238-75BF62D90858}" uniqueName="72" name="Charges05" queryTableFieldId="19" dataDxfId="35"/>
    <tableColumn id="73" xr3:uid="{BC5BD23D-510C-4677-B690-22C8B29413C6}" uniqueName="73" name="Charges06" queryTableFieldId="20" dataDxfId="34"/>
    <tableColumn id="74" xr3:uid="{11A2857E-5340-4E94-B720-ED2748F5255C}" uniqueName="74" name="Charges07" queryTableFieldId="21" dataDxfId="33"/>
    <tableColumn id="75" xr3:uid="{4B2BDEA5-6315-4087-B660-BA1DCCF73A74}" uniqueName="75" name="Charges08" queryTableFieldId="22" dataDxfId="32"/>
    <tableColumn id="76" xr3:uid="{A5CC38B1-45C4-4EE5-8446-E755396E60BD}" uniqueName="76" name="Charges09" queryTableFieldId="23" dataDxfId="31"/>
    <tableColumn id="77" xr3:uid="{8D0A9B21-3F33-4E66-BFDC-6560D346A7F0}" uniqueName="77" name="Charges10" queryTableFieldId="24" dataDxfId="30"/>
    <tableColumn id="78" xr3:uid="{8CCACE9B-DCA3-4032-8BDD-8786A0540A4E}" uniqueName="78" name="Charges11" queryTableFieldId="25" dataDxfId="29"/>
    <tableColumn id="79" xr3:uid="{BE4F6B6A-5822-47A7-A98E-4C9F8C25F328}" uniqueName="79" name="Charges12" queryTableFieldId="26" dataDxfId="28"/>
    <tableColumn id="80" xr3:uid="{F1EF69D9-648B-4782-9FE0-0CC8CD8C5320}" uniqueName="80" name="Payments01" queryTableFieldId="27" dataDxfId="27"/>
    <tableColumn id="81" xr3:uid="{48FBA60C-5257-4A1D-A364-7F00973ACE43}" uniqueName="81" name="Payments02" queryTableFieldId="28" dataDxfId="26"/>
    <tableColumn id="82" xr3:uid="{9922B526-FACE-4CCA-A877-14AF2029FF25}" uniqueName="82" name="Payments03" queryTableFieldId="29" dataDxfId="25"/>
    <tableColumn id="83" xr3:uid="{C45E4377-C6C8-4DB3-BAB2-250702B2AA4A}" uniqueName="83" name="Payments04" queryTableFieldId="30" dataDxfId="24"/>
    <tableColumn id="84" xr3:uid="{B5E6C0CC-FBAA-4008-A34F-D70A64F6DACA}" uniqueName="84" name="Payments05" queryTableFieldId="31" dataDxfId="23"/>
    <tableColumn id="85" xr3:uid="{35B12F7F-C150-4365-BB79-B6D287646EC9}" uniqueName="85" name="Payments06" queryTableFieldId="32" dataDxfId="22"/>
    <tableColumn id="86" xr3:uid="{2AE4B46C-ED62-4BC7-BFF9-6F1ADF12FEA7}" uniqueName="86" name="Payments07" queryTableFieldId="33" dataDxfId="21"/>
    <tableColumn id="87" xr3:uid="{188AB343-5555-405F-A4C8-4660BB0CC189}" uniqueName="87" name="Payments08" queryTableFieldId="34" dataDxfId="20"/>
    <tableColumn id="88" xr3:uid="{8E2B7DA4-9567-411C-9AB4-1C31F47C03D9}" uniqueName="88" name="Payments09" queryTableFieldId="35" dataDxfId="19"/>
    <tableColumn id="89" xr3:uid="{56F2EF63-CA05-4839-A34F-AC8D511DB83A}" uniqueName="89" name="Payments10" queryTableFieldId="36" dataDxfId="18"/>
    <tableColumn id="90" xr3:uid="{7670A270-E2E3-403E-B7FD-EA5D8CD25CA4}" uniqueName="90" name="Payments11" queryTableFieldId="37" dataDxfId="17"/>
    <tableColumn id="91" xr3:uid="{1101500D-D685-4EF3-A220-883F00EFA7F2}" uniqueName="91" name="Payments12" queryTableFieldId="38" dataDxfId="16"/>
    <tableColumn id="92" xr3:uid="{4D395AE3-FDFB-4A89-A598-428EDA8A6315}" uniqueName="92" name="Balance01" queryTableFieldId="39" dataDxfId="15"/>
    <tableColumn id="93" xr3:uid="{527AD485-DAFB-44D9-98A8-0C813E96E21E}" uniqueName="93" name="Balance02" queryTableFieldId="40" dataDxfId="14"/>
    <tableColumn id="94" xr3:uid="{B44F6DA7-15CD-43C1-871F-923FC85B77B6}" uniqueName="94" name="Balance03" queryTableFieldId="41" dataDxfId="13"/>
    <tableColumn id="95" xr3:uid="{93A083B0-46DA-44FE-B387-0039C1190498}" uniqueName="95" name="Balance04" queryTableFieldId="42" dataDxfId="12"/>
    <tableColumn id="96" xr3:uid="{13D032D2-B4DF-4EC0-A822-CBB9EF60B40E}" uniqueName="96" name="Balance05" queryTableFieldId="43" dataDxfId="11"/>
    <tableColumn id="97" xr3:uid="{38FE5367-79EF-487D-BBBF-24A24B7BF311}" uniqueName="97" name="Balance06" queryTableFieldId="44" dataDxfId="10"/>
    <tableColumn id="98" xr3:uid="{6432B079-D5E4-495D-BFCB-2E6AB70D4664}" uniqueName="98" name="Balance07" queryTableFieldId="45" dataDxfId="9"/>
    <tableColumn id="99" xr3:uid="{A343FF95-91E5-433F-AE2A-FC8C3098838C}" uniqueName="99" name="Balance08" queryTableFieldId="46" dataDxfId="8"/>
    <tableColumn id="100" xr3:uid="{1491B575-E69C-4755-93BB-18A43CFA82DB}" uniqueName="100" name="Balance09" queryTableFieldId="47" dataDxfId="7"/>
    <tableColumn id="101" xr3:uid="{50FC46CD-7F97-44D7-9E32-26AEBD3DB4E0}" uniqueName="101" name="Balance10" queryTableFieldId="48" dataDxfId="6"/>
    <tableColumn id="102" xr3:uid="{C74EA416-C407-46F9-8665-10302E8FBFC5}" uniqueName="102" name="Balance11" queryTableFieldId="49" dataDxfId="5"/>
    <tableColumn id="103" xr3:uid="{E178E490-5689-4EE6-921E-53F743595367}" uniqueName="103" name="Balance12" queryTableFieldId="50" dataDxfId="4"/>
    <tableColumn id="104" xr3:uid="{0E0C2FCE-904C-4F62-A159-F174609FD45D}" uniqueName="104" name="Row Formulas" queryTableFieldId="51" dataDxfId="3"/>
    <tableColumn id="1" xr3:uid="{95F06D47-3A26-4A9C-9E69-F17693A98FBE}" uniqueName="1" name="Row Comments" queryTableFieldId="54" dataDxfId="2"/>
    <tableColumn id="105" xr3:uid="{828FCC4D-F696-4239-9FE4-8C531F0DF677}" uniqueName="105" name="Modified by" queryTableFieldId="52" dataDxfId="1"/>
    <tableColumn id="106" xr3:uid="{F5B0646E-A811-45D1-9AB1-A94270306EC6}" uniqueName="106" name="Modified" queryTableFieldId="53" dataDxfId="0"/>
  </tableColumns>
  <tableStyleInfo name="TableStyleMedium15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DCE2D06-36C0-4CFC-AAB8-5E4A6E96BAF7}" name="vl_xls27_xl_validation_list_budgeting_account_id_code_1" displayName="vl_xls27_xl_validation_list_budgeting_account_id_code_1" ref="A3:B28" tableType="queryTable" totalsRowShown="0">
  <autoFilter ref="A3:B28" xr:uid="{2DCE2D06-36C0-4CFC-AAB8-5E4A6E96BAF7}"/>
  <tableColumns count="2">
    <tableColumn id="1" xr3:uid="{5E5F3F05-F12B-41E1-894A-A6EAAE2736C2}" uniqueName="1" name="id" queryTableFieldId="1"/>
    <tableColumn id="2" xr3:uid="{BC9AF1DF-9CEF-4BC2-A158-8D65D918B31D}" uniqueName="2" name="name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7B1BA79-F7CB-4F7E-8104-55FC871DD00A}" name="vl_xls27_xl_validation_list_product_id_code_1" displayName="vl_xls27_xl_validation_list_product_id_code_1" ref="A30:B34" tableType="queryTable" totalsRowShown="0">
  <autoFilter ref="A30:B34" xr:uid="{57B1BA79-F7CB-4F7E-8104-55FC871DD00A}"/>
  <tableColumns count="2">
    <tableColumn id="1" xr3:uid="{D1C8F9FA-1624-4134-B758-1703581FC62D}" uniqueName="1" name="id" queryTableFieldId="1"/>
    <tableColumn id="2" xr3:uid="{2D718AFF-5E64-44B8-A540-4B3854E76185}" uniqueName="2" name="name" queryTableFieldId="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DB4C22B-CBA8-4FB6-8C6E-688884319606}" name="vl_xls27_xl_validation_list_region_id_code_1" displayName="vl_xls27_xl_validation_list_region_id_code_1" ref="A36:B39" tableType="queryTable" totalsRowShown="0">
  <autoFilter ref="A36:B39" xr:uid="{DDB4C22B-CBA8-4FB6-8C6E-688884319606}"/>
  <tableColumns count="2">
    <tableColumn id="1" xr3:uid="{D5806529-99AE-492C-A1EE-BFAD5DACA9BA}" uniqueName="1" name="id" queryTableFieldId="1"/>
    <tableColumn id="2" xr3:uid="{29BB5958-8FBD-4259-88FE-BF52FAFF6D59}" uniqueName="2" name="name" queryTableFieldId="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CE1BC2B-C03D-4BCB-A471-9A00D2E3E4EB}" name="vl_xls27_xl_validation_list_subsidiary_account_id_1" displayName="vl_xls27_xl_validation_list_subsidiary_account_id_1" ref="A41:B58" tableType="queryTable" totalsRowShown="0">
  <autoFilter ref="A41:B58" xr:uid="{2CE1BC2B-C03D-4BCB-A471-9A00D2E3E4EB}"/>
  <tableColumns count="2">
    <tableColumn id="1" xr3:uid="{1E0D3F76-AB1B-4608-B099-52925A78196B}" uniqueName="1" name="id" queryTableFieldId="1"/>
    <tableColumn id="2" xr3:uid="{0E5D5442-8C65-4A48-BFD5-69DA44FFDF46}" uniqueName="2" name="name" queryTableFieldId="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04D83DC-E202-41AF-9990-B6707A9462FF}" name="vl_xls27_xl_validation_list_unit_id_code_1" displayName="vl_xls27_xl_validation_list_unit_id_code_1" ref="A60:B62" tableType="queryTable" totalsRowShown="0">
  <autoFilter ref="A60:B62" xr:uid="{904D83DC-E202-41AF-9990-B6707A9462FF}"/>
  <tableColumns count="2">
    <tableColumn id="1" xr3:uid="{1EA750E2-1C88-4B95-B961-FBEC054B9953}" uniqueName="1" name="id" queryTableFieldId="1"/>
    <tableColumn id="2" xr3:uid="{96B3D6F2-FA6A-4C3C-BA61-A9B3354BF391}" uniqueName="2" name="code" queryTableFieldId="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0B1135C-7DC1-4939-839F-8453564EB8D8}" name="vl_xls27_xl_validation_list_vat_rate_id_1" displayName="vl_xls27_xl_validation_list_vat_rate_id_1" ref="A64:B67" tableType="queryTable" totalsRowShown="0">
  <autoFilter ref="A64:B67" xr:uid="{D0B1135C-7DC1-4939-839F-8453564EB8D8}"/>
  <tableColumns count="2">
    <tableColumn id="1" xr3:uid="{19D484DC-BEC6-4114-9049-F57509147318}" uniqueName="1" name="id" queryTableFieldId="1"/>
    <tableColumn id="2" xr3:uid="{A66075F6-8618-4E27-8B90-E200A4F00CF6}" uniqueName="2" name="name" queryTableFieldId="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9A5E0B6-41E4-4FBE-93A1-B8C8C344F213}" name="vl_xls27_xl_validation_list_budgeting_account_id_code_2" displayName="vl_xls27_xl_validation_list_budgeting_account_id_code_2" ref="A69:B94" tableType="queryTable" totalsRowShown="0">
  <autoFilter ref="A69:B94" xr:uid="{39A5E0B6-41E4-4FBE-93A1-B8C8C344F213}"/>
  <tableColumns count="2">
    <tableColumn id="1" xr3:uid="{01F9DB31-9E34-4D6F-B803-CC9EBEDFC99D}" uniqueName="1" name="id" queryTableFieldId="1"/>
    <tableColumn id="2" xr3:uid="{A47176C2-0075-4F24-B04F-C54AC2BE7CC0}" uniqueName="2" name="name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avetodb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12" Type="http://schemas.openxmlformats.org/officeDocument/2006/relationships/table" Target="../tables/table14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6" Type="http://schemas.openxmlformats.org/officeDocument/2006/relationships/table" Target="../tables/table8.xml"/><Relationship Id="rId11" Type="http://schemas.openxmlformats.org/officeDocument/2006/relationships/table" Target="../tables/table13.xml"/><Relationship Id="rId5" Type="http://schemas.openxmlformats.org/officeDocument/2006/relationships/table" Target="../tables/table7.xml"/><Relationship Id="rId10" Type="http://schemas.openxmlformats.org/officeDocument/2006/relationships/table" Target="../tables/table12.xml"/><Relationship Id="rId4" Type="http://schemas.openxmlformats.org/officeDocument/2006/relationships/table" Target="../tables/table6.xml"/><Relationship Id="rId9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B6FD6-E4F2-4F6B-82E0-50DE97B5BFFF}">
  <sheetPr codeName="Sheet1">
    <pageSetUpPr fitToPage="1"/>
  </sheetPr>
  <dimension ref="B2:D29"/>
  <sheetViews>
    <sheetView showGridLines="0" workbookViewId="0"/>
  </sheetViews>
  <sheetFormatPr defaultColWidth="9.140625" defaultRowHeight="15" x14ac:dyDescent="0.25"/>
  <cols>
    <col min="1" max="1" width="3.5703125" style="92" customWidth="1"/>
    <col min="2" max="2" width="14.28515625" style="92" customWidth="1"/>
    <col min="3" max="3" width="35.7109375" style="92" customWidth="1"/>
    <col min="4" max="4" width="42.85546875" style="92" customWidth="1"/>
    <col min="5" max="16384" width="9.140625" style="92"/>
  </cols>
  <sheetData>
    <row r="2" spans="2:4" ht="18.75" x14ac:dyDescent="0.3">
      <c r="B2" s="91" t="s">
        <v>221</v>
      </c>
    </row>
    <row r="4" spans="2:4" x14ac:dyDescent="0.25">
      <c r="B4" s="92" t="s">
        <v>538</v>
      </c>
      <c r="D4" s="93" t="s">
        <v>222</v>
      </c>
    </row>
    <row r="6" spans="2:4" x14ac:dyDescent="0.25">
      <c r="B6" s="92" t="s">
        <v>223</v>
      </c>
    </row>
    <row r="8" spans="2:4" x14ac:dyDescent="0.25">
      <c r="B8" s="92" t="s">
        <v>224</v>
      </c>
    </row>
    <row r="10" spans="2:4" x14ac:dyDescent="0.25">
      <c r="B10" s="92" t="s">
        <v>225</v>
      </c>
    </row>
    <row r="12" spans="2:4" x14ac:dyDescent="0.25">
      <c r="B12" s="92" t="s">
        <v>226</v>
      </c>
    </row>
    <row r="14" spans="2:4" x14ac:dyDescent="0.25">
      <c r="B14" s="92" t="s">
        <v>227</v>
      </c>
    </row>
    <row r="15" spans="2:4" x14ac:dyDescent="0.25">
      <c r="B15" s="92" t="s">
        <v>228</v>
      </c>
    </row>
    <row r="18" spans="2:4" x14ac:dyDescent="0.25">
      <c r="B18" s="92" t="s">
        <v>229</v>
      </c>
    </row>
    <row r="19" spans="2:4" x14ac:dyDescent="0.25">
      <c r="B19" s="92" t="s">
        <v>459</v>
      </c>
    </row>
    <row r="21" spans="2:4" x14ac:dyDescent="0.25">
      <c r="B21" s="92" t="s">
        <v>230</v>
      </c>
    </row>
    <row r="22" spans="2:4" x14ac:dyDescent="0.25">
      <c r="B22" s="92" t="s">
        <v>231</v>
      </c>
    </row>
    <row r="25" spans="2:4" x14ac:dyDescent="0.25">
      <c r="B25" s="92" t="s">
        <v>232</v>
      </c>
    </row>
    <row r="26" spans="2:4" x14ac:dyDescent="0.25">
      <c r="B26" s="92" t="s">
        <v>233</v>
      </c>
    </row>
    <row r="29" spans="2:4" x14ac:dyDescent="0.25">
      <c r="B29" t="s">
        <v>677</v>
      </c>
      <c r="D29" s="94" t="s">
        <v>234</v>
      </c>
    </row>
  </sheetData>
  <dataValidations count="1">
    <dataValidation allowBlank="1" showInputMessage="1" showErrorMessage="1" sqref="A1" xr:uid="{5391C5D3-7996-4466-841A-C7B7C8971AE3}"/>
  </dataValidations>
  <hyperlinks>
    <hyperlink ref="D29" r:id="rId1" xr:uid="{6CC24484-767F-4980-875D-63F906DEEB3D}"/>
  </hyperlinks>
  <pageMargins left="0.7" right="0.7" top="0.75" bottom="0.75" header="0.3" footer="0.3"/>
  <pageSetup scale="97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6F324-FA49-4C2E-A8BD-891A713A6BBD}">
  <sheetPr codeName="Sheet2">
    <tabColor rgb="FF7030A0"/>
    <pageSetUpPr fitToPage="1"/>
  </sheetPr>
  <dimension ref="B1:BC38"/>
  <sheetViews>
    <sheetView showGridLines="0" tabSelected="1" workbookViewId="0">
      <pane xSplit="12" ySplit="8" topLeftCell="M9" activePane="bottomRight" state="frozen"/>
      <selection pane="topRight" activeCell="P1" sqref="P1"/>
      <selection pane="bottomLeft" activeCell="A8" sqref="A8"/>
      <selection pane="bottomRight" activeCell="M9" sqref="M9"/>
    </sheetView>
  </sheetViews>
  <sheetFormatPr defaultRowHeight="15" x14ac:dyDescent="0.25"/>
  <cols>
    <col min="1" max="1" width="2.5703125" customWidth="1"/>
    <col min="2" max="2" width="6.85546875" hidden="1" customWidth="1"/>
    <col min="3" max="3" width="9.140625" hidden="1" customWidth="1"/>
    <col min="4" max="4" width="16.85546875" hidden="1" customWidth="1"/>
    <col min="5" max="5" width="42.85546875" customWidth="1"/>
    <col min="6" max="6" width="7.42578125" customWidth="1"/>
    <col min="7" max="7" width="50" hidden="1" customWidth="1"/>
    <col min="8" max="8" width="15.7109375" customWidth="1"/>
    <col min="10" max="12" width="5.7109375" customWidth="1"/>
    <col min="13" max="13" width="17" customWidth="1"/>
    <col min="14" max="14" width="15.42578125" customWidth="1"/>
    <col min="15" max="15" width="15.42578125" bestFit="1" customWidth="1"/>
    <col min="16" max="16" width="14" customWidth="1"/>
    <col min="17" max="17" width="13.85546875" customWidth="1"/>
    <col min="18" max="18" width="15.42578125" bestFit="1" customWidth="1"/>
    <col min="19" max="19" width="14" customWidth="1"/>
    <col min="20" max="20" width="13.85546875" customWidth="1"/>
    <col min="21" max="21" width="15.42578125" bestFit="1" customWidth="1"/>
    <col min="22" max="22" width="14" customWidth="1"/>
    <col min="23" max="23" width="13.85546875" customWidth="1"/>
    <col min="24" max="24" width="15.42578125" bestFit="1" customWidth="1"/>
    <col min="25" max="25" width="14" customWidth="1"/>
    <col min="26" max="26" width="13.85546875" customWidth="1"/>
    <col min="27" max="27" width="15.42578125" bestFit="1" customWidth="1"/>
    <col min="28" max="28" width="14" customWidth="1"/>
    <col min="29" max="29" width="13.85546875" customWidth="1"/>
    <col min="30" max="30" width="15.42578125" bestFit="1" customWidth="1"/>
    <col min="31" max="31" width="14" customWidth="1"/>
    <col min="32" max="32" width="13.85546875" customWidth="1"/>
    <col min="33" max="33" width="15.42578125" bestFit="1" customWidth="1"/>
    <col min="34" max="34" width="14" customWidth="1"/>
    <col min="35" max="35" width="13.85546875" customWidth="1"/>
    <col min="36" max="36" width="15.42578125" bestFit="1" customWidth="1"/>
    <col min="37" max="37" width="14" customWidth="1"/>
    <col min="38" max="38" width="13.85546875" customWidth="1"/>
    <col min="39" max="39" width="15.42578125" bestFit="1" customWidth="1"/>
    <col min="40" max="40" width="14" customWidth="1"/>
    <col min="41" max="41" width="13.85546875" customWidth="1"/>
    <col min="42" max="42" width="15.42578125" bestFit="1" customWidth="1"/>
    <col min="43" max="43" width="14" customWidth="1"/>
    <col min="44" max="44" width="13.85546875" customWidth="1"/>
    <col min="45" max="45" width="15.42578125" bestFit="1" customWidth="1"/>
    <col min="46" max="46" width="14" customWidth="1"/>
    <col min="47" max="47" width="13.85546875" customWidth="1"/>
    <col min="48" max="48" width="15.42578125" bestFit="1" customWidth="1"/>
    <col min="49" max="49" width="14" customWidth="1"/>
    <col min="50" max="50" width="13.85546875" customWidth="1"/>
    <col min="51" max="51" width="15.42578125" bestFit="1" customWidth="1"/>
    <col min="52" max="52" width="35.7109375" hidden="1" customWidth="1"/>
    <col min="53" max="53" width="17.28515625" hidden="1" customWidth="1"/>
    <col min="54" max="54" width="14.5703125" hidden="1" customWidth="1"/>
    <col min="55" max="55" width="12.42578125" hidden="1" customWidth="1"/>
  </cols>
  <sheetData>
    <row r="1" spans="2:55" x14ac:dyDescent="0.25">
      <c r="B1" t="s">
        <v>0</v>
      </c>
      <c r="C1">
        <v>2023</v>
      </c>
      <c r="D1" t="s">
        <v>389</v>
      </c>
    </row>
    <row r="2" spans="2:55" ht="18.75" x14ac:dyDescent="0.3">
      <c r="E2" s="1" t="str">
        <f>"Budget Request on "&amp;category_id__name&amp;" "&amp;time_id__name</f>
        <v>Budget Request on Budget 2023</v>
      </c>
      <c r="F2" s="1" t="str">
        <f>entity_id__name</f>
        <v>Entity 401</v>
      </c>
    </row>
    <row r="3" spans="2:55" ht="15.75" thickBot="1" x14ac:dyDescent="0.3"/>
    <row r="4" spans="2:55" x14ac:dyDescent="0.25">
      <c r="B4" s="2" t="s">
        <v>2</v>
      </c>
      <c r="C4" s="2" t="s">
        <v>2</v>
      </c>
      <c r="D4" s="3" t="s">
        <v>2</v>
      </c>
      <c r="E4" s="3" t="s">
        <v>3</v>
      </c>
      <c r="F4" s="4" t="s">
        <v>4</v>
      </c>
      <c r="G4" s="5" t="s">
        <v>5</v>
      </c>
      <c r="H4" s="5" t="s">
        <v>6</v>
      </c>
      <c r="I4" s="6" t="s">
        <v>7</v>
      </c>
      <c r="J4" s="7" t="s">
        <v>8</v>
      </c>
      <c r="K4" s="8" t="s">
        <v>9</v>
      </c>
      <c r="L4" s="3" t="s">
        <v>10</v>
      </c>
      <c r="M4" s="9" t="s">
        <v>11</v>
      </c>
      <c r="N4" s="10" t="str">
        <f>M4</f>
        <v>Total</v>
      </c>
      <c r="O4" s="3" t="s">
        <v>12</v>
      </c>
      <c r="P4" s="9" t="s">
        <v>13</v>
      </c>
      <c r="Q4" s="10" t="str">
        <f>P4</f>
        <v>January</v>
      </c>
      <c r="R4" s="3" t="s">
        <v>14</v>
      </c>
      <c r="S4" s="9" t="s">
        <v>15</v>
      </c>
      <c r="T4" s="10" t="str">
        <f>S4</f>
        <v>February</v>
      </c>
      <c r="U4" s="3" t="s">
        <v>14</v>
      </c>
      <c r="V4" s="9" t="s">
        <v>16</v>
      </c>
      <c r="W4" s="10" t="str">
        <f>V4</f>
        <v>March</v>
      </c>
      <c r="X4" s="3" t="s">
        <v>14</v>
      </c>
      <c r="Y4" s="9" t="s">
        <v>17</v>
      </c>
      <c r="Z4" s="10" t="str">
        <f>Y4</f>
        <v>April</v>
      </c>
      <c r="AA4" s="3" t="s">
        <v>14</v>
      </c>
      <c r="AB4" s="9" t="s">
        <v>18</v>
      </c>
      <c r="AC4" s="10" t="str">
        <f>AB4</f>
        <v>May</v>
      </c>
      <c r="AD4" s="3" t="s">
        <v>14</v>
      </c>
      <c r="AE4" s="9" t="s">
        <v>19</v>
      </c>
      <c r="AF4" s="10" t="str">
        <f>AE4</f>
        <v>June</v>
      </c>
      <c r="AG4" s="3" t="s">
        <v>14</v>
      </c>
      <c r="AH4" s="9" t="s">
        <v>20</v>
      </c>
      <c r="AI4" s="10" t="str">
        <f>AH4</f>
        <v>July</v>
      </c>
      <c r="AJ4" s="3" t="s">
        <v>14</v>
      </c>
      <c r="AK4" s="9" t="s">
        <v>21</v>
      </c>
      <c r="AL4" s="10" t="str">
        <f>AK4</f>
        <v>August</v>
      </c>
      <c r="AM4" s="3" t="s">
        <v>14</v>
      </c>
      <c r="AN4" s="9" t="s">
        <v>22</v>
      </c>
      <c r="AO4" s="10" t="str">
        <f>AN4</f>
        <v>September</v>
      </c>
      <c r="AP4" s="3" t="s">
        <v>14</v>
      </c>
      <c r="AQ4" s="9" t="s">
        <v>23</v>
      </c>
      <c r="AR4" s="10" t="str">
        <f>AQ4</f>
        <v>October</v>
      </c>
      <c r="AS4" s="3" t="s">
        <v>14</v>
      </c>
      <c r="AT4" s="9" t="s">
        <v>24</v>
      </c>
      <c r="AU4" s="10" t="str">
        <f>AT4</f>
        <v>November</v>
      </c>
      <c r="AV4" s="3" t="s">
        <v>14</v>
      </c>
      <c r="AW4" s="9" t="s">
        <v>25</v>
      </c>
      <c r="AX4" s="10" t="str">
        <f>AW4</f>
        <v>December</v>
      </c>
      <c r="AY4" s="3" t="s">
        <v>14</v>
      </c>
      <c r="AZ4" s="2" t="s">
        <v>26</v>
      </c>
      <c r="BA4" s="2" t="s">
        <v>547</v>
      </c>
      <c r="BB4" s="7" t="s">
        <v>27</v>
      </c>
      <c r="BC4" s="11" t="s">
        <v>28</v>
      </c>
    </row>
    <row r="5" spans="2:55" ht="15.75" thickBot="1" x14ac:dyDescent="0.3">
      <c r="B5" s="12" t="s">
        <v>29</v>
      </c>
      <c r="C5" s="12" t="s">
        <v>30</v>
      </c>
      <c r="D5" s="13" t="s">
        <v>31</v>
      </c>
      <c r="E5" s="13"/>
      <c r="F5" s="14"/>
      <c r="G5" s="15"/>
      <c r="H5" s="15" t="s">
        <v>32</v>
      </c>
      <c r="I5" s="16"/>
      <c r="J5" s="17"/>
      <c r="K5" s="18"/>
      <c r="L5" s="13"/>
      <c r="M5" s="19" t="s">
        <v>33</v>
      </c>
      <c r="N5" s="20" t="s">
        <v>34</v>
      </c>
      <c r="O5" s="13" t="s">
        <v>35</v>
      </c>
      <c r="P5" s="19" t="s">
        <v>33</v>
      </c>
      <c r="Q5" s="20" t="s">
        <v>34</v>
      </c>
      <c r="R5" s="13" t="s">
        <v>36</v>
      </c>
      <c r="S5" s="19" t="s">
        <v>33</v>
      </c>
      <c r="T5" s="20" t="s">
        <v>34</v>
      </c>
      <c r="U5" s="13" t="s">
        <v>37</v>
      </c>
      <c r="V5" s="19" t="s">
        <v>33</v>
      </c>
      <c r="W5" s="20" t="s">
        <v>34</v>
      </c>
      <c r="X5" s="13" t="s">
        <v>38</v>
      </c>
      <c r="Y5" s="19" t="s">
        <v>33</v>
      </c>
      <c r="Z5" s="20" t="s">
        <v>34</v>
      </c>
      <c r="AA5" s="13" t="s">
        <v>39</v>
      </c>
      <c r="AB5" s="19" t="s">
        <v>33</v>
      </c>
      <c r="AC5" s="20" t="s">
        <v>34</v>
      </c>
      <c r="AD5" s="13" t="s">
        <v>40</v>
      </c>
      <c r="AE5" s="19" t="s">
        <v>33</v>
      </c>
      <c r="AF5" s="20" t="s">
        <v>34</v>
      </c>
      <c r="AG5" s="13" t="s">
        <v>41</v>
      </c>
      <c r="AH5" s="19" t="s">
        <v>33</v>
      </c>
      <c r="AI5" s="20" t="s">
        <v>34</v>
      </c>
      <c r="AJ5" s="13" t="s">
        <v>42</v>
      </c>
      <c r="AK5" s="19" t="s">
        <v>33</v>
      </c>
      <c r="AL5" s="20" t="s">
        <v>34</v>
      </c>
      <c r="AM5" s="13" t="s">
        <v>43</v>
      </c>
      <c r="AN5" s="19" t="s">
        <v>33</v>
      </c>
      <c r="AO5" s="20" t="s">
        <v>34</v>
      </c>
      <c r="AP5" s="13" t="s">
        <v>44</v>
      </c>
      <c r="AQ5" s="19" t="s">
        <v>33</v>
      </c>
      <c r="AR5" s="20" t="s">
        <v>34</v>
      </c>
      <c r="AS5" s="13" t="s">
        <v>45</v>
      </c>
      <c r="AT5" s="19" t="s">
        <v>33</v>
      </c>
      <c r="AU5" s="20" t="s">
        <v>34</v>
      </c>
      <c r="AV5" s="13" t="s">
        <v>46</v>
      </c>
      <c r="AW5" s="19" t="s">
        <v>33</v>
      </c>
      <c r="AX5" s="20" t="s">
        <v>34</v>
      </c>
      <c r="AY5" s="13" t="s">
        <v>47</v>
      </c>
      <c r="AZ5" s="12"/>
      <c r="BA5" s="12"/>
      <c r="BB5" s="17"/>
      <c r="BC5" s="21"/>
    </row>
    <row r="6" spans="2:55" ht="15.75" thickBot="1" x14ac:dyDescent="0.3">
      <c r="B6" s="22" t="s">
        <v>48</v>
      </c>
      <c r="C6" s="22" t="s">
        <v>49</v>
      </c>
      <c r="D6" s="23" t="s">
        <v>50</v>
      </c>
      <c r="E6" s="23" t="s">
        <v>51</v>
      </c>
      <c r="F6" s="24" t="s">
        <v>52</v>
      </c>
      <c r="G6" s="25" t="s">
        <v>53</v>
      </c>
      <c r="H6" s="25" t="s">
        <v>54</v>
      </c>
      <c r="I6" s="26" t="s">
        <v>55</v>
      </c>
      <c r="J6" s="27" t="s">
        <v>56</v>
      </c>
      <c r="K6" s="28" t="s">
        <v>57</v>
      </c>
      <c r="L6" s="23" t="s">
        <v>58</v>
      </c>
      <c r="M6" s="27" t="s">
        <v>59</v>
      </c>
      <c r="N6" s="28" t="s">
        <v>60</v>
      </c>
      <c r="O6" s="23" t="s">
        <v>61</v>
      </c>
      <c r="P6" s="27" t="s">
        <v>62</v>
      </c>
      <c r="Q6" s="28" t="s">
        <v>63</v>
      </c>
      <c r="R6" s="23" t="s">
        <v>64</v>
      </c>
      <c r="S6" s="27" t="s">
        <v>65</v>
      </c>
      <c r="T6" s="28" t="s">
        <v>66</v>
      </c>
      <c r="U6" s="23" t="s">
        <v>67</v>
      </c>
      <c r="V6" s="27" t="s">
        <v>68</v>
      </c>
      <c r="W6" s="28" t="s">
        <v>69</v>
      </c>
      <c r="X6" s="23" t="s">
        <v>70</v>
      </c>
      <c r="Y6" s="27" t="s">
        <v>71</v>
      </c>
      <c r="Z6" s="28" t="s">
        <v>72</v>
      </c>
      <c r="AA6" s="23" t="s">
        <v>73</v>
      </c>
      <c r="AB6" s="27" t="s">
        <v>74</v>
      </c>
      <c r="AC6" s="28" t="s">
        <v>75</v>
      </c>
      <c r="AD6" s="23" t="s">
        <v>76</v>
      </c>
      <c r="AE6" s="27" t="s">
        <v>77</v>
      </c>
      <c r="AF6" s="28" t="s">
        <v>78</v>
      </c>
      <c r="AG6" s="23" t="s">
        <v>79</v>
      </c>
      <c r="AH6" s="27" t="s">
        <v>80</v>
      </c>
      <c r="AI6" s="28" t="s">
        <v>81</v>
      </c>
      <c r="AJ6" s="23" t="s">
        <v>82</v>
      </c>
      <c r="AK6" s="27" t="s">
        <v>83</v>
      </c>
      <c r="AL6" s="28" t="s">
        <v>84</v>
      </c>
      <c r="AM6" s="23" t="s">
        <v>85</v>
      </c>
      <c r="AN6" s="27" t="s">
        <v>86</v>
      </c>
      <c r="AO6" s="28" t="s">
        <v>87</v>
      </c>
      <c r="AP6" s="23" t="s">
        <v>88</v>
      </c>
      <c r="AQ6" s="27" t="s">
        <v>89</v>
      </c>
      <c r="AR6" s="28" t="s">
        <v>90</v>
      </c>
      <c r="AS6" s="23" t="s">
        <v>91</v>
      </c>
      <c r="AT6" s="27" t="s">
        <v>92</v>
      </c>
      <c r="AU6" s="28" t="s">
        <v>93</v>
      </c>
      <c r="AV6" s="23" t="s">
        <v>94</v>
      </c>
      <c r="AW6" s="27" t="s">
        <v>95</v>
      </c>
      <c r="AX6" s="28" t="s">
        <v>96</v>
      </c>
      <c r="AY6" s="23" t="s">
        <v>97</v>
      </c>
      <c r="AZ6" s="22" t="s">
        <v>98</v>
      </c>
      <c r="BA6" s="22" t="s">
        <v>99</v>
      </c>
      <c r="BB6" s="27" t="s">
        <v>100</v>
      </c>
      <c r="BC6" s="28" t="s">
        <v>669</v>
      </c>
    </row>
    <row r="7" spans="2:55" hidden="1" x14ac:dyDescent="0.25"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</row>
    <row r="8" spans="2:55" hidden="1" x14ac:dyDescent="0.25">
      <c r="B8" t="s">
        <v>101</v>
      </c>
      <c r="C8" t="s">
        <v>332</v>
      </c>
      <c r="D8" t="s">
        <v>333</v>
      </c>
      <c r="E8" t="s">
        <v>3</v>
      </c>
      <c r="F8" t="s">
        <v>32</v>
      </c>
      <c r="G8" t="s">
        <v>379</v>
      </c>
      <c r="H8" t="s">
        <v>380</v>
      </c>
      <c r="I8" t="s">
        <v>7</v>
      </c>
      <c r="J8" t="s">
        <v>335</v>
      </c>
      <c r="K8" t="s">
        <v>336</v>
      </c>
      <c r="L8" t="s">
        <v>337</v>
      </c>
      <c r="M8" t="s">
        <v>338</v>
      </c>
      <c r="N8" t="s">
        <v>339</v>
      </c>
      <c r="O8" t="s">
        <v>340</v>
      </c>
      <c r="P8" t="s">
        <v>341</v>
      </c>
      <c r="Q8" t="s">
        <v>342</v>
      </c>
      <c r="R8" t="s">
        <v>343</v>
      </c>
      <c r="S8" t="s">
        <v>344</v>
      </c>
      <c r="T8" t="s">
        <v>345</v>
      </c>
      <c r="U8" t="s">
        <v>346</v>
      </c>
      <c r="V8" t="s">
        <v>347</v>
      </c>
      <c r="W8" t="s">
        <v>348</v>
      </c>
      <c r="X8" t="s">
        <v>349</v>
      </c>
      <c r="Y8" t="s">
        <v>350</v>
      </c>
      <c r="Z8" t="s">
        <v>351</v>
      </c>
      <c r="AA8" t="s">
        <v>352</v>
      </c>
      <c r="AB8" t="s">
        <v>353</v>
      </c>
      <c r="AC8" t="s">
        <v>354</v>
      </c>
      <c r="AD8" t="s">
        <v>355</v>
      </c>
      <c r="AE8" t="s">
        <v>356</v>
      </c>
      <c r="AF8" t="s">
        <v>357</v>
      </c>
      <c r="AG8" t="s">
        <v>358</v>
      </c>
      <c r="AH8" t="s">
        <v>359</v>
      </c>
      <c r="AI8" t="s">
        <v>360</v>
      </c>
      <c r="AJ8" t="s">
        <v>361</v>
      </c>
      <c r="AK8" t="s">
        <v>362</v>
      </c>
      <c r="AL8" t="s">
        <v>363</v>
      </c>
      <c r="AM8" t="s">
        <v>364</v>
      </c>
      <c r="AN8" t="s">
        <v>365</v>
      </c>
      <c r="AO8" t="s">
        <v>366</v>
      </c>
      <c r="AP8" t="s">
        <v>367</v>
      </c>
      <c r="AQ8" t="s">
        <v>368</v>
      </c>
      <c r="AR8" t="s">
        <v>369</v>
      </c>
      <c r="AS8" t="s">
        <v>370</v>
      </c>
      <c r="AT8" t="s">
        <v>371</v>
      </c>
      <c r="AU8" t="s">
        <v>372</v>
      </c>
      <c r="AV8" t="s">
        <v>373</v>
      </c>
      <c r="AW8" t="s">
        <v>374</v>
      </c>
      <c r="AX8" t="s">
        <v>375</v>
      </c>
      <c r="AY8" t="s">
        <v>376</v>
      </c>
      <c r="AZ8" t="s">
        <v>26</v>
      </c>
      <c r="BA8" t="s">
        <v>547</v>
      </c>
      <c r="BB8" t="s">
        <v>27</v>
      </c>
      <c r="BC8" t="s">
        <v>28</v>
      </c>
    </row>
    <row r="9" spans="2:55" x14ac:dyDescent="0.25">
      <c r="B9" s="30">
        <v>0</v>
      </c>
      <c r="C9" s="98">
        <v>1</v>
      </c>
      <c r="D9" s="98"/>
      <c r="E9" s="30"/>
      <c r="F9" s="31"/>
      <c r="G9" s="32"/>
      <c r="H9" s="32"/>
      <c r="I9" s="33"/>
      <c r="J9" s="34"/>
      <c r="K9" s="33"/>
      <c r="L9" s="30"/>
      <c r="M9" s="35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0</v>
      </c>
      <c r="N9" s="36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0</v>
      </c>
      <c r="O9" s="37"/>
      <c r="P9" s="35"/>
      <c r="Q9" s="36"/>
      <c r="R9" s="37">
        <f>budget_request1[[#This Row],[Balance00]]-budget_request1[[#This Row],[Payments01]]+budget_request1[[#This Row],[Charges01]]</f>
        <v>0</v>
      </c>
      <c r="S9" s="35"/>
      <c r="T9" s="36"/>
      <c r="U9" s="37">
        <f>budget_request1[[#This Row],[Balance01]]-budget_request1[[#This Row],[Payments02]]+budget_request1[[#This Row],[Charges02]]</f>
        <v>0</v>
      </c>
      <c r="V9" s="35"/>
      <c r="W9" s="36"/>
      <c r="X9" s="37">
        <f>budget_request1[[#This Row],[Balance02]]-budget_request1[[#This Row],[Payments03]]+budget_request1[[#This Row],[Charges03]]</f>
        <v>0</v>
      </c>
      <c r="Y9" s="35"/>
      <c r="Z9" s="36"/>
      <c r="AA9" s="37">
        <f>budget_request1[[#This Row],[Balance03]]-budget_request1[[#This Row],[Payments04]]+budget_request1[[#This Row],[Charges04]]</f>
        <v>0</v>
      </c>
      <c r="AB9" s="35"/>
      <c r="AC9" s="36"/>
      <c r="AD9" s="37">
        <f>budget_request1[[#This Row],[Balance04]]-budget_request1[[#This Row],[Payments05]]+budget_request1[[#This Row],[Charges05]]</f>
        <v>0</v>
      </c>
      <c r="AE9" s="35"/>
      <c r="AF9" s="36"/>
      <c r="AG9" s="37">
        <f>budget_request1[[#This Row],[Balance05]]-budget_request1[[#This Row],[Payments06]]+budget_request1[[#This Row],[Charges06]]</f>
        <v>0</v>
      </c>
      <c r="AH9" s="35"/>
      <c r="AI9" s="36"/>
      <c r="AJ9" s="37">
        <f>budget_request1[[#This Row],[Balance06]]-budget_request1[[#This Row],[Payments07]]+budget_request1[[#This Row],[Charges07]]</f>
        <v>0</v>
      </c>
      <c r="AK9" s="35"/>
      <c r="AL9" s="36"/>
      <c r="AM9" s="37">
        <f>budget_request1[[#This Row],[Balance07]]-budget_request1[[#This Row],[Payments08]]+budget_request1[[#This Row],[Charges08]]</f>
        <v>0</v>
      </c>
      <c r="AN9" s="35"/>
      <c r="AO9" s="36"/>
      <c r="AP9" s="37">
        <f>budget_request1[[#This Row],[Balance08]]-budget_request1[[#This Row],[Payments09]]+budget_request1[[#This Row],[Charges09]]</f>
        <v>0</v>
      </c>
      <c r="AQ9" s="35"/>
      <c r="AR9" s="36"/>
      <c r="AS9" s="37">
        <f>budget_request1[[#This Row],[Balance09]]-budget_request1[[#This Row],[Payments10]]+budget_request1[[#This Row],[Charges10]]</f>
        <v>0</v>
      </c>
      <c r="AT9" s="35"/>
      <c r="AU9" s="36"/>
      <c r="AV9" s="37">
        <f>budget_request1[[#This Row],[Balance10]]-budget_request1[[#This Row],[Payments11]]+budget_request1[[#This Row],[Charges11]]</f>
        <v>0</v>
      </c>
      <c r="AW9" s="35"/>
      <c r="AX9" s="36"/>
      <c r="AY9" s="37">
        <f>budget_request1[[#This Row],[Balance11]]-budget_request1[[#This Row],[Payments12]]+budget_request1[[#This Row],[Charges12]]</f>
        <v>0</v>
      </c>
      <c r="AZ9" s="30"/>
      <c r="BA9" s="96"/>
      <c r="BB9" s="38" t="s">
        <v>661</v>
      </c>
      <c r="BC9" s="39">
        <v>44982.885717592595</v>
      </c>
    </row>
    <row r="10" spans="2:55" x14ac:dyDescent="0.25">
      <c r="B10" s="30">
        <v>1</v>
      </c>
      <c r="C10" s="98">
        <v>2</v>
      </c>
      <c r="D10" s="98"/>
      <c r="E10" s="30" t="s">
        <v>426</v>
      </c>
      <c r="F10" s="40" t="s">
        <v>408</v>
      </c>
      <c r="G10" s="32" t="s">
        <v>427</v>
      </c>
      <c r="H10" s="41" t="s">
        <v>423</v>
      </c>
      <c r="I10" s="33"/>
      <c r="J10" s="43" t="s">
        <v>157</v>
      </c>
      <c r="K10" s="33"/>
      <c r="L10" s="44" t="s">
        <v>159</v>
      </c>
      <c r="M10" s="35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1440000000</v>
      </c>
      <c r="N10" s="36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0</v>
      </c>
      <c r="O10" s="37">
        <v>4800000000</v>
      </c>
      <c r="P10" s="35">
        <v>120000000</v>
      </c>
      <c r="Q10" s="36"/>
      <c r="R10" s="37">
        <f>budget_request1[[#This Row],[Balance00]]-budget_request1[[#This Row],[Payments01]]+budget_request1[[#This Row],[Charges01]]</f>
        <v>4680000000</v>
      </c>
      <c r="S10" s="35">
        <f>budget_request1[[#This Row],[Payments01]]</f>
        <v>120000000</v>
      </c>
      <c r="T10" s="36"/>
      <c r="U10" s="37">
        <f>budget_request1[[#This Row],[Balance01]]-budget_request1[[#This Row],[Payments02]]+budget_request1[[#This Row],[Charges02]]</f>
        <v>4560000000</v>
      </c>
      <c r="V10" s="35">
        <f>budget_request1[[#This Row],[Payments02]]</f>
        <v>120000000</v>
      </c>
      <c r="W10" s="36"/>
      <c r="X10" s="37">
        <f>budget_request1[[#This Row],[Balance02]]-budget_request1[[#This Row],[Payments03]]+budget_request1[[#This Row],[Charges03]]</f>
        <v>4440000000</v>
      </c>
      <c r="Y10" s="35">
        <f>budget_request1[[#This Row],[Payments03]]</f>
        <v>120000000</v>
      </c>
      <c r="Z10" s="36"/>
      <c r="AA10" s="37">
        <f>budget_request1[[#This Row],[Balance03]]-budget_request1[[#This Row],[Payments04]]+budget_request1[[#This Row],[Charges04]]</f>
        <v>4320000000</v>
      </c>
      <c r="AB10" s="35">
        <f>budget_request1[[#This Row],[Payments04]]</f>
        <v>120000000</v>
      </c>
      <c r="AC10" s="36"/>
      <c r="AD10" s="37">
        <f>budget_request1[[#This Row],[Balance04]]-budget_request1[[#This Row],[Payments05]]+budget_request1[[#This Row],[Charges05]]</f>
        <v>4200000000</v>
      </c>
      <c r="AE10" s="35">
        <f>budget_request1[[#This Row],[Payments05]]</f>
        <v>120000000</v>
      </c>
      <c r="AF10" s="36"/>
      <c r="AG10" s="37">
        <f>budget_request1[[#This Row],[Balance05]]-budget_request1[[#This Row],[Payments06]]+budget_request1[[#This Row],[Charges06]]</f>
        <v>4080000000</v>
      </c>
      <c r="AH10" s="35">
        <f>budget_request1[[#This Row],[Payments06]]</f>
        <v>120000000</v>
      </c>
      <c r="AI10" s="36"/>
      <c r="AJ10" s="37">
        <f>budget_request1[[#This Row],[Balance06]]-budget_request1[[#This Row],[Payments07]]+budget_request1[[#This Row],[Charges07]]</f>
        <v>3960000000</v>
      </c>
      <c r="AK10" s="35">
        <f>budget_request1[[#This Row],[Payments07]]</f>
        <v>120000000</v>
      </c>
      <c r="AL10" s="36"/>
      <c r="AM10" s="37">
        <f>budget_request1[[#This Row],[Balance07]]-budget_request1[[#This Row],[Payments08]]+budget_request1[[#This Row],[Charges08]]</f>
        <v>3840000000</v>
      </c>
      <c r="AN10" s="35">
        <f>budget_request1[[#This Row],[Payments08]]</f>
        <v>120000000</v>
      </c>
      <c r="AO10" s="36"/>
      <c r="AP10" s="37">
        <f>budget_request1[[#This Row],[Balance08]]-budget_request1[[#This Row],[Payments09]]+budget_request1[[#This Row],[Charges09]]</f>
        <v>3720000000</v>
      </c>
      <c r="AQ10" s="35">
        <f>budget_request1[[#This Row],[Payments09]]</f>
        <v>120000000</v>
      </c>
      <c r="AR10" s="36"/>
      <c r="AS10" s="37">
        <f>budget_request1[[#This Row],[Balance09]]-budget_request1[[#This Row],[Payments10]]+budget_request1[[#This Row],[Charges10]]</f>
        <v>3600000000</v>
      </c>
      <c r="AT10" s="35">
        <f>budget_request1[[#This Row],[Payments10]]</f>
        <v>120000000</v>
      </c>
      <c r="AU10" s="36"/>
      <c r="AV10" s="37">
        <f>budget_request1[[#This Row],[Balance10]]-budget_request1[[#This Row],[Payments11]]+budget_request1[[#This Row],[Charges11]]</f>
        <v>3480000000</v>
      </c>
      <c r="AW10" s="35">
        <f>budget_request1[[#This Row],[Payments11]]</f>
        <v>120000000</v>
      </c>
      <c r="AX10" s="36"/>
      <c r="AY10" s="37">
        <f>budget_request1[[#This Row],[Balance11]]-budget_request1[[#This Row],[Payments12]]+budget_request1[[#This Row],[Charges12]]</f>
        <v>3360000000</v>
      </c>
      <c r="AZ10" s="30" t="s">
        <v>428</v>
      </c>
      <c r="BA10" s="96"/>
      <c r="BB10" s="38" t="s">
        <v>661</v>
      </c>
      <c r="BC10" s="39">
        <v>44982.885717592595</v>
      </c>
    </row>
    <row r="11" spans="2:55" x14ac:dyDescent="0.25">
      <c r="B11" s="30">
        <v>2</v>
      </c>
      <c r="C11" s="98">
        <v>3</v>
      </c>
      <c r="D11" s="98"/>
      <c r="E11" s="30" t="s">
        <v>429</v>
      </c>
      <c r="F11" s="40" t="s">
        <v>410</v>
      </c>
      <c r="G11" s="32" t="s">
        <v>430</v>
      </c>
      <c r="H11" s="41" t="s">
        <v>423</v>
      </c>
      <c r="I11" s="42"/>
      <c r="J11" s="43" t="s">
        <v>157</v>
      </c>
      <c r="K11" s="42"/>
      <c r="L11" s="44" t="s">
        <v>159</v>
      </c>
      <c r="M11" s="35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391500000</v>
      </c>
      <c r="N11" s="36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382500000</v>
      </c>
      <c r="O11" s="37">
        <v>36750000</v>
      </c>
      <c r="P11" s="35">
        <f>budget_request1[[#This Row],[Balance00]]</f>
        <v>36750000</v>
      </c>
      <c r="Q11" s="36">
        <v>36000000</v>
      </c>
      <c r="R11" s="37">
        <f>budget_request1[[#This Row],[Balance00]]-budget_request1[[#This Row],[Payments01]]+budget_request1[[#This Row],[Charges01]]</f>
        <v>36000000</v>
      </c>
      <c r="S11" s="35">
        <f>budget_request1[[#This Row],[Charges01]]</f>
        <v>36000000</v>
      </c>
      <c r="T11" s="36">
        <v>35250000</v>
      </c>
      <c r="U11" s="37">
        <f>budget_request1[[#This Row],[Balance01]]-budget_request1[[#This Row],[Payments02]]+budget_request1[[#This Row],[Charges02]]</f>
        <v>35250000</v>
      </c>
      <c r="V11" s="35">
        <f>budget_request1[[#This Row],[Charges02]]</f>
        <v>35250000</v>
      </c>
      <c r="W11" s="36">
        <v>34500000</v>
      </c>
      <c r="X11" s="37">
        <f>budget_request1[[#This Row],[Balance02]]-budget_request1[[#This Row],[Payments03]]+budget_request1[[#This Row],[Charges03]]</f>
        <v>34500000</v>
      </c>
      <c r="Y11" s="35">
        <f>budget_request1[[#This Row],[Charges03]]</f>
        <v>34500000</v>
      </c>
      <c r="Z11" s="36">
        <v>33750000</v>
      </c>
      <c r="AA11" s="37">
        <f>budget_request1[[#This Row],[Balance03]]-budget_request1[[#This Row],[Payments04]]+budget_request1[[#This Row],[Charges04]]</f>
        <v>33750000</v>
      </c>
      <c r="AB11" s="35">
        <f>budget_request1[[#This Row],[Charges04]]</f>
        <v>33750000</v>
      </c>
      <c r="AC11" s="36">
        <v>33000000</v>
      </c>
      <c r="AD11" s="37">
        <f>budget_request1[[#This Row],[Balance04]]-budget_request1[[#This Row],[Payments05]]+budget_request1[[#This Row],[Charges05]]</f>
        <v>33000000</v>
      </c>
      <c r="AE11" s="35">
        <f>budget_request1[[#This Row],[Charges05]]</f>
        <v>33000000</v>
      </c>
      <c r="AF11" s="36">
        <v>32250000</v>
      </c>
      <c r="AG11" s="37">
        <f>budget_request1[[#This Row],[Balance05]]-budget_request1[[#This Row],[Payments06]]+budget_request1[[#This Row],[Charges06]]</f>
        <v>32250000</v>
      </c>
      <c r="AH11" s="35">
        <f>budget_request1[[#This Row],[Charges06]]</f>
        <v>32250000</v>
      </c>
      <c r="AI11" s="36">
        <v>31500000</v>
      </c>
      <c r="AJ11" s="37">
        <f>budget_request1[[#This Row],[Balance06]]-budget_request1[[#This Row],[Payments07]]+budget_request1[[#This Row],[Charges07]]</f>
        <v>31500000</v>
      </c>
      <c r="AK11" s="35">
        <f>budget_request1[[#This Row],[Charges07]]</f>
        <v>31500000</v>
      </c>
      <c r="AL11" s="36">
        <v>30750000</v>
      </c>
      <c r="AM11" s="37">
        <f>budget_request1[[#This Row],[Balance07]]-budget_request1[[#This Row],[Payments08]]+budget_request1[[#This Row],[Charges08]]</f>
        <v>30750000</v>
      </c>
      <c r="AN11" s="35">
        <f>budget_request1[[#This Row],[Charges08]]</f>
        <v>30750000</v>
      </c>
      <c r="AO11" s="36">
        <v>30000000</v>
      </c>
      <c r="AP11" s="37">
        <f>budget_request1[[#This Row],[Balance08]]-budget_request1[[#This Row],[Payments09]]+budget_request1[[#This Row],[Charges09]]</f>
        <v>30000000</v>
      </c>
      <c r="AQ11" s="35">
        <f>budget_request1[[#This Row],[Charges09]]</f>
        <v>30000000</v>
      </c>
      <c r="AR11" s="36">
        <v>29250000</v>
      </c>
      <c r="AS11" s="37">
        <f>budget_request1[[#This Row],[Balance09]]-budget_request1[[#This Row],[Payments10]]+budget_request1[[#This Row],[Charges10]]</f>
        <v>29250000</v>
      </c>
      <c r="AT11" s="35">
        <f>budget_request1[[#This Row],[Charges10]]</f>
        <v>29250000</v>
      </c>
      <c r="AU11" s="36">
        <v>28500000</v>
      </c>
      <c r="AV11" s="37">
        <f>budget_request1[[#This Row],[Balance10]]-budget_request1[[#This Row],[Payments11]]+budget_request1[[#This Row],[Charges11]]</f>
        <v>28500000</v>
      </c>
      <c r="AW11" s="35">
        <f>budget_request1[[#This Row],[Charges11]]</f>
        <v>28500000</v>
      </c>
      <c r="AX11" s="36">
        <v>27750000</v>
      </c>
      <c r="AY11" s="37">
        <f>budget_request1[[#This Row],[Balance11]]-budget_request1[[#This Row],[Payments12]]+budget_request1[[#This Row],[Charges12]]</f>
        <v>27750000</v>
      </c>
      <c r="AZ11" s="30" t="s">
        <v>431</v>
      </c>
      <c r="BA11" s="96"/>
      <c r="BB11" s="38" t="s">
        <v>661</v>
      </c>
      <c r="BC11" s="39">
        <v>44982.885717592595</v>
      </c>
    </row>
    <row r="12" spans="2:55" x14ac:dyDescent="0.25">
      <c r="B12" s="30">
        <v>3</v>
      </c>
      <c r="C12" s="98">
        <v>4</v>
      </c>
      <c r="D12" s="98"/>
      <c r="E12" s="30"/>
      <c r="F12" s="40"/>
      <c r="G12" s="32"/>
      <c r="H12" s="41"/>
      <c r="I12" s="42"/>
      <c r="J12" s="43"/>
      <c r="K12" s="42"/>
      <c r="L12" s="44"/>
      <c r="M12" s="35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0</v>
      </c>
      <c r="N12" s="36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0</v>
      </c>
      <c r="O12" s="37"/>
      <c r="P12" s="35"/>
      <c r="Q12" s="36"/>
      <c r="R12" s="37">
        <f>budget_request1[[#This Row],[Balance00]]-budget_request1[[#This Row],[Payments01]]+budget_request1[[#This Row],[Charges01]]</f>
        <v>0</v>
      </c>
      <c r="S12" s="35"/>
      <c r="T12" s="36"/>
      <c r="U12" s="37">
        <f>budget_request1[[#This Row],[Balance01]]-budget_request1[[#This Row],[Payments02]]+budget_request1[[#This Row],[Charges02]]</f>
        <v>0</v>
      </c>
      <c r="V12" s="35"/>
      <c r="W12" s="36"/>
      <c r="X12" s="37">
        <f>budget_request1[[#This Row],[Balance02]]-budget_request1[[#This Row],[Payments03]]+budget_request1[[#This Row],[Charges03]]</f>
        <v>0</v>
      </c>
      <c r="Y12" s="35"/>
      <c r="Z12" s="36"/>
      <c r="AA12" s="37">
        <f>budget_request1[[#This Row],[Balance03]]-budget_request1[[#This Row],[Payments04]]+budget_request1[[#This Row],[Charges04]]</f>
        <v>0</v>
      </c>
      <c r="AB12" s="35"/>
      <c r="AC12" s="36"/>
      <c r="AD12" s="37">
        <f>budget_request1[[#This Row],[Balance04]]-budget_request1[[#This Row],[Payments05]]+budget_request1[[#This Row],[Charges05]]</f>
        <v>0</v>
      </c>
      <c r="AE12" s="35"/>
      <c r="AF12" s="36"/>
      <c r="AG12" s="37">
        <f>budget_request1[[#This Row],[Balance05]]-budget_request1[[#This Row],[Payments06]]+budget_request1[[#This Row],[Charges06]]</f>
        <v>0</v>
      </c>
      <c r="AH12" s="35"/>
      <c r="AI12" s="36"/>
      <c r="AJ12" s="37">
        <f>budget_request1[[#This Row],[Balance06]]-budget_request1[[#This Row],[Payments07]]+budget_request1[[#This Row],[Charges07]]</f>
        <v>0</v>
      </c>
      <c r="AK12" s="35"/>
      <c r="AL12" s="36"/>
      <c r="AM12" s="37">
        <f>budget_request1[[#This Row],[Balance07]]-budget_request1[[#This Row],[Payments08]]+budget_request1[[#This Row],[Charges08]]</f>
        <v>0</v>
      </c>
      <c r="AN12" s="35"/>
      <c r="AO12" s="36"/>
      <c r="AP12" s="37">
        <f>budget_request1[[#This Row],[Balance08]]-budget_request1[[#This Row],[Payments09]]+budget_request1[[#This Row],[Charges09]]</f>
        <v>0</v>
      </c>
      <c r="AQ12" s="35"/>
      <c r="AR12" s="36"/>
      <c r="AS12" s="37">
        <f>budget_request1[[#This Row],[Balance09]]-budget_request1[[#This Row],[Payments10]]+budget_request1[[#This Row],[Charges10]]</f>
        <v>0</v>
      </c>
      <c r="AT12" s="35"/>
      <c r="AU12" s="36"/>
      <c r="AV12" s="37">
        <f>budget_request1[[#This Row],[Balance10]]-budget_request1[[#This Row],[Payments11]]+budget_request1[[#This Row],[Charges11]]</f>
        <v>0</v>
      </c>
      <c r="AW12" s="35"/>
      <c r="AX12" s="36"/>
      <c r="AY12" s="37">
        <f>budget_request1[[#This Row],[Balance11]]-budget_request1[[#This Row],[Payments12]]+budget_request1[[#This Row],[Charges12]]</f>
        <v>0</v>
      </c>
      <c r="AZ12" s="30"/>
      <c r="BA12" s="96"/>
      <c r="BB12" s="38" t="s">
        <v>661</v>
      </c>
      <c r="BC12" s="39">
        <v>44982.885717592595</v>
      </c>
    </row>
    <row r="13" spans="2:55" x14ac:dyDescent="0.25">
      <c r="B13" s="30">
        <v>4</v>
      </c>
      <c r="C13" s="98">
        <v>5</v>
      </c>
      <c r="D13" s="98"/>
      <c r="E13" s="30" t="s">
        <v>432</v>
      </c>
      <c r="F13" s="40" t="s">
        <v>399</v>
      </c>
      <c r="G13" s="32" t="s">
        <v>432</v>
      </c>
      <c r="H13" s="41"/>
      <c r="I13" s="42"/>
      <c r="J13" s="43" t="s">
        <v>157</v>
      </c>
      <c r="K13" s="42"/>
      <c r="L13" s="44" t="s">
        <v>159</v>
      </c>
      <c r="M13" s="35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0</v>
      </c>
      <c r="N13" s="36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540000000</v>
      </c>
      <c r="O13" s="37"/>
      <c r="P13" s="35"/>
      <c r="Q13" s="36">
        <v>45000000</v>
      </c>
      <c r="R13" s="37">
        <f>budget_request1[[#This Row],[Balance00]]-budget_request1[[#This Row],[Payments01]]+budget_request1[[#This Row],[Charges01]]</f>
        <v>45000000</v>
      </c>
      <c r="S13" s="35"/>
      <c r="T13" s="36">
        <f>budget_request1[[#This Row],[Charges01]]</f>
        <v>45000000</v>
      </c>
      <c r="U13" s="37">
        <f>budget_request1[[#This Row],[Balance01]]-budget_request1[[#This Row],[Payments02]]+budget_request1[[#This Row],[Charges02]]</f>
        <v>90000000</v>
      </c>
      <c r="V13" s="35"/>
      <c r="W13" s="36">
        <f>budget_request1[[#This Row],[Charges01]]</f>
        <v>45000000</v>
      </c>
      <c r="X13" s="37">
        <f>budget_request1[[#This Row],[Balance02]]-budget_request1[[#This Row],[Payments03]]+budget_request1[[#This Row],[Charges03]]</f>
        <v>135000000</v>
      </c>
      <c r="Y13" s="35"/>
      <c r="Z13" s="36">
        <f>budget_request1[[#This Row],[Charges01]]</f>
        <v>45000000</v>
      </c>
      <c r="AA13" s="37">
        <f>budget_request1[[#This Row],[Balance03]]-budget_request1[[#This Row],[Payments04]]+budget_request1[[#This Row],[Charges04]]</f>
        <v>180000000</v>
      </c>
      <c r="AB13" s="35"/>
      <c r="AC13" s="36">
        <f>budget_request1[[#This Row],[Charges01]]</f>
        <v>45000000</v>
      </c>
      <c r="AD13" s="37">
        <f>budget_request1[[#This Row],[Balance04]]-budget_request1[[#This Row],[Payments05]]+budget_request1[[#This Row],[Charges05]]</f>
        <v>225000000</v>
      </c>
      <c r="AE13" s="35"/>
      <c r="AF13" s="36">
        <f>budget_request1[[#This Row],[Charges01]]</f>
        <v>45000000</v>
      </c>
      <c r="AG13" s="37">
        <f>budget_request1[[#This Row],[Balance05]]-budget_request1[[#This Row],[Payments06]]+budget_request1[[#This Row],[Charges06]]</f>
        <v>270000000</v>
      </c>
      <c r="AH13" s="35"/>
      <c r="AI13" s="36">
        <f>budget_request1[[#This Row],[Charges01]]</f>
        <v>45000000</v>
      </c>
      <c r="AJ13" s="37">
        <f>budget_request1[[#This Row],[Balance06]]-budget_request1[[#This Row],[Payments07]]+budget_request1[[#This Row],[Charges07]]</f>
        <v>315000000</v>
      </c>
      <c r="AK13" s="35"/>
      <c r="AL13" s="36">
        <f>budget_request1[[#This Row],[Charges01]]</f>
        <v>45000000</v>
      </c>
      <c r="AM13" s="37">
        <f>budget_request1[[#This Row],[Balance07]]-budget_request1[[#This Row],[Payments08]]+budget_request1[[#This Row],[Charges08]]</f>
        <v>360000000</v>
      </c>
      <c r="AN13" s="35"/>
      <c r="AO13" s="36">
        <f>budget_request1[[#This Row],[Charges01]]</f>
        <v>45000000</v>
      </c>
      <c r="AP13" s="37">
        <f>budget_request1[[#This Row],[Balance08]]-budget_request1[[#This Row],[Payments09]]+budget_request1[[#This Row],[Charges09]]</f>
        <v>405000000</v>
      </c>
      <c r="AQ13" s="35"/>
      <c r="AR13" s="36">
        <f>budget_request1[[#This Row],[Charges01]]</f>
        <v>45000000</v>
      </c>
      <c r="AS13" s="37">
        <f>budget_request1[[#This Row],[Balance09]]-budget_request1[[#This Row],[Payments10]]+budget_request1[[#This Row],[Charges10]]</f>
        <v>450000000</v>
      </c>
      <c r="AT13" s="35"/>
      <c r="AU13" s="36">
        <f>budget_request1[[#This Row],[Charges01]]</f>
        <v>45000000</v>
      </c>
      <c r="AV13" s="37">
        <f>budget_request1[[#This Row],[Balance10]]-budget_request1[[#This Row],[Payments11]]+budget_request1[[#This Row],[Charges11]]</f>
        <v>495000000</v>
      </c>
      <c r="AW13" s="35"/>
      <c r="AX13" s="36">
        <f>budget_request1[[#This Row],[Charges01]]</f>
        <v>45000000</v>
      </c>
      <c r="AY13" s="37">
        <f>budget_request1[[#This Row],[Balance11]]-budget_request1[[#This Row],[Payments12]]+budget_request1[[#This Row],[Charges12]]</f>
        <v>540000000</v>
      </c>
      <c r="AZ13" s="30" t="s">
        <v>433</v>
      </c>
      <c r="BA13" s="96"/>
      <c r="BB13" s="38" t="s">
        <v>661</v>
      </c>
      <c r="BC13" s="39">
        <v>44982.885717592595</v>
      </c>
    </row>
    <row r="14" spans="2:55" x14ac:dyDescent="0.25">
      <c r="B14" s="30">
        <v>5</v>
      </c>
      <c r="C14" s="98">
        <v>6</v>
      </c>
      <c r="D14" s="98"/>
      <c r="E14" s="30"/>
      <c r="F14" s="31"/>
      <c r="G14" s="32"/>
      <c r="H14" s="32"/>
      <c r="I14" s="33"/>
      <c r="J14" s="34"/>
      <c r="K14" s="33"/>
      <c r="L14" s="30"/>
      <c r="M14" s="35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0</v>
      </c>
      <c r="N14" s="36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0</v>
      </c>
      <c r="O14" s="37"/>
      <c r="P14" s="35"/>
      <c r="Q14" s="36"/>
      <c r="R14" s="37">
        <f>budget_request1[[#This Row],[Balance00]]-budget_request1[[#This Row],[Payments01]]+budget_request1[[#This Row],[Charges01]]</f>
        <v>0</v>
      </c>
      <c r="S14" s="35"/>
      <c r="T14" s="36"/>
      <c r="U14" s="37">
        <f>budget_request1[[#This Row],[Balance01]]-budget_request1[[#This Row],[Payments02]]+budget_request1[[#This Row],[Charges02]]</f>
        <v>0</v>
      </c>
      <c r="V14" s="35"/>
      <c r="W14" s="36"/>
      <c r="X14" s="37">
        <f>budget_request1[[#This Row],[Balance02]]-budget_request1[[#This Row],[Payments03]]+budget_request1[[#This Row],[Charges03]]</f>
        <v>0</v>
      </c>
      <c r="Y14" s="35"/>
      <c r="Z14" s="36"/>
      <c r="AA14" s="37">
        <f>budget_request1[[#This Row],[Balance03]]-budget_request1[[#This Row],[Payments04]]+budget_request1[[#This Row],[Charges04]]</f>
        <v>0</v>
      </c>
      <c r="AB14" s="35"/>
      <c r="AC14" s="36"/>
      <c r="AD14" s="37">
        <f>budget_request1[[#This Row],[Balance04]]-budget_request1[[#This Row],[Payments05]]+budget_request1[[#This Row],[Charges05]]</f>
        <v>0</v>
      </c>
      <c r="AE14" s="35"/>
      <c r="AF14" s="36"/>
      <c r="AG14" s="37">
        <f>budget_request1[[#This Row],[Balance05]]-budget_request1[[#This Row],[Payments06]]+budget_request1[[#This Row],[Charges06]]</f>
        <v>0</v>
      </c>
      <c r="AH14" s="35"/>
      <c r="AI14" s="36"/>
      <c r="AJ14" s="37">
        <f>budget_request1[[#This Row],[Balance06]]-budget_request1[[#This Row],[Payments07]]+budget_request1[[#This Row],[Charges07]]</f>
        <v>0</v>
      </c>
      <c r="AK14" s="35"/>
      <c r="AL14" s="36"/>
      <c r="AM14" s="37">
        <f>budget_request1[[#This Row],[Balance07]]-budget_request1[[#This Row],[Payments08]]+budget_request1[[#This Row],[Charges08]]</f>
        <v>0</v>
      </c>
      <c r="AN14" s="35"/>
      <c r="AO14" s="36"/>
      <c r="AP14" s="37">
        <f>budget_request1[[#This Row],[Balance08]]-budget_request1[[#This Row],[Payments09]]+budget_request1[[#This Row],[Charges09]]</f>
        <v>0</v>
      </c>
      <c r="AQ14" s="35"/>
      <c r="AR14" s="36"/>
      <c r="AS14" s="37">
        <f>budget_request1[[#This Row],[Balance09]]-budget_request1[[#This Row],[Payments10]]+budget_request1[[#This Row],[Charges10]]</f>
        <v>0</v>
      </c>
      <c r="AT14" s="35"/>
      <c r="AU14" s="36"/>
      <c r="AV14" s="37">
        <f>budget_request1[[#This Row],[Balance10]]-budget_request1[[#This Row],[Payments11]]+budget_request1[[#This Row],[Charges11]]</f>
        <v>0</v>
      </c>
      <c r="AW14" s="35"/>
      <c r="AX14" s="36"/>
      <c r="AY14" s="37">
        <f>budget_request1[[#This Row],[Balance11]]-budget_request1[[#This Row],[Payments12]]+budget_request1[[#This Row],[Charges12]]</f>
        <v>0</v>
      </c>
      <c r="AZ14" s="30"/>
      <c r="BA14" s="96"/>
      <c r="BB14" s="38" t="s">
        <v>661</v>
      </c>
      <c r="BC14" s="39">
        <v>44982.885717592595</v>
      </c>
    </row>
    <row r="15" spans="2:55" x14ac:dyDescent="0.25">
      <c r="B15" s="30">
        <v>6</v>
      </c>
      <c r="C15" s="98">
        <v>7</v>
      </c>
      <c r="D15" s="98"/>
      <c r="E15" s="30" t="s">
        <v>434</v>
      </c>
      <c r="F15" s="40" t="s">
        <v>405</v>
      </c>
      <c r="G15" s="32" t="s">
        <v>434</v>
      </c>
      <c r="H15" s="41" t="s">
        <v>421</v>
      </c>
      <c r="I15" s="33"/>
      <c r="J15" s="43" t="s">
        <v>157</v>
      </c>
      <c r="K15" s="42" t="s">
        <v>158</v>
      </c>
      <c r="L15" s="44" t="s">
        <v>159</v>
      </c>
      <c r="M15" s="35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216000000</v>
      </c>
      <c r="N15" s="36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216000000</v>
      </c>
      <c r="O15" s="37"/>
      <c r="P15" s="35"/>
      <c r="Q15" s="36"/>
      <c r="R15" s="37">
        <f>budget_request1[[#This Row],[Balance00]]-budget_request1[[#This Row],[Payments01]]+budget_request1[[#This Row],[Charges01]]</f>
        <v>0</v>
      </c>
      <c r="S15" s="35"/>
      <c r="T15" s="36"/>
      <c r="U15" s="37">
        <f>budget_request1[[#This Row],[Balance01]]-budget_request1[[#This Row],[Payments02]]+budget_request1[[#This Row],[Charges02]]</f>
        <v>0</v>
      </c>
      <c r="V15" s="35"/>
      <c r="W15" s="36"/>
      <c r="X15" s="37">
        <f>budget_request1[[#This Row],[Balance02]]-budget_request1[[#This Row],[Payments03]]+budget_request1[[#This Row],[Charges03]]</f>
        <v>0</v>
      </c>
      <c r="Y15" s="35"/>
      <c r="Z15" s="36"/>
      <c r="AA15" s="37">
        <f>budget_request1[[#This Row],[Balance03]]-budget_request1[[#This Row],[Payments04]]+budget_request1[[#This Row],[Charges04]]</f>
        <v>0</v>
      </c>
      <c r="AB15" s="35"/>
      <c r="AC15" s="36"/>
      <c r="AD15" s="37">
        <f>budget_request1[[#This Row],[Balance04]]-budget_request1[[#This Row],[Payments05]]+budget_request1[[#This Row],[Charges05]]</f>
        <v>0</v>
      </c>
      <c r="AE15" s="35"/>
      <c r="AF15" s="36"/>
      <c r="AG15" s="37">
        <f>budget_request1[[#This Row],[Balance05]]-budget_request1[[#This Row],[Payments06]]+budget_request1[[#This Row],[Charges06]]</f>
        <v>0</v>
      </c>
      <c r="AH15" s="35">
        <f>100*1800000*1.2</f>
        <v>216000000</v>
      </c>
      <c r="AI15" s="36">
        <f>budget_request1[[#This Row],[Payments07]]/2</f>
        <v>108000000</v>
      </c>
      <c r="AJ15" s="37">
        <f>budget_request1[[#This Row],[Balance06]]-budget_request1[[#This Row],[Payments07]]+budget_request1[[#This Row],[Charges07]]</f>
        <v>-108000000</v>
      </c>
      <c r="AK15" s="35"/>
      <c r="AL15" s="36">
        <f>budget_request1[[#This Row],[Payments07]]-budget_request1[[#This Row],[Charges07]]</f>
        <v>108000000</v>
      </c>
      <c r="AM15" s="37">
        <f>budget_request1[[#This Row],[Balance07]]-budget_request1[[#This Row],[Payments08]]+budget_request1[[#This Row],[Charges08]]</f>
        <v>0</v>
      </c>
      <c r="AN15" s="35"/>
      <c r="AO15" s="36"/>
      <c r="AP15" s="37">
        <f>budget_request1[[#This Row],[Balance08]]-budget_request1[[#This Row],[Payments09]]+budget_request1[[#This Row],[Charges09]]</f>
        <v>0</v>
      </c>
      <c r="AQ15" s="35"/>
      <c r="AR15" s="36"/>
      <c r="AS15" s="37">
        <f>budget_request1[[#This Row],[Balance09]]-budget_request1[[#This Row],[Payments10]]+budget_request1[[#This Row],[Charges10]]</f>
        <v>0</v>
      </c>
      <c r="AT15" s="35"/>
      <c r="AU15" s="36"/>
      <c r="AV15" s="37">
        <f>budget_request1[[#This Row],[Balance10]]-budget_request1[[#This Row],[Payments11]]+budget_request1[[#This Row],[Charges11]]</f>
        <v>0</v>
      </c>
      <c r="AW15" s="35"/>
      <c r="AX15" s="36"/>
      <c r="AY15" s="37">
        <f>budget_request1[[#This Row],[Balance11]]-budget_request1[[#This Row],[Payments12]]+budget_request1[[#This Row],[Charges12]]</f>
        <v>0</v>
      </c>
      <c r="AZ15" s="30" t="s">
        <v>435</v>
      </c>
      <c r="BA15" s="96"/>
      <c r="BB15" s="38" t="s">
        <v>661</v>
      </c>
      <c r="BC15" s="39">
        <v>44982.885717592595</v>
      </c>
    </row>
    <row r="16" spans="2:55" x14ac:dyDescent="0.25">
      <c r="B16" s="30">
        <v>7</v>
      </c>
      <c r="C16" s="98">
        <v>8</v>
      </c>
      <c r="D16" s="98"/>
      <c r="E16" s="30" t="s">
        <v>436</v>
      </c>
      <c r="F16" s="40" t="s">
        <v>399</v>
      </c>
      <c r="G16" s="32" t="s">
        <v>432</v>
      </c>
      <c r="H16" s="32"/>
      <c r="I16" s="33"/>
      <c r="J16" s="43" t="s">
        <v>157</v>
      </c>
      <c r="K16" s="33"/>
      <c r="L16" s="44" t="s">
        <v>159</v>
      </c>
      <c r="M16" s="35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0</v>
      </c>
      <c r="N16" s="36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3375000</v>
      </c>
      <c r="O16" s="37"/>
      <c r="P16" s="35"/>
      <c r="Q16" s="36"/>
      <c r="R16" s="37">
        <f>budget_request1[[#This Row],[Balance00]]-budget_request1[[#This Row],[Payments01]]+budget_request1[[#This Row],[Charges01]]</f>
        <v>0</v>
      </c>
      <c r="S16" s="35"/>
      <c r="T16" s="36"/>
      <c r="U16" s="37">
        <f>budget_request1[[#This Row],[Balance01]]-budget_request1[[#This Row],[Payments02]]+budget_request1[[#This Row],[Charges02]]</f>
        <v>0</v>
      </c>
      <c r="V16" s="35"/>
      <c r="W16" s="36"/>
      <c r="X16" s="37">
        <f>budget_request1[[#This Row],[Balance02]]-budget_request1[[#This Row],[Payments03]]+budget_request1[[#This Row],[Charges03]]</f>
        <v>0</v>
      </c>
      <c r="Y16" s="35"/>
      <c r="Z16" s="36"/>
      <c r="AA16" s="37">
        <f>budget_request1[[#This Row],[Balance03]]-budget_request1[[#This Row],[Payments04]]+budget_request1[[#This Row],[Charges04]]</f>
        <v>0</v>
      </c>
      <c r="AB16" s="35"/>
      <c r="AC16" s="36"/>
      <c r="AD16" s="37">
        <f>budget_request1[[#This Row],[Balance04]]-budget_request1[[#This Row],[Payments05]]+budget_request1[[#This Row],[Charges05]]</f>
        <v>0</v>
      </c>
      <c r="AE16" s="35"/>
      <c r="AF16" s="36"/>
      <c r="AG16" s="37">
        <f>budget_request1[[#This Row],[Balance05]]-budget_request1[[#This Row],[Payments06]]+budget_request1[[#This Row],[Charges06]]</f>
        <v>0</v>
      </c>
      <c r="AH16" s="35"/>
      <c r="AI16" s="36"/>
      <c r="AJ16" s="37">
        <f>budget_request1[[#This Row],[Balance06]]-budget_request1[[#This Row],[Payments07]]+budget_request1[[#This Row],[Charges07]]</f>
        <v>0</v>
      </c>
      <c r="AK16" s="35"/>
      <c r="AL16" s="36">
        <v>375000</v>
      </c>
      <c r="AM16" s="37">
        <f>budget_request1[[#This Row],[Balance07]]-budget_request1[[#This Row],[Payments08]]+budget_request1[[#This Row],[Charges08]]</f>
        <v>375000</v>
      </c>
      <c r="AN16" s="35"/>
      <c r="AO16" s="36">
        <v>750000</v>
      </c>
      <c r="AP16" s="37">
        <f>budget_request1[[#This Row],[Balance08]]-budget_request1[[#This Row],[Payments09]]+budget_request1[[#This Row],[Charges09]]</f>
        <v>1125000</v>
      </c>
      <c r="AQ16" s="35"/>
      <c r="AR16" s="36">
        <f>budget_request1[[#This Row],[Charges09]]</f>
        <v>750000</v>
      </c>
      <c r="AS16" s="37">
        <f>budget_request1[[#This Row],[Balance09]]-budget_request1[[#This Row],[Payments10]]+budget_request1[[#This Row],[Charges10]]</f>
        <v>1875000</v>
      </c>
      <c r="AT16" s="35"/>
      <c r="AU16" s="36">
        <f>budget_request1[[#This Row],[Charges10]]</f>
        <v>750000</v>
      </c>
      <c r="AV16" s="37">
        <f>budget_request1[[#This Row],[Balance10]]-budget_request1[[#This Row],[Payments11]]+budget_request1[[#This Row],[Charges11]]</f>
        <v>2625000</v>
      </c>
      <c r="AW16" s="35"/>
      <c r="AX16" s="36">
        <f>budget_request1[[#This Row],[Charges11]]</f>
        <v>750000</v>
      </c>
      <c r="AY16" s="37">
        <f>budget_request1[[#This Row],[Balance11]]-budget_request1[[#This Row],[Payments12]]+budget_request1[[#This Row],[Charges12]]</f>
        <v>3375000</v>
      </c>
      <c r="AZ16" s="30" t="s">
        <v>437</v>
      </c>
      <c r="BA16" s="96"/>
      <c r="BB16" s="38" t="s">
        <v>661</v>
      </c>
      <c r="BC16" s="39">
        <v>44982.885717592595</v>
      </c>
    </row>
    <row r="17" spans="2:55" x14ac:dyDescent="0.25">
      <c r="B17" s="30">
        <v>8</v>
      </c>
      <c r="C17" s="98">
        <v>9</v>
      </c>
      <c r="D17" s="98"/>
      <c r="E17" s="30" t="s">
        <v>438</v>
      </c>
      <c r="F17" s="40" t="s">
        <v>400</v>
      </c>
      <c r="G17" s="32" t="s">
        <v>439</v>
      </c>
      <c r="H17" s="32"/>
      <c r="I17" s="33"/>
      <c r="J17" s="34"/>
      <c r="K17" s="33"/>
      <c r="L17" s="44" t="s">
        <v>159</v>
      </c>
      <c r="M17" s="35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0</v>
      </c>
      <c r="N17" s="36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36000000</v>
      </c>
      <c r="O17" s="37"/>
      <c r="P17" s="35"/>
      <c r="Q17" s="36"/>
      <c r="R17" s="37">
        <f>budget_request1[[#This Row],[Balance00]]-budget_request1[[#This Row],[Payments01]]+budget_request1[[#This Row],[Charges01]]</f>
        <v>0</v>
      </c>
      <c r="S17" s="35"/>
      <c r="T17" s="36"/>
      <c r="U17" s="37">
        <f>budget_request1[[#This Row],[Balance01]]-budget_request1[[#This Row],[Payments02]]+budget_request1[[#This Row],[Charges02]]</f>
        <v>0</v>
      </c>
      <c r="V17" s="35"/>
      <c r="W17" s="36"/>
      <c r="X17" s="37">
        <f>budget_request1[[#This Row],[Balance02]]-budget_request1[[#This Row],[Payments03]]+budget_request1[[#This Row],[Charges03]]</f>
        <v>0</v>
      </c>
      <c r="Y17" s="35"/>
      <c r="Z17" s="36"/>
      <c r="AA17" s="37">
        <f>budget_request1[[#This Row],[Balance03]]-budget_request1[[#This Row],[Payments04]]+budget_request1[[#This Row],[Charges04]]</f>
        <v>0</v>
      </c>
      <c r="AB17" s="35"/>
      <c r="AC17" s="36"/>
      <c r="AD17" s="37">
        <f>budget_request1[[#This Row],[Balance04]]-budget_request1[[#This Row],[Payments05]]+budget_request1[[#This Row],[Charges05]]</f>
        <v>0</v>
      </c>
      <c r="AE17" s="35"/>
      <c r="AF17" s="36"/>
      <c r="AG17" s="37">
        <f>budget_request1[[#This Row],[Balance05]]-budget_request1[[#This Row],[Payments06]]+budget_request1[[#This Row],[Charges06]]</f>
        <v>0</v>
      </c>
      <c r="AH17" s="35"/>
      <c r="AI17" s="36"/>
      <c r="AJ17" s="37">
        <f>budget_request1[[#This Row],[Balance06]]-budget_request1[[#This Row],[Payments07]]+budget_request1[[#This Row],[Charges07]]</f>
        <v>0</v>
      </c>
      <c r="AK17" s="35"/>
      <c r="AL17" s="36">
        <v>18000000</v>
      </c>
      <c r="AM17" s="37">
        <f>budget_request1[[#This Row],[Balance07]]-budget_request1[[#This Row],[Payments08]]+budget_request1[[#This Row],[Charges08]]</f>
        <v>18000000</v>
      </c>
      <c r="AN17" s="35"/>
      <c r="AO17" s="36">
        <v>18000000</v>
      </c>
      <c r="AP17" s="37">
        <f>budget_request1[[#This Row],[Balance08]]-budget_request1[[#This Row],[Payments09]]+budget_request1[[#This Row],[Charges09]]</f>
        <v>36000000</v>
      </c>
      <c r="AQ17" s="35"/>
      <c r="AR17" s="36"/>
      <c r="AS17" s="37">
        <f>budget_request1[[#This Row],[Balance09]]-budget_request1[[#This Row],[Payments10]]+budget_request1[[#This Row],[Charges10]]</f>
        <v>36000000</v>
      </c>
      <c r="AT17" s="35"/>
      <c r="AU17" s="36"/>
      <c r="AV17" s="37">
        <f>budget_request1[[#This Row],[Balance10]]-budget_request1[[#This Row],[Payments11]]+budget_request1[[#This Row],[Charges11]]</f>
        <v>36000000</v>
      </c>
      <c r="AW17" s="35"/>
      <c r="AX17" s="36"/>
      <c r="AY17" s="37">
        <f>budget_request1[[#This Row],[Balance11]]-budget_request1[[#This Row],[Payments12]]+budget_request1[[#This Row],[Charges12]]</f>
        <v>36000000</v>
      </c>
      <c r="AZ17" s="30" t="s">
        <v>458</v>
      </c>
      <c r="BA17" s="96"/>
      <c r="BB17" s="38" t="s">
        <v>661</v>
      </c>
      <c r="BC17" s="39">
        <v>44982.885717592595</v>
      </c>
    </row>
    <row r="18" spans="2:55" x14ac:dyDescent="0.25">
      <c r="B18" s="30">
        <v>9</v>
      </c>
      <c r="C18" s="98">
        <v>10</v>
      </c>
      <c r="D18" s="98"/>
      <c r="E18" s="30"/>
      <c r="F18" s="31"/>
      <c r="G18" s="32"/>
      <c r="H18" s="32"/>
      <c r="I18" s="33"/>
      <c r="J18" s="34"/>
      <c r="K18" s="33"/>
      <c r="L18" s="30"/>
      <c r="M18" s="35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0</v>
      </c>
      <c r="N18" s="36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0</v>
      </c>
      <c r="O18" s="37"/>
      <c r="P18" s="35"/>
      <c r="Q18" s="36"/>
      <c r="R18" s="37">
        <f>budget_request1[[#This Row],[Balance00]]-budget_request1[[#This Row],[Payments01]]+budget_request1[[#This Row],[Charges01]]</f>
        <v>0</v>
      </c>
      <c r="S18" s="35"/>
      <c r="T18" s="36"/>
      <c r="U18" s="37">
        <f>budget_request1[[#This Row],[Balance01]]-budget_request1[[#This Row],[Payments02]]+budget_request1[[#This Row],[Charges02]]</f>
        <v>0</v>
      </c>
      <c r="V18" s="35"/>
      <c r="W18" s="36"/>
      <c r="X18" s="37">
        <f>budget_request1[[#This Row],[Balance02]]-budget_request1[[#This Row],[Payments03]]+budget_request1[[#This Row],[Charges03]]</f>
        <v>0</v>
      </c>
      <c r="Y18" s="35"/>
      <c r="Z18" s="36"/>
      <c r="AA18" s="37">
        <f>budget_request1[[#This Row],[Balance03]]-budget_request1[[#This Row],[Payments04]]+budget_request1[[#This Row],[Charges04]]</f>
        <v>0</v>
      </c>
      <c r="AB18" s="35"/>
      <c r="AC18" s="36"/>
      <c r="AD18" s="37">
        <f>budget_request1[[#This Row],[Balance04]]-budget_request1[[#This Row],[Payments05]]+budget_request1[[#This Row],[Charges05]]</f>
        <v>0</v>
      </c>
      <c r="AE18" s="35"/>
      <c r="AF18" s="36"/>
      <c r="AG18" s="37">
        <f>budget_request1[[#This Row],[Balance05]]-budget_request1[[#This Row],[Payments06]]+budget_request1[[#This Row],[Charges06]]</f>
        <v>0</v>
      </c>
      <c r="AH18" s="35"/>
      <c r="AI18" s="36"/>
      <c r="AJ18" s="37">
        <f>budget_request1[[#This Row],[Balance06]]-budget_request1[[#This Row],[Payments07]]+budget_request1[[#This Row],[Charges07]]</f>
        <v>0</v>
      </c>
      <c r="AK18" s="35"/>
      <c r="AL18" s="36"/>
      <c r="AM18" s="37">
        <f>budget_request1[[#This Row],[Balance07]]-budget_request1[[#This Row],[Payments08]]+budget_request1[[#This Row],[Charges08]]</f>
        <v>0</v>
      </c>
      <c r="AN18" s="35"/>
      <c r="AO18" s="36"/>
      <c r="AP18" s="37">
        <f>budget_request1[[#This Row],[Balance08]]-budget_request1[[#This Row],[Payments09]]+budget_request1[[#This Row],[Charges09]]</f>
        <v>0</v>
      </c>
      <c r="AQ18" s="35"/>
      <c r="AR18" s="36"/>
      <c r="AS18" s="37">
        <f>budget_request1[[#This Row],[Balance09]]-budget_request1[[#This Row],[Payments10]]+budget_request1[[#This Row],[Charges10]]</f>
        <v>0</v>
      </c>
      <c r="AT18" s="35"/>
      <c r="AU18" s="36"/>
      <c r="AV18" s="37">
        <f>budget_request1[[#This Row],[Balance10]]-budget_request1[[#This Row],[Payments11]]+budget_request1[[#This Row],[Charges11]]</f>
        <v>0</v>
      </c>
      <c r="AW18" s="35"/>
      <c r="AX18" s="36"/>
      <c r="AY18" s="37">
        <f>budget_request1[[#This Row],[Balance11]]-budget_request1[[#This Row],[Payments12]]+budget_request1[[#This Row],[Charges12]]</f>
        <v>0</v>
      </c>
      <c r="AZ18" s="30"/>
      <c r="BA18" s="96"/>
      <c r="BB18" s="38" t="s">
        <v>661</v>
      </c>
      <c r="BC18" s="39">
        <v>44982.885717592595</v>
      </c>
    </row>
    <row r="19" spans="2:55" x14ac:dyDescent="0.25">
      <c r="B19" s="30">
        <v>10</v>
      </c>
      <c r="C19" s="98">
        <v>11</v>
      </c>
      <c r="D19" s="98"/>
      <c r="E19" s="30" t="s">
        <v>440</v>
      </c>
      <c r="F19" s="40" t="s">
        <v>391</v>
      </c>
      <c r="G19" s="32" t="s">
        <v>441</v>
      </c>
      <c r="H19" s="41" t="s">
        <v>424</v>
      </c>
      <c r="I19" s="33"/>
      <c r="J19" s="43" t="s">
        <v>157</v>
      </c>
      <c r="K19" s="33"/>
      <c r="L19" s="44" t="s">
        <v>159</v>
      </c>
      <c r="M19" s="35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180000000</v>
      </c>
      <c r="N19" s="36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0</v>
      </c>
      <c r="O19" s="37"/>
      <c r="P19" s="35"/>
      <c r="Q19" s="36"/>
      <c r="R19" s="37">
        <f>budget_request1[[#This Row],[Balance00]]-budget_request1[[#This Row],[Payments01]]+budget_request1[[#This Row],[Charges01]]</f>
        <v>0</v>
      </c>
      <c r="S19" s="35"/>
      <c r="T19" s="36"/>
      <c r="U19" s="37">
        <f>budget_request1[[#This Row],[Balance01]]-budget_request1[[#This Row],[Payments02]]+budget_request1[[#This Row],[Charges02]]</f>
        <v>0</v>
      </c>
      <c r="V19" s="35"/>
      <c r="W19" s="36"/>
      <c r="X19" s="37">
        <f>budget_request1[[#This Row],[Balance02]]-budget_request1[[#This Row],[Payments03]]+budget_request1[[#This Row],[Charges03]]</f>
        <v>0</v>
      </c>
      <c r="Y19" s="35"/>
      <c r="Z19" s="36"/>
      <c r="AA19" s="37">
        <f>budget_request1[[#This Row],[Balance03]]-budget_request1[[#This Row],[Payments04]]+budget_request1[[#This Row],[Charges04]]</f>
        <v>0</v>
      </c>
      <c r="AB19" s="35"/>
      <c r="AC19" s="36"/>
      <c r="AD19" s="37">
        <f>budget_request1[[#This Row],[Balance04]]-budget_request1[[#This Row],[Payments05]]+budget_request1[[#This Row],[Charges05]]</f>
        <v>0</v>
      </c>
      <c r="AE19" s="35"/>
      <c r="AF19" s="36"/>
      <c r="AG19" s="37">
        <f>budget_request1[[#This Row],[Balance05]]-budget_request1[[#This Row],[Payments06]]+budget_request1[[#This Row],[Charges06]]</f>
        <v>0</v>
      </c>
      <c r="AH19" s="35">
        <v>180000000</v>
      </c>
      <c r="AI19" s="36"/>
      <c r="AJ19" s="37">
        <f>budget_request1[[#This Row],[Balance06]]-budget_request1[[#This Row],[Payments07]]+budget_request1[[#This Row],[Charges07]]</f>
        <v>-180000000</v>
      </c>
      <c r="AK19" s="35"/>
      <c r="AL19" s="36"/>
      <c r="AM19" s="37">
        <f>budget_request1[[#This Row],[Balance07]]-budget_request1[[#This Row],[Payments08]]+budget_request1[[#This Row],[Charges08]]</f>
        <v>-180000000</v>
      </c>
      <c r="AN19" s="35"/>
      <c r="AO19" s="36"/>
      <c r="AP19" s="37">
        <f>budget_request1[[#This Row],[Balance08]]-budget_request1[[#This Row],[Payments09]]+budget_request1[[#This Row],[Charges09]]</f>
        <v>-180000000</v>
      </c>
      <c r="AQ19" s="35"/>
      <c r="AR19" s="36"/>
      <c r="AS19" s="37">
        <f>budget_request1[[#This Row],[Balance09]]-budget_request1[[#This Row],[Payments10]]+budget_request1[[#This Row],[Charges10]]</f>
        <v>-180000000</v>
      </c>
      <c r="AT19" s="35"/>
      <c r="AU19" s="36"/>
      <c r="AV19" s="37">
        <f>budget_request1[[#This Row],[Balance10]]-budget_request1[[#This Row],[Payments11]]+budget_request1[[#This Row],[Charges11]]</f>
        <v>-180000000</v>
      </c>
      <c r="AW19" s="35"/>
      <c r="AX19" s="36"/>
      <c r="AY19" s="37">
        <f>budget_request1[[#This Row],[Balance11]]-budget_request1[[#This Row],[Payments12]]+budget_request1[[#This Row],[Charges12]]</f>
        <v>-180000000</v>
      </c>
      <c r="AZ19" s="30"/>
      <c r="BA19" s="96"/>
      <c r="BB19" s="38" t="s">
        <v>661</v>
      </c>
      <c r="BC19" s="39">
        <v>44982.885717592595</v>
      </c>
    </row>
    <row r="20" spans="2:55" x14ac:dyDescent="0.25">
      <c r="B20" s="30">
        <v>11</v>
      </c>
      <c r="C20" s="98">
        <v>12</v>
      </c>
      <c r="D20" s="98"/>
      <c r="E20" s="30" t="s">
        <v>426</v>
      </c>
      <c r="F20" s="40" t="s">
        <v>408</v>
      </c>
      <c r="G20" s="32" t="s">
        <v>427</v>
      </c>
      <c r="H20" s="41" t="s">
        <v>424</v>
      </c>
      <c r="I20" s="33"/>
      <c r="J20" s="43" t="s">
        <v>157</v>
      </c>
      <c r="K20" s="33"/>
      <c r="L20" s="44" t="s">
        <v>159</v>
      </c>
      <c r="M20" s="35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15000000</v>
      </c>
      <c r="N20" s="36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0</v>
      </c>
      <c r="O20" s="37"/>
      <c r="P20" s="35"/>
      <c r="Q20" s="36"/>
      <c r="R20" s="37">
        <f>budget_request1[[#This Row],[Balance00]]-budget_request1[[#This Row],[Payments01]]+budget_request1[[#This Row],[Charges01]]</f>
        <v>0</v>
      </c>
      <c r="S20" s="35"/>
      <c r="T20" s="36"/>
      <c r="U20" s="37">
        <f>budget_request1[[#This Row],[Balance01]]-budget_request1[[#This Row],[Payments02]]+budget_request1[[#This Row],[Charges02]]</f>
        <v>0</v>
      </c>
      <c r="V20" s="35"/>
      <c r="W20" s="36"/>
      <c r="X20" s="37">
        <f>budget_request1[[#This Row],[Balance02]]-budget_request1[[#This Row],[Payments03]]+budget_request1[[#This Row],[Charges03]]</f>
        <v>0</v>
      </c>
      <c r="Y20" s="35"/>
      <c r="Z20" s="36"/>
      <c r="AA20" s="37">
        <f>budget_request1[[#This Row],[Balance03]]-budget_request1[[#This Row],[Payments04]]+budget_request1[[#This Row],[Charges04]]</f>
        <v>0</v>
      </c>
      <c r="AB20" s="35"/>
      <c r="AC20" s="36"/>
      <c r="AD20" s="37">
        <f>budget_request1[[#This Row],[Balance04]]-budget_request1[[#This Row],[Payments05]]+budget_request1[[#This Row],[Charges05]]</f>
        <v>0</v>
      </c>
      <c r="AE20" s="35"/>
      <c r="AF20" s="36"/>
      <c r="AG20" s="37">
        <f>budget_request1[[#This Row],[Balance05]]-budget_request1[[#This Row],[Payments06]]+budget_request1[[#This Row],[Charges06]]</f>
        <v>0</v>
      </c>
      <c r="AH20" s="35"/>
      <c r="AI20" s="36"/>
      <c r="AJ20" s="37">
        <f>budget_request1[[#This Row],[Balance06]]-budget_request1[[#This Row],[Payments07]]+budget_request1[[#This Row],[Charges07]]</f>
        <v>0</v>
      </c>
      <c r="AK20" s="35">
        <v>3000000</v>
      </c>
      <c r="AL20" s="36"/>
      <c r="AM20" s="37">
        <f>budget_request1[[#This Row],[Balance07]]-budget_request1[[#This Row],[Payments08]]+budget_request1[[#This Row],[Charges08]]</f>
        <v>-3000000</v>
      </c>
      <c r="AN20" s="35">
        <f>budget_request1[[#This Row],[Payments08]]</f>
        <v>3000000</v>
      </c>
      <c r="AO20" s="36"/>
      <c r="AP20" s="37">
        <f>budget_request1[[#This Row],[Balance08]]-budget_request1[[#This Row],[Payments09]]+budget_request1[[#This Row],[Charges09]]</f>
        <v>-6000000</v>
      </c>
      <c r="AQ20" s="35">
        <f>budget_request1[[#This Row],[Payments09]]</f>
        <v>3000000</v>
      </c>
      <c r="AR20" s="36"/>
      <c r="AS20" s="37">
        <f>budget_request1[[#This Row],[Balance09]]-budget_request1[[#This Row],[Payments10]]+budget_request1[[#This Row],[Charges10]]</f>
        <v>-9000000</v>
      </c>
      <c r="AT20" s="35">
        <f>budget_request1[[#This Row],[Payments10]]</f>
        <v>3000000</v>
      </c>
      <c r="AU20" s="36"/>
      <c r="AV20" s="37">
        <f>budget_request1[[#This Row],[Balance10]]-budget_request1[[#This Row],[Payments11]]+budget_request1[[#This Row],[Charges11]]</f>
        <v>-12000000</v>
      </c>
      <c r="AW20" s="35">
        <f>budget_request1[[#This Row],[Payments11]]</f>
        <v>3000000</v>
      </c>
      <c r="AX20" s="36"/>
      <c r="AY20" s="37">
        <f>budget_request1[[#This Row],[Balance11]]-budget_request1[[#This Row],[Payments12]]+budget_request1[[#This Row],[Charges12]]</f>
        <v>-15000000</v>
      </c>
      <c r="AZ20" s="30" t="s">
        <v>442</v>
      </c>
      <c r="BA20" s="96"/>
      <c r="BB20" s="38" t="s">
        <v>661</v>
      </c>
      <c r="BC20" s="39">
        <v>44982.885717592595</v>
      </c>
    </row>
    <row r="21" spans="2:55" x14ac:dyDescent="0.25">
      <c r="B21" s="30">
        <v>12</v>
      </c>
      <c r="C21" s="98">
        <v>13</v>
      </c>
      <c r="D21" s="98"/>
      <c r="E21" s="30" t="s">
        <v>429</v>
      </c>
      <c r="F21" s="40" t="s">
        <v>410</v>
      </c>
      <c r="G21" s="32" t="s">
        <v>430</v>
      </c>
      <c r="H21" s="41" t="s">
        <v>424</v>
      </c>
      <c r="I21" s="33"/>
      <c r="J21" s="43" t="s">
        <v>157</v>
      </c>
      <c r="K21" s="33"/>
      <c r="L21" s="44" t="s">
        <v>159</v>
      </c>
      <c r="M21" s="35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6525000</v>
      </c>
      <c r="N21" s="36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7762500</v>
      </c>
      <c r="O21" s="37"/>
      <c r="P21" s="35"/>
      <c r="Q21" s="36"/>
      <c r="R21" s="37">
        <f>budget_request1[[#This Row],[Balance00]]-budget_request1[[#This Row],[Payments01]]+budget_request1[[#This Row],[Charges01]]</f>
        <v>0</v>
      </c>
      <c r="S21" s="35">
        <f>budget_request1[[#This Row],[Charges01]]</f>
        <v>0</v>
      </c>
      <c r="T21" s="36"/>
      <c r="U21" s="37">
        <f>budget_request1[[#This Row],[Balance01]]-budget_request1[[#This Row],[Payments02]]+budget_request1[[#This Row],[Charges02]]</f>
        <v>0</v>
      </c>
      <c r="V21" s="35">
        <f>U21</f>
        <v>0</v>
      </c>
      <c r="W21" s="36"/>
      <c r="X21" s="37">
        <f>budget_request1[[#This Row],[Balance02]]-budget_request1[[#This Row],[Payments03]]+budget_request1[[#This Row],[Charges03]]</f>
        <v>0</v>
      </c>
      <c r="Y21" s="35">
        <f>X21</f>
        <v>0</v>
      </c>
      <c r="Z21" s="36"/>
      <c r="AA21" s="37">
        <f>budget_request1[[#This Row],[Balance03]]-budget_request1[[#This Row],[Payments04]]+budget_request1[[#This Row],[Charges04]]</f>
        <v>0</v>
      </c>
      <c r="AB21" s="35">
        <f>AA21</f>
        <v>0</v>
      </c>
      <c r="AC21" s="36"/>
      <c r="AD21" s="37">
        <f>budget_request1[[#This Row],[Balance04]]-budget_request1[[#This Row],[Payments05]]+budget_request1[[#This Row],[Charges05]]</f>
        <v>0</v>
      </c>
      <c r="AE21" s="35">
        <f>AD21</f>
        <v>0</v>
      </c>
      <c r="AF21" s="36"/>
      <c r="AG21" s="37">
        <f>budget_request1[[#This Row],[Balance05]]-budget_request1[[#This Row],[Payments06]]+budget_request1[[#This Row],[Charges06]]</f>
        <v>0</v>
      </c>
      <c r="AH21" s="35"/>
      <c r="AI21" s="36">
        <v>1350000</v>
      </c>
      <c r="AJ21" s="37">
        <f>budget_request1[[#This Row],[Balance06]]-budget_request1[[#This Row],[Payments07]]+budget_request1[[#This Row],[Charges07]]</f>
        <v>1350000</v>
      </c>
      <c r="AK21" s="35">
        <f>budget_request1[[#This Row],[Charges07]]</f>
        <v>1350000</v>
      </c>
      <c r="AL21" s="36">
        <v>1327500</v>
      </c>
      <c r="AM21" s="37">
        <f>budget_request1[[#This Row],[Balance07]]-budget_request1[[#This Row],[Payments08]]+budget_request1[[#This Row],[Charges08]]</f>
        <v>1327500</v>
      </c>
      <c r="AN21" s="35">
        <f>budget_request1[[#This Row],[Charges08]]</f>
        <v>1327500</v>
      </c>
      <c r="AO21" s="36">
        <v>1305000</v>
      </c>
      <c r="AP21" s="37">
        <f>budget_request1[[#This Row],[Balance08]]-budget_request1[[#This Row],[Payments09]]+budget_request1[[#This Row],[Charges09]]</f>
        <v>1305000</v>
      </c>
      <c r="AQ21" s="35">
        <f>budget_request1[[#This Row],[Charges09]]</f>
        <v>1305000</v>
      </c>
      <c r="AR21" s="36">
        <v>1282500</v>
      </c>
      <c r="AS21" s="37">
        <f>budget_request1[[#This Row],[Balance09]]-budget_request1[[#This Row],[Payments10]]+budget_request1[[#This Row],[Charges10]]</f>
        <v>1282500</v>
      </c>
      <c r="AT21" s="35">
        <f>budget_request1[[#This Row],[Charges10]]</f>
        <v>1282500</v>
      </c>
      <c r="AU21" s="36">
        <v>1260000</v>
      </c>
      <c r="AV21" s="37">
        <f>budget_request1[[#This Row],[Balance10]]-budget_request1[[#This Row],[Payments11]]+budget_request1[[#This Row],[Charges11]]</f>
        <v>1260000</v>
      </c>
      <c r="AW21" s="35">
        <f>budget_request1[[#This Row],[Charges11]]</f>
        <v>1260000</v>
      </c>
      <c r="AX21" s="36">
        <v>1237500</v>
      </c>
      <c r="AY21" s="37">
        <f>budget_request1[[#This Row],[Balance11]]-budget_request1[[#This Row],[Payments12]]+budget_request1[[#This Row],[Charges12]]</f>
        <v>1237500</v>
      </c>
      <c r="AZ21" s="30" t="s">
        <v>443</v>
      </c>
      <c r="BA21" s="96"/>
      <c r="BB21" s="38" t="s">
        <v>661</v>
      </c>
      <c r="BC21" s="39">
        <v>44982.885717592595</v>
      </c>
    </row>
    <row r="22" spans="2:55" x14ac:dyDescent="0.25">
      <c r="B22" s="30">
        <v>13</v>
      </c>
      <c r="C22" s="98">
        <v>14</v>
      </c>
      <c r="D22" s="98"/>
      <c r="E22" s="30"/>
      <c r="F22" s="31"/>
      <c r="G22" s="32"/>
      <c r="H22" s="32"/>
      <c r="I22" s="33"/>
      <c r="J22" s="34"/>
      <c r="K22" s="33"/>
      <c r="L22" s="30"/>
      <c r="M22" s="35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0</v>
      </c>
      <c r="N22" s="36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0</v>
      </c>
      <c r="O22" s="37"/>
      <c r="P22" s="35"/>
      <c r="Q22" s="36"/>
      <c r="R22" s="37">
        <f>budget_request1[[#This Row],[Balance00]]-budget_request1[[#This Row],[Payments01]]+budget_request1[[#This Row],[Charges01]]</f>
        <v>0</v>
      </c>
      <c r="S22" s="35"/>
      <c r="T22" s="36"/>
      <c r="U22" s="37">
        <f>budget_request1[[#This Row],[Balance01]]-budget_request1[[#This Row],[Payments02]]+budget_request1[[#This Row],[Charges02]]</f>
        <v>0</v>
      </c>
      <c r="V22" s="35"/>
      <c r="W22" s="36"/>
      <c r="X22" s="37">
        <f>budget_request1[[#This Row],[Balance02]]-budget_request1[[#This Row],[Payments03]]+budget_request1[[#This Row],[Charges03]]</f>
        <v>0</v>
      </c>
      <c r="Y22" s="35"/>
      <c r="Z22" s="36"/>
      <c r="AA22" s="37">
        <f>budget_request1[[#This Row],[Balance03]]-budget_request1[[#This Row],[Payments04]]+budget_request1[[#This Row],[Charges04]]</f>
        <v>0</v>
      </c>
      <c r="AB22" s="35"/>
      <c r="AC22" s="36"/>
      <c r="AD22" s="37">
        <f>budget_request1[[#This Row],[Balance04]]-budget_request1[[#This Row],[Payments05]]+budget_request1[[#This Row],[Charges05]]</f>
        <v>0</v>
      </c>
      <c r="AE22" s="35"/>
      <c r="AF22" s="36"/>
      <c r="AG22" s="37">
        <f>budget_request1[[#This Row],[Balance05]]-budget_request1[[#This Row],[Payments06]]+budget_request1[[#This Row],[Charges06]]</f>
        <v>0</v>
      </c>
      <c r="AH22" s="35"/>
      <c r="AI22" s="36"/>
      <c r="AJ22" s="37">
        <f>budget_request1[[#This Row],[Balance06]]-budget_request1[[#This Row],[Payments07]]+budget_request1[[#This Row],[Charges07]]</f>
        <v>0</v>
      </c>
      <c r="AK22" s="35"/>
      <c r="AL22" s="36"/>
      <c r="AM22" s="37">
        <f>budget_request1[[#This Row],[Balance07]]-budget_request1[[#This Row],[Payments08]]+budget_request1[[#This Row],[Charges08]]</f>
        <v>0</v>
      </c>
      <c r="AN22" s="35"/>
      <c r="AO22" s="36"/>
      <c r="AP22" s="37">
        <f>budget_request1[[#This Row],[Balance08]]-budget_request1[[#This Row],[Payments09]]+budget_request1[[#This Row],[Charges09]]</f>
        <v>0</v>
      </c>
      <c r="AQ22" s="35"/>
      <c r="AR22" s="36"/>
      <c r="AS22" s="37">
        <f>budget_request1[[#This Row],[Balance09]]-budget_request1[[#This Row],[Payments10]]+budget_request1[[#This Row],[Charges10]]</f>
        <v>0</v>
      </c>
      <c r="AT22" s="35"/>
      <c r="AU22" s="36"/>
      <c r="AV22" s="37">
        <f>budget_request1[[#This Row],[Balance10]]-budget_request1[[#This Row],[Payments11]]+budget_request1[[#This Row],[Charges11]]</f>
        <v>0</v>
      </c>
      <c r="AW22" s="35"/>
      <c r="AX22" s="36"/>
      <c r="AY22" s="37">
        <f>budget_request1[[#This Row],[Balance11]]-budget_request1[[#This Row],[Payments12]]+budget_request1[[#This Row],[Charges12]]</f>
        <v>0</v>
      </c>
      <c r="AZ22" s="30"/>
      <c r="BA22" s="96"/>
      <c r="BB22" s="38" t="s">
        <v>661</v>
      </c>
      <c r="BC22" s="39">
        <v>44982.885717592595</v>
      </c>
    </row>
    <row r="23" spans="2:55" x14ac:dyDescent="0.25">
      <c r="B23" s="30">
        <v>14</v>
      </c>
      <c r="C23" s="98">
        <v>15</v>
      </c>
      <c r="D23" s="98"/>
      <c r="E23" s="30" t="s">
        <v>444</v>
      </c>
      <c r="F23" s="40" t="s">
        <v>390</v>
      </c>
      <c r="G23" s="32" t="s">
        <v>445</v>
      </c>
      <c r="H23" s="41" t="s">
        <v>425</v>
      </c>
      <c r="I23" s="33"/>
      <c r="J23" s="43" t="s">
        <v>157</v>
      </c>
      <c r="K23" s="33"/>
      <c r="L23" s="44" t="s">
        <v>159</v>
      </c>
      <c r="M23" s="35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36000000</v>
      </c>
      <c r="N23" s="36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0</v>
      </c>
      <c r="O23" s="37"/>
      <c r="P23" s="35"/>
      <c r="Q23" s="36"/>
      <c r="R23" s="37">
        <f>budget_request1[[#This Row],[Balance00]]-budget_request1[[#This Row],[Payments01]]+budget_request1[[#This Row],[Charges01]]</f>
        <v>0</v>
      </c>
      <c r="S23" s="35"/>
      <c r="T23" s="36"/>
      <c r="U23" s="37">
        <f>budget_request1[[#This Row],[Balance01]]-budget_request1[[#This Row],[Payments02]]+budget_request1[[#This Row],[Charges02]]</f>
        <v>0</v>
      </c>
      <c r="V23" s="35"/>
      <c r="W23" s="36"/>
      <c r="X23" s="37">
        <f>budget_request1[[#This Row],[Balance02]]-budget_request1[[#This Row],[Payments03]]+budget_request1[[#This Row],[Charges03]]</f>
        <v>0</v>
      </c>
      <c r="Y23" s="35"/>
      <c r="Z23" s="36"/>
      <c r="AA23" s="37">
        <f>budget_request1[[#This Row],[Balance03]]-budget_request1[[#This Row],[Payments04]]+budget_request1[[#This Row],[Charges04]]</f>
        <v>0</v>
      </c>
      <c r="AB23" s="35"/>
      <c r="AC23" s="36"/>
      <c r="AD23" s="37">
        <f>budget_request1[[#This Row],[Balance04]]-budget_request1[[#This Row],[Payments05]]+budget_request1[[#This Row],[Charges05]]</f>
        <v>0</v>
      </c>
      <c r="AE23" s="35"/>
      <c r="AF23" s="36"/>
      <c r="AG23" s="37">
        <f>budget_request1[[#This Row],[Balance05]]-budget_request1[[#This Row],[Payments06]]+budget_request1[[#This Row],[Charges06]]</f>
        <v>0</v>
      </c>
      <c r="AH23" s="35">
        <v>36000000</v>
      </c>
      <c r="AI23" s="36"/>
      <c r="AJ23" s="37">
        <f>budget_request1[[#This Row],[Balance06]]-budget_request1[[#This Row],[Payments07]]+budget_request1[[#This Row],[Charges07]]</f>
        <v>-36000000</v>
      </c>
      <c r="AK23" s="35"/>
      <c r="AL23" s="36"/>
      <c r="AM23" s="37">
        <f>budget_request1[[#This Row],[Balance07]]-budget_request1[[#This Row],[Payments08]]+budget_request1[[#This Row],[Charges08]]</f>
        <v>-36000000</v>
      </c>
      <c r="AN23" s="35"/>
      <c r="AO23" s="36"/>
      <c r="AP23" s="37">
        <f>budget_request1[[#This Row],[Balance08]]-budget_request1[[#This Row],[Payments09]]+budget_request1[[#This Row],[Charges09]]</f>
        <v>-36000000</v>
      </c>
      <c r="AQ23" s="35"/>
      <c r="AR23" s="36"/>
      <c r="AS23" s="37">
        <f>budget_request1[[#This Row],[Balance09]]-budget_request1[[#This Row],[Payments10]]+budget_request1[[#This Row],[Charges10]]</f>
        <v>-36000000</v>
      </c>
      <c r="AT23" s="35"/>
      <c r="AU23" s="36"/>
      <c r="AV23" s="37">
        <f>budget_request1[[#This Row],[Balance10]]-budget_request1[[#This Row],[Payments11]]+budget_request1[[#This Row],[Charges11]]</f>
        <v>-36000000</v>
      </c>
      <c r="AW23" s="35"/>
      <c r="AX23" s="36"/>
      <c r="AY23" s="37">
        <f>budget_request1[[#This Row],[Balance11]]-budget_request1[[#This Row],[Payments12]]+budget_request1[[#This Row],[Charges12]]</f>
        <v>-36000000</v>
      </c>
      <c r="AZ23" s="30"/>
      <c r="BA23" s="96"/>
      <c r="BB23" s="38" t="s">
        <v>661</v>
      </c>
      <c r="BC23" s="39">
        <v>44982.885717592595</v>
      </c>
    </row>
    <row r="24" spans="2:55" x14ac:dyDescent="0.25">
      <c r="B24" s="30">
        <v>15</v>
      </c>
      <c r="C24" s="98">
        <v>16</v>
      </c>
      <c r="D24" s="98"/>
      <c r="E24" s="30" t="s">
        <v>446</v>
      </c>
      <c r="F24" s="40" t="s">
        <v>407</v>
      </c>
      <c r="G24" s="32" t="s">
        <v>447</v>
      </c>
      <c r="H24" s="41" t="s">
        <v>425</v>
      </c>
      <c r="I24" s="33"/>
      <c r="J24" s="43" t="s">
        <v>157</v>
      </c>
      <c r="K24" s="33"/>
      <c r="L24" s="44" t="s">
        <v>159</v>
      </c>
      <c r="M24" s="35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36000000</v>
      </c>
      <c r="N24" s="36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0</v>
      </c>
      <c r="O24" s="37"/>
      <c r="P24" s="35"/>
      <c r="Q24" s="36"/>
      <c r="R24" s="37">
        <f>budget_request1[[#This Row],[Balance00]]-budget_request1[[#This Row],[Payments01]]+budget_request1[[#This Row],[Charges01]]</f>
        <v>0</v>
      </c>
      <c r="S24" s="35"/>
      <c r="T24" s="36"/>
      <c r="U24" s="37">
        <f>budget_request1[[#This Row],[Balance01]]-budget_request1[[#This Row],[Payments02]]+budget_request1[[#This Row],[Charges02]]</f>
        <v>0</v>
      </c>
      <c r="V24" s="35"/>
      <c r="W24" s="36"/>
      <c r="X24" s="37">
        <f>budget_request1[[#This Row],[Balance02]]-budget_request1[[#This Row],[Payments03]]+budget_request1[[#This Row],[Charges03]]</f>
        <v>0</v>
      </c>
      <c r="Y24" s="35"/>
      <c r="Z24" s="36"/>
      <c r="AA24" s="37">
        <f>budget_request1[[#This Row],[Balance03]]-budget_request1[[#This Row],[Payments04]]+budget_request1[[#This Row],[Charges04]]</f>
        <v>0</v>
      </c>
      <c r="AB24" s="35"/>
      <c r="AC24" s="36"/>
      <c r="AD24" s="37">
        <f>budget_request1[[#This Row],[Balance04]]-budget_request1[[#This Row],[Payments05]]+budget_request1[[#This Row],[Charges05]]</f>
        <v>0</v>
      </c>
      <c r="AE24" s="35"/>
      <c r="AF24" s="36"/>
      <c r="AG24" s="37">
        <f>budget_request1[[#This Row],[Balance05]]-budget_request1[[#This Row],[Payments06]]+budget_request1[[#This Row],[Charges06]]</f>
        <v>0</v>
      </c>
      <c r="AH24" s="35"/>
      <c r="AI24" s="36"/>
      <c r="AJ24" s="37">
        <f>budget_request1[[#This Row],[Balance06]]-budget_request1[[#This Row],[Payments07]]+budget_request1[[#This Row],[Charges07]]</f>
        <v>0</v>
      </c>
      <c r="AK24" s="35"/>
      <c r="AL24" s="36"/>
      <c r="AM24" s="37">
        <f>budget_request1[[#This Row],[Balance07]]-budget_request1[[#This Row],[Payments08]]+budget_request1[[#This Row],[Charges08]]</f>
        <v>0</v>
      </c>
      <c r="AN24" s="35">
        <v>36000000</v>
      </c>
      <c r="AO24" s="36"/>
      <c r="AP24" s="37">
        <f>budget_request1[[#This Row],[Balance08]]-budget_request1[[#This Row],[Payments09]]+budget_request1[[#This Row],[Charges09]]</f>
        <v>-36000000</v>
      </c>
      <c r="AQ24" s="35"/>
      <c r="AR24" s="36"/>
      <c r="AS24" s="37">
        <f>budget_request1[[#This Row],[Balance09]]-budget_request1[[#This Row],[Payments10]]+budget_request1[[#This Row],[Charges10]]</f>
        <v>-36000000</v>
      </c>
      <c r="AT24" s="35"/>
      <c r="AU24" s="36"/>
      <c r="AV24" s="37">
        <f>budget_request1[[#This Row],[Balance10]]-budget_request1[[#This Row],[Payments11]]+budget_request1[[#This Row],[Charges11]]</f>
        <v>-36000000</v>
      </c>
      <c r="AW24" s="35"/>
      <c r="AX24" s="36"/>
      <c r="AY24" s="37">
        <f>budget_request1[[#This Row],[Balance11]]-budget_request1[[#This Row],[Payments12]]+budget_request1[[#This Row],[Charges12]]</f>
        <v>-36000000</v>
      </c>
      <c r="AZ24" s="30"/>
      <c r="BA24" s="96"/>
      <c r="BB24" s="38" t="s">
        <v>661</v>
      </c>
      <c r="BC24" s="39">
        <v>44982.885717592595</v>
      </c>
    </row>
    <row r="25" spans="2:55" x14ac:dyDescent="0.25">
      <c r="B25" s="30">
        <v>16</v>
      </c>
      <c r="C25" s="98">
        <v>17</v>
      </c>
      <c r="D25" s="98"/>
      <c r="E25" s="30" t="s">
        <v>448</v>
      </c>
      <c r="F25" s="40" t="s">
        <v>409</v>
      </c>
      <c r="G25" s="32" t="s">
        <v>449</v>
      </c>
      <c r="H25" s="41" t="s">
        <v>425</v>
      </c>
      <c r="I25" s="33"/>
      <c r="J25" s="43" t="s">
        <v>157</v>
      </c>
      <c r="K25" s="33"/>
      <c r="L25" s="44" t="s">
        <v>159</v>
      </c>
      <c r="M25" s="35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360000</v>
      </c>
      <c r="N25" s="36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360000</v>
      </c>
      <c r="O25" s="37"/>
      <c r="P25" s="35"/>
      <c r="Q25" s="36"/>
      <c r="R25" s="37">
        <f>budget_request1[[#This Row],[Balance00]]-budget_request1[[#This Row],[Payments01]]+budget_request1[[#This Row],[Charges01]]</f>
        <v>0</v>
      </c>
      <c r="S25" s="35"/>
      <c r="T25" s="36"/>
      <c r="U25" s="37">
        <f>budget_request1[[#This Row],[Balance01]]-budget_request1[[#This Row],[Payments02]]+budget_request1[[#This Row],[Charges02]]</f>
        <v>0</v>
      </c>
      <c r="V25" s="35"/>
      <c r="W25" s="36"/>
      <c r="X25" s="37">
        <f>budget_request1[[#This Row],[Balance02]]-budget_request1[[#This Row],[Payments03]]+budget_request1[[#This Row],[Charges03]]</f>
        <v>0</v>
      </c>
      <c r="Y25" s="35"/>
      <c r="Z25" s="36"/>
      <c r="AA25" s="37">
        <f>budget_request1[[#This Row],[Balance03]]-budget_request1[[#This Row],[Payments04]]+budget_request1[[#This Row],[Charges04]]</f>
        <v>0</v>
      </c>
      <c r="AB25" s="35"/>
      <c r="AC25" s="36"/>
      <c r="AD25" s="37">
        <f>budget_request1[[#This Row],[Balance04]]-budget_request1[[#This Row],[Payments05]]+budget_request1[[#This Row],[Charges05]]</f>
        <v>0</v>
      </c>
      <c r="AE25" s="35"/>
      <c r="AF25" s="36"/>
      <c r="AG25" s="37">
        <f>budget_request1[[#This Row],[Balance05]]-budget_request1[[#This Row],[Payments06]]+budget_request1[[#This Row],[Charges06]]</f>
        <v>0</v>
      </c>
      <c r="AH25" s="35"/>
      <c r="AI25" s="36">
        <v>120000</v>
      </c>
      <c r="AJ25" s="37">
        <f>budget_request1[[#This Row],[Balance06]]-budget_request1[[#This Row],[Payments07]]+budget_request1[[#This Row],[Charges07]]</f>
        <v>120000</v>
      </c>
      <c r="AK25" s="35"/>
      <c r="AL25" s="36">
        <v>120000</v>
      </c>
      <c r="AM25" s="37">
        <f>budget_request1[[#This Row],[Balance07]]-budget_request1[[#This Row],[Payments08]]+budget_request1[[#This Row],[Charges08]]</f>
        <v>240000</v>
      </c>
      <c r="AN25" s="35">
        <v>360000</v>
      </c>
      <c r="AO25" s="36">
        <v>120000</v>
      </c>
      <c r="AP25" s="37">
        <f>budget_request1[[#This Row],[Balance08]]-budget_request1[[#This Row],[Payments09]]+budget_request1[[#This Row],[Charges09]]</f>
        <v>0</v>
      </c>
      <c r="AQ25" s="35"/>
      <c r="AR25" s="36"/>
      <c r="AS25" s="37">
        <f>budget_request1[[#This Row],[Balance09]]-budget_request1[[#This Row],[Payments10]]+budget_request1[[#This Row],[Charges10]]</f>
        <v>0</v>
      </c>
      <c r="AT25" s="35"/>
      <c r="AU25" s="36"/>
      <c r="AV25" s="37">
        <f>budget_request1[[#This Row],[Balance10]]-budget_request1[[#This Row],[Payments11]]+budget_request1[[#This Row],[Charges11]]</f>
        <v>0</v>
      </c>
      <c r="AW25" s="35"/>
      <c r="AX25" s="36"/>
      <c r="AY25" s="37">
        <f>budget_request1[[#This Row],[Balance11]]-budget_request1[[#This Row],[Payments12]]+budget_request1[[#This Row],[Charges12]]</f>
        <v>0</v>
      </c>
      <c r="AZ25" s="30"/>
      <c r="BA25" s="96"/>
      <c r="BB25" s="38" t="s">
        <v>661</v>
      </c>
      <c r="BC25" s="39">
        <v>44982.885717592595</v>
      </c>
    </row>
    <row r="26" spans="2:55" x14ac:dyDescent="0.25">
      <c r="B26" s="30">
        <v>17</v>
      </c>
      <c r="C26" s="98">
        <v>18</v>
      </c>
      <c r="D26" s="98"/>
      <c r="E26" s="30"/>
      <c r="F26" s="31"/>
      <c r="G26" s="32"/>
      <c r="H26" s="32"/>
      <c r="I26" s="33"/>
      <c r="J26" s="34"/>
      <c r="K26" s="33"/>
      <c r="L26" s="30"/>
      <c r="M26" s="35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0</v>
      </c>
      <c r="N26" s="36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0</v>
      </c>
      <c r="O26" s="37"/>
      <c r="P26" s="35"/>
      <c r="Q26" s="36"/>
      <c r="R26" s="37">
        <f>budget_request1[[#This Row],[Balance00]]-budget_request1[[#This Row],[Payments01]]+budget_request1[[#This Row],[Charges01]]</f>
        <v>0</v>
      </c>
      <c r="S26" s="35"/>
      <c r="T26" s="36"/>
      <c r="U26" s="37">
        <f>budget_request1[[#This Row],[Balance01]]-budget_request1[[#This Row],[Payments02]]+budget_request1[[#This Row],[Charges02]]</f>
        <v>0</v>
      </c>
      <c r="V26" s="35"/>
      <c r="W26" s="36"/>
      <c r="X26" s="37">
        <f>budget_request1[[#This Row],[Balance02]]-budget_request1[[#This Row],[Payments03]]+budget_request1[[#This Row],[Charges03]]</f>
        <v>0</v>
      </c>
      <c r="Y26" s="35"/>
      <c r="Z26" s="36"/>
      <c r="AA26" s="37">
        <f>budget_request1[[#This Row],[Balance03]]-budget_request1[[#This Row],[Payments04]]+budget_request1[[#This Row],[Charges04]]</f>
        <v>0</v>
      </c>
      <c r="AB26" s="35"/>
      <c r="AC26" s="36"/>
      <c r="AD26" s="37">
        <f>budget_request1[[#This Row],[Balance04]]-budget_request1[[#This Row],[Payments05]]+budget_request1[[#This Row],[Charges05]]</f>
        <v>0</v>
      </c>
      <c r="AE26" s="35"/>
      <c r="AF26" s="36"/>
      <c r="AG26" s="37">
        <f>budget_request1[[#This Row],[Balance05]]-budget_request1[[#This Row],[Payments06]]+budget_request1[[#This Row],[Charges06]]</f>
        <v>0</v>
      </c>
      <c r="AH26" s="35"/>
      <c r="AI26" s="36"/>
      <c r="AJ26" s="37">
        <f>budget_request1[[#This Row],[Balance06]]-budget_request1[[#This Row],[Payments07]]+budget_request1[[#This Row],[Charges07]]</f>
        <v>0</v>
      </c>
      <c r="AK26" s="35"/>
      <c r="AL26" s="36"/>
      <c r="AM26" s="37">
        <f>budget_request1[[#This Row],[Balance07]]-budget_request1[[#This Row],[Payments08]]+budget_request1[[#This Row],[Charges08]]</f>
        <v>0</v>
      </c>
      <c r="AN26" s="35"/>
      <c r="AO26" s="36"/>
      <c r="AP26" s="37">
        <f>budget_request1[[#This Row],[Balance08]]-budget_request1[[#This Row],[Payments09]]+budget_request1[[#This Row],[Charges09]]</f>
        <v>0</v>
      </c>
      <c r="AQ26" s="35"/>
      <c r="AR26" s="36"/>
      <c r="AS26" s="37">
        <f>budget_request1[[#This Row],[Balance09]]-budget_request1[[#This Row],[Payments10]]+budget_request1[[#This Row],[Charges10]]</f>
        <v>0</v>
      </c>
      <c r="AT26" s="35"/>
      <c r="AU26" s="36"/>
      <c r="AV26" s="37">
        <f>budget_request1[[#This Row],[Balance10]]-budget_request1[[#This Row],[Payments11]]+budget_request1[[#This Row],[Charges11]]</f>
        <v>0</v>
      </c>
      <c r="AW26" s="35"/>
      <c r="AX26" s="36"/>
      <c r="AY26" s="37">
        <f>budget_request1[[#This Row],[Balance11]]-budget_request1[[#This Row],[Payments12]]+budget_request1[[#This Row],[Charges12]]</f>
        <v>0</v>
      </c>
      <c r="AZ26" s="30"/>
      <c r="BA26" s="96"/>
      <c r="BB26" s="38" t="s">
        <v>661</v>
      </c>
      <c r="BC26" s="39">
        <v>44982.885717592595</v>
      </c>
    </row>
    <row r="27" spans="2:55" x14ac:dyDescent="0.25">
      <c r="B27" s="30">
        <v>18</v>
      </c>
      <c r="C27" s="98">
        <v>19</v>
      </c>
      <c r="D27" s="98"/>
      <c r="E27" s="30" t="s">
        <v>450</v>
      </c>
      <c r="F27" s="40" t="s">
        <v>401</v>
      </c>
      <c r="G27" s="32" t="s">
        <v>450</v>
      </c>
      <c r="H27" s="32"/>
      <c r="I27" s="33"/>
      <c r="J27" s="34"/>
      <c r="K27" s="33"/>
      <c r="L27" s="44" t="s">
        <v>159</v>
      </c>
      <c r="M27" s="35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0</v>
      </c>
      <c r="N27" s="36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4800000</v>
      </c>
      <c r="O27" s="37"/>
      <c r="P27" s="35"/>
      <c r="Q27" s="36">
        <v>400000</v>
      </c>
      <c r="R27" s="37">
        <f>budget_request1[[#This Row],[Balance00]]-budget_request1[[#This Row],[Payments01]]+budget_request1[[#This Row],[Charges01]]</f>
        <v>400000</v>
      </c>
      <c r="S27" s="35"/>
      <c r="T27" s="36">
        <v>400000</v>
      </c>
      <c r="U27" s="37">
        <f>budget_request1[[#This Row],[Balance01]]-budget_request1[[#This Row],[Payments02]]+budget_request1[[#This Row],[Charges02]]</f>
        <v>800000</v>
      </c>
      <c r="V27" s="35"/>
      <c r="W27" s="36">
        <v>400000</v>
      </c>
      <c r="X27" s="37">
        <f>budget_request1[[#This Row],[Balance02]]-budget_request1[[#This Row],[Payments03]]+budget_request1[[#This Row],[Charges03]]</f>
        <v>1200000</v>
      </c>
      <c r="Y27" s="35"/>
      <c r="Z27" s="36">
        <v>400000</v>
      </c>
      <c r="AA27" s="37">
        <f>budget_request1[[#This Row],[Balance03]]-budget_request1[[#This Row],[Payments04]]+budget_request1[[#This Row],[Charges04]]</f>
        <v>1600000</v>
      </c>
      <c r="AB27" s="35"/>
      <c r="AC27" s="36">
        <v>400000</v>
      </c>
      <c r="AD27" s="37">
        <f>budget_request1[[#This Row],[Balance04]]-budget_request1[[#This Row],[Payments05]]+budget_request1[[#This Row],[Charges05]]</f>
        <v>2000000</v>
      </c>
      <c r="AE27" s="35"/>
      <c r="AF27" s="36">
        <v>400000</v>
      </c>
      <c r="AG27" s="37">
        <f>budget_request1[[#This Row],[Balance05]]-budget_request1[[#This Row],[Payments06]]+budget_request1[[#This Row],[Charges06]]</f>
        <v>2400000</v>
      </c>
      <c r="AH27" s="35"/>
      <c r="AI27" s="36">
        <v>400000</v>
      </c>
      <c r="AJ27" s="37">
        <f>budget_request1[[#This Row],[Balance06]]-budget_request1[[#This Row],[Payments07]]+budget_request1[[#This Row],[Charges07]]</f>
        <v>2800000</v>
      </c>
      <c r="AK27" s="35"/>
      <c r="AL27" s="36">
        <v>400000</v>
      </c>
      <c r="AM27" s="37">
        <f>budget_request1[[#This Row],[Balance07]]-budget_request1[[#This Row],[Payments08]]+budget_request1[[#This Row],[Charges08]]</f>
        <v>3200000</v>
      </c>
      <c r="AN27" s="35"/>
      <c r="AO27" s="36">
        <v>400000</v>
      </c>
      <c r="AP27" s="37">
        <f>budget_request1[[#This Row],[Balance08]]-budget_request1[[#This Row],[Payments09]]+budget_request1[[#This Row],[Charges09]]</f>
        <v>3600000</v>
      </c>
      <c r="AQ27" s="35"/>
      <c r="AR27" s="36">
        <v>400000</v>
      </c>
      <c r="AS27" s="37">
        <f>budget_request1[[#This Row],[Balance09]]-budget_request1[[#This Row],[Payments10]]+budget_request1[[#This Row],[Charges10]]</f>
        <v>4000000</v>
      </c>
      <c r="AT27" s="35"/>
      <c r="AU27" s="36">
        <v>400000</v>
      </c>
      <c r="AV27" s="37">
        <f>budget_request1[[#This Row],[Balance10]]-budget_request1[[#This Row],[Payments11]]+budget_request1[[#This Row],[Charges11]]</f>
        <v>4400000</v>
      </c>
      <c r="AW27" s="35"/>
      <c r="AX27" s="36">
        <v>400000</v>
      </c>
      <c r="AY27" s="37">
        <f>budget_request1[[#This Row],[Balance11]]-budget_request1[[#This Row],[Payments12]]+budget_request1[[#This Row],[Charges12]]</f>
        <v>4800000</v>
      </c>
      <c r="AZ27" s="30"/>
      <c r="BA27" s="96"/>
      <c r="BB27" s="38" t="s">
        <v>661</v>
      </c>
      <c r="BC27" s="39">
        <v>44982.885717592595</v>
      </c>
    </row>
    <row r="28" spans="2:55" x14ac:dyDescent="0.25">
      <c r="B28" s="30">
        <v>19</v>
      </c>
      <c r="C28" s="98">
        <v>20</v>
      </c>
      <c r="D28" s="98"/>
      <c r="E28" s="30" t="s">
        <v>451</v>
      </c>
      <c r="F28" s="40" t="s">
        <v>402</v>
      </c>
      <c r="G28" s="32" t="s">
        <v>451</v>
      </c>
      <c r="H28" s="32"/>
      <c r="I28" s="33"/>
      <c r="J28" s="34"/>
      <c r="K28" s="33"/>
      <c r="L28" s="44" t="s">
        <v>159</v>
      </c>
      <c r="M28" s="35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0</v>
      </c>
      <c r="N28" s="36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522120000</v>
      </c>
      <c r="O28" s="37"/>
      <c r="P28" s="35"/>
      <c r="Q28" s="36">
        <v>43600000</v>
      </c>
      <c r="R28" s="37">
        <f>budget_request1[[#This Row],[Balance00]]-budget_request1[[#This Row],[Payments01]]+budget_request1[[#This Row],[Charges01]]</f>
        <v>43600000</v>
      </c>
      <c r="S28" s="35"/>
      <c r="T28" s="36">
        <v>42800000</v>
      </c>
      <c r="U28" s="37">
        <f>budget_request1[[#This Row],[Balance01]]-budget_request1[[#This Row],[Payments02]]+budget_request1[[#This Row],[Charges02]]</f>
        <v>86400000</v>
      </c>
      <c r="V28" s="35"/>
      <c r="W28" s="36">
        <v>43600000</v>
      </c>
      <c r="X28" s="37">
        <f>budget_request1[[#This Row],[Balance02]]-budget_request1[[#This Row],[Payments03]]+budget_request1[[#This Row],[Charges03]]</f>
        <v>130000000</v>
      </c>
      <c r="Y28" s="35"/>
      <c r="Z28" s="36">
        <v>43200000</v>
      </c>
      <c r="AA28" s="37">
        <f>budget_request1[[#This Row],[Balance03]]-budget_request1[[#This Row],[Payments04]]+budget_request1[[#This Row],[Charges04]]</f>
        <v>173200000</v>
      </c>
      <c r="AB28" s="35"/>
      <c r="AC28" s="36">
        <v>43600000</v>
      </c>
      <c r="AD28" s="37">
        <f>budget_request1[[#This Row],[Balance04]]-budget_request1[[#This Row],[Payments05]]+budget_request1[[#This Row],[Charges05]]</f>
        <v>216800000</v>
      </c>
      <c r="AE28" s="35"/>
      <c r="AF28" s="36">
        <v>43200000</v>
      </c>
      <c r="AG28" s="37">
        <f>budget_request1[[#This Row],[Balance05]]-budget_request1[[#This Row],[Payments06]]+budget_request1[[#This Row],[Charges06]]</f>
        <v>260000000</v>
      </c>
      <c r="AH28" s="35"/>
      <c r="AI28" s="36">
        <v>43720000</v>
      </c>
      <c r="AJ28" s="37">
        <f>budget_request1[[#This Row],[Balance06]]-budget_request1[[#This Row],[Payments07]]+budget_request1[[#This Row],[Charges07]]</f>
        <v>303720000</v>
      </c>
      <c r="AK28" s="35"/>
      <c r="AL28" s="36">
        <v>43840000</v>
      </c>
      <c r="AM28" s="37">
        <f>budget_request1[[#This Row],[Balance07]]-budget_request1[[#This Row],[Payments08]]+budget_request1[[#This Row],[Charges08]]</f>
        <v>347560000</v>
      </c>
      <c r="AN28" s="35"/>
      <c r="AO28" s="36">
        <v>43440000</v>
      </c>
      <c r="AP28" s="37">
        <f>budget_request1[[#This Row],[Balance08]]-budget_request1[[#This Row],[Payments09]]+budget_request1[[#This Row],[Charges09]]</f>
        <v>391000000</v>
      </c>
      <c r="AQ28" s="35"/>
      <c r="AR28" s="36">
        <v>43840000</v>
      </c>
      <c r="AS28" s="37">
        <f>budget_request1[[#This Row],[Balance09]]-budget_request1[[#This Row],[Payments10]]+budget_request1[[#This Row],[Charges10]]</f>
        <v>434840000</v>
      </c>
      <c r="AT28" s="35"/>
      <c r="AU28" s="36">
        <v>43440000</v>
      </c>
      <c r="AV28" s="37">
        <f>budget_request1[[#This Row],[Balance10]]-budget_request1[[#This Row],[Payments11]]+budget_request1[[#This Row],[Charges11]]</f>
        <v>478280000</v>
      </c>
      <c r="AW28" s="35"/>
      <c r="AX28" s="36">
        <v>43840000</v>
      </c>
      <c r="AY28" s="37">
        <f>budget_request1[[#This Row],[Balance11]]-budget_request1[[#This Row],[Payments12]]+budget_request1[[#This Row],[Charges12]]</f>
        <v>522120000</v>
      </c>
      <c r="AZ28" s="30"/>
      <c r="BA28" s="96"/>
      <c r="BB28" s="38" t="s">
        <v>661</v>
      </c>
      <c r="BC28" s="39">
        <v>44982.885717592595</v>
      </c>
    </row>
    <row r="29" spans="2:55" x14ac:dyDescent="0.25">
      <c r="B29" s="30">
        <v>20</v>
      </c>
      <c r="C29" s="98">
        <v>21</v>
      </c>
      <c r="D29" s="98"/>
      <c r="E29" s="30" t="s">
        <v>452</v>
      </c>
      <c r="F29" s="40" t="s">
        <v>403</v>
      </c>
      <c r="G29" s="32" t="s">
        <v>9</v>
      </c>
      <c r="H29" s="32"/>
      <c r="I29" s="33"/>
      <c r="J29" s="34"/>
      <c r="K29" s="33"/>
      <c r="L29" s="44" t="s">
        <v>159</v>
      </c>
      <c r="M29" s="35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450700000</v>
      </c>
      <c r="N29" s="36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0</v>
      </c>
      <c r="O29" s="37"/>
      <c r="P29" s="35">
        <v>41600000</v>
      </c>
      <c r="Q29" s="36"/>
      <c r="R29" s="37">
        <f>budget_request1[[#This Row],[Balance00]]-budget_request1[[#This Row],[Payments01]]+budget_request1[[#This Row],[Charges01]]</f>
        <v>-41600000</v>
      </c>
      <c r="S29" s="35">
        <v>40000000</v>
      </c>
      <c r="T29" s="36"/>
      <c r="U29" s="37">
        <f>budget_request1[[#This Row],[Balance01]]-budget_request1[[#This Row],[Payments02]]+budget_request1[[#This Row],[Charges02]]</f>
        <v>-81600000</v>
      </c>
      <c r="V29" s="35">
        <v>40800000</v>
      </c>
      <c r="W29" s="36"/>
      <c r="X29" s="37">
        <f>budget_request1[[#This Row],[Balance02]]-budget_request1[[#This Row],[Payments03]]+budget_request1[[#This Row],[Charges03]]</f>
        <v>-122400000</v>
      </c>
      <c r="Y29" s="35">
        <v>40000000</v>
      </c>
      <c r="Z29" s="36"/>
      <c r="AA29" s="37">
        <f>budget_request1[[#This Row],[Balance03]]-budget_request1[[#This Row],[Payments04]]+budget_request1[[#This Row],[Charges04]]</f>
        <v>-162400000</v>
      </c>
      <c r="AB29" s="35">
        <v>40400000</v>
      </c>
      <c r="AC29" s="36"/>
      <c r="AD29" s="37">
        <f>budget_request1[[#This Row],[Balance04]]-budget_request1[[#This Row],[Payments05]]+budget_request1[[#This Row],[Charges05]]</f>
        <v>-202800000</v>
      </c>
      <c r="AE29" s="35">
        <v>40000000</v>
      </c>
      <c r="AF29" s="36"/>
      <c r="AG29" s="37">
        <f>budget_request1[[#This Row],[Balance05]]-budget_request1[[#This Row],[Payments06]]+budget_request1[[#This Row],[Charges06]]</f>
        <v>-242800000</v>
      </c>
      <c r="AH29" s="35">
        <v>40400000</v>
      </c>
      <c r="AI29" s="36"/>
      <c r="AJ29" s="37">
        <f>budget_request1[[#This Row],[Balance06]]-budget_request1[[#This Row],[Payments07]]+budget_request1[[#This Row],[Charges07]]</f>
        <v>-283200000</v>
      </c>
      <c r="AK29" s="35">
        <v>40300000</v>
      </c>
      <c r="AL29" s="36"/>
      <c r="AM29" s="37">
        <f>budget_request1[[#This Row],[Balance07]]-budget_request1[[#This Row],[Payments08]]+budget_request1[[#This Row],[Charges08]]</f>
        <v>-323500000</v>
      </c>
      <c r="AN29" s="35">
        <v>22600000</v>
      </c>
      <c r="AO29" s="36"/>
      <c r="AP29" s="37">
        <f>budget_request1[[#This Row],[Balance08]]-budget_request1[[#This Row],[Payments09]]+budget_request1[[#This Row],[Charges09]]</f>
        <v>-346100000</v>
      </c>
      <c r="AQ29" s="35">
        <v>23000000</v>
      </c>
      <c r="AR29" s="36"/>
      <c r="AS29" s="37">
        <f>budget_request1[[#This Row],[Balance09]]-budget_request1[[#This Row],[Payments10]]+budget_request1[[#This Row],[Charges10]]</f>
        <v>-369100000</v>
      </c>
      <c r="AT29" s="35">
        <v>40600000</v>
      </c>
      <c r="AU29" s="36"/>
      <c r="AV29" s="37">
        <f>budget_request1[[#This Row],[Balance10]]-budget_request1[[#This Row],[Payments11]]+budget_request1[[#This Row],[Charges11]]</f>
        <v>-409700000</v>
      </c>
      <c r="AW29" s="35">
        <v>41000000</v>
      </c>
      <c r="AX29" s="36"/>
      <c r="AY29" s="37">
        <f>budget_request1[[#This Row],[Balance11]]-budget_request1[[#This Row],[Payments12]]+budget_request1[[#This Row],[Charges12]]</f>
        <v>-450700000</v>
      </c>
      <c r="AZ29" s="30"/>
      <c r="BA29" s="96"/>
      <c r="BB29" s="38" t="s">
        <v>661</v>
      </c>
      <c r="BC29" s="39">
        <v>44982.885717592595</v>
      </c>
    </row>
    <row r="30" spans="2:55" x14ac:dyDescent="0.25">
      <c r="B30" s="30">
        <v>21</v>
      </c>
      <c r="C30" s="98">
        <v>22</v>
      </c>
      <c r="D30" s="98"/>
      <c r="E30" s="30"/>
      <c r="F30" s="31"/>
      <c r="G30" s="32"/>
      <c r="H30" s="32"/>
      <c r="I30" s="33"/>
      <c r="J30" s="34"/>
      <c r="K30" s="33"/>
      <c r="L30" s="30"/>
      <c r="M30" s="35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0</v>
      </c>
      <c r="N30" s="36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0</v>
      </c>
      <c r="O30" s="37"/>
      <c r="P30" s="35"/>
      <c r="Q30" s="36"/>
      <c r="R30" s="37">
        <f>budget_request1[[#This Row],[Balance00]]-budget_request1[[#This Row],[Payments01]]+budget_request1[[#This Row],[Charges01]]</f>
        <v>0</v>
      </c>
      <c r="S30" s="35"/>
      <c r="T30" s="36"/>
      <c r="U30" s="37">
        <f>budget_request1[[#This Row],[Balance01]]-budget_request1[[#This Row],[Payments02]]+budget_request1[[#This Row],[Charges02]]</f>
        <v>0</v>
      </c>
      <c r="V30" s="35"/>
      <c r="W30" s="36"/>
      <c r="X30" s="37">
        <f>budget_request1[[#This Row],[Balance02]]-budget_request1[[#This Row],[Payments03]]+budget_request1[[#This Row],[Charges03]]</f>
        <v>0</v>
      </c>
      <c r="Y30" s="35"/>
      <c r="Z30" s="36"/>
      <c r="AA30" s="37">
        <f>budget_request1[[#This Row],[Balance03]]-budget_request1[[#This Row],[Payments04]]+budget_request1[[#This Row],[Charges04]]</f>
        <v>0</v>
      </c>
      <c r="AB30" s="35"/>
      <c r="AC30" s="36"/>
      <c r="AD30" s="37">
        <f>budget_request1[[#This Row],[Balance04]]-budget_request1[[#This Row],[Payments05]]+budget_request1[[#This Row],[Charges05]]</f>
        <v>0</v>
      </c>
      <c r="AE30" s="35"/>
      <c r="AF30" s="36"/>
      <c r="AG30" s="37">
        <f>budget_request1[[#This Row],[Balance05]]-budget_request1[[#This Row],[Payments06]]+budget_request1[[#This Row],[Charges06]]</f>
        <v>0</v>
      </c>
      <c r="AH30" s="35"/>
      <c r="AI30" s="36"/>
      <c r="AJ30" s="37">
        <f>budget_request1[[#This Row],[Balance06]]-budget_request1[[#This Row],[Payments07]]+budget_request1[[#This Row],[Charges07]]</f>
        <v>0</v>
      </c>
      <c r="AK30" s="35"/>
      <c r="AL30" s="36"/>
      <c r="AM30" s="37">
        <f>budget_request1[[#This Row],[Balance07]]-budget_request1[[#This Row],[Payments08]]+budget_request1[[#This Row],[Charges08]]</f>
        <v>0</v>
      </c>
      <c r="AN30" s="35"/>
      <c r="AO30" s="36"/>
      <c r="AP30" s="37">
        <f>budget_request1[[#This Row],[Balance08]]-budget_request1[[#This Row],[Payments09]]+budget_request1[[#This Row],[Charges09]]</f>
        <v>0</v>
      </c>
      <c r="AQ30" s="35"/>
      <c r="AR30" s="36"/>
      <c r="AS30" s="37">
        <f>budget_request1[[#This Row],[Balance09]]-budget_request1[[#This Row],[Payments10]]+budget_request1[[#This Row],[Charges10]]</f>
        <v>0</v>
      </c>
      <c r="AT30" s="35"/>
      <c r="AU30" s="36"/>
      <c r="AV30" s="37">
        <f>budget_request1[[#This Row],[Balance10]]-budget_request1[[#This Row],[Payments11]]+budget_request1[[#This Row],[Charges11]]</f>
        <v>0</v>
      </c>
      <c r="AW30" s="35"/>
      <c r="AX30" s="36"/>
      <c r="AY30" s="37">
        <f>budget_request1[[#This Row],[Balance11]]-budget_request1[[#This Row],[Payments12]]+budget_request1[[#This Row],[Charges12]]</f>
        <v>0</v>
      </c>
      <c r="AZ30" s="30"/>
      <c r="BA30" s="96"/>
      <c r="BB30" s="38" t="s">
        <v>661</v>
      </c>
      <c r="BC30" s="39">
        <v>44982.885717592595</v>
      </c>
    </row>
    <row r="31" spans="2:55" x14ac:dyDescent="0.25">
      <c r="B31" s="30">
        <v>22</v>
      </c>
      <c r="C31" s="98">
        <v>23</v>
      </c>
      <c r="D31" s="98"/>
      <c r="E31" s="30" t="s">
        <v>453</v>
      </c>
      <c r="F31" s="31"/>
      <c r="G31" s="32"/>
      <c r="H31" s="32"/>
      <c r="I31" s="33"/>
      <c r="J31" s="34"/>
      <c r="K31" s="33"/>
      <c r="L31" s="30"/>
      <c r="M31" s="35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0</v>
      </c>
      <c r="N31" s="36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1151302500</v>
      </c>
      <c r="O31" s="37"/>
      <c r="P31" s="35"/>
      <c r="Q31" s="36">
        <v>90400000</v>
      </c>
      <c r="R31" s="37">
        <f>budget_request1[[#This Row],[Balance00]]-budget_request1[[#This Row],[Payments01]]+budget_request1[[#This Row],[Charges01]]</f>
        <v>90400000</v>
      </c>
      <c r="S31" s="35"/>
      <c r="T31" s="36">
        <v>95150000</v>
      </c>
      <c r="U31" s="37">
        <f>budget_request1[[#This Row],[Balance01]]-budget_request1[[#This Row],[Payments02]]+budget_request1[[#This Row],[Charges02]]</f>
        <v>185550000</v>
      </c>
      <c r="V31" s="35"/>
      <c r="W31" s="36">
        <v>91900000</v>
      </c>
      <c r="X31" s="37">
        <f>budget_request1[[#This Row],[Balance02]]-budget_request1[[#This Row],[Payments03]]+budget_request1[[#This Row],[Charges03]]</f>
        <v>277450000</v>
      </c>
      <c r="Y31" s="35"/>
      <c r="Z31" s="36">
        <v>94650000</v>
      </c>
      <c r="AA31" s="37">
        <f>budget_request1[[#This Row],[Balance03]]-budget_request1[[#This Row],[Payments04]]+budget_request1[[#This Row],[Charges04]]</f>
        <v>372100000</v>
      </c>
      <c r="AB31" s="35"/>
      <c r="AC31" s="36">
        <v>93400000</v>
      </c>
      <c r="AD31" s="37">
        <f>budget_request1[[#This Row],[Balance04]]-budget_request1[[#This Row],[Payments05]]+budget_request1[[#This Row],[Charges05]]</f>
        <v>465500000</v>
      </c>
      <c r="AE31" s="35"/>
      <c r="AF31" s="36">
        <v>96150000</v>
      </c>
      <c r="AG31" s="37">
        <f>budget_request1[[#This Row],[Balance05]]-budget_request1[[#This Row],[Payments06]]+budget_request1[[#This Row],[Charges06]]</f>
        <v>561650000</v>
      </c>
      <c r="AH31" s="35"/>
      <c r="AI31" s="36">
        <v>94930000</v>
      </c>
      <c r="AJ31" s="37">
        <f>budget_request1[[#This Row],[Balance06]]-budget_request1[[#This Row],[Payments07]]+budget_request1[[#This Row],[Charges07]]</f>
        <v>656580000</v>
      </c>
      <c r="AK31" s="35"/>
      <c r="AL31" s="36">
        <v>96827500</v>
      </c>
      <c r="AM31" s="37">
        <f>budget_request1[[#This Row],[Balance07]]-budget_request1[[#This Row],[Payments08]]+budget_request1[[#This Row],[Charges08]]</f>
        <v>753407500</v>
      </c>
      <c r="AN31" s="35"/>
      <c r="AO31" s="36">
        <v>99225000</v>
      </c>
      <c r="AP31" s="37">
        <f>budget_request1[[#This Row],[Balance08]]-budget_request1[[#This Row],[Payments09]]+budget_request1[[#This Row],[Charges09]]</f>
        <v>852632500</v>
      </c>
      <c r="AQ31" s="35"/>
      <c r="AR31" s="36">
        <v>98117500</v>
      </c>
      <c r="AS31" s="37">
        <f>budget_request1[[#This Row],[Balance09]]-budget_request1[[#This Row],[Payments10]]+budget_request1[[#This Row],[Charges10]]</f>
        <v>950750000</v>
      </c>
      <c r="AT31" s="35"/>
      <c r="AU31" s="36">
        <v>100890000</v>
      </c>
      <c r="AV31" s="37">
        <f>budget_request1[[#This Row],[Balance10]]-budget_request1[[#This Row],[Payments11]]+budget_request1[[#This Row],[Charges11]]</f>
        <v>1051640000</v>
      </c>
      <c r="AW31" s="35"/>
      <c r="AX31" s="36">
        <v>99662500</v>
      </c>
      <c r="AY31" s="37">
        <f>budget_request1[[#This Row],[Balance11]]-budget_request1[[#This Row],[Payments12]]+budget_request1[[#This Row],[Charges12]]</f>
        <v>1151302500</v>
      </c>
      <c r="AZ31" s="30"/>
      <c r="BA31" s="96"/>
      <c r="BB31" s="38" t="s">
        <v>661</v>
      </c>
      <c r="BC31" s="39">
        <v>44982.885717592595</v>
      </c>
    </row>
    <row r="32" spans="2:55" x14ac:dyDescent="0.25">
      <c r="B32" s="30">
        <v>23</v>
      </c>
      <c r="C32" s="98">
        <v>24</v>
      </c>
      <c r="D32" s="98"/>
      <c r="E32" s="30" t="s">
        <v>454</v>
      </c>
      <c r="F32" s="40" t="s">
        <v>404</v>
      </c>
      <c r="G32" s="32" t="s">
        <v>454</v>
      </c>
      <c r="H32" s="32"/>
      <c r="I32" s="33"/>
      <c r="J32" s="34"/>
      <c r="K32" s="33"/>
      <c r="L32" s="44" t="s">
        <v>159</v>
      </c>
      <c r="M32" s="35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228328000</v>
      </c>
      <c r="N32" s="36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230260500</v>
      </c>
      <c r="O32" s="37">
        <v>18000000</v>
      </c>
      <c r="P32" s="35">
        <f>budget_request1[[#This Row],[Balance00]]</f>
        <v>18000000</v>
      </c>
      <c r="Q32" s="36">
        <f>Q31*0.2</f>
        <v>18080000</v>
      </c>
      <c r="R32" s="37">
        <f>budget_request1[[#This Row],[Balance00]]-budget_request1[[#This Row],[Payments01]]+budget_request1[[#This Row],[Charges01]]</f>
        <v>18080000</v>
      </c>
      <c r="S32" s="35">
        <f>budget_request1[[#This Row],[Charges01]]</f>
        <v>18080000</v>
      </c>
      <c r="T32" s="36">
        <f>T31*0.2</f>
        <v>19030000</v>
      </c>
      <c r="U32" s="37">
        <f>budget_request1[[#This Row],[Balance01]]-budget_request1[[#This Row],[Payments02]]+budget_request1[[#This Row],[Charges02]]</f>
        <v>19030000</v>
      </c>
      <c r="V32" s="35">
        <f>budget_request1[[#This Row],[Charges02]]</f>
        <v>19030000</v>
      </c>
      <c r="W32" s="36">
        <f>W31*0.2</f>
        <v>18380000</v>
      </c>
      <c r="X32" s="37">
        <f>budget_request1[[#This Row],[Balance02]]-budget_request1[[#This Row],[Payments03]]+budget_request1[[#This Row],[Charges03]]</f>
        <v>18380000</v>
      </c>
      <c r="Y32" s="35">
        <f>budget_request1[[#This Row],[Charges03]]</f>
        <v>18380000</v>
      </c>
      <c r="Z32" s="36">
        <f>Z31*0.2</f>
        <v>18930000</v>
      </c>
      <c r="AA32" s="37">
        <f>budget_request1[[#This Row],[Balance03]]-budget_request1[[#This Row],[Payments04]]+budget_request1[[#This Row],[Charges04]]</f>
        <v>18930000</v>
      </c>
      <c r="AB32" s="35">
        <f>budget_request1[[#This Row],[Charges04]]</f>
        <v>18930000</v>
      </c>
      <c r="AC32" s="36">
        <f>AC31*0.2</f>
        <v>18680000</v>
      </c>
      <c r="AD32" s="37">
        <f>budget_request1[[#This Row],[Balance04]]-budget_request1[[#This Row],[Payments05]]+budget_request1[[#This Row],[Charges05]]</f>
        <v>18680000</v>
      </c>
      <c r="AE32" s="35">
        <f>budget_request1[[#This Row],[Charges05]]</f>
        <v>18680000</v>
      </c>
      <c r="AF32" s="36">
        <f>AF31*0.2</f>
        <v>19230000</v>
      </c>
      <c r="AG32" s="37">
        <f>budget_request1[[#This Row],[Balance05]]-budget_request1[[#This Row],[Payments06]]+budget_request1[[#This Row],[Charges06]]</f>
        <v>19230000</v>
      </c>
      <c r="AH32" s="35">
        <f>budget_request1[[#This Row],[Charges06]]</f>
        <v>19230000</v>
      </c>
      <c r="AI32" s="36">
        <f>AI31*0.2</f>
        <v>18986000</v>
      </c>
      <c r="AJ32" s="37">
        <f>budget_request1[[#This Row],[Balance06]]-budget_request1[[#This Row],[Payments07]]+budget_request1[[#This Row],[Charges07]]</f>
        <v>18986000</v>
      </c>
      <c r="AK32" s="35">
        <f>budget_request1[[#This Row],[Charges07]]</f>
        <v>18986000</v>
      </c>
      <c r="AL32" s="36">
        <f>AL31*0.2</f>
        <v>19365500</v>
      </c>
      <c r="AM32" s="37">
        <f>budget_request1[[#This Row],[Balance07]]-budget_request1[[#This Row],[Payments08]]+budget_request1[[#This Row],[Charges08]]</f>
        <v>19365500</v>
      </c>
      <c r="AN32" s="35">
        <f>budget_request1[[#This Row],[Charges08]]</f>
        <v>19365500</v>
      </c>
      <c r="AO32" s="36">
        <f>AO31*0.2</f>
        <v>19845000</v>
      </c>
      <c r="AP32" s="37">
        <f>budget_request1[[#This Row],[Balance08]]-budget_request1[[#This Row],[Payments09]]+budget_request1[[#This Row],[Charges09]]</f>
        <v>19845000</v>
      </c>
      <c r="AQ32" s="35">
        <f>budget_request1[[#This Row],[Charges09]]</f>
        <v>19845000</v>
      </c>
      <c r="AR32" s="36">
        <f>AR31*0.2</f>
        <v>19623500</v>
      </c>
      <c r="AS32" s="37">
        <f>budget_request1[[#This Row],[Balance09]]-budget_request1[[#This Row],[Payments10]]+budget_request1[[#This Row],[Charges10]]</f>
        <v>19623500</v>
      </c>
      <c r="AT32" s="35">
        <f>budget_request1[[#This Row],[Charges10]]</f>
        <v>19623500</v>
      </c>
      <c r="AU32" s="36">
        <f>AU31*0.2</f>
        <v>20178000</v>
      </c>
      <c r="AV32" s="37">
        <f>budget_request1[[#This Row],[Balance10]]-budget_request1[[#This Row],[Payments11]]+budget_request1[[#This Row],[Charges11]]</f>
        <v>20178000</v>
      </c>
      <c r="AW32" s="35">
        <f>budget_request1[[#This Row],[Charges11]]</f>
        <v>20178000</v>
      </c>
      <c r="AX32" s="36">
        <f>AX31*0.2</f>
        <v>19932500</v>
      </c>
      <c r="AY32" s="37">
        <f>budget_request1[[#This Row],[Balance11]]-budget_request1[[#This Row],[Payments12]]+budget_request1[[#This Row],[Charges12]]</f>
        <v>19932500</v>
      </c>
      <c r="AZ32" s="30" t="s">
        <v>455</v>
      </c>
      <c r="BA32" s="96"/>
      <c r="BB32" s="38" t="s">
        <v>661</v>
      </c>
      <c r="BC32" s="39">
        <v>44982.885717592595</v>
      </c>
    </row>
    <row r="33" spans="2:55" x14ac:dyDescent="0.25">
      <c r="B33" s="30">
        <v>24</v>
      </c>
      <c r="C33" s="98">
        <v>25</v>
      </c>
      <c r="D33" s="98"/>
      <c r="E33" s="30" t="s">
        <v>456</v>
      </c>
      <c r="F33" s="40" t="s">
        <v>406</v>
      </c>
      <c r="G33" s="32" t="s">
        <v>456</v>
      </c>
      <c r="H33" s="32"/>
      <c r="I33" s="33"/>
      <c r="J33" s="34"/>
      <c r="K33" s="33"/>
      <c r="L33" s="44" t="s">
        <v>159</v>
      </c>
      <c r="M33" s="35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100000000</v>
      </c>
      <c r="N33" s="36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100000000</v>
      </c>
      <c r="O33" s="37"/>
      <c r="P33" s="35"/>
      <c r="Q33" s="36"/>
      <c r="R33" s="37">
        <f>budget_request1[[#This Row],[Balance00]]-budget_request1[[#This Row],[Payments01]]+budget_request1[[#This Row],[Charges01]]</f>
        <v>0</v>
      </c>
      <c r="S33" s="35"/>
      <c r="T33" s="36"/>
      <c r="U33" s="37">
        <f>budget_request1[[#This Row],[Balance01]]-budget_request1[[#This Row],[Payments02]]+budget_request1[[#This Row],[Charges02]]</f>
        <v>0</v>
      </c>
      <c r="V33" s="35">
        <f>budget_request1[[#This Row],[Charges03]]</f>
        <v>100000000</v>
      </c>
      <c r="W33" s="36">
        <v>100000000</v>
      </c>
      <c r="X33" s="37">
        <f>budget_request1[[#This Row],[Balance02]]-budget_request1[[#This Row],[Payments03]]+budget_request1[[#This Row],[Charges03]]</f>
        <v>0</v>
      </c>
      <c r="Y33" s="35"/>
      <c r="Z33" s="36"/>
      <c r="AA33" s="37">
        <f>budget_request1[[#This Row],[Balance03]]-budget_request1[[#This Row],[Payments04]]+budget_request1[[#This Row],[Charges04]]</f>
        <v>0</v>
      </c>
      <c r="AB33" s="35"/>
      <c r="AC33" s="36"/>
      <c r="AD33" s="37">
        <f>budget_request1[[#This Row],[Balance04]]-budget_request1[[#This Row],[Payments05]]+budget_request1[[#This Row],[Charges05]]</f>
        <v>0</v>
      </c>
      <c r="AE33" s="35"/>
      <c r="AF33" s="36"/>
      <c r="AG33" s="37">
        <f>budget_request1[[#This Row],[Balance05]]-budget_request1[[#This Row],[Payments06]]+budget_request1[[#This Row],[Charges06]]</f>
        <v>0</v>
      </c>
      <c r="AH33" s="35"/>
      <c r="AI33" s="36"/>
      <c r="AJ33" s="37">
        <f>budget_request1[[#This Row],[Balance06]]-budget_request1[[#This Row],[Payments07]]+budget_request1[[#This Row],[Charges07]]</f>
        <v>0</v>
      </c>
      <c r="AK33" s="35"/>
      <c r="AL33" s="36"/>
      <c r="AM33" s="37">
        <f>budget_request1[[#This Row],[Balance07]]-budget_request1[[#This Row],[Payments08]]+budget_request1[[#This Row],[Charges08]]</f>
        <v>0</v>
      </c>
      <c r="AN33" s="35"/>
      <c r="AO33" s="36"/>
      <c r="AP33" s="37">
        <f>budget_request1[[#This Row],[Balance08]]-budget_request1[[#This Row],[Payments09]]+budget_request1[[#This Row],[Charges09]]</f>
        <v>0</v>
      </c>
      <c r="AQ33" s="35"/>
      <c r="AR33" s="36"/>
      <c r="AS33" s="37">
        <f>budget_request1[[#This Row],[Balance09]]-budget_request1[[#This Row],[Payments10]]+budget_request1[[#This Row],[Charges10]]</f>
        <v>0</v>
      </c>
      <c r="AT33" s="35"/>
      <c r="AU33" s="36"/>
      <c r="AV33" s="37">
        <f>budget_request1[[#This Row],[Balance10]]-budget_request1[[#This Row],[Payments11]]+budget_request1[[#This Row],[Charges11]]</f>
        <v>0</v>
      </c>
      <c r="AW33" s="35"/>
      <c r="AX33" s="36"/>
      <c r="AY33" s="37">
        <f>budget_request1[[#This Row],[Balance11]]-budget_request1[[#This Row],[Payments12]]+budget_request1[[#This Row],[Charges12]]</f>
        <v>0</v>
      </c>
      <c r="AZ33" s="30" t="s">
        <v>457</v>
      </c>
      <c r="BA33" s="96"/>
      <c r="BB33" s="38" t="s">
        <v>661</v>
      </c>
      <c r="BC33" s="39">
        <v>44982.885717592595</v>
      </c>
    </row>
    <row r="34" spans="2:55" ht="15.75" thickBot="1" x14ac:dyDescent="0.3">
      <c r="B34" s="45">
        <v>25</v>
      </c>
      <c r="C34" s="99">
        <v>26</v>
      </c>
      <c r="D34" s="99"/>
      <c r="E34" s="45"/>
      <c r="F34" s="46"/>
      <c r="G34" s="47"/>
      <c r="H34" s="47"/>
      <c r="I34" s="48"/>
      <c r="J34" s="49"/>
      <c r="K34" s="48"/>
      <c r="L34" s="45"/>
      <c r="M34" s="50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0</v>
      </c>
      <c r="N34" s="51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0</v>
      </c>
      <c r="O34" s="52"/>
      <c r="P34" s="50"/>
      <c r="Q34" s="51"/>
      <c r="R34" s="52">
        <f>budget_request1[[#This Row],[Balance00]]-budget_request1[[#This Row],[Payments01]]+budget_request1[[#This Row],[Charges01]]</f>
        <v>0</v>
      </c>
      <c r="S34" s="50"/>
      <c r="T34" s="51"/>
      <c r="U34" s="52">
        <f>budget_request1[[#This Row],[Balance01]]-budget_request1[[#This Row],[Payments02]]+budget_request1[[#This Row],[Charges02]]</f>
        <v>0</v>
      </c>
      <c r="V34" s="50"/>
      <c r="W34" s="51"/>
      <c r="X34" s="52">
        <f>budget_request1[[#This Row],[Balance02]]-budget_request1[[#This Row],[Payments03]]+budget_request1[[#This Row],[Charges03]]</f>
        <v>0</v>
      </c>
      <c r="Y34" s="50"/>
      <c r="Z34" s="51"/>
      <c r="AA34" s="52">
        <f>budget_request1[[#This Row],[Balance03]]-budget_request1[[#This Row],[Payments04]]+budget_request1[[#This Row],[Charges04]]</f>
        <v>0</v>
      </c>
      <c r="AB34" s="50"/>
      <c r="AC34" s="51"/>
      <c r="AD34" s="52">
        <f>budget_request1[[#This Row],[Balance04]]-budget_request1[[#This Row],[Payments05]]+budget_request1[[#This Row],[Charges05]]</f>
        <v>0</v>
      </c>
      <c r="AE34" s="50"/>
      <c r="AF34" s="51"/>
      <c r="AG34" s="52">
        <f>budget_request1[[#This Row],[Balance05]]-budget_request1[[#This Row],[Payments06]]+budget_request1[[#This Row],[Charges06]]</f>
        <v>0</v>
      </c>
      <c r="AH34" s="50"/>
      <c r="AI34" s="51"/>
      <c r="AJ34" s="52">
        <f>budget_request1[[#This Row],[Balance06]]-budget_request1[[#This Row],[Payments07]]+budget_request1[[#This Row],[Charges07]]</f>
        <v>0</v>
      </c>
      <c r="AK34" s="50"/>
      <c r="AL34" s="51"/>
      <c r="AM34" s="52">
        <f>budget_request1[[#This Row],[Balance07]]-budget_request1[[#This Row],[Payments08]]+budget_request1[[#This Row],[Charges08]]</f>
        <v>0</v>
      </c>
      <c r="AN34" s="50"/>
      <c r="AO34" s="51"/>
      <c r="AP34" s="52">
        <f>budget_request1[[#This Row],[Balance08]]-budget_request1[[#This Row],[Payments09]]+budget_request1[[#This Row],[Charges09]]</f>
        <v>0</v>
      </c>
      <c r="AQ34" s="50"/>
      <c r="AR34" s="51"/>
      <c r="AS34" s="52">
        <f>budget_request1[[#This Row],[Balance09]]-budget_request1[[#This Row],[Payments10]]+budget_request1[[#This Row],[Charges10]]</f>
        <v>0</v>
      </c>
      <c r="AT34" s="50"/>
      <c r="AU34" s="51"/>
      <c r="AV34" s="52">
        <f>budget_request1[[#This Row],[Balance10]]-budget_request1[[#This Row],[Payments11]]+budget_request1[[#This Row],[Charges11]]</f>
        <v>0</v>
      </c>
      <c r="AW34" s="50"/>
      <c r="AX34" s="51"/>
      <c r="AY34" s="52">
        <f>budget_request1[[#This Row],[Balance11]]-budget_request1[[#This Row],[Payments12]]+budget_request1[[#This Row],[Charges12]]</f>
        <v>0</v>
      </c>
      <c r="AZ34" s="45"/>
      <c r="BA34" s="96"/>
      <c r="BB34" s="53"/>
      <c r="BC34" s="54"/>
    </row>
    <row r="35" spans="2:55" x14ac:dyDescent="0.25">
      <c r="B35" s="55"/>
      <c r="C35" s="55"/>
      <c r="D35" s="56"/>
      <c r="E35" s="57" t="s">
        <v>163</v>
      </c>
      <c r="F35" s="58"/>
      <c r="G35" s="58"/>
      <c r="H35" s="58"/>
      <c r="I35" s="58"/>
      <c r="J35" s="58"/>
      <c r="K35" s="59"/>
      <c r="L35" s="60" t="s">
        <v>159</v>
      </c>
      <c r="M35" s="61">
        <f>SUMIF(budget_request1[Unit],$L35,budget_request1[Total Payments])</f>
        <v>3100413000</v>
      </c>
      <c r="N35" s="62">
        <f>SUMIF(budget_request1[Unit],$L35,budget_request1[Total Charges])</f>
        <v>2043178000</v>
      </c>
      <c r="O35" s="63">
        <f>SUMIF(budget_request1[Unit],$L35,budget_request1[Balance00])</f>
        <v>4854750000</v>
      </c>
      <c r="P35" s="61">
        <f>SUMIF(budget_request1[Unit],$L35,budget_request1[Payments01])</f>
        <v>216350000</v>
      </c>
      <c r="Q35" s="62">
        <f>SUMIF(budget_request1[Unit],$L35,budget_request1[Charges01])</f>
        <v>143080000</v>
      </c>
      <c r="R35" s="63">
        <f>SUMIF(budget_request1[Unit],$L35,budget_request1[Balance01])</f>
        <v>4781480000</v>
      </c>
      <c r="S35" s="61">
        <f>SUMIF(budget_request1[Unit],$L35,budget_request1[Payments02])</f>
        <v>214080000</v>
      </c>
      <c r="T35" s="62">
        <f>SUMIF(budget_request1[Unit],$L35,budget_request1[Charges02])</f>
        <v>142480000</v>
      </c>
      <c r="U35" s="63">
        <f>SUMIF(budget_request1[Unit],$L35,budget_request1[Balance02])</f>
        <v>4709880000</v>
      </c>
      <c r="V35" s="61">
        <f>SUMIF(budget_request1[Unit],$L35,budget_request1[Payments03])</f>
        <v>315080000</v>
      </c>
      <c r="W35" s="62">
        <f>SUMIF(budget_request1[Unit],$L35,budget_request1[Charges03])</f>
        <v>241880000</v>
      </c>
      <c r="X35" s="63">
        <f>SUMIF(budget_request1[Unit],$L35,budget_request1[Balance03])</f>
        <v>4636680000</v>
      </c>
      <c r="Y35" s="61">
        <f>SUMIF(budget_request1[Unit],$L35,budget_request1[Payments04])</f>
        <v>212880000</v>
      </c>
      <c r="Z35" s="62">
        <f>SUMIF(budget_request1[Unit],$L35,budget_request1[Charges04])</f>
        <v>141280000</v>
      </c>
      <c r="AA35" s="63">
        <f>SUMIF(budget_request1[Unit],$L35,budget_request1[Balance04])</f>
        <v>4565080000</v>
      </c>
      <c r="AB35" s="61">
        <f>SUMIF(budget_request1[Unit],$L35,budget_request1[Payments05])</f>
        <v>213080000</v>
      </c>
      <c r="AC35" s="62">
        <f>SUMIF(budget_request1[Unit],$L35,budget_request1[Charges05])</f>
        <v>140680000</v>
      </c>
      <c r="AD35" s="63">
        <f>SUMIF(budget_request1[Unit],$L35,budget_request1[Balance05])</f>
        <v>4492680000</v>
      </c>
      <c r="AE35" s="61">
        <f>SUMIF(budget_request1[Unit],$L35,budget_request1[Payments06])</f>
        <v>211680000</v>
      </c>
      <c r="AF35" s="62">
        <f>SUMIF(budget_request1[Unit],$L35,budget_request1[Charges06])</f>
        <v>140080000</v>
      </c>
      <c r="AG35" s="63">
        <f>SUMIF(budget_request1[Unit],$L35,budget_request1[Balance06])</f>
        <v>4421080000</v>
      </c>
      <c r="AH35" s="61">
        <f>SUMIF(budget_request1[Unit],$L35,budget_request1[Payments07])</f>
        <v>643880000</v>
      </c>
      <c r="AI35" s="62">
        <f>SUMIF(budget_request1[Unit],$L35,budget_request1[Charges07])</f>
        <v>249076000</v>
      </c>
      <c r="AJ35" s="63">
        <f>SUMIF(budget_request1[Unit],$L35,budget_request1[Balance07])</f>
        <v>4026276000</v>
      </c>
      <c r="AK35" s="61">
        <f>SUMIF(budget_request1[Unit],$L35,budget_request1[Payments08])</f>
        <v>215136000</v>
      </c>
      <c r="AL35" s="62">
        <f>SUMIF(budget_request1[Unit],$L35,budget_request1[Charges08])</f>
        <v>267178000</v>
      </c>
      <c r="AM35" s="63">
        <f>SUMIF(budget_request1[Unit],$L35,budget_request1[Balance08])</f>
        <v>4078318000</v>
      </c>
      <c r="AN35" s="61">
        <f>SUMIF(budget_request1[Unit],$L35,budget_request1[Payments09])</f>
        <v>233403000</v>
      </c>
      <c r="AO35" s="62">
        <f>SUMIF(budget_request1[Unit],$L35,budget_request1[Charges09])</f>
        <v>158860000</v>
      </c>
      <c r="AP35" s="63">
        <f>SUMIF(budget_request1[Unit],$L35,budget_request1[Balance09])</f>
        <v>4003775000</v>
      </c>
      <c r="AQ35" s="61">
        <f>SUMIF(budget_request1[Unit],$L35,budget_request1[Payments10])</f>
        <v>197150000</v>
      </c>
      <c r="AR35" s="62">
        <f>SUMIF(budget_request1[Unit],$L35,budget_request1[Charges10])</f>
        <v>140146000</v>
      </c>
      <c r="AS35" s="63">
        <f>SUMIF(budget_request1[Unit],$L35,budget_request1[Balance10])</f>
        <v>3946771000</v>
      </c>
      <c r="AT35" s="61">
        <f>SUMIF(budget_request1[Unit],$L35,budget_request1[Payments11])</f>
        <v>213756000</v>
      </c>
      <c r="AU35" s="62">
        <f>SUMIF(budget_request1[Unit],$L35,budget_request1[Charges11])</f>
        <v>139528000</v>
      </c>
      <c r="AV35" s="63">
        <f>SUMIF(budget_request1[Unit],$L35,budget_request1[Balance11])</f>
        <v>3872543000</v>
      </c>
      <c r="AW35" s="61">
        <f>SUMIF(budget_request1[Unit],$L35,budget_request1[Payments12])</f>
        <v>213938000</v>
      </c>
      <c r="AX35" s="62">
        <f>SUMIF(budget_request1[Unit],$L35,budget_request1[Charges12])</f>
        <v>138910000</v>
      </c>
      <c r="AY35" s="63">
        <f>SUMIF(budget_request1[Unit],$L35,budget_request1[Balance12])</f>
        <v>3797515000</v>
      </c>
      <c r="AZ35" s="64"/>
      <c r="BB35" s="55"/>
      <c r="BC35" s="55"/>
    </row>
    <row r="36" spans="2:55" x14ac:dyDescent="0.25">
      <c r="E36" s="65"/>
      <c r="F36" s="66"/>
      <c r="G36" s="66"/>
      <c r="H36" s="66"/>
      <c r="I36" s="66"/>
      <c r="J36" s="66"/>
      <c r="K36" s="67"/>
      <c r="L36" s="68" t="s">
        <v>164</v>
      </c>
      <c r="M36" s="69">
        <f>SUMIF(budget_request1[Unit],$L36,budget_request1[Total Payments])</f>
        <v>0</v>
      </c>
      <c r="N36" s="70">
        <f>SUMIF(budget_request1[Unit],$L36,budget_request1[Total Charges])</f>
        <v>0</v>
      </c>
      <c r="O36" s="71">
        <f>SUMIF(budget_request1[Unit],$L36,budget_request1[Balance00])</f>
        <v>0</v>
      </c>
      <c r="P36" s="69">
        <f>SUMIF(budget_request1[Unit],$L36,budget_request1[Payments01])</f>
        <v>0</v>
      </c>
      <c r="Q36" s="70">
        <f>SUMIF(budget_request1[Unit],$L36,budget_request1[Charges01])</f>
        <v>0</v>
      </c>
      <c r="R36" s="71">
        <f>SUMIF(budget_request1[Unit],$L36,budget_request1[Balance01])</f>
        <v>0</v>
      </c>
      <c r="S36" s="69">
        <f>SUMIF(budget_request1[Unit],$L36,budget_request1[Payments02])</f>
        <v>0</v>
      </c>
      <c r="T36" s="70">
        <f>SUMIF(budget_request1[Unit],$L36,budget_request1[Charges02])</f>
        <v>0</v>
      </c>
      <c r="U36" s="71">
        <f>SUMIF(budget_request1[Unit],$L36,budget_request1[Balance02])</f>
        <v>0</v>
      </c>
      <c r="V36" s="69">
        <f>SUMIF(budget_request1[Unit],$L36,budget_request1[Payments03])</f>
        <v>0</v>
      </c>
      <c r="W36" s="70">
        <f>SUMIF(budget_request1[Unit],$L36,budget_request1[Charges03])</f>
        <v>0</v>
      </c>
      <c r="X36" s="71">
        <f>SUMIF(budget_request1[Unit],$L36,budget_request1[Balance03])</f>
        <v>0</v>
      </c>
      <c r="Y36" s="69">
        <f>SUMIF(budget_request1[Unit],$L36,budget_request1[Payments04])</f>
        <v>0</v>
      </c>
      <c r="Z36" s="70">
        <f>SUMIF(budget_request1[Unit],$L36,budget_request1[Charges04])</f>
        <v>0</v>
      </c>
      <c r="AA36" s="71">
        <f>SUMIF(budget_request1[Unit],$L36,budget_request1[Balance04])</f>
        <v>0</v>
      </c>
      <c r="AB36" s="69">
        <f>SUMIF(budget_request1[Unit],$L36,budget_request1[Payments05])</f>
        <v>0</v>
      </c>
      <c r="AC36" s="70">
        <f>SUMIF(budget_request1[Unit],$L36,budget_request1[Charges05])</f>
        <v>0</v>
      </c>
      <c r="AD36" s="71">
        <f>SUMIF(budget_request1[Unit],$L36,budget_request1[Balance05])</f>
        <v>0</v>
      </c>
      <c r="AE36" s="69">
        <f>SUMIF(budget_request1[Unit],$L36,budget_request1[Payments06])</f>
        <v>0</v>
      </c>
      <c r="AF36" s="70">
        <f>SUMIF(budget_request1[Unit],$L36,budget_request1[Charges06])</f>
        <v>0</v>
      </c>
      <c r="AG36" s="71">
        <f>SUMIF(budget_request1[Unit],$L36,budget_request1[Balance06])</f>
        <v>0</v>
      </c>
      <c r="AH36" s="69">
        <f>SUMIF(budget_request1[Unit],$L36,budget_request1[Payments07])</f>
        <v>0</v>
      </c>
      <c r="AI36" s="70">
        <f>SUMIF(budget_request1[Unit],$L36,budget_request1[Charges07])</f>
        <v>0</v>
      </c>
      <c r="AJ36" s="71">
        <f>SUMIF(budget_request1[Unit],$L36,budget_request1[Balance07])</f>
        <v>0</v>
      </c>
      <c r="AK36" s="69">
        <f>SUMIF(budget_request1[Unit],$L36,budget_request1[Payments08])</f>
        <v>0</v>
      </c>
      <c r="AL36" s="70">
        <f>SUMIF(budget_request1[Unit],$L36,budget_request1[Charges08])</f>
        <v>0</v>
      </c>
      <c r="AM36" s="71">
        <f>SUMIF(budget_request1[Unit],$L36,budget_request1[Balance08])</f>
        <v>0</v>
      </c>
      <c r="AN36" s="69">
        <f>SUMIF(budget_request1[Unit],$L36,budget_request1[Payments09])</f>
        <v>0</v>
      </c>
      <c r="AO36" s="70">
        <f>SUMIF(budget_request1[Unit],$L36,budget_request1[Charges09])</f>
        <v>0</v>
      </c>
      <c r="AP36" s="71">
        <f>SUMIF(budget_request1[Unit],$L36,budget_request1[Balance09])</f>
        <v>0</v>
      </c>
      <c r="AQ36" s="69">
        <f>SUMIF(budget_request1[Unit],$L36,budget_request1[Payments10])</f>
        <v>0</v>
      </c>
      <c r="AR36" s="70">
        <f>SUMIF(budget_request1[Unit],$L36,budget_request1[Charges10])</f>
        <v>0</v>
      </c>
      <c r="AS36" s="71">
        <f>SUMIF(budget_request1[Unit],$L36,budget_request1[Balance10])</f>
        <v>0</v>
      </c>
      <c r="AT36" s="69">
        <f>SUMIF(budget_request1[Unit],$L36,budget_request1[Payments11])</f>
        <v>0</v>
      </c>
      <c r="AU36" s="70">
        <f>SUMIF(budget_request1[Unit],$L36,budget_request1[Charges11])</f>
        <v>0</v>
      </c>
      <c r="AV36" s="71">
        <f>SUMIF(budget_request1[Unit],$L36,budget_request1[Balance11])</f>
        <v>0</v>
      </c>
      <c r="AW36" s="69">
        <f>SUMIF(budget_request1[Unit],$L36,budget_request1[Payments12])</f>
        <v>0</v>
      </c>
      <c r="AX36" s="70">
        <f>SUMIF(budget_request1[Unit],$L36,budget_request1[Charges12])</f>
        <v>0</v>
      </c>
      <c r="AY36" s="71">
        <f>SUMIF(budget_request1[Unit],$L36,budget_request1[Balance12])</f>
        <v>0</v>
      </c>
    </row>
    <row r="37" spans="2:55" x14ac:dyDescent="0.25">
      <c r="E37" s="65"/>
      <c r="F37" s="66"/>
      <c r="G37" s="66"/>
      <c r="H37" s="66"/>
      <c r="I37" s="66"/>
      <c r="J37" s="66"/>
      <c r="K37" s="67"/>
      <c r="L37" s="72" t="s">
        <v>165</v>
      </c>
      <c r="M37" s="69">
        <f>SUMIF(budget_request1[Unit],$L37,budget_request1[Total Payments])</f>
        <v>0</v>
      </c>
      <c r="N37" s="70">
        <f>SUMIF(budget_request1[Unit],$L37,budget_request1[Total Charges])</f>
        <v>0</v>
      </c>
      <c r="O37" s="71">
        <f>SUMIF(budget_request1[Unit],$L37,budget_request1[Balance00])</f>
        <v>0</v>
      </c>
      <c r="P37" s="69">
        <f>SUMIF(budget_request1[Unit],$L37,budget_request1[Payments01])</f>
        <v>0</v>
      </c>
      <c r="Q37" s="70">
        <f>SUMIF(budget_request1[Unit],$L37,budget_request1[Charges01])</f>
        <v>0</v>
      </c>
      <c r="R37" s="71">
        <f>SUMIF(budget_request1[Unit],$L37,budget_request1[Balance01])</f>
        <v>0</v>
      </c>
      <c r="S37" s="69">
        <f>SUMIF(budget_request1[Unit],$L37,budget_request1[Payments02])</f>
        <v>0</v>
      </c>
      <c r="T37" s="70">
        <f>SUMIF(budget_request1[Unit],$L37,budget_request1[Charges02])</f>
        <v>0</v>
      </c>
      <c r="U37" s="71">
        <f>SUMIF(budget_request1[Unit],$L37,budget_request1[Balance02])</f>
        <v>0</v>
      </c>
      <c r="V37" s="69">
        <f>SUMIF(budget_request1[Unit],$L37,budget_request1[Payments03])</f>
        <v>0</v>
      </c>
      <c r="W37" s="70">
        <f>SUMIF(budget_request1[Unit],$L37,budget_request1[Charges03])</f>
        <v>0</v>
      </c>
      <c r="X37" s="71">
        <f>SUMIF(budget_request1[Unit],$L37,budget_request1[Balance03])</f>
        <v>0</v>
      </c>
      <c r="Y37" s="69">
        <f>SUMIF(budget_request1[Unit],$L37,budget_request1[Payments04])</f>
        <v>0</v>
      </c>
      <c r="Z37" s="70">
        <f>SUMIF(budget_request1[Unit],$L37,budget_request1[Charges04])</f>
        <v>0</v>
      </c>
      <c r="AA37" s="71">
        <f>SUMIF(budget_request1[Unit],$L37,budget_request1[Balance04])</f>
        <v>0</v>
      </c>
      <c r="AB37" s="69">
        <f>SUMIF(budget_request1[Unit],$L37,budget_request1[Payments05])</f>
        <v>0</v>
      </c>
      <c r="AC37" s="70">
        <f>SUMIF(budget_request1[Unit],$L37,budget_request1[Charges05])</f>
        <v>0</v>
      </c>
      <c r="AD37" s="71">
        <f>SUMIF(budget_request1[Unit],$L37,budget_request1[Balance05])</f>
        <v>0</v>
      </c>
      <c r="AE37" s="69">
        <f>SUMIF(budget_request1[Unit],$L37,budget_request1[Payments06])</f>
        <v>0</v>
      </c>
      <c r="AF37" s="70">
        <f>SUMIF(budget_request1[Unit],$L37,budget_request1[Charges06])</f>
        <v>0</v>
      </c>
      <c r="AG37" s="71">
        <f>SUMIF(budget_request1[Unit],$L37,budget_request1[Balance06])</f>
        <v>0</v>
      </c>
      <c r="AH37" s="69">
        <f>SUMIF(budget_request1[Unit],$L37,budget_request1[Payments07])</f>
        <v>0</v>
      </c>
      <c r="AI37" s="70">
        <f>SUMIF(budget_request1[Unit],$L37,budget_request1[Charges07])</f>
        <v>0</v>
      </c>
      <c r="AJ37" s="71">
        <f>SUMIF(budget_request1[Unit],$L37,budget_request1[Balance07])</f>
        <v>0</v>
      </c>
      <c r="AK37" s="69">
        <f>SUMIF(budget_request1[Unit],$L37,budget_request1[Payments08])</f>
        <v>0</v>
      </c>
      <c r="AL37" s="70">
        <f>SUMIF(budget_request1[Unit],$L37,budget_request1[Charges08])</f>
        <v>0</v>
      </c>
      <c r="AM37" s="71">
        <f>SUMIF(budget_request1[Unit],$L37,budget_request1[Balance08])</f>
        <v>0</v>
      </c>
      <c r="AN37" s="69">
        <f>SUMIF(budget_request1[Unit],$L37,budget_request1[Payments09])</f>
        <v>0</v>
      </c>
      <c r="AO37" s="70">
        <f>SUMIF(budget_request1[Unit],$L37,budget_request1[Charges09])</f>
        <v>0</v>
      </c>
      <c r="AP37" s="71">
        <f>SUMIF(budget_request1[Unit],$L37,budget_request1[Balance09])</f>
        <v>0</v>
      </c>
      <c r="AQ37" s="69">
        <f>SUMIF(budget_request1[Unit],$L37,budget_request1[Payments10])</f>
        <v>0</v>
      </c>
      <c r="AR37" s="70">
        <f>SUMIF(budget_request1[Unit],$L37,budget_request1[Charges10])</f>
        <v>0</v>
      </c>
      <c r="AS37" s="71">
        <f>SUMIF(budget_request1[Unit],$L37,budget_request1[Balance10])</f>
        <v>0</v>
      </c>
      <c r="AT37" s="69">
        <f>SUMIF(budget_request1[Unit],$L37,budget_request1[Payments11])</f>
        <v>0</v>
      </c>
      <c r="AU37" s="70">
        <f>SUMIF(budget_request1[Unit],$L37,budget_request1[Charges11])</f>
        <v>0</v>
      </c>
      <c r="AV37" s="71">
        <f>SUMIF(budget_request1[Unit],$L37,budget_request1[Balance11])</f>
        <v>0</v>
      </c>
      <c r="AW37" s="69">
        <f>SUMIF(budget_request1[Unit],$L37,budget_request1[Payments12])</f>
        <v>0</v>
      </c>
      <c r="AX37" s="70">
        <f>SUMIF(budget_request1[Unit],$L37,budget_request1[Charges12])</f>
        <v>0</v>
      </c>
      <c r="AY37" s="71">
        <f>SUMIF(budget_request1[Unit],$L37,budget_request1[Balance12])</f>
        <v>0</v>
      </c>
    </row>
    <row r="38" spans="2:55" ht="15.75" thickBot="1" x14ac:dyDescent="0.3">
      <c r="E38" s="73"/>
      <c r="F38" s="74"/>
      <c r="G38" s="74"/>
      <c r="H38" s="74"/>
      <c r="I38" s="74"/>
      <c r="J38" s="74"/>
      <c r="K38" s="75"/>
      <c r="L38" s="76" t="s">
        <v>166</v>
      </c>
      <c r="M38" s="77">
        <f>SUMIF(budget_request1[Unit],$L38,budget_request1[Total Payments])</f>
        <v>0</v>
      </c>
      <c r="N38" s="78">
        <f>SUMIF(budget_request1[Unit],$L38,budget_request1[Total Charges])</f>
        <v>0</v>
      </c>
      <c r="O38" s="79">
        <f>SUMIF(budget_request1[Unit],$L38,budget_request1[Balance00])</f>
        <v>0</v>
      </c>
      <c r="P38" s="77">
        <f>SUMIF(budget_request1[Unit],$L38,budget_request1[Payments01])</f>
        <v>0</v>
      </c>
      <c r="Q38" s="78">
        <f>SUMIF(budget_request1[Unit],$L38,budget_request1[Charges01])</f>
        <v>0</v>
      </c>
      <c r="R38" s="79">
        <f>SUMIF(budget_request1[Unit],$L38,budget_request1[Balance01])</f>
        <v>0</v>
      </c>
      <c r="S38" s="77">
        <f>SUMIF(budget_request1[Unit],$L38,budget_request1[Payments02])</f>
        <v>0</v>
      </c>
      <c r="T38" s="78">
        <f>SUMIF(budget_request1[Unit],$L38,budget_request1[Charges02])</f>
        <v>0</v>
      </c>
      <c r="U38" s="79">
        <f>SUMIF(budget_request1[Unit],$L38,budget_request1[Balance02])</f>
        <v>0</v>
      </c>
      <c r="V38" s="77">
        <f>SUMIF(budget_request1[Unit],$L38,budget_request1[Payments03])</f>
        <v>0</v>
      </c>
      <c r="W38" s="78">
        <f>SUMIF(budget_request1[Unit],$L38,budget_request1[Charges03])</f>
        <v>0</v>
      </c>
      <c r="X38" s="79">
        <f>SUMIF(budget_request1[Unit],$L38,budget_request1[Balance03])</f>
        <v>0</v>
      </c>
      <c r="Y38" s="77">
        <f>SUMIF(budget_request1[Unit],$L38,budget_request1[Payments04])</f>
        <v>0</v>
      </c>
      <c r="Z38" s="78">
        <f>SUMIF(budget_request1[Unit],$L38,budget_request1[Charges04])</f>
        <v>0</v>
      </c>
      <c r="AA38" s="79">
        <f>SUMIF(budget_request1[Unit],$L38,budget_request1[Balance04])</f>
        <v>0</v>
      </c>
      <c r="AB38" s="77">
        <f>SUMIF(budget_request1[Unit],$L38,budget_request1[Payments05])</f>
        <v>0</v>
      </c>
      <c r="AC38" s="78">
        <f>SUMIF(budget_request1[Unit],$L38,budget_request1[Charges05])</f>
        <v>0</v>
      </c>
      <c r="AD38" s="79">
        <f>SUMIF(budget_request1[Unit],$L38,budget_request1[Balance05])</f>
        <v>0</v>
      </c>
      <c r="AE38" s="77">
        <f>SUMIF(budget_request1[Unit],$L38,budget_request1[Payments06])</f>
        <v>0</v>
      </c>
      <c r="AF38" s="78">
        <f>SUMIF(budget_request1[Unit],$L38,budget_request1[Charges06])</f>
        <v>0</v>
      </c>
      <c r="AG38" s="79">
        <f>SUMIF(budget_request1[Unit],$L38,budget_request1[Balance06])</f>
        <v>0</v>
      </c>
      <c r="AH38" s="77">
        <f>SUMIF(budget_request1[Unit],$L38,budget_request1[Payments07])</f>
        <v>0</v>
      </c>
      <c r="AI38" s="78">
        <f>SUMIF(budget_request1[Unit],$L38,budget_request1[Charges07])</f>
        <v>0</v>
      </c>
      <c r="AJ38" s="79">
        <f>SUMIF(budget_request1[Unit],$L38,budget_request1[Balance07])</f>
        <v>0</v>
      </c>
      <c r="AK38" s="77">
        <f>SUMIF(budget_request1[Unit],$L38,budget_request1[Payments08])</f>
        <v>0</v>
      </c>
      <c r="AL38" s="78">
        <f>SUMIF(budget_request1[Unit],$L38,budget_request1[Charges08])</f>
        <v>0</v>
      </c>
      <c r="AM38" s="79">
        <f>SUMIF(budget_request1[Unit],$L38,budget_request1[Balance08])</f>
        <v>0</v>
      </c>
      <c r="AN38" s="77">
        <f>SUMIF(budget_request1[Unit],$L38,budget_request1[Payments09])</f>
        <v>0</v>
      </c>
      <c r="AO38" s="78">
        <f>SUMIF(budget_request1[Unit],$L38,budget_request1[Charges09])</f>
        <v>0</v>
      </c>
      <c r="AP38" s="79">
        <f>SUMIF(budget_request1[Unit],$L38,budget_request1[Balance09])</f>
        <v>0</v>
      </c>
      <c r="AQ38" s="77">
        <f>SUMIF(budget_request1[Unit],$L38,budget_request1[Payments10])</f>
        <v>0</v>
      </c>
      <c r="AR38" s="78">
        <f>SUMIF(budget_request1[Unit],$L38,budget_request1[Charges10])</f>
        <v>0</v>
      </c>
      <c r="AS38" s="79">
        <f>SUMIF(budget_request1[Unit],$L38,budget_request1[Balance10])</f>
        <v>0</v>
      </c>
      <c r="AT38" s="77">
        <f>SUMIF(budget_request1[Unit],$L38,budget_request1[Payments11])</f>
        <v>0</v>
      </c>
      <c r="AU38" s="78">
        <f>SUMIF(budget_request1[Unit],$L38,budget_request1[Charges11])</f>
        <v>0</v>
      </c>
      <c r="AV38" s="79">
        <f>SUMIF(budget_request1[Unit],$L38,budget_request1[Balance11])</f>
        <v>0</v>
      </c>
      <c r="AW38" s="77">
        <f>SUMIF(budget_request1[Unit],$L38,budget_request1[Payments12])</f>
        <v>0</v>
      </c>
      <c r="AX38" s="78">
        <f>SUMIF(budget_request1[Unit],$L38,budget_request1[Charges12])</f>
        <v>0</v>
      </c>
      <c r="AY38" s="79">
        <f>SUMIF(budget_request1[Unit],$L38,budget_request1[Balance12])</f>
        <v>0</v>
      </c>
    </row>
  </sheetData>
  <conditionalFormatting sqref="B9:BC34">
    <cfRule type="expression" dxfId="109" priority="1">
      <formula>$D9=1</formula>
    </cfRule>
  </conditionalFormatting>
  <dataValidations count="10">
    <dataValidation type="list" allowBlank="1" showInputMessage="1" showErrorMessage="1" sqref="L9:L34" xr:uid="{F25BE6A0-5EB4-4ADC-93A2-174AB5181BA5}">
      <formula1>INDIRECT("vl_xls27_xl_validation_list_unit_id_code_1[code]")</formula1>
    </dataValidation>
    <dataValidation type="list" allowBlank="1" showInputMessage="1" showErrorMessage="1" sqref="K9:K34" xr:uid="{D42B2DC7-7FB4-4586-8170-7EF63D0835ED}">
      <formula1>INDIRECT("vl_xls27_xl_validation_list_vat_rate_id_1[name]")</formula1>
    </dataValidation>
    <dataValidation type="list" allowBlank="1" showInputMessage="1" showErrorMessage="1" sqref="H9:H34" xr:uid="{EC96C3BA-9982-4FEA-BBA0-9B5D19B2C3CD}">
      <formula1>INDIRECT("vl_xls27_xl_validation_list_subsidiary_account_id_1[name]")</formula1>
    </dataValidation>
    <dataValidation type="list" allowBlank="1" showInputMessage="1" showErrorMessage="1" sqref="I9:I34" xr:uid="{7A4DB39E-A670-4106-B8CC-9EFB0267968D}">
      <formula1>INDIRECT("vl_xls27_xl_validation_list_region_id_code_1[name]")</formula1>
    </dataValidation>
    <dataValidation type="list" allowBlank="1" showInputMessage="1" showErrorMessage="1" sqref="J9:J34" xr:uid="{CDAF0FA5-8A05-4D0D-A705-94D780BB3CA6}">
      <formula1>INDIRECT("vl_xls27_xl_validation_list_product_id_code_1[name]")</formula1>
    </dataValidation>
    <dataValidation type="list" allowBlank="1" showInputMessage="1" showErrorMessage="1" sqref="F9:F34" xr:uid="{0B834118-95F0-4CDF-A2F0-F86D30DCE466}">
      <formula1>INDIRECT("vl_xls27_xl_validation_list_budgeting_account_id_code_1[name]")</formula1>
    </dataValidation>
    <dataValidation type="decimal" operator="notEqual" allowBlank="1" showInputMessage="1" showErrorMessage="1" sqref="AU9:AU34 Q9:Q34 T9:T34 W9:W34 Z9:Z34 AC9:AC34 AF9:AF34 AI9:AI34 AL9:AL34 AO9:AO34 AR9:AR34 O9:O34 P9:P34 S9:S34 V9:V34 Y9:Y34 AB9:AB34 AE9:AE34 AH9:AH34 AK9:AK34 AN9:AN34 AQ9:AQ34 AT9:AT34 AW9:AW34 AX9:AX34" xr:uid="{D95CED46-32D7-4355-857C-049D0CFA8EEA}">
      <formula1>-1.11222333444555E+29</formula1>
    </dataValidation>
    <dataValidation allowBlank="1" showInputMessage="1" showErrorMessage="1" sqref="A1 F8 H8:L8" xr:uid="{D47611DE-8156-4DB3-A6B2-E46658C3C0A4}"/>
    <dataValidation type="whole" errorStyle="warning" allowBlank="1" showInputMessage="1" showErrorMessage="1" errorTitle="Data Type Control" error="The column requires values of the int data type." sqref="C9:D34" xr:uid="{30E2E350-32C5-49C1-9923-CB812FF473B0}">
      <formula1>-2147483648</formula1>
      <formula2>2147483647</formula2>
    </dataValidation>
    <dataValidation type="decimal" errorStyle="warning" operator="notEqual" allowBlank="1" showInputMessage="1" showErrorMessage="1" errorTitle="Data Type Control" error="The column requires values of the money data type." sqref="M9:N34" xr:uid="{4EE496B1-06AF-46AF-8DA9-19EE8AAAAF88}">
      <formula1>-1.11222333444555E+29</formula1>
    </dataValidation>
  </dataValidations>
  <pageMargins left="0.7" right="0.7" top="0.75" bottom="0.75" header="0.3" footer="0.3"/>
  <pageSetup scale="20" orientation="landscape" r:id="rId1"/>
  <ignoredErrors>
    <ignoredError sqref="B6:AY6" numberStoredAsText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98C46-83D7-4BB1-ABE8-4EE782B2A497}">
  <sheetPr codeName="Sheet3">
    <tabColor rgb="FF7030A0"/>
    <pageSetUpPr fitToPage="1"/>
  </sheetPr>
  <dimension ref="B1:BC38"/>
  <sheetViews>
    <sheetView showGridLines="0" workbookViewId="0">
      <pane xSplit="12" ySplit="8" topLeftCell="M9" activePane="bottomRight" state="frozen"/>
      <selection pane="topRight" activeCell="P1" sqref="P1"/>
      <selection pane="bottomLeft" activeCell="A8" sqref="A8"/>
      <selection pane="bottomRight" activeCell="M9" sqref="M9"/>
    </sheetView>
  </sheetViews>
  <sheetFormatPr defaultRowHeight="15" x14ac:dyDescent="0.25"/>
  <cols>
    <col min="1" max="1" width="2.5703125" customWidth="1"/>
    <col min="2" max="2" width="31.42578125" hidden="1" customWidth="1"/>
    <col min="3" max="4" width="9.140625" hidden="1" customWidth="1"/>
    <col min="5" max="5" width="42.85546875" customWidth="1"/>
    <col min="6" max="6" width="7.42578125" customWidth="1"/>
    <col min="7" max="7" width="50" hidden="1" customWidth="1"/>
    <col min="8" max="8" width="15.7109375" customWidth="1"/>
    <col min="10" max="12" width="5.7109375" customWidth="1"/>
    <col min="13" max="13" width="17" customWidth="1"/>
    <col min="14" max="14" width="15.42578125" customWidth="1"/>
    <col min="15" max="15" width="15.42578125" bestFit="1" customWidth="1"/>
    <col min="16" max="27" width="13.85546875" customWidth="1"/>
    <col min="28" max="39" width="14" customWidth="1"/>
    <col min="40" max="51" width="15.42578125" bestFit="1" customWidth="1"/>
    <col min="52" max="52" width="35.7109375" hidden="1" customWidth="1"/>
    <col min="53" max="53" width="17.28515625" hidden="1" customWidth="1"/>
    <col min="54" max="54" width="14.5703125" hidden="1" customWidth="1"/>
    <col min="55" max="55" width="14.7109375" hidden="1" customWidth="1"/>
    <col min="57" max="57" width="13.85546875" bestFit="1" customWidth="1"/>
    <col min="58" max="58" width="5.28515625" bestFit="1" customWidth="1"/>
  </cols>
  <sheetData>
    <row r="1" spans="2:55" x14ac:dyDescent="0.25">
      <c r="B1" t="s">
        <v>0</v>
      </c>
      <c r="C1">
        <v>2023</v>
      </c>
      <c r="D1" t="s">
        <v>389</v>
      </c>
    </row>
    <row r="2" spans="2:55" ht="18.75" x14ac:dyDescent="0.3">
      <c r="E2" s="1" t="str">
        <f>"Budget Request on "&amp;category_id__name&amp;" "&amp;time_id__name</f>
        <v>Budget Request on Budget 2023</v>
      </c>
      <c r="F2" s="1" t="str">
        <f>entity_id__name</f>
        <v>Entity 401</v>
      </c>
    </row>
    <row r="3" spans="2:55" ht="15.75" thickBot="1" x14ac:dyDescent="0.3"/>
    <row r="4" spans="2:55" x14ac:dyDescent="0.25">
      <c r="B4" s="2" t="s">
        <v>2</v>
      </c>
      <c r="C4" s="7" t="s">
        <v>2</v>
      </c>
      <c r="D4" s="6" t="s">
        <v>2</v>
      </c>
      <c r="E4" s="3" t="s">
        <v>3</v>
      </c>
      <c r="F4" s="4" t="s">
        <v>4</v>
      </c>
      <c r="G4" s="5" t="s">
        <v>5</v>
      </c>
      <c r="H4" s="5" t="s">
        <v>6</v>
      </c>
      <c r="I4" s="6" t="s">
        <v>7</v>
      </c>
      <c r="J4" s="7" t="s">
        <v>8</v>
      </c>
      <c r="K4" s="8" t="s">
        <v>9</v>
      </c>
      <c r="L4" s="3" t="s">
        <v>10</v>
      </c>
      <c r="M4" s="9" t="s">
        <v>11</v>
      </c>
      <c r="N4" s="10" t="s">
        <v>11</v>
      </c>
      <c r="O4" s="3" t="s">
        <v>12</v>
      </c>
      <c r="P4" s="9" t="s">
        <v>34</v>
      </c>
      <c r="Q4" s="81"/>
      <c r="R4" s="81"/>
      <c r="S4" s="81"/>
      <c r="T4" s="81"/>
      <c r="U4" s="81"/>
      <c r="V4" s="81"/>
      <c r="W4" s="81"/>
      <c r="X4" s="81"/>
      <c r="Y4" s="81"/>
      <c r="Z4" s="81"/>
      <c r="AA4" s="10"/>
      <c r="AB4" s="9" t="s">
        <v>33</v>
      </c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10"/>
      <c r="AN4" s="9" t="s">
        <v>189</v>
      </c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10"/>
      <c r="AZ4" s="2" t="s">
        <v>26</v>
      </c>
      <c r="BA4" s="2" t="s">
        <v>547</v>
      </c>
      <c r="BB4" s="7" t="s">
        <v>27</v>
      </c>
      <c r="BC4" s="11" t="s">
        <v>28</v>
      </c>
    </row>
    <row r="5" spans="2:55" ht="15.75" thickBot="1" x14ac:dyDescent="0.3">
      <c r="B5" s="12" t="s">
        <v>29</v>
      </c>
      <c r="C5" s="17" t="s">
        <v>30</v>
      </c>
      <c r="D5" s="16" t="s">
        <v>31</v>
      </c>
      <c r="E5" s="13"/>
      <c r="F5" s="14"/>
      <c r="G5" s="15"/>
      <c r="H5" s="15" t="s">
        <v>32</v>
      </c>
      <c r="I5" s="16"/>
      <c r="J5" s="17"/>
      <c r="K5" s="18"/>
      <c r="L5" s="13"/>
      <c r="M5" s="19" t="s">
        <v>33</v>
      </c>
      <c r="N5" s="20" t="s">
        <v>34</v>
      </c>
      <c r="O5" s="13" t="s">
        <v>35</v>
      </c>
      <c r="P5" s="19" t="s">
        <v>13</v>
      </c>
      <c r="Q5" s="82" t="s">
        <v>15</v>
      </c>
      <c r="R5" s="82" t="s">
        <v>16</v>
      </c>
      <c r="S5" s="82" t="s">
        <v>17</v>
      </c>
      <c r="T5" s="82" t="s">
        <v>18</v>
      </c>
      <c r="U5" s="82" t="s">
        <v>19</v>
      </c>
      <c r="V5" s="82" t="s">
        <v>20</v>
      </c>
      <c r="W5" s="82" t="s">
        <v>21</v>
      </c>
      <c r="X5" s="82" t="s">
        <v>22</v>
      </c>
      <c r="Y5" s="82" t="s">
        <v>23</v>
      </c>
      <c r="Z5" s="82" t="s">
        <v>24</v>
      </c>
      <c r="AA5" s="20" t="s">
        <v>25</v>
      </c>
      <c r="AB5" s="19" t="s">
        <v>13</v>
      </c>
      <c r="AC5" s="82" t="s">
        <v>15</v>
      </c>
      <c r="AD5" s="82" t="s">
        <v>16</v>
      </c>
      <c r="AE5" s="82" t="s">
        <v>17</v>
      </c>
      <c r="AF5" s="82" t="s">
        <v>18</v>
      </c>
      <c r="AG5" s="82" t="s">
        <v>19</v>
      </c>
      <c r="AH5" s="82" t="s">
        <v>20</v>
      </c>
      <c r="AI5" s="82" t="s">
        <v>21</v>
      </c>
      <c r="AJ5" s="82" t="s">
        <v>22</v>
      </c>
      <c r="AK5" s="82" t="s">
        <v>23</v>
      </c>
      <c r="AL5" s="82" t="s">
        <v>24</v>
      </c>
      <c r="AM5" s="20" t="s">
        <v>25</v>
      </c>
      <c r="AN5" s="19" t="s">
        <v>13</v>
      </c>
      <c r="AO5" s="82" t="s">
        <v>15</v>
      </c>
      <c r="AP5" s="82" t="s">
        <v>16</v>
      </c>
      <c r="AQ5" s="82" t="s">
        <v>17</v>
      </c>
      <c r="AR5" s="82" t="s">
        <v>18</v>
      </c>
      <c r="AS5" s="82" t="s">
        <v>19</v>
      </c>
      <c r="AT5" s="82" t="s">
        <v>20</v>
      </c>
      <c r="AU5" s="82" t="s">
        <v>21</v>
      </c>
      <c r="AV5" s="82" t="s">
        <v>22</v>
      </c>
      <c r="AW5" s="82" t="s">
        <v>23</v>
      </c>
      <c r="AX5" s="82" t="s">
        <v>24</v>
      </c>
      <c r="AY5" s="20" t="s">
        <v>25</v>
      </c>
      <c r="AZ5" s="12"/>
      <c r="BA5" s="12"/>
      <c r="BB5" s="17"/>
      <c r="BC5" s="21"/>
    </row>
    <row r="6" spans="2:55" ht="15.75" thickBot="1" x14ac:dyDescent="0.3">
      <c r="B6" s="22" t="s">
        <v>48</v>
      </c>
      <c r="C6" s="27" t="s">
        <v>49</v>
      </c>
      <c r="D6" s="26" t="s">
        <v>50</v>
      </c>
      <c r="E6" s="23" t="s">
        <v>51</v>
      </c>
      <c r="F6" s="24" t="s">
        <v>52</v>
      </c>
      <c r="G6" s="25" t="s">
        <v>53</v>
      </c>
      <c r="H6" s="25" t="s">
        <v>54</v>
      </c>
      <c r="I6" s="26" t="s">
        <v>55</v>
      </c>
      <c r="J6" s="27" t="s">
        <v>56</v>
      </c>
      <c r="K6" s="83" t="s">
        <v>57</v>
      </c>
      <c r="L6" s="23" t="s">
        <v>58</v>
      </c>
      <c r="M6" s="27" t="s">
        <v>59</v>
      </c>
      <c r="N6" s="28" t="s">
        <v>60</v>
      </c>
      <c r="O6" s="23" t="s">
        <v>61</v>
      </c>
      <c r="P6" s="27" t="s">
        <v>62</v>
      </c>
      <c r="Q6" s="25" t="s">
        <v>63</v>
      </c>
      <c r="R6" s="25" t="s">
        <v>64</v>
      </c>
      <c r="S6" s="25" t="s">
        <v>65</v>
      </c>
      <c r="T6" s="25" t="s">
        <v>66</v>
      </c>
      <c r="U6" s="25" t="s">
        <v>67</v>
      </c>
      <c r="V6" s="25" t="s">
        <v>68</v>
      </c>
      <c r="W6" s="25" t="s">
        <v>69</v>
      </c>
      <c r="X6" s="25" t="s">
        <v>70</v>
      </c>
      <c r="Y6" s="25" t="s">
        <v>71</v>
      </c>
      <c r="Z6" s="25" t="s">
        <v>72</v>
      </c>
      <c r="AA6" s="28" t="s">
        <v>73</v>
      </c>
      <c r="AB6" s="27" t="s">
        <v>74</v>
      </c>
      <c r="AC6" s="25" t="s">
        <v>75</v>
      </c>
      <c r="AD6" s="25" t="s">
        <v>76</v>
      </c>
      <c r="AE6" s="25" t="s">
        <v>77</v>
      </c>
      <c r="AF6" s="25" t="s">
        <v>78</v>
      </c>
      <c r="AG6" s="25" t="s">
        <v>79</v>
      </c>
      <c r="AH6" s="25" t="s">
        <v>80</v>
      </c>
      <c r="AI6" s="25" t="s">
        <v>81</v>
      </c>
      <c r="AJ6" s="25" t="s">
        <v>82</v>
      </c>
      <c r="AK6" s="25" t="s">
        <v>83</v>
      </c>
      <c r="AL6" s="25" t="s">
        <v>84</v>
      </c>
      <c r="AM6" s="28" t="s">
        <v>85</v>
      </c>
      <c r="AN6" s="27" t="s">
        <v>86</v>
      </c>
      <c r="AO6" s="25" t="s">
        <v>87</v>
      </c>
      <c r="AP6" s="25" t="s">
        <v>88</v>
      </c>
      <c r="AQ6" s="25" t="s">
        <v>89</v>
      </c>
      <c r="AR6" s="25" t="s">
        <v>90</v>
      </c>
      <c r="AS6" s="25" t="s">
        <v>91</v>
      </c>
      <c r="AT6" s="25" t="s">
        <v>92</v>
      </c>
      <c r="AU6" s="25" t="s">
        <v>93</v>
      </c>
      <c r="AV6" s="25" t="s">
        <v>94</v>
      </c>
      <c r="AW6" s="25" t="s">
        <v>95</v>
      </c>
      <c r="AX6" s="25" t="s">
        <v>96</v>
      </c>
      <c r="AY6" s="28" t="s">
        <v>97</v>
      </c>
      <c r="AZ6" s="22" t="s">
        <v>98</v>
      </c>
      <c r="BA6" s="22" t="s">
        <v>99</v>
      </c>
      <c r="BB6" s="27" t="s">
        <v>100</v>
      </c>
      <c r="BC6" s="28" t="s">
        <v>669</v>
      </c>
    </row>
    <row r="7" spans="2:55" hidden="1" x14ac:dyDescent="0.25"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</row>
    <row r="8" spans="2:55" hidden="1" x14ac:dyDescent="0.25">
      <c r="B8" t="s">
        <v>101</v>
      </c>
      <c r="C8" t="s">
        <v>332</v>
      </c>
      <c r="D8" t="s">
        <v>333</v>
      </c>
      <c r="E8" t="s">
        <v>3</v>
      </c>
      <c r="F8" t="s">
        <v>32</v>
      </c>
      <c r="G8" t="s">
        <v>379</v>
      </c>
      <c r="H8" t="s">
        <v>380</v>
      </c>
      <c r="I8" t="s">
        <v>7</v>
      </c>
      <c r="J8" t="s">
        <v>335</v>
      </c>
      <c r="K8" t="s">
        <v>336</v>
      </c>
      <c r="L8" t="s">
        <v>337</v>
      </c>
      <c r="M8" t="s">
        <v>338</v>
      </c>
      <c r="N8" t="s">
        <v>339</v>
      </c>
      <c r="O8" t="s">
        <v>340</v>
      </c>
      <c r="P8" t="s">
        <v>342</v>
      </c>
      <c r="Q8" t="s">
        <v>345</v>
      </c>
      <c r="R8" t="s">
        <v>348</v>
      </c>
      <c r="S8" t="s">
        <v>351</v>
      </c>
      <c r="T8" t="s">
        <v>354</v>
      </c>
      <c r="U8" t="s">
        <v>357</v>
      </c>
      <c r="V8" t="s">
        <v>360</v>
      </c>
      <c r="W8" t="s">
        <v>363</v>
      </c>
      <c r="X8" t="s">
        <v>366</v>
      </c>
      <c r="Y8" t="s">
        <v>369</v>
      </c>
      <c r="Z8" t="s">
        <v>372</v>
      </c>
      <c r="AA8" t="s">
        <v>375</v>
      </c>
      <c r="AB8" t="s">
        <v>341</v>
      </c>
      <c r="AC8" t="s">
        <v>344</v>
      </c>
      <c r="AD8" t="s">
        <v>347</v>
      </c>
      <c r="AE8" t="s">
        <v>350</v>
      </c>
      <c r="AF8" t="s">
        <v>353</v>
      </c>
      <c r="AG8" t="s">
        <v>356</v>
      </c>
      <c r="AH8" t="s">
        <v>359</v>
      </c>
      <c r="AI8" t="s">
        <v>362</v>
      </c>
      <c r="AJ8" t="s">
        <v>365</v>
      </c>
      <c r="AK8" t="s">
        <v>368</v>
      </c>
      <c r="AL8" t="s">
        <v>371</v>
      </c>
      <c r="AM8" t="s">
        <v>374</v>
      </c>
      <c r="AN8" t="s">
        <v>343</v>
      </c>
      <c r="AO8" t="s">
        <v>346</v>
      </c>
      <c r="AP8" t="s">
        <v>349</v>
      </c>
      <c r="AQ8" t="s">
        <v>352</v>
      </c>
      <c r="AR8" t="s">
        <v>355</v>
      </c>
      <c r="AS8" t="s">
        <v>358</v>
      </c>
      <c r="AT8" t="s">
        <v>361</v>
      </c>
      <c r="AU8" t="s">
        <v>364</v>
      </c>
      <c r="AV8" t="s">
        <v>367</v>
      </c>
      <c r="AW8" t="s">
        <v>370</v>
      </c>
      <c r="AX8" t="s">
        <v>373</v>
      </c>
      <c r="AY8" t="s">
        <v>376</v>
      </c>
      <c r="AZ8" t="s">
        <v>26</v>
      </c>
      <c r="BA8" t="s">
        <v>547</v>
      </c>
      <c r="BB8" t="s">
        <v>27</v>
      </c>
      <c r="BC8" t="s">
        <v>28</v>
      </c>
    </row>
    <row r="9" spans="2:55" x14ac:dyDescent="0.25">
      <c r="B9" s="30">
        <v>0</v>
      </c>
      <c r="C9" s="84">
        <v>1</v>
      </c>
      <c r="D9" s="85"/>
      <c r="E9" s="30"/>
      <c r="F9" s="31"/>
      <c r="G9" s="32"/>
      <c r="H9" s="32"/>
      <c r="I9" s="33"/>
      <c r="J9" s="34"/>
      <c r="K9" s="33"/>
      <c r="L9" s="30"/>
      <c r="M9" s="35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0</v>
      </c>
      <c r="N9" s="36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0</v>
      </c>
      <c r="O9" s="37"/>
      <c r="P9" s="35"/>
      <c r="Q9" s="86"/>
      <c r="R9" s="86"/>
      <c r="S9" s="86"/>
      <c r="T9" s="86"/>
      <c r="U9" s="86"/>
      <c r="V9" s="86"/>
      <c r="W9" s="86"/>
      <c r="X9" s="86"/>
      <c r="Y9" s="86"/>
      <c r="Z9" s="86"/>
      <c r="AA9" s="36"/>
      <c r="AB9" s="35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36"/>
      <c r="AN9" s="35">
        <f>budget_request2[[#This Row],[Balance00]]-budget_request2[[#This Row],[Payments01]]+budget_request2[[#This Row],[Charges01]]</f>
        <v>0</v>
      </c>
      <c r="AO9" s="86">
        <f>budget_request2[[#This Row],[Balance01]]-budget_request2[[#This Row],[Payments02]]+budget_request2[[#This Row],[Charges02]]</f>
        <v>0</v>
      </c>
      <c r="AP9" s="86">
        <f>budget_request2[[#This Row],[Balance02]]-budget_request2[[#This Row],[Payments03]]+budget_request2[[#This Row],[Charges03]]</f>
        <v>0</v>
      </c>
      <c r="AQ9" s="86">
        <f>budget_request2[[#This Row],[Balance03]]-budget_request2[[#This Row],[Payments04]]+budget_request2[[#This Row],[Charges04]]</f>
        <v>0</v>
      </c>
      <c r="AR9" s="86">
        <f>budget_request2[[#This Row],[Balance04]]-budget_request2[[#This Row],[Payments05]]+budget_request2[[#This Row],[Charges05]]</f>
        <v>0</v>
      </c>
      <c r="AS9" s="86">
        <f>budget_request2[[#This Row],[Balance05]]-budget_request2[[#This Row],[Payments06]]+budget_request2[[#This Row],[Charges06]]</f>
        <v>0</v>
      </c>
      <c r="AT9" s="86">
        <f>budget_request2[[#This Row],[Balance06]]-budget_request2[[#This Row],[Payments07]]+budget_request2[[#This Row],[Charges07]]</f>
        <v>0</v>
      </c>
      <c r="AU9" s="86">
        <f>budget_request2[[#This Row],[Balance07]]-budget_request2[[#This Row],[Payments08]]+budget_request2[[#This Row],[Charges08]]</f>
        <v>0</v>
      </c>
      <c r="AV9" s="86">
        <f>budget_request2[[#This Row],[Balance08]]-budget_request2[[#This Row],[Payments09]]+budget_request2[[#This Row],[Charges09]]</f>
        <v>0</v>
      </c>
      <c r="AW9" s="86">
        <f>budget_request2[[#This Row],[Balance09]]-budget_request2[[#This Row],[Payments10]]+budget_request2[[#This Row],[Charges10]]</f>
        <v>0</v>
      </c>
      <c r="AX9" s="86">
        <f>budget_request2[[#This Row],[Balance10]]-budget_request2[[#This Row],[Payments11]]+budget_request2[[#This Row],[Charges11]]</f>
        <v>0</v>
      </c>
      <c r="AY9" s="36">
        <f>budget_request2[[#This Row],[Balance11]]-budget_request2[[#This Row],[Payments12]]+budget_request2[[#This Row],[Charges12]]</f>
        <v>0</v>
      </c>
      <c r="AZ9" s="30"/>
      <c r="BA9" s="96"/>
      <c r="BB9" s="31" t="s">
        <v>661</v>
      </c>
      <c r="BC9" s="87">
        <v>44982.885717592595</v>
      </c>
    </row>
    <row r="10" spans="2:55" x14ac:dyDescent="0.25">
      <c r="B10" s="30">
        <v>1</v>
      </c>
      <c r="C10" s="84">
        <v>2</v>
      </c>
      <c r="D10" s="85"/>
      <c r="E10" s="30" t="s">
        <v>426</v>
      </c>
      <c r="F10" s="40" t="s">
        <v>408</v>
      </c>
      <c r="G10" s="32" t="s">
        <v>427</v>
      </c>
      <c r="H10" s="41" t="s">
        <v>423</v>
      </c>
      <c r="I10" s="33"/>
      <c r="J10" s="43" t="s">
        <v>157</v>
      </c>
      <c r="K10" s="33"/>
      <c r="L10" s="44" t="s">
        <v>159</v>
      </c>
      <c r="M10" s="35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1440000000</v>
      </c>
      <c r="N10" s="36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0</v>
      </c>
      <c r="O10" s="37">
        <v>4800000000</v>
      </c>
      <c r="P10" s="35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36"/>
      <c r="AB10" s="35">
        <v>120000000</v>
      </c>
      <c r="AC10" s="86">
        <f>budget_request2[[#This Row],[Payments01]]</f>
        <v>120000000</v>
      </c>
      <c r="AD10" s="86">
        <f>budget_request2[[#This Row],[Payments02]]</f>
        <v>120000000</v>
      </c>
      <c r="AE10" s="86">
        <f>budget_request2[[#This Row],[Payments03]]</f>
        <v>120000000</v>
      </c>
      <c r="AF10" s="86">
        <f>budget_request2[[#This Row],[Payments04]]</f>
        <v>120000000</v>
      </c>
      <c r="AG10" s="86">
        <f>budget_request2[[#This Row],[Payments05]]</f>
        <v>120000000</v>
      </c>
      <c r="AH10" s="86">
        <f>budget_request2[[#This Row],[Payments06]]</f>
        <v>120000000</v>
      </c>
      <c r="AI10" s="86">
        <f>budget_request2[[#This Row],[Payments07]]</f>
        <v>120000000</v>
      </c>
      <c r="AJ10" s="86">
        <f>budget_request2[[#This Row],[Payments08]]</f>
        <v>120000000</v>
      </c>
      <c r="AK10" s="86">
        <f>budget_request2[[#This Row],[Payments09]]</f>
        <v>120000000</v>
      </c>
      <c r="AL10" s="86">
        <f>budget_request2[[#This Row],[Payments10]]</f>
        <v>120000000</v>
      </c>
      <c r="AM10" s="36">
        <f>budget_request2[[#This Row],[Payments11]]</f>
        <v>120000000</v>
      </c>
      <c r="AN10" s="35">
        <f>budget_request2[[#This Row],[Balance00]]-budget_request2[[#This Row],[Payments01]]+budget_request2[[#This Row],[Charges01]]</f>
        <v>4680000000</v>
      </c>
      <c r="AO10" s="86">
        <f>budget_request2[[#This Row],[Balance01]]-budget_request2[[#This Row],[Payments02]]+budget_request2[[#This Row],[Charges02]]</f>
        <v>4560000000</v>
      </c>
      <c r="AP10" s="86">
        <f>budget_request2[[#This Row],[Balance02]]-budget_request2[[#This Row],[Payments03]]+budget_request2[[#This Row],[Charges03]]</f>
        <v>4440000000</v>
      </c>
      <c r="AQ10" s="86">
        <f>budget_request2[[#This Row],[Balance03]]-budget_request2[[#This Row],[Payments04]]+budget_request2[[#This Row],[Charges04]]</f>
        <v>4320000000</v>
      </c>
      <c r="AR10" s="86">
        <f>budget_request2[[#This Row],[Balance04]]-budget_request2[[#This Row],[Payments05]]+budget_request2[[#This Row],[Charges05]]</f>
        <v>4200000000</v>
      </c>
      <c r="AS10" s="86">
        <f>budget_request2[[#This Row],[Balance05]]-budget_request2[[#This Row],[Payments06]]+budget_request2[[#This Row],[Charges06]]</f>
        <v>4080000000</v>
      </c>
      <c r="AT10" s="86">
        <f>budget_request2[[#This Row],[Balance06]]-budget_request2[[#This Row],[Payments07]]+budget_request2[[#This Row],[Charges07]]</f>
        <v>3960000000</v>
      </c>
      <c r="AU10" s="86">
        <f>budget_request2[[#This Row],[Balance07]]-budget_request2[[#This Row],[Payments08]]+budget_request2[[#This Row],[Charges08]]</f>
        <v>3840000000</v>
      </c>
      <c r="AV10" s="86">
        <f>budget_request2[[#This Row],[Balance08]]-budget_request2[[#This Row],[Payments09]]+budget_request2[[#This Row],[Charges09]]</f>
        <v>3720000000</v>
      </c>
      <c r="AW10" s="86">
        <f>budget_request2[[#This Row],[Balance09]]-budget_request2[[#This Row],[Payments10]]+budget_request2[[#This Row],[Charges10]]</f>
        <v>3600000000</v>
      </c>
      <c r="AX10" s="86">
        <f>budget_request2[[#This Row],[Balance10]]-budget_request2[[#This Row],[Payments11]]+budget_request2[[#This Row],[Charges11]]</f>
        <v>3480000000</v>
      </c>
      <c r="AY10" s="36">
        <f>budget_request2[[#This Row],[Balance11]]-budget_request2[[#This Row],[Payments12]]+budget_request2[[#This Row],[Charges12]]</f>
        <v>3360000000</v>
      </c>
      <c r="AZ10" s="30" t="s">
        <v>428</v>
      </c>
      <c r="BA10" s="96"/>
      <c r="BB10" s="31" t="s">
        <v>661</v>
      </c>
      <c r="BC10" s="87">
        <v>44982.885717592595</v>
      </c>
    </row>
    <row r="11" spans="2:55" x14ac:dyDescent="0.25">
      <c r="B11" s="30">
        <v>2</v>
      </c>
      <c r="C11" s="84">
        <v>3</v>
      </c>
      <c r="D11" s="85"/>
      <c r="E11" s="30" t="s">
        <v>429</v>
      </c>
      <c r="F11" s="40" t="s">
        <v>410</v>
      </c>
      <c r="G11" s="32" t="s">
        <v>430</v>
      </c>
      <c r="H11" s="41" t="s">
        <v>423</v>
      </c>
      <c r="I11" s="42"/>
      <c r="J11" s="43" t="s">
        <v>157</v>
      </c>
      <c r="K11" s="42"/>
      <c r="L11" s="44" t="s">
        <v>159</v>
      </c>
      <c r="M11" s="35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391500000</v>
      </c>
      <c r="N11" s="36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382500000</v>
      </c>
      <c r="O11" s="37">
        <v>36750000</v>
      </c>
      <c r="P11" s="35">
        <v>36000000</v>
      </c>
      <c r="Q11" s="86">
        <v>35250000</v>
      </c>
      <c r="R11" s="86">
        <v>34500000</v>
      </c>
      <c r="S11" s="86">
        <v>33750000</v>
      </c>
      <c r="T11" s="86">
        <v>33000000</v>
      </c>
      <c r="U11" s="86">
        <v>32250000</v>
      </c>
      <c r="V11" s="86">
        <v>31500000</v>
      </c>
      <c r="W11" s="86">
        <v>30750000</v>
      </c>
      <c r="X11" s="86">
        <v>30000000</v>
      </c>
      <c r="Y11" s="86">
        <v>29250000</v>
      </c>
      <c r="Z11" s="86">
        <v>28500000</v>
      </c>
      <c r="AA11" s="36">
        <v>27750000</v>
      </c>
      <c r="AB11" s="35">
        <f>budget_request2[[#This Row],[Balance00]]</f>
        <v>36750000</v>
      </c>
      <c r="AC11" s="86">
        <f>budget_request2[[#This Row],[Charges01]]</f>
        <v>36000000</v>
      </c>
      <c r="AD11" s="86">
        <f>budget_request2[[#This Row],[Charges02]]</f>
        <v>35250000</v>
      </c>
      <c r="AE11" s="86">
        <f>budget_request2[[#This Row],[Charges03]]</f>
        <v>34500000</v>
      </c>
      <c r="AF11" s="86">
        <f>budget_request2[[#This Row],[Charges04]]</f>
        <v>33750000</v>
      </c>
      <c r="AG11" s="86">
        <f>budget_request2[[#This Row],[Charges05]]</f>
        <v>33000000</v>
      </c>
      <c r="AH11" s="86">
        <f>budget_request2[[#This Row],[Charges06]]</f>
        <v>32250000</v>
      </c>
      <c r="AI11" s="86">
        <f>budget_request2[[#This Row],[Charges07]]</f>
        <v>31500000</v>
      </c>
      <c r="AJ11" s="86">
        <f>budget_request2[[#This Row],[Charges08]]</f>
        <v>30750000</v>
      </c>
      <c r="AK11" s="86">
        <f>budget_request2[[#This Row],[Charges09]]</f>
        <v>30000000</v>
      </c>
      <c r="AL11" s="86">
        <f>budget_request2[[#This Row],[Charges10]]</f>
        <v>29250000</v>
      </c>
      <c r="AM11" s="36">
        <f>budget_request2[[#This Row],[Charges11]]</f>
        <v>28500000</v>
      </c>
      <c r="AN11" s="35">
        <f>budget_request2[[#This Row],[Balance00]]-budget_request2[[#This Row],[Payments01]]+budget_request2[[#This Row],[Charges01]]</f>
        <v>36000000</v>
      </c>
      <c r="AO11" s="86">
        <f>budget_request2[[#This Row],[Balance01]]-budget_request2[[#This Row],[Payments02]]+budget_request2[[#This Row],[Charges02]]</f>
        <v>35250000</v>
      </c>
      <c r="AP11" s="86">
        <f>budget_request2[[#This Row],[Balance02]]-budget_request2[[#This Row],[Payments03]]+budget_request2[[#This Row],[Charges03]]</f>
        <v>34500000</v>
      </c>
      <c r="AQ11" s="86">
        <f>budget_request2[[#This Row],[Balance03]]-budget_request2[[#This Row],[Payments04]]+budget_request2[[#This Row],[Charges04]]</f>
        <v>33750000</v>
      </c>
      <c r="AR11" s="86">
        <f>budget_request2[[#This Row],[Balance04]]-budget_request2[[#This Row],[Payments05]]+budget_request2[[#This Row],[Charges05]]</f>
        <v>33000000</v>
      </c>
      <c r="AS11" s="86">
        <f>budget_request2[[#This Row],[Balance05]]-budget_request2[[#This Row],[Payments06]]+budget_request2[[#This Row],[Charges06]]</f>
        <v>32250000</v>
      </c>
      <c r="AT11" s="86">
        <f>budget_request2[[#This Row],[Balance06]]-budget_request2[[#This Row],[Payments07]]+budget_request2[[#This Row],[Charges07]]</f>
        <v>31500000</v>
      </c>
      <c r="AU11" s="86">
        <f>budget_request2[[#This Row],[Balance07]]-budget_request2[[#This Row],[Payments08]]+budget_request2[[#This Row],[Charges08]]</f>
        <v>30750000</v>
      </c>
      <c r="AV11" s="86">
        <f>budget_request2[[#This Row],[Balance08]]-budget_request2[[#This Row],[Payments09]]+budget_request2[[#This Row],[Charges09]]</f>
        <v>30000000</v>
      </c>
      <c r="AW11" s="86">
        <f>budget_request2[[#This Row],[Balance09]]-budget_request2[[#This Row],[Payments10]]+budget_request2[[#This Row],[Charges10]]</f>
        <v>29250000</v>
      </c>
      <c r="AX11" s="86">
        <f>budget_request2[[#This Row],[Balance10]]-budget_request2[[#This Row],[Payments11]]+budget_request2[[#This Row],[Charges11]]</f>
        <v>28500000</v>
      </c>
      <c r="AY11" s="36">
        <f>budget_request2[[#This Row],[Balance11]]-budget_request2[[#This Row],[Payments12]]+budget_request2[[#This Row],[Charges12]]</f>
        <v>27750000</v>
      </c>
      <c r="AZ11" s="30" t="s">
        <v>431</v>
      </c>
      <c r="BA11" s="96"/>
      <c r="BB11" s="31" t="s">
        <v>661</v>
      </c>
      <c r="BC11" s="87">
        <v>44982.885717592595</v>
      </c>
    </row>
    <row r="12" spans="2:55" x14ac:dyDescent="0.25">
      <c r="B12" s="30">
        <v>3</v>
      </c>
      <c r="C12" s="84">
        <v>4</v>
      </c>
      <c r="D12" s="85"/>
      <c r="E12" s="30"/>
      <c r="F12" s="40"/>
      <c r="G12" s="32"/>
      <c r="H12" s="41"/>
      <c r="I12" s="42"/>
      <c r="J12" s="43"/>
      <c r="K12" s="42"/>
      <c r="L12" s="44"/>
      <c r="M12" s="35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0</v>
      </c>
      <c r="N12" s="36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0</v>
      </c>
      <c r="O12" s="37"/>
      <c r="P12" s="35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36"/>
      <c r="AB12" s="35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36"/>
      <c r="AN12" s="35">
        <f>budget_request2[[#This Row],[Balance00]]-budget_request2[[#This Row],[Payments01]]+budget_request2[[#This Row],[Charges01]]</f>
        <v>0</v>
      </c>
      <c r="AO12" s="86">
        <f>budget_request2[[#This Row],[Balance01]]-budget_request2[[#This Row],[Payments02]]+budget_request2[[#This Row],[Charges02]]</f>
        <v>0</v>
      </c>
      <c r="AP12" s="86">
        <f>budget_request2[[#This Row],[Balance02]]-budget_request2[[#This Row],[Payments03]]+budget_request2[[#This Row],[Charges03]]</f>
        <v>0</v>
      </c>
      <c r="AQ12" s="86">
        <f>budget_request2[[#This Row],[Balance03]]-budget_request2[[#This Row],[Payments04]]+budget_request2[[#This Row],[Charges04]]</f>
        <v>0</v>
      </c>
      <c r="AR12" s="86">
        <f>budget_request2[[#This Row],[Balance04]]-budget_request2[[#This Row],[Payments05]]+budget_request2[[#This Row],[Charges05]]</f>
        <v>0</v>
      </c>
      <c r="AS12" s="86">
        <f>budget_request2[[#This Row],[Balance05]]-budget_request2[[#This Row],[Payments06]]+budget_request2[[#This Row],[Charges06]]</f>
        <v>0</v>
      </c>
      <c r="AT12" s="86">
        <f>budget_request2[[#This Row],[Balance06]]-budget_request2[[#This Row],[Payments07]]+budget_request2[[#This Row],[Charges07]]</f>
        <v>0</v>
      </c>
      <c r="AU12" s="86">
        <f>budget_request2[[#This Row],[Balance07]]-budget_request2[[#This Row],[Payments08]]+budget_request2[[#This Row],[Charges08]]</f>
        <v>0</v>
      </c>
      <c r="AV12" s="86">
        <f>budget_request2[[#This Row],[Balance08]]-budget_request2[[#This Row],[Payments09]]+budget_request2[[#This Row],[Charges09]]</f>
        <v>0</v>
      </c>
      <c r="AW12" s="86">
        <f>budget_request2[[#This Row],[Balance09]]-budget_request2[[#This Row],[Payments10]]+budget_request2[[#This Row],[Charges10]]</f>
        <v>0</v>
      </c>
      <c r="AX12" s="86">
        <f>budget_request2[[#This Row],[Balance10]]-budget_request2[[#This Row],[Payments11]]+budget_request2[[#This Row],[Charges11]]</f>
        <v>0</v>
      </c>
      <c r="AY12" s="36">
        <f>budget_request2[[#This Row],[Balance11]]-budget_request2[[#This Row],[Payments12]]+budget_request2[[#This Row],[Charges12]]</f>
        <v>0</v>
      </c>
      <c r="AZ12" s="30"/>
      <c r="BA12" s="96"/>
      <c r="BB12" s="31" t="s">
        <v>661</v>
      </c>
      <c r="BC12" s="87">
        <v>44982.885717592595</v>
      </c>
    </row>
    <row r="13" spans="2:55" x14ac:dyDescent="0.25">
      <c r="B13" s="30">
        <v>4</v>
      </c>
      <c r="C13" s="84">
        <v>5</v>
      </c>
      <c r="D13" s="85"/>
      <c r="E13" s="30" t="s">
        <v>432</v>
      </c>
      <c r="F13" s="40" t="s">
        <v>399</v>
      </c>
      <c r="G13" s="32" t="s">
        <v>432</v>
      </c>
      <c r="H13" s="41"/>
      <c r="I13" s="42"/>
      <c r="J13" s="43" t="s">
        <v>157</v>
      </c>
      <c r="K13" s="42"/>
      <c r="L13" s="44" t="s">
        <v>159</v>
      </c>
      <c r="M13" s="35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0</v>
      </c>
      <c r="N13" s="36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540000000</v>
      </c>
      <c r="O13" s="37"/>
      <c r="P13" s="35">
        <v>45000000</v>
      </c>
      <c r="Q13" s="86">
        <f>budget_request2[[#This Row],[Charges01]]</f>
        <v>45000000</v>
      </c>
      <c r="R13" s="86">
        <f>budget_request2[[#This Row],[Charges01]]</f>
        <v>45000000</v>
      </c>
      <c r="S13" s="86">
        <f>budget_request2[[#This Row],[Charges01]]</f>
        <v>45000000</v>
      </c>
      <c r="T13" s="86">
        <f>budget_request2[[#This Row],[Charges01]]</f>
        <v>45000000</v>
      </c>
      <c r="U13" s="86">
        <f>budget_request2[[#This Row],[Charges01]]</f>
        <v>45000000</v>
      </c>
      <c r="V13" s="86">
        <f>budget_request2[[#This Row],[Charges01]]</f>
        <v>45000000</v>
      </c>
      <c r="W13" s="86">
        <f>budget_request2[[#This Row],[Charges01]]</f>
        <v>45000000</v>
      </c>
      <c r="X13" s="86">
        <f>budget_request2[[#This Row],[Charges01]]</f>
        <v>45000000</v>
      </c>
      <c r="Y13" s="86">
        <f>budget_request2[[#This Row],[Charges01]]</f>
        <v>45000000</v>
      </c>
      <c r="Z13" s="86">
        <f>budget_request2[[#This Row],[Charges01]]</f>
        <v>45000000</v>
      </c>
      <c r="AA13" s="36">
        <f>budget_request2[[#This Row],[Charges01]]</f>
        <v>45000000</v>
      </c>
      <c r="AB13" s="35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36"/>
      <c r="AN13" s="35">
        <f>budget_request2[[#This Row],[Balance00]]-budget_request2[[#This Row],[Payments01]]+budget_request2[[#This Row],[Charges01]]</f>
        <v>45000000</v>
      </c>
      <c r="AO13" s="86">
        <f>budget_request2[[#This Row],[Balance01]]-budget_request2[[#This Row],[Payments02]]+budget_request2[[#This Row],[Charges02]]</f>
        <v>90000000</v>
      </c>
      <c r="AP13" s="86">
        <f>budget_request2[[#This Row],[Balance02]]-budget_request2[[#This Row],[Payments03]]+budget_request2[[#This Row],[Charges03]]</f>
        <v>135000000</v>
      </c>
      <c r="AQ13" s="86">
        <f>budget_request2[[#This Row],[Balance03]]-budget_request2[[#This Row],[Payments04]]+budget_request2[[#This Row],[Charges04]]</f>
        <v>180000000</v>
      </c>
      <c r="AR13" s="86">
        <f>budget_request2[[#This Row],[Balance04]]-budget_request2[[#This Row],[Payments05]]+budget_request2[[#This Row],[Charges05]]</f>
        <v>225000000</v>
      </c>
      <c r="AS13" s="86">
        <f>budget_request2[[#This Row],[Balance05]]-budget_request2[[#This Row],[Payments06]]+budget_request2[[#This Row],[Charges06]]</f>
        <v>270000000</v>
      </c>
      <c r="AT13" s="86">
        <f>budget_request2[[#This Row],[Balance06]]-budget_request2[[#This Row],[Payments07]]+budget_request2[[#This Row],[Charges07]]</f>
        <v>315000000</v>
      </c>
      <c r="AU13" s="86">
        <f>budget_request2[[#This Row],[Balance07]]-budget_request2[[#This Row],[Payments08]]+budget_request2[[#This Row],[Charges08]]</f>
        <v>360000000</v>
      </c>
      <c r="AV13" s="86">
        <f>budget_request2[[#This Row],[Balance08]]-budget_request2[[#This Row],[Payments09]]+budget_request2[[#This Row],[Charges09]]</f>
        <v>405000000</v>
      </c>
      <c r="AW13" s="86">
        <f>budget_request2[[#This Row],[Balance09]]-budget_request2[[#This Row],[Payments10]]+budget_request2[[#This Row],[Charges10]]</f>
        <v>450000000</v>
      </c>
      <c r="AX13" s="86">
        <f>budget_request2[[#This Row],[Balance10]]-budget_request2[[#This Row],[Payments11]]+budget_request2[[#This Row],[Charges11]]</f>
        <v>495000000</v>
      </c>
      <c r="AY13" s="36">
        <f>budget_request2[[#This Row],[Balance11]]-budget_request2[[#This Row],[Payments12]]+budget_request2[[#This Row],[Charges12]]</f>
        <v>540000000</v>
      </c>
      <c r="AZ13" s="30" t="s">
        <v>433</v>
      </c>
      <c r="BA13" s="96"/>
      <c r="BB13" s="31" t="s">
        <v>661</v>
      </c>
      <c r="BC13" s="87">
        <v>44982.885717592595</v>
      </c>
    </row>
    <row r="14" spans="2:55" x14ac:dyDescent="0.25">
      <c r="B14" s="30">
        <v>5</v>
      </c>
      <c r="C14" s="84">
        <v>6</v>
      </c>
      <c r="D14" s="85"/>
      <c r="E14" s="30"/>
      <c r="F14" s="31"/>
      <c r="G14" s="32"/>
      <c r="H14" s="32"/>
      <c r="I14" s="33"/>
      <c r="J14" s="34"/>
      <c r="K14" s="33"/>
      <c r="L14" s="30"/>
      <c r="M14" s="35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0</v>
      </c>
      <c r="N14" s="36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0</v>
      </c>
      <c r="O14" s="37"/>
      <c r="P14" s="35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36"/>
      <c r="AB14" s="35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36"/>
      <c r="AN14" s="35">
        <f>budget_request2[[#This Row],[Balance00]]-budget_request2[[#This Row],[Payments01]]+budget_request2[[#This Row],[Charges01]]</f>
        <v>0</v>
      </c>
      <c r="AO14" s="86">
        <f>budget_request2[[#This Row],[Balance01]]-budget_request2[[#This Row],[Payments02]]+budget_request2[[#This Row],[Charges02]]</f>
        <v>0</v>
      </c>
      <c r="AP14" s="86">
        <f>budget_request2[[#This Row],[Balance02]]-budget_request2[[#This Row],[Payments03]]+budget_request2[[#This Row],[Charges03]]</f>
        <v>0</v>
      </c>
      <c r="AQ14" s="86">
        <f>budget_request2[[#This Row],[Balance03]]-budget_request2[[#This Row],[Payments04]]+budget_request2[[#This Row],[Charges04]]</f>
        <v>0</v>
      </c>
      <c r="AR14" s="86">
        <f>budget_request2[[#This Row],[Balance04]]-budget_request2[[#This Row],[Payments05]]+budget_request2[[#This Row],[Charges05]]</f>
        <v>0</v>
      </c>
      <c r="AS14" s="86">
        <f>budget_request2[[#This Row],[Balance05]]-budget_request2[[#This Row],[Payments06]]+budget_request2[[#This Row],[Charges06]]</f>
        <v>0</v>
      </c>
      <c r="AT14" s="86">
        <f>budget_request2[[#This Row],[Balance06]]-budget_request2[[#This Row],[Payments07]]+budget_request2[[#This Row],[Charges07]]</f>
        <v>0</v>
      </c>
      <c r="AU14" s="86">
        <f>budget_request2[[#This Row],[Balance07]]-budget_request2[[#This Row],[Payments08]]+budget_request2[[#This Row],[Charges08]]</f>
        <v>0</v>
      </c>
      <c r="AV14" s="86">
        <f>budget_request2[[#This Row],[Balance08]]-budget_request2[[#This Row],[Payments09]]+budget_request2[[#This Row],[Charges09]]</f>
        <v>0</v>
      </c>
      <c r="AW14" s="86">
        <f>budget_request2[[#This Row],[Balance09]]-budget_request2[[#This Row],[Payments10]]+budget_request2[[#This Row],[Charges10]]</f>
        <v>0</v>
      </c>
      <c r="AX14" s="86">
        <f>budget_request2[[#This Row],[Balance10]]-budget_request2[[#This Row],[Payments11]]+budget_request2[[#This Row],[Charges11]]</f>
        <v>0</v>
      </c>
      <c r="AY14" s="36">
        <f>budget_request2[[#This Row],[Balance11]]-budget_request2[[#This Row],[Payments12]]+budget_request2[[#This Row],[Charges12]]</f>
        <v>0</v>
      </c>
      <c r="AZ14" s="30"/>
      <c r="BA14" s="96"/>
      <c r="BB14" s="31" t="s">
        <v>661</v>
      </c>
      <c r="BC14" s="87">
        <v>44982.885717592595</v>
      </c>
    </row>
    <row r="15" spans="2:55" x14ac:dyDescent="0.25">
      <c r="B15" s="30">
        <v>6</v>
      </c>
      <c r="C15" s="84">
        <v>7</v>
      </c>
      <c r="D15" s="85"/>
      <c r="E15" s="30" t="s">
        <v>434</v>
      </c>
      <c r="F15" s="40" t="s">
        <v>405</v>
      </c>
      <c r="G15" s="32" t="s">
        <v>434</v>
      </c>
      <c r="H15" s="41" t="s">
        <v>421</v>
      </c>
      <c r="I15" s="33"/>
      <c r="J15" s="43" t="s">
        <v>157</v>
      </c>
      <c r="K15" s="42" t="s">
        <v>158</v>
      </c>
      <c r="L15" s="44" t="s">
        <v>159</v>
      </c>
      <c r="M15" s="35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216000000</v>
      </c>
      <c r="N15" s="36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216000000</v>
      </c>
      <c r="O15" s="37"/>
      <c r="P15" s="35"/>
      <c r="Q15" s="86"/>
      <c r="R15" s="86"/>
      <c r="S15" s="86"/>
      <c r="T15" s="86"/>
      <c r="U15" s="86"/>
      <c r="V15" s="86">
        <f>budget_request2[[#This Row],[Payments07]]/2</f>
        <v>108000000</v>
      </c>
      <c r="W15" s="86">
        <f>budget_request2[[#This Row],[Payments07]]-budget_request2[[#This Row],[Charges07]]</f>
        <v>108000000</v>
      </c>
      <c r="X15" s="86"/>
      <c r="Y15" s="86"/>
      <c r="Z15" s="86"/>
      <c r="AA15" s="36"/>
      <c r="AB15" s="35"/>
      <c r="AC15" s="86"/>
      <c r="AD15" s="86"/>
      <c r="AE15" s="86"/>
      <c r="AF15" s="86"/>
      <c r="AG15" s="86"/>
      <c r="AH15" s="86">
        <f>100*1800000*1.2</f>
        <v>216000000</v>
      </c>
      <c r="AI15" s="86"/>
      <c r="AJ15" s="86"/>
      <c r="AK15" s="86"/>
      <c r="AL15" s="86"/>
      <c r="AM15" s="36"/>
      <c r="AN15" s="35">
        <f>budget_request2[[#This Row],[Balance00]]-budget_request2[[#This Row],[Payments01]]+budget_request2[[#This Row],[Charges01]]</f>
        <v>0</v>
      </c>
      <c r="AO15" s="86">
        <f>budget_request2[[#This Row],[Balance01]]-budget_request2[[#This Row],[Payments02]]+budget_request2[[#This Row],[Charges02]]</f>
        <v>0</v>
      </c>
      <c r="AP15" s="86">
        <f>budget_request2[[#This Row],[Balance02]]-budget_request2[[#This Row],[Payments03]]+budget_request2[[#This Row],[Charges03]]</f>
        <v>0</v>
      </c>
      <c r="AQ15" s="86">
        <f>budget_request2[[#This Row],[Balance03]]-budget_request2[[#This Row],[Payments04]]+budget_request2[[#This Row],[Charges04]]</f>
        <v>0</v>
      </c>
      <c r="AR15" s="86">
        <f>budget_request2[[#This Row],[Balance04]]-budget_request2[[#This Row],[Payments05]]+budget_request2[[#This Row],[Charges05]]</f>
        <v>0</v>
      </c>
      <c r="AS15" s="86">
        <f>budget_request2[[#This Row],[Balance05]]-budget_request2[[#This Row],[Payments06]]+budget_request2[[#This Row],[Charges06]]</f>
        <v>0</v>
      </c>
      <c r="AT15" s="86">
        <f>budget_request2[[#This Row],[Balance06]]-budget_request2[[#This Row],[Payments07]]+budget_request2[[#This Row],[Charges07]]</f>
        <v>-108000000</v>
      </c>
      <c r="AU15" s="86">
        <f>budget_request2[[#This Row],[Balance07]]-budget_request2[[#This Row],[Payments08]]+budget_request2[[#This Row],[Charges08]]</f>
        <v>0</v>
      </c>
      <c r="AV15" s="86">
        <f>budget_request2[[#This Row],[Balance08]]-budget_request2[[#This Row],[Payments09]]+budget_request2[[#This Row],[Charges09]]</f>
        <v>0</v>
      </c>
      <c r="AW15" s="86">
        <f>budget_request2[[#This Row],[Balance09]]-budget_request2[[#This Row],[Payments10]]+budget_request2[[#This Row],[Charges10]]</f>
        <v>0</v>
      </c>
      <c r="AX15" s="86">
        <f>budget_request2[[#This Row],[Balance10]]-budget_request2[[#This Row],[Payments11]]+budget_request2[[#This Row],[Charges11]]</f>
        <v>0</v>
      </c>
      <c r="AY15" s="36">
        <f>budget_request2[[#This Row],[Balance11]]-budget_request2[[#This Row],[Payments12]]+budget_request2[[#This Row],[Charges12]]</f>
        <v>0</v>
      </c>
      <c r="AZ15" s="30" t="s">
        <v>435</v>
      </c>
      <c r="BA15" s="96"/>
      <c r="BB15" s="31" t="s">
        <v>661</v>
      </c>
      <c r="BC15" s="87">
        <v>44982.885717592595</v>
      </c>
    </row>
    <row r="16" spans="2:55" x14ac:dyDescent="0.25">
      <c r="B16" s="30">
        <v>7</v>
      </c>
      <c r="C16" s="84">
        <v>8</v>
      </c>
      <c r="D16" s="85"/>
      <c r="E16" s="30" t="s">
        <v>436</v>
      </c>
      <c r="F16" s="40" t="s">
        <v>399</v>
      </c>
      <c r="G16" s="32" t="s">
        <v>432</v>
      </c>
      <c r="H16" s="32"/>
      <c r="I16" s="33"/>
      <c r="J16" s="43" t="s">
        <v>157</v>
      </c>
      <c r="K16" s="33"/>
      <c r="L16" s="44" t="s">
        <v>159</v>
      </c>
      <c r="M16" s="35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0</v>
      </c>
      <c r="N16" s="36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3375000</v>
      </c>
      <c r="O16" s="37"/>
      <c r="P16" s="35"/>
      <c r="Q16" s="86"/>
      <c r="R16" s="86"/>
      <c r="S16" s="86"/>
      <c r="T16" s="86"/>
      <c r="U16" s="86"/>
      <c r="V16" s="86"/>
      <c r="W16" s="86">
        <v>375000</v>
      </c>
      <c r="X16" s="86">
        <v>750000</v>
      </c>
      <c r="Y16" s="86">
        <f>budget_request2[[#This Row],[Charges09]]</f>
        <v>750000</v>
      </c>
      <c r="Z16" s="86">
        <f>budget_request2[[#This Row],[Charges10]]</f>
        <v>750000</v>
      </c>
      <c r="AA16" s="36">
        <f>budget_request2[[#This Row],[Charges11]]</f>
        <v>750000</v>
      </c>
      <c r="AB16" s="35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36"/>
      <c r="AN16" s="35">
        <f>budget_request2[[#This Row],[Balance00]]-budget_request2[[#This Row],[Payments01]]+budget_request2[[#This Row],[Charges01]]</f>
        <v>0</v>
      </c>
      <c r="AO16" s="86">
        <f>budget_request2[[#This Row],[Balance01]]-budget_request2[[#This Row],[Payments02]]+budget_request2[[#This Row],[Charges02]]</f>
        <v>0</v>
      </c>
      <c r="AP16" s="86">
        <f>budget_request2[[#This Row],[Balance02]]-budget_request2[[#This Row],[Payments03]]+budget_request2[[#This Row],[Charges03]]</f>
        <v>0</v>
      </c>
      <c r="AQ16" s="86">
        <f>budget_request2[[#This Row],[Balance03]]-budget_request2[[#This Row],[Payments04]]+budget_request2[[#This Row],[Charges04]]</f>
        <v>0</v>
      </c>
      <c r="AR16" s="86">
        <f>budget_request2[[#This Row],[Balance04]]-budget_request2[[#This Row],[Payments05]]+budget_request2[[#This Row],[Charges05]]</f>
        <v>0</v>
      </c>
      <c r="AS16" s="86">
        <f>budget_request2[[#This Row],[Balance05]]-budget_request2[[#This Row],[Payments06]]+budget_request2[[#This Row],[Charges06]]</f>
        <v>0</v>
      </c>
      <c r="AT16" s="86">
        <f>budget_request2[[#This Row],[Balance06]]-budget_request2[[#This Row],[Payments07]]+budget_request2[[#This Row],[Charges07]]</f>
        <v>0</v>
      </c>
      <c r="AU16" s="86">
        <f>budget_request2[[#This Row],[Balance07]]-budget_request2[[#This Row],[Payments08]]+budget_request2[[#This Row],[Charges08]]</f>
        <v>375000</v>
      </c>
      <c r="AV16" s="86">
        <f>budget_request2[[#This Row],[Balance08]]-budget_request2[[#This Row],[Payments09]]+budget_request2[[#This Row],[Charges09]]</f>
        <v>1125000</v>
      </c>
      <c r="AW16" s="86">
        <f>budget_request2[[#This Row],[Balance09]]-budget_request2[[#This Row],[Payments10]]+budget_request2[[#This Row],[Charges10]]</f>
        <v>1875000</v>
      </c>
      <c r="AX16" s="86">
        <f>budget_request2[[#This Row],[Balance10]]-budget_request2[[#This Row],[Payments11]]+budget_request2[[#This Row],[Charges11]]</f>
        <v>2625000</v>
      </c>
      <c r="AY16" s="36">
        <f>budget_request2[[#This Row],[Balance11]]-budget_request2[[#This Row],[Payments12]]+budget_request2[[#This Row],[Charges12]]</f>
        <v>3375000</v>
      </c>
      <c r="AZ16" s="30" t="s">
        <v>437</v>
      </c>
      <c r="BA16" s="96"/>
      <c r="BB16" s="31" t="s">
        <v>661</v>
      </c>
      <c r="BC16" s="87">
        <v>44982.885717592595</v>
      </c>
    </row>
    <row r="17" spans="2:55" x14ac:dyDescent="0.25">
      <c r="B17" s="30">
        <v>8</v>
      </c>
      <c r="C17" s="84">
        <v>9</v>
      </c>
      <c r="D17" s="85"/>
      <c r="E17" s="30" t="s">
        <v>438</v>
      </c>
      <c r="F17" s="40" t="s">
        <v>400</v>
      </c>
      <c r="G17" s="32" t="s">
        <v>439</v>
      </c>
      <c r="H17" s="32"/>
      <c r="I17" s="33"/>
      <c r="J17" s="34"/>
      <c r="K17" s="33"/>
      <c r="L17" s="44" t="s">
        <v>159</v>
      </c>
      <c r="M17" s="35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0</v>
      </c>
      <c r="N17" s="36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36000000</v>
      </c>
      <c r="O17" s="37"/>
      <c r="P17" s="35"/>
      <c r="Q17" s="86"/>
      <c r="R17" s="86"/>
      <c r="S17" s="86"/>
      <c r="T17" s="86"/>
      <c r="U17" s="86"/>
      <c r="V17" s="86"/>
      <c r="W17" s="86">
        <v>18000000</v>
      </c>
      <c r="X17" s="86">
        <v>18000000</v>
      </c>
      <c r="Y17" s="86"/>
      <c r="Z17" s="86"/>
      <c r="AA17" s="36"/>
      <c r="AB17" s="35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36"/>
      <c r="AN17" s="35">
        <f>budget_request2[[#This Row],[Balance00]]-budget_request2[[#This Row],[Payments01]]+budget_request2[[#This Row],[Charges01]]</f>
        <v>0</v>
      </c>
      <c r="AO17" s="86">
        <f>budget_request2[[#This Row],[Balance01]]-budget_request2[[#This Row],[Payments02]]+budget_request2[[#This Row],[Charges02]]</f>
        <v>0</v>
      </c>
      <c r="AP17" s="86">
        <f>budget_request2[[#This Row],[Balance02]]-budget_request2[[#This Row],[Payments03]]+budget_request2[[#This Row],[Charges03]]</f>
        <v>0</v>
      </c>
      <c r="AQ17" s="86">
        <f>budget_request2[[#This Row],[Balance03]]-budget_request2[[#This Row],[Payments04]]+budget_request2[[#This Row],[Charges04]]</f>
        <v>0</v>
      </c>
      <c r="AR17" s="86">
        <f>budget_request2[[#This Row],[Balance04]]-budget_request2[[#This Row],[Payments05]]+budget_request2[[#This Row],[Charges05]]</f>
        <v>0</v>
      </c>
      <c r="AS17" s="86">
        <f>budget_request2[[#This Row],[Balance05]]-budget_request2[[#This Row],[Payments06]]+budget_request2[[#This Row],[Charges06]]</f>
        <v>0</v>
      </c>
      <c r="AT17" s="86">
        <f>budget_request2[[#This Row],[Balance06]]-budget_request2[[#This Row],[Payments07]]+budget_request2[[#This Row],[Charges07]]</f>
        <v>0</v>
      </c>
      <c r="AU17" s="86">
        <f>budget_request2[[#This Row],[Balance07]]-budget_request2[[#This Row],[Payments08]]+budget_request2[[#This Row],[Charges08]]</f>
        <v>18000000</v>
      </c>
      <c r="AV17" s="86">
        <f>budget_request2[[#This Row],[Balance08]]-budget_request2[[#This Row],[Payments09]]+budget_request2[[#This Row],[Charges09]]</f>
        <v>36000000</v>
      </c>
      <c r="AW17" s="86">
        <f>budget_request2[[#This Row],[Balance09]]-budget_request2[[#This Row],[Payments10]]+budget_request2[[#This Row],[Charges10]]</f>
        <v>36000000</v>
      </c>
      <c r="AX17" s="86">
        <f>budget_request2[[#This Row],[Balance10]]-budget_request2[[#This Row],[Payments11]]+budget_request2[[#This Row],[Charges11]]</f>
        <v>36000000</v>
      </c>
      <c r="AY17" s="36">
        <f>budget_request2[[#This Row],[Balance11]]-budget_request2[[#This Row],[Payments12]]+budget_request2[[#This Row],[Charges12]]</f>
        <v>36000000</v>
      </c>
      <c r="AZ17" s="30" t="s">
        <v>458</v>
      </c>
      <c r="BA17" s="96"/>
      <c r="BB17" s="31" t="s">
        <v>661</v>
      </c>
      <c r="BC17" s="87">
        <v>44982.885717592595</v>
      </c>
    </row>
    <row r="18" spans="2:55" x14ac:dyDescent="0.25">
      <c r="B18" s="30">
        <v>9</v>
      </c>
      <c r="C18" s="84">
        <v>10</v>
      </c>
      <c r="D18" s="85"/>
      <c r="E18" s="30"/>
      <c r="F18" s="31"/>
      <c r="G18" s="32"/>
      <c r="H18" s="32"/>
      <c r="I18" s="33"/>
      <c r="J18" s="34"/>
      <c r="K18" s="33"/>
      <c r="L18" s="30"/>
      <c r="M18" s="35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0</v>
      </c>
      <c r="N18" s="36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0</v>
      </c>
      <c r="O18" s="37"/>
      <c r="P18" s="35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36"/>
      <c r="AB18" s="35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36"/>
      <c r="AN18" s="35">
        <f>budget_request2[[#This Row],[Balance00]]-budget_request2[[#This Row],[Payments01]]+budget_request2[[#This Row],[Charges01]]</f>
        <v>0</v>
      </c>
      <c r="AO18" s="86">
        <f>budget_request2[[#This Row],[Balance01]]-budget_request2[[#This Row],[Payments02]]+budget_request2[[#This Row],[Charges02]]</f>
        <v>0</v>
      </c>
      <c r="AP18" s="86">
        <f>budget_request2[[#This Row],[Balance02]]-budget_request2[[#This Row],[Payments03]]+budget_request2[[#This Row],[Charges03]]</f>
        <v>0</v>
      </c>
      <c r="AQ18" s="86">
        <f>budget_request2[[#This Row],[Balance03]]-budget_request2[[#This Row],[Payments04]]+budget_request2[[#This Row],[Charges04]]</f>
        <v>0</v>
      </c>
      <c r="AR18" s="86">
        <f>budget_request2[[#This Row],[Balance04]]-budget_request2[[#This Row],[Payments05]]+budget_request2[[#This Row],[Charges05]]</f>
        <v>0</v>
      </c>
      <c r="AS18" s="86">
        <f>budget_request2[[#This Row],[Balance05]]-budget_request2[[#This Row],[Payments06]]+budget_request2[[#This Row],[Charges06]]</f>
        <v>0</v>
      </c>
      <c r="AT18" s="86">
        <f>budget_request2[[#This Row],[Balance06]]-budget_request2[[#This Row],[Payments07]]+budget_request2[[#This Row],[Charges07]]</f>
        <v>0</v>
      </c>
      <c r="AU18" s="86">
        <f>budget_request2[[#This Row],[Balance07]]-budget_request2[[#This Row],[Payments08]]+budget_request2[[#This Row],[Charges08]]</f>
        <v>0</v>
      </c>
      <c r="AV18" s="86">
        <f>budget_request2[[#This Row],[Balance08]]-budget_request2[[#This Row],[Payments09]]+budget_request2[[#This Row],[Charges09]]</f>
        <v>0</v>
      </c>
      <c r="AW18" s="86">
        <f>budget_request2[[#This Row],[Balance09]]-budget_request2[[#This Row],[Payments10]]+budget_request2[[#This Row],[Charges10]]</f>
        <v>0</v>
      </c>
      <c r="AX18" s="86">
        <f>budget_request2[[#This Row],[Balance10]]-budget_request2[[#This Row],[Payments11]]+budget_request2[[#This Row],[Charges11]]</f>
        <v>0</v>
      </c>
      <c r="AY18" s="36">
        <f>budget_request2[[#This Row],[Balance11]]-budget_request2[[#This Row],[Payments12]]+budget_request2[[#This Row],[Charges12]]</f>
        <v>0</v>
      </c>
      <c r="AZ18" s="30"/>
      <c r="BA18" s="96"/>
      <c r="BB18" s="31" t="s">
        <v>661</v>
      </c>
      <c r="BC18" s="87">
        <v>44982.885717592595</v>
      </c>
    </row>
    <row r="19" spans="2:55" x14ac:dyDescent="0.25">
      <c r="B19" s="30">
        <v>10</v>
      </c>
      <c r="C19" s="84">
        <v>11</v>
      </c>
      <c r="D19" s="85"/>
      <c r="E19" s="30" t="s">
        <v>440</v>
      </c>
      <c r="F19" s="40" t="s">
        <v>391</v>
      </c>
      <c r="G19" s="32" t="s">
        <v>441</v>
      </c>
      <c r="H19" s="41" t="s">
        <v>424</v>
      </c>
      <c r="I19" s="33"/>
      <c r="J19" s="43" t="s">
        <v>157</v>
      </c>
      <c r="K19" s="33"/>
      <c r="L19" s="44" t="s">
        <v>159</v>
      </c>
      <c r="M19" s="35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180000000</v>
      </c>
      <c r="N19" s="36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0</v>
      </c>
      <c r="O19" s="37"/>
      <c r="P19" s="35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36"/>
      <c r="AB19" s="35"/>
      <c r="AC19" s="86"/>
      <c r="AD19" s="86"/>
      <c r="AE19" s="86"/>
      <c r="AF19" s="86"/>
      <c r="AG19" s="86"/>
      <c r="AH19" s="86">
        <v>180000000</v>
      </c>
      <c r="AI19" s="86"/>
      <c r="AJ19" s="86"/>
      <c r="AK19" s="86"/>
      <c r="AL19" s="86"/>
      <c r="AM19" s="36"/>
      <c r="AN19" s="35">
        <f>budget_request2[[#This Row],[Balance00]]-budget_request2[[#This Row],[Payments01]]+budget_request2[[#This Row],[Charges01]]</f>
        <v>0</v>
      </c>
      <c r="AO19" s="86">
        <f>budget_request2[[#This Row],[Balance01]]-budget_request2[[#This Row],[Payments02]]+budget_request2[[#This Row],[Charges02]]</f>
        <v>0</v>
      </c>
      <c r="AP19" s="86">
        <f>budget_request2[[#This Row],[Balance02]]-budget_request2[[#This Row],[Payments03]]+budget_request2[[#This Row],[Charges03]]</f>
        <v>0</v>
      </c>
      <c r="AQ19" s="86">
        <f>budget_request2[[#This Row],[Balance03]]-budget_request2[[#This Row],[Payments04]]+budget_request2[[#This Row],[Charges04]]</f>
        <v>0</v>
      </c>
      <c r="AR19" s="86">
        <f>budget_request2[[#This Row],[Balance04]]-budget_request2[[#This Row],[Payments05]]+budget_request2[[#This Row],[Charges05]]</f>
        <v>0</v>
      </c>
      <c r="AS19" s="86">
        <f>budget_request2[[#This Row],[Balance05]]-budget_request2[[#This Row],[Payments06]]+budget_request2[[#This Row],[Charges06]]</f>
        <v>0</v>
      </c>
      <c r="AT19" s="86">
        <f>budget_request2[[#This Row],[Balance06]]-budget_request2[[#This Row],[Payments07]]+budget_request2[[#This Row],[Charges07]]</f>
        <v>-180000000</v>
      </c>
      <c r="AU19" s="86">
        <f>budget_request2[[#This Row],[Balance07]]-budget_request2[[#This Row],[Payments08]]+budget_request2[[#This Row],[Charges08]]</f>
        <v>-180000000</v>
      </c>
      <c r="AV19" s="86">
        <f>budget_request2[[#This Row],[Balance08]]-budget_request2[[#This Row],[Payments09]]+budget_request2[[#This Row],[Charges09]]</f>
        <v>-180000000</v>
      </c>
      <c r="AW19" s="86">
        <f>budget_request2[[#This Row],[Balance09]]-budget_request2[[#This Row],[Payments10]]+budget_request2[[#This Row],[Charges10]]</f>
        <v>-180000000</v>
      </c>
      <c r="AX19" s="86">
        <f>budget_request2[[#This Row],[Balance10]]-budget_request2[[#This Row],[Payments11]]+budget_request2[[#This Row],[Charges11]]</f>
        <v>-180000000</v>
      </c>
      <c r="AY19" s="36">
        <f>budget_request2[[#This Row],[Balance11]]-budget_request2[[#This Row],[Payments12]]+budget_request2[[#This Row],[Charges12]]</f>
        <v>-180000000</v>
      </c>
      <c r="AZ19" s="30"/>
      <c r="BA19" s="96"/>
      <c r="BB19" s="31" t="s">
        <v>661</v>
      </c>
      <c r="BC19" s="87">
        <v>44982.885717592595</v>
      </c>
    </row>
    <row r="20" spans="2:55" x14ac:dyDescent="0.25">
      <c r="B20" s="30">
        <v>11</v>
      </c>
      <c r="C20" s="84">
        <v>12</v>
      </c>
      <c r="D20" s="85"/>
      <c r="E20" s="30" t="s">
        <v>426</v>
      </c>
      <c r="F20" s="40" t="s">
        <v>408</v>
      </c>
      <c r="G20" s="32" t="s">
        <v>427</v>
      </c>
      <c r="H20" s="41" t="s">
        <v>424</v>
      </c>
      <c r="I20" s="33"/>
      <c r="J20" s="43" t="s">
        <v>157</v>
      </c>
      <c r="K20" s="33"/>
      <c r="L20" s="44" t="s">
        <v>159</v>
      </c>
      <c r="M20" s="35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15000000</v>
      </c>
      <c r="N20" s="36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0</v>
      </c>
      <c r="O20" s="37"/>
      <c r="P20" s="35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36"/>
      <c r="AB20" s="35"/>
      <c r="AC20" s="86"/>
      <c r="AD20" s="86"/>
      <c r="AE20" s="86"/>
      <c r="AF20" s="86"/>
      <c r="AG20" s="86"/>
      <c r="AH20" s="86"/>
      <c r="AI20" s="86">
        <v>3000000</v>
      </c>
      <c r="AJ20" s="86">
        <f>budget_request2[[#This Row],[Payments08]]</f>
        <v>3000000</v>
      </c>
      <c r="AK20" s="86">
        <f>budget_request2[[#This Row],[Payments09]]</f>
        <v>3000000</v>
      </c>
      <c r="AL20" s="86">
        <f>budget_request2[[#This Row],[Payments10]]</f>
        <v>3000000</v>
      </c>
      <c r="AM20" s="36">
        <f>budget_request2[[#This Row],[Payments11]]</f>
        <v>3000000</v>
      </c>
      <c r="AN20" s="35">
        <f>budget_request2[[#This Row],[Balance00]]-budget_request2[[#This Row],[Payments01]]+budget_request2[[#This Row],[Charges01]]</f>
        <v>0</v>
      </c>
      <c r="AO20" s="86">
        <f>budget_request2[[#This Row],[Balance01]]-budget_request2[[#This Row],[Payments02]]+budget_request2[[#This Row],[Charges02]]</f>
        <v>0</v>
      </c>
      <c r="AP20" s="86">
        <f>budget_request2[[#This Row],[Balance02]]-budget_request2[[#This Row],[Payments03]]+budget_request2[[#This Row],[Charges03]]</f>
        <v>0</v>
      </c>
      <c r="AQ20" s="86">
        <f>budget_request2[[#This Row],[Balance03]]-budget_request2[[#This Row],[Payments04]]+budget_request2[[#This Row],[Charges04]]</f>
        <v>0</v>
      </c>
      <c r="AR20" s="86">
        <f>budget_request2[[#This Row],[Balance04]]-budget_request2[[#This Row],[Payments05]]+budget_request2[[#This Row],[Charges05]]</f>
        <v>0</v>
      </c>
      <c r="AS20" s="86">
        <f>budget_request2[[#This Row],[Balance05]]-budget_request2[[#This Row],[Payments06]]+budget_request2[[#This Row],[Charges06]]</f>
        <v>0</v>
      </c>
      <c r="AT20" s="86">
        <f>budget_request2[[#This Row],[Balance06]]-budget_request2[[#This Row],[Payments07]]+budget_request2[[#This Row],[Charges07]]</f>
        <v>0</v>
      </c>
      <c r="AU20" s="86">
        <f>budget_request2[[#This Row],[Balance07]]-budget_request2[[#This Row],[Payments08]]+budget_request2[[#This Row],[Charges08]]</f>
        <v>-3000000</v>
      </c>
      <c r="AV20" s="86">
        <f>budget_request2[[#This Row],[Balance08]]-budget_request2[[#This Row],[Payments09]]+budget_request2[[#This Row],[Charges09]]</f>
        <v>-6000000</v>
      </c>
      <c r="AW20" s="86">
        <f>budget_request2[[#This Row],[Balance09]]-budget_request2[[#This Row],[Payments10]]+budget_request2[[#This Row],[Charges10]]</f>
        <v>-9000000</v>
      </c>
      <c r="AX20" s="86">
        <f>budget_request2[[#This Row],[Balance10]]-budget_request2[[#This Row],[Payments11]]+budget_request2[[#This Row],[Charges11]]</f>
        <v>-12000000</v>
      </c>
      <c r="AY20" s="36">
        <f>budget_request2[[#This Row],[Balance11]]-budget_request2[[#This Row],[Payments12]]+budget_request2[[#This Row],[Charges12]]</f>
        <v>-15000000</v>
      </c>
      <c r="AZ20" s="30" t="s">
        <v>442</v>
      </c>
      <c r="BA20" s="96"/>
      <c r="BB20" s="31" t="s">
        <v>661</v>
      </c>
      <c r="BC20" s="87">
        <v>44982.885717592595</v>
      </c>
    </row>
    <row r="21" spans="2:55" x14ac:dyDescent="0.25">
      <c r="B21" s="30">
        <v>12</v>
      </c>
      <c r="C21" s="84">
        <v>13</v>
      </c>
      <c r="D21" s="85"/>
      <c r="E21" s="30" t="s">
        <v>429</v>
      </c>
      <c r="F21" s="40" t="s">
        <v>410</v>
      </c>
      <c r="G21" s="32" t="s">
        <v>430</v>
      </c>
      <c r="H21" s="41" t="s">
        <v>424</v>
      </c>
      <c r="I21" s="33"/>
      <c r="J21" s="43" t="s">
        <v>157</v>
      </c>
      <c r="K21" s="33"/>
      <c r="L21" s="44" t="s">
        <v>159</v>
      </c>
      <c r="M21" s="35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6525000</v>
      </c>
      <c r="N21" s="36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7762500</v>
      </c>
      <c r="O21" s="37"/>
      <c r="P21" s="35"/>
      <c r="Q21" s="86"/>
      <c r="R21" s="86"/>
      <c r="S21" s="86"/>
      <c r="T21" s="86"/>
      <c r="U21" s="86"/>
      <c r="V21" s="86">
        <v>1350000</v>
      </c>
      <c r="W21" s="86">
        <v>1327500</v>
      </c>
      <c r="X21" s="86">
        <v>1305000</v>
      </c>
      <c r="Y21" s="86">
        <v>1282500</v>
      </c>
      <c r="Z21" s="86">
        <v>1260000</v>
      </c>
      <c r="AA21" s="36">
        <v>1237500</v>
      </c>
      <c r="AB21" s="35"/>
      <c r="AC21" s="86">
        <f>budget_request2[[#This Row],[Charges01]]</f>
        <v>0</v>
      </c>
      <c r="AD21" s="86">
        <f>AC21</f>
        <v>0</v>
      </c>
      <c r="AE21" s="86">
        <f>AD21</f>
        <v>0</v>
      </c>
      <c r="AF21" s="86">
        <f>AE21</f>
        <v>0</v>
      </c>
      <c r="AG21" s="86">
        <f>AF21</f>
        <v>0</v>
      </c>
      <c r="AH21" s="86"/>
      <c r="AI21" s="86">
        <f>budget_request2[[#This Row],[Charges07]]</f>
        <v>1350000</v>
      </c>
      <c r="AJ21" s="86">
        <f>budget_request2[[#This Row],[Charges08]]</f>
        <v>1327500</v>
      </c>
      <c r="AK21" s="86">
        <f>budget_request2[[#This Row],[Charges09]]</f>
        <v>1305000</v>
      </c>
      <c r="AL21" s="86">
        <f>budget_request2[[#This Row],[Charges10]]</f>
        <v>1282500</v>
      </c>
      <c r="AM21" s="36">
        <f>budget_request2[[#This Row],[Charges11]]</f>
        <v>1260000</v>
      </c>
      <c r="AN21" s="35">
        <f>budget_request2[[#This Row],[Balance00]]-budget_request2[[#This Row],[Payments01]]+budget_request2[[#This Row],[Charges01]]</f>
        <v>0</v>
      </c>
      <c r="AO21" s="86">
        <f>budget_request2[[#This Row],[Balance01]]-budget_request2[[#This Row],[Payments02]]+budget_request2[[#This Row],[Charges02]]</f>
        <v>0</v>
      </c>
      <c r="AP21" s="86">
        <f>budget_request2[[#This Row],[Balance02]]-budget_request2[[#This Row],[Payments03]]+budget_request2[[#This Row],[Charges03]]</f>
        <v>0</v>
      </c>
      <c r="AQ21" s="86">
        <f>budget_request2[[#This Row],[Balance03]]-budget_request2[[#This Row],[Payments04]]+budget_request2[[#This Row],[Charges04]]</f>
        <v>0</v>
      </c>
      <c r="AR21" s="86">
        <f>budget_request2[[#This Row],[Balance04]]-budget_request2[[#This Row],[Payments05]]+budget_request2[[#This Row],[Charges05]]</f>
        <v>0</v>
      </c>
      <c r="AS21" s="86">
        <f>budget_request2[[#This Row],[Balance05]]-budget_request2[[#This Row],[Payments06]]+budget_request2[[#This Row],[Charges06]]</f>
        <v>0</v>
      </c>
      <c r="AT21" s="86">
        <f>budget_request2[[#This Row],[Balance06]]-budget_request2[[#This Row],[Payments07]]+budget_request2[[#This Row],[Charges07]]</f>
        <v>1350000</v>
      </c>
      <c r="AU21" s="86">
        <f>budget_request2[[#This Row],[Balance07]]-budget_request2[[#This Row],[Payments08]]+budget_request2[[#This Row],[Charges08]]</f>
        <v>1327500</v>
      </c>
      <c r="AV21" s="86">
        <f>budget_request2[[#This Row],[Balance08]]-budget_request2[[#This Row],[Payments09]]+budget_request2[[#This Row],[Charges09]]</f>
        <v>1305000</v>
      </c>
      <c r="AW21" s="86">
        <f>budget_request2[[#This Row],[Balance09]]-budget_request2[[#This Row],[Payments10]]+budget_request2[[#This Row],[Charges10]]</f>
        <v>1282500</v>
      </c>
      <c r="AX21" s="86">
        <f>budget_request2[[#This Row],[Balance10]]-budget_request2[[#This Row],[Payments11]]+budget_request2[[#This Row],[Charges11]]</f>
        <v>1260000</v>
      </c>
      <c r="AY21" s="36">
        <f>budget_request2[[#This Row],[Balance11]]-budget_request2[[#This Row],[Payments12]]+budget_request2[[#This Row],[Charges12]]</f>
        <v>1237500</v>
      </c>
      <c r="AZ21" s="30" t="s">
        <v>443</v>
      </c>
      <c r="BA21" s="96"/>
      <c r="BB21" s="31" t="s">
        <v>661</v>
      </c>
      <c r="BC21" s="87">
        <v>44982.885717592595</v>
      </c>
    </row>
    <row r="22" spans="2:55" x14ac:dyDescent="0.25">
      <c r="B22" s="30">
        <v>13</v>
      </c>
      <c r="C22" s="84">
        <v>14</v>
      </c>
      <c r="D22" s="85"/>
      <c r="E22" s="30"/>
      <c r="F22" s="31"/>
      <c r="G22" s="32"/>
      <c r="H22" s="32"/>
      <c r="I22" s="33"/>
      <c r="J22" s="34"/>
      <c r="K22" s="33"/>
      <c r="L22" s="30"/>
      <c r="M22" s="35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0</v>
      </c>
      <c r="N22" s="36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0</v>
      </c>
      <c r="O22" s="37"/>
      <c r="P22" s="35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36"/>
      <c r="AB22" s="35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36"/>
      <c r="AN22" s="35">
        <f>budget_request2[[#This Row],[Balance00]]-budget_request2[[#This Row],[Payments01]]+budget_request2[[#This Row],[Charges01]]</f>
        <v>0</v>
      </c>
      <c r="AO22" s="86">
        <f>budget_request2[[#This Row],[Balance01]]-budget_request2[[#This Row],[Payments02]]+budget_request2[[#This Row],[Charges02]]</f>
        <v>0</v>
      </c>
      <c r="AP22" s="86">
        <f>budget_request2[[#This Row],[Balance02]]-budget_request2[[#This Row],[Payments03]]+budget_request2[[#This Row],[Charges03]]</f>
        <v>0</v>
      </c>
      <c r="AQ22" s="86">
        <f>budget_request2[[#This Row],[Balance03]]-budget_request2[[#This Row],[Payments04]]+budget_request2[[#This Row],[Charges04]]</f>
        <v>0</v>
      </c>
      <c r="AR22" s="86">
        <f>budget_request2[[#This Row],[Balance04]]-budget_request2[[#This Row],[Payments05]]+budget_request2[[#This Row],[Charges05]]</f>
        <v>0</v>
      </c>
      <c r="AS22" s="86">
        <f>budget_request2[[#This Row],[Balance05]]-budget_request2[[#This Row],[Payments06]]+budget_request2[[#This Row],[Charges06]]</f>
        <v>0</v>
      </c>
      <c r="AT22" s="86">
        <f>budget_request2[[#This Row],[Balance06]]-budget_request2[[#This Row],[Payments07]]+budget_request2[[#This Row],[Charges07]]</f>
        <v>0</v>
      </c>
      <c r="AU22" s="86">
        <f>budget_request2[[#This Row],[Balance07]]-budget_request2[[#This Row],[Payments08]]+budget_request2[[#This Row],[Charges08]]</f>
        <v>0</v>
      </c>
      <c r="AV22" s="86">
        <f>budget_request2[[#This Row],[Balance08]]-budget_request2[[#This Row],[Payments09]]+budget_request2[[#This Row],[Charges09]]</f>
        <v>0</v>
      </c>
      <c r="AW22" s="86">
        <f>budget_request2[[#This Row],[Balance09]]-budget_request2[[#This Row],[Payments10]]+budget_request2[[#This Row],[Charges10]]</f>
        <v>0</v>
      </c>
      <c r="AX22" s="86">
        <f>budget_request2[[#This Row],[Balance10]]-budget_request2[[#This Row],[Payments11]]+budget_request2[[#This Row],[Charges11]]</f>
        <v>0</v>
      </c>
      <c r="AY22" s="36">
        <f>budget_request2[[#This Row],[Balance11]]-budget_request2[[#This Row],[Payments12]]+budget_request2[[#This Row],[Charges12]]</f>
        <v>0</v>
      </c>
      <c r="AZ22" s="30"/>
      <c r="BA22" s="96"/>
      <c r="BB22" s="31" t="s">
        <v>661</v>
      </c>
      <c r="BC22" s="87">
        <v>44982.885717592595</v>
      </c>
    </row>
    <row r="23" spans="2:55" x14ac:dyDescent="0.25">
      <c r="B23" s="30">
        <v>14</v>
      </c>
      <c r="C23" s="84">
        <v>15</v>
      </c>
      <c r="D23" s="85"/>
      <c r="E23" s="30" t="s">
        <v>444</v>
      </c>
      <c r="F23" s="40" t="s">
        <v>390</v>
      </c>
      <c r="G23" s="32" t="s">
        <v>445</v>
      </c>
      <c r="H23" s="41" t="s">
        <v>425</v>
      </c>
      <c r="I23" s="33"/>
      <c r="J23" s="43" t="s">
        <v>157</v>
      </c>
      <c r="K23" s="33"/>
      <c r="L23" s="44" t="s">
        <v>159</v>
      </c>
      <c r="M23" s="35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36000000</v>
      </c>
      <c r="N23" s="36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0</v>
      </c>
      <c r="O23" s="37"/>
      <c r="P23" s="35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36"/>
      <c r="AB23" s="35"/>
      <c r="AC23" s="86"/>
      <c r="AD23" s="86"/>
      <c r="AE23" s="86"/>
      <c r="AF23" s="86"/>
      <c r="AG23" s="86"/>
      <c r="AH23" s="86">
        <v>36000000</v>
      </c>
      <c r="AI23" s="86"/>
      <c r="AJ23" s="86"/>
      <c r="AK23" s="86"/>
      <c r="AL23" s="86"/>
      <c r="AM23" s="36"/>
      <c r="AN23" s="35">
        <f>budget_request2[[#This Row],[Balance00]]-budget_request2[[#This Row],[Payments01]]+budget_request2[[#This Row],[Charges01]]</f>
        <v>0</v>
      </c>
      <c r="AO23" s="86">
        <f>budget_request2[[#This Row],[Balance01]]-budget_request2[[#This Row],[Payments02]]+budget_request2[[#This Row],[Charges02]]</f>
        <v>0</v>
      </c>
      <c r="AP23" s="86">
        <f>budget_request2[[#This Row],[Balance02]]-budget_request2[[#This Row],[Payments03]]+budget_request2[[#This Row],[Charges03]]</f>
        <v>0</v>
      </c>
      <c r="AQ23" s="86">
        <f>budget_request2[[#This Row],[Balance03]]-budget_request2[[#This Row],[Payments04]]+budget_request2[[#This Row],[Charges04]]</f>
        <v>0</v>
      </c>
      <c r="AR23" s="86">
        <f>budget_request2[[#This Row],[Balance04]]-budget_request2[[#This Row],[Payments05]]+budget_request2[[#This Row],[Charges05]]</f>
        <v>0</v>
      </c>
      <c r="AS23" s="86">
        <f>budget_request2[[#This Row],[Balance05]]-budget_request2[[#This Row],[Payments06]]+budget_request2[[#This Row],[Charges06]]</f>
        <v>0</v>
      </c>
      <c r="AT23" s="86">
        <f>budget_request2[[#This Row],[Balance06]]-budget_request2[[#This Row],[Payments07]]+budget_request2[[#This Row],[Charges07]]</f>
        <v>-36000000</v>
      </c>
      <c r="AU23" s="86">
        <f>budget_request2[[#This Row],[Balance07]]-budget_request2[[#This Row],[Payments08]]+budget_request2[[#This Row],[Charges08]]</f>
        <v>-36000000</v>
      </c>
      <c r="AV23" s="86">
        <f>budget_request2[[#This Row],[Balance08]]-budget_request2[[#This Row],[Payments09]]+budget_request2[[#This Row],[Charges09]]</f>
        <v>-36000000</v>
      </c>
      <c r="AW23" s="86">
        <f>budget_request2[[#This Row],[Balance09]]-budget_request2[[#This Row],[Payments10]]+budget_request2[[#This Row],[Charges10]]</f>
        <v>-36000000</v>
      </c>
      <c r="AX23" s="86">
        <f>budget_request2[[#This Row],[Balance10]]-budget_request2[[#This Row],[Payments11]]+budget_request2[[#This Row],[Charges11]]</f>
        <v>-36000000</v>
      </c>
      <c r="AY23" s="36">
        <f>budget_request2[[#This Row],[Balance11]]-budget_request2[[#This Row],[Payments12]]+budget_request2[[#This Row],[Charges12]]</f>
        <v>-36000000</v>
      </c>
      <c r="AZ23" s="30"/>
      <c r="BA23" s="96"/>
      <c r="BB23" s="31" t="s">
        <v>661</v>
      </c>
      <c r="BC23" s="87">
        <v>44982.885717592595</v>
      </c>
    </row>
    <row r="24" spans="2:55" x14ac:dyDescent="0.25">
      <c r="B24" s="30">
        <v>15</v>
      </c>
      <c r="C24" s="84">
        <v>16</v>
      </c>
      <c r="D24" s="85"/>
      <c r="E24" s="30" t="s">
        <v>446</v>
      </c>
      <c r="F24" s="40" t="s">
        <v>407</v>
      </c>
      <c r="G24" s="32" t="s">
        <v>447</v>
      </c>
      <c r="H24" s="41" t="s">
        <v>425</v>
      </c>
      <c r="I24" s="33"/>
      <c r="J24" s="43" t="s">
        <v>157</v>
      </c>
      <c r="K24" s="33"/>
      <c r="L24" s="44" t="s">
        <v>159</v>
      </c>
      <c r="M24" s="35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36000000</v>
      </c>
      <c r="N24" s="36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0</v>
      </c>
      <c r="O24" s="37"/>
      <c r="P24" s="35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36"/>
      <c r="AB24" s="35"/>
      <c r="AC24" s="86"/>
      <c r="AD24" s="86"/>
      <c r="AE24" s="86"/>
      <c r="AF24" s="86"/>
      <c r="AG24" s="86"/>
      <c r="AH24" s="86"/>
      <c r="AI24" s="86"/>
      <c r="AJ24" s="86">
        <v>36000000</v>
      </c>
      <c r="AK24" s="86"/>
      <c r="AL24" s="86"/>
      <c r="AM24" s="36"/>
      <c r="AN24" s="35">
        <f>budget_request2[[#This Row],[Balance00]]-budget_request2[[#This Row],[Payments01]]+budget_request2[[#This Row],[Charges01]]</f>
        <v>0</v>
      </c>
      <c r="AO24" s="86">
        <f>budget_request2[[#This Row],[Balance01]]-budget_request2[[#This Row],[Payments02]]+budget_request2[[#This Row],[Charges02]]</f>
        <v>0</v>
      </c>
      <c r="AP24" s="86">
        <f>budget_request2[[#This Row],[Balance02]]-budget_request2[[#This Row],[Payments03]]+budget_request2[[#This Row],[Charges03]]</f>
        <v>0</v>
      </c>
      <c r="AQ24" s="86">
        <f>budget_request2[[#This Row],[Balance03]]-budget_request2[[#This Row],[Payments04]]+budget_request2[[#This Row],[Charges04]]</f>
        <v>0</v>
      </c>
      <c r="AR24" s="86">
        <f>budget_request2[[#This Row],[Balance04]]-budget_request2[[#This Row],[Payments05]]+budget_request2[[#This Row],[Charges05]]</f>
        <v>0</v>
      </c>
      <c r="AS24" s="86">
        <f>budget_request2[[#This Row],[Balance05]]-budget_request2[[#This Row],[Payments06]]+budget_request2[[#This Row],[Charges06]]</f>
        <v>0</v>
      </c>
      <c r="AT24" s="86">
        <f>budget_request2[[#This Row],[Balance06]]-budget_request2[[#This Row],[Payments07]]+budget_request2[[#This Row],[Charges07]]</f>
        <v>0</v>
      </c>
      <c r="AU24" s="86">
        <f>budget_request2[[#This Row],[Balance07]]-budget_request2[[#This Row],[Payments08]]+budget_request2[[#This Row],[Charges08]]</f>
        <v>0</v>
      </c>
      <c r="AV24" s="86">
        <f>budget_request2[[#This Row],[Balance08]]-budget_request2[[#This Row],[Payments09]]+budget_request2[[#This Row],[Charges09]]</f>
        <v>-36000000</v>
      </c>
      <c r="AW24" s="86">
        <f>budget_request2[[#This Row],[Balance09]]-budget_request2[[#This Row],[Payments10]]+budget_request2[[#This Row],[Charges10]]</f>
        <v>-36000000</v>
      </c>
      <c r="AX24" s="86">
        <f>budget_request2[[#This Row],[Balance10]]-budget_request2[[#This Row],[Payments11]]+budget_request2[[#This Row],[Charges11]]</f>
        <v>-36000000</v>
      </c>
      <c r="AY24" s="36">
        <f>budget_request2[[#This Row],[Balance11]]-budget_request2[[#This Row],[Payments12]]+budget_request2[[#This Row],[Charges12]]</f>
        <v>-36000000</v>
      </c>
      <c r="AZ24" s="30"/>
      <c r="BA24" s="96"/>
      <c r="BB24" s="31" t="s">
        <v>661</v>
      </c>
      <c r="BC24" s="87">
        <v>44982.885717592595</v>
      </c>
    </row>
    <row r="25" spans="2:55" x14ac:dyDescent="0.25">
      <c r="B25" s="30">
        <v>16</v>
      </c>
      <c r="C25" s="84">
        <v>17</v>
      </c>
      <c r="D25" s="85"/>
      <c r="E25" s="30" t="s">
        <v>448</v>
      </c>
      <c r="F25" s="40" t="s">
        <v>409</v>
      </c>
      <c r="G25" s="32" t="s">
        <v>449</v>
      </c>
      <c r="H25" s="41" t="s">
        <v>425</v>
      </c>
      <c r="I25" s="33"/>
      <c r="J25" s="43" t="s">
        <v>157</v>
      </c>
      <c r="K25" s="33"/>
      <c r="L25" s="44" t="s">
        <v>159</v>
      </c>
      <c r="M25" s="35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360000</v>
      </c>
      <c r="N25" s="36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360000</v>
      </c>
      <c r="O25" s="37"/>
      <c r="P25" s="35"/>
      <c r="Q25" s="86"/>
      <c r="R25" s="86"/>
      <c r="S25" s="86"/>
      <c r="T25" s="86"/>
      <c r="U25" s="86"/>
      <c r="V25" s="86">
        <v>120000</v>
      </c>
      <c r="W25" s="86">
        <v>120000</v>
      </c>
      <c r="X25" s="86">
        <v>120000</v>
      </c>
      <c r="Y25" s="86"/>
      <c r="Z25" s="86"/>
      <c r="AA25" s="36"/>
      <c r="AB25" s="35"/>
      <c r="AC25" s="86"/>
      <c r="AD25" s="86"/>
      <c r="AE25" s="86"/>
      <c r="AF25" s="86"/>
      <c r="AG25" s="86"/>
      <c r="AH25" s="86"/>
      <c r="AI25" s="86"/>
      <c r="AJ25" s="86">
        <v>360000</v>
      </c>
      <c r="AK25" s="86"/>
      <c r="AL25" s="86"/>
      <c r="AM25" s="36"/>
      <c r="AN25" s="35">
        <f>budget_request2[[#This Row],[Balance00]]-budget_request2[[#This Row],[Payments01]]+budget_request2[[#This Row],[Charges01]]</f>
        <v>0</v>
      </c>
      <c r="AO25" s="86">
        <f>budget_request2[[#This Row],[Balance01]]-budget_request2[[#This Row],[Payments02]]+budget_request2[[#This Row],[Charges02]]</f>
        <v>0</v>
      </c>
      <c r="AP25" s="86">
        <f>budget_request2[[#This Row],[Balance02]]-budget_request2[[#This Row],[Payments03]]+budget_request2[[#This Row],[Charges03]]</f>
        <v>0</v>
      </c>
      <c r="AQ25" s="86">
        <f>budget_request2[[#This Row],[Balance03]]-budget_request2[[#This Row],[Payments04]]+budget_request2[[#This Row],[Charges04]]</f>
        <v>0</v>
      </c>
      <c r="AR25" s="86">
        <f>budget_request2[[#This Row],[Balance04]]-budget_request2[[#This Row],[Payments05]]+budget_request2[[#This Row],[Charges05]]</f>
        <v>0</v>
      </c>
      <c r="AS25" s="86">
        <f>budget_request2[[#This Row],[Balance05]]-budget_request2[[#This Row],[Payments06]]+budget_request2[[#This Row],[Charges06]]</f>
        <v>0</v>
      </c>
      <c r="AT25" s="86">
        <f>budget_request2[[#This Row],[Balance06]]-budget_request2[[#This Row],[Payments07]]+budget_request2[[#This Row],[Charges07]]</f>
        <v>120000</v>
      </c>
      <c r="AU25" s="86">
        <f>budget_request2[[#This Row],[Balance07]]-budget_request2[[#This Row],[Payments08]]+budget_request2[[#This Row],[Charges08]]</f>
        <v>240000</v>
      </c>
      <c r="AV25" s="86">
        <f>budget_request2[[#This Row],[Balance08]]-budget_request2[[#This Row],[Payments09]]+budget_request2[[#This Row],[Charges09]]</f>
        <v>0</v>
      </c>
      <c r="AW25" s="86">
        <f>budget_request2[[#This Row],[Balance09]]-budget_request2[[#This Row],[Payments10]]+budget_request2[[#This Row],[Charges10]]</f>
        <v>0</v>
      </c>
      <c r="AX25" s="86">
        <f>budget_request2[[#This Row],[Balance10]]-budget_request2[[#This Row],[Payments11]]+budget_request2[[#This Row],[Charges11]]</f>
        <v>0</v>
      </c>
      <c r="AY25" s="36">
        <f>budget_request2[[#This Row],[Balance11]]-budget_request2[[#This Row],[Payments12]]+budget_request2[[#This Row],[Charges12]]</f>
        <v>0</v>
      </c>
      <c r="AZ25" s="30"/>
      <c r="BA25" s="96"/>
      <c r="BB25" s="31" t="s">
        <v>661</v>
      </c>
      <c r="BC25" s="87">
        <v>44982.885717592595</v>
      </c>
    </row>
    <row r="26" spans="2:55" x14ac:dyDescent="0.25">
      <c r="B26" s="30">
        <v>17</v>
      </c>
      <c r="C26" s="84">
        <v>18</v>
      </c>
      <c r="D26" s="85"/>
      <c r="E26" s="30"/>
      <c r="F26" s="31"/>
      <c r="G26" s="32"/>
      <c r="H26" s="32"/>
      <c r="I26" s="33"/>
      <c r="J26" s="34"/>
      <c r="K26" s="33"/>
      <c r="L26" s="30"/>
      <c r="M26" s="35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0</v>
      </c>
      <c r="N26" s="36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0</v>
      </c>
      <c r="O26" s="37"/>
      <c r="P26" s="35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36"/>
      <c r="AB26" s="35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36"/>
      <c r="AN26" s="35">
        <f>budget_request2[[#This Row],[Balance00]]-budget_request2[[#This Row],[Payments01]]+budget_request2[[#This Row],[Charges01]]</f>
        <v>0</v>
      </c>
      <c r="AO26" s="86">
        <f>budget_request2[[#This Row],[Balance01]]-budget_request2[[#This Row],[Payments02]]+budget_request2[[#This Row],[Charges02]]</f>
        <v>0</v>
      </c>
      <c r="AP26" s="86">
        <f>budget_request2[[#This Row],[Balance02]]-budget_request2[[#This Row],[Payments03]]+budget_request2[[#This Row],[Charges03]]</f>
        <v>0</v>
      </c>
      <c r="AQ26" s="86">
        <f>budget_request2[[#This Row],[Balance03]]-budget_request2[[#This Row],[Payments04]]+budget_request2[[#This Row],[Charges04]]</f>
        <v>0</v>
      </c>
      <c r="AR26" s="86">
        <f>budget_request2[[#This Row],[Balance04]]-budget_request2[[#This Row],[Payments05]]+budget_request2[[#This Row],[Charges05]]</f>
        <v>0</v>
      </c>
      <c r="AS26" s="86">
        <f>budget_request2[[#This Row],[Balance05]]-budget_request2[[#This Row],[Payments06]]+budget_request2[[#This Row],[Charges06]]</f>
        <v>0</v>
      </c>
      <c r="AT26" s="86">
        <f>budget_request2[[#This Row],[Balance06]]-budget_request2[[#This Row],[Payments07]]+budget_request2[[#This Row],[Charges07]]</f>
        <v>0</v>
      </c>
      <c r="AU26" s="86">
        <f>budget_request2[[#This Row],[Balance07]]-budget_request2[[#This Row],[Payments08]]+budget_request2[[#This Row],[Charges08]]</f>
        <v>0</v>
      </c>
      <c r="AV26" s="86">
        <f>budget_request2[[#This Row],[Balance08]]-budget_request2[[#This Row],[Payments09]]+budget_request2[[#This Row],[Charges09]]</f>
        <v>0</v>
      </c>
      <c r="AW26" s="86">
        <f>budget_request2[[#This Row],[Balance09]]-budget_request2[[#This Row],[Payments10]]+budget_request2[[#This Row],[Charges10]]</f>
        <v>0</v>
      </c>
      <c r="AX26" s="86">
        <f>budget_request2[[#This Row],[Balance10]]-budget_request2[[#This Row],[Payments11]]+budget_request2[[#This Row],[Charges11]]</f>
        <v>0</v>
      </c>
      <c r="AY26" s="36">
        <f>budget_request2[[#This Row],[Balance11]]-budget_request2[[#This Row],[Payments12]]+budget_request2[[#This Row],[Charges12]]</f>
        <v>0</v>
      </c>
      <c r="AZ26" s="30"/>
      <c r="BA26" s="96"/>
      <c r="BB26" s="31" t="s">
        <v>661</v>
      </c>
      <c r="BC26" s="87">
        <v>44982.885717592595</v>
      </c>
    </row>
    <row r="27" spans="2:55" x14ac:dyDescent="0.25">
      <c r="B27" s="30">
        <v>18</v>
      </c>
      <c r="C27" s="84">
        <v>19</v>
      </c>
      <c r="D27" s="85"/>
      <c r="E27" s="30" t="s">
        <v>450</v>
      </c>
      <c r="F27" s="40" t="s">
        <v>401</v>
      </c>
      <c r="G27" s="32" t="s">
        <v>450</v>
      </c>
      <c r="H27" s="32"/>
      <c r="I27" s="33"/>
      <c r="J27" s="34"/>
      <c r="K27" s="33"/>
      <c r="L27" s="44" t="s">
        <v>159</v>
      </c>
      <c r="M27" s="35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0</v>
      </c>
      <c r="N27" s="36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4800000</v>
      </c>
      <c r="O27" s="37"/>
      <c r="P27" s="35">
        <v>400000</v>
      </c>
      <c r="Q27" s="86">
        <v>400000</v>
      </c>
      <c r="R27" s="86">
        <v>400000</v>
      </c>
      <c r="S27" s="86">
        <v>400000</v>
      </c>
      <c r="T27" s="86">
        <v>400000</v>
      </c>
      <c r="U27" s="86">
        <v>400000</v>
      </c>
      <c r="V27" s="86">
        <v>400000</v>
      </c>
      <c r="W27" s="86">
        <v>400000</v>
      </c>
      <c r="X27" s="86">
        <v>400000</v>
      </c>
      <c r="Y27" s="86">
        <v>400000</v>
      </c>
      <c r="Z27" s="86">
        <v>400000</v>
      </c>
      <c r="AA27" s="36">
        <v>400000</v>
      </c>
      <c r="AB27" s="35"/>
      <c r="AC27" s="86"/>
      <c r="AD27" s="86"/>
      <c r="AE27" s="86"/>
      <c r="AF27" s="86"/>
      <c r="AG27" s="86"/>
      <c r="AH27" s="86"/>
      <c r="AI27" s="86"/>
      <c r="AJ27" s="86"/>
      <c r="AK27" s="86"/>
      <c r="AL27" s="86"/>
      <c r="AM27" s="36"/>
      <c r="AN27" s="35">
        <f>budget_request2[[#This Row],[Balance00]]-budget_request2[[#This Row],[Payments01]]+budget_request2[[#This Row],[Charges01]]</f>
        <v>400000</v>
      </c>
      <c r="AO27" s="86">
        <f>budget_request2[[#This Row],[Balance01]]-budget_request2[[#This Row],[Payments02]]+budget_request2[[#This Row],[Charges02]]</f>
        <v>800000</v>
      </c>
      <c r="AP27" s="86">
        <f>budget_request2[[#This Row],[Balance02]]-budget_request2[[#This Row],[Payments03]]+budget_request2[[#This Row],[Charges03]]</f>
        <v>1200000</v>
      </c>
      <c r="AQ27" s="86">
        <f>budget_request2[[#This Row],[Balance03]]-budget_request2[[#This Row],[Payments04]]+budget_request2[[#This Row],[Charges04]]</f>
        <v>1600000</v>
      </c>
      <c r="AR27" s="86">
        <f>budget_request2[[#This Row],[Balance04]]-budget_request2[[#This Row],[Payments05]]+budget_request2[[#This Row],[Charges05]]</f>
        <v>2000000</v>
      </c>
      <c r="AS27" s="86">
        <f>budget_request2[[#This Row],[Balance05]]-budget_request2[[#This Row],[Payments06]]+budget_request2[[#This Row],[Charges06]]</f>
        <v>2400000</v>
      </c>
      <c r="AT27" s="86">
        <f>budget_request2[[#This Row],[Balance06]]-budget_request2[[#This Row],[Payments07]]+budget_request2[[#This Row],[Charges07]]</f>
        <v>2800000</v>
      </c>
      <c r="AU27" s="86">
        <f>budget_request2[[#This Row],[Balance07]]-budget_request2[[#This Row],[Payments08]]+budget_request2[[#This Row],[Charges08]]</f>
        <v>3200000</v>
      </c>
      <c r="AV27" s="86">
        <f>budget_request2[[#This Row],[Balance08]]-budget_request2[[#This Row],[Payments09]]+budget_request2[[#This Row],[Charges09]]</f>
        <v>3600000</v>
      </c>
      <c r="AW27" s="86">
        <f>budget_request2[[#This Row],[Balance09]]-budget_request2[[#This Row],[Payments10]]+budget_request2[[#This Row],[Charges10]]</f>
        <v>4000000</v>
      </c>
      <c r="AX27" s="86">
        <f>budget_request2[[#This Row],[Balance10]]-budget_request2[[#This Row],[Payments11]]+budget_request2[[#This Row],[Charges11]]</f>
        <v>4400000</v>
      </c>
      <c r="AY27" s="36">
        <f>budget_request2[[#This Row],[Balance11]]-budget_request2[[#This Row],[Payments12]]+budget_request2[[#This Row],[Charges12]]</f>
        <v>4800000</v>
      </c>
      <c r="AZ27" s="30"/>
      <c r="BA27" s="96"/>
      <c r="BB27" s="31" t="s">
        <v>661</v>
      </c>
      <c r="BC27" s="87">
        <v>44982.885717592595</v>
      </c>
    </row>
    <row r="28" spans="2:55" x14ac:dyDescent="0.25">
      <c r="B28" s="30">
        <v>19</v>
      </c>
      <c r="C28" s="84">
        <v>20</v>
      </c>
      <c r="D28" s="85"/>
      <c r="E28" s="30" t="s">
        <v>451</v>
      </c>
      <c r="F28" s="40" t="s">
        <v>402</v>
      </c>
      <c r="G28" s="32" t="s">
        <v>451</v>
      </c>
      <c r="H28" s="32"/>
      <c r="I28" s="33"/>
      <c r="J28" s="34"/>
      <c r="K28" s="33"/>
      <c r="L28" s="44" t="s">
        <v>159</v>
      </c>
      <c r="M28" s="35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0</v>
      </c>
      <c r="N28" s="36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522120000</v>
      </c>
      <c r="O28" s="37"/>
      <c r="P28" s="35">
        <v>43600000</v>
      </c>
      <c r="Q28" s="86">
        <v>42800000</v>
      </c>
      <c r="R28" s="86">
        <v>43600000</v>
      </c>
      <c r="S28" s="86">
        <v>43200000</v>
      </c>
      <c r="T28" s="86">
        <v>43600000</v>
      </c>
      <c r="U28" s="86">
        <v>43200000</v>
      </c>
      <c r="V28" s="86">
        <v>43720000</v>
      </c>
      <c r="W28" s="86">
        <v>43840000</v>
      </c>
      <c r="X28" s="86">
        <v>43440000</v>
      </c>
      <c r="Y28" s="86">
        <v>43840000</v>
      </c>
      <c r="Z28" s="86">
        <v>43440000</v>
      </c>
      <c r="AA28" s="36">
        <v>43840000</v>
      </c>
      <c r="AB28" s="35"/>
      <c r="AC28" s="86"/>
      <c r="AD28" s="86"/>
      <c r="AE28" s="86"/>
      <c r="AF28" s="86"/>
      <c r="AG28" s="86"/>
      <c r="AH28" s="86"/>
      <c r="AI28" s="86"/>
      <c r="AJ28" s="86"/>
      <c r="AK28" s="86"/>
      <c r="AL28" s="86"/>
      <c r="AM28" s="36"/>
      <c r="AN28" s="35">
        <f>budget_request2[[#This Row],[Balance00]]-budget_request2[[#This Row],[Payments01]]+budget_request2[[#This Row],[Charges01]]</f>
        <v>43600000</v>
      </c>
      <c r="AO28" s="86">
        <f>budget_request2[[#This Row],[Balance01]]-budget_request2[[#This Row],[Payments02]]+budget_request2[[#This Row],[Charges02]]</f>
        <v>86400000</v>
      </c>
      <c r="AP28" s="86">
        <f>budget_request2[[#This Row],[Balance02]]-budget_request2[[#This Row],[Payments03]]+budget_request2[[#This Row],[Charges03]]</f>
        <v>130000000</v>
      </c>
      <c r="AQ28" s="86">
        <f>budget_request2[[#This Row],[Balance03]]-budget_request2[[#This Row],[Payments04]]+budget_request2[[#This Row],[Charges04]]</f>
        <v>173200000</v>
      </c>
      <c r="AR28" s="86">
        <f>budget_request2[[#This Row],[Balance04]]-budget_request2[[#This Row],[Payments05]]+budget_request2[[#This Row],[Charges05]]</f>
        <v>216800000</v>
      </c>
      <c r="AS28" s="86">
        <f>budget_request2[[#This Row],[Balance05]]-budget_request2[[#This Row],[Payments06]]+budget_request2[[#This Row],[Charges06]]</f>
        <v>260000000</v>
      </c>
      <c r="AT28" s="86">
        <f>budget_request2[[#This Row],[Balance06]]-budget_request2[[#This Row],[Payments07]]+budget_request2[[#This Row],[Charges07]]</f>
        <v>303720000</v>
      </c>
      <c r="AU28" s="86">
        <f>budget_request2[[#This Row],[Balance07]]-budget_request2[[#This Row],[Payments08]]+budget_request2[[#This Row],[Charges08]]</f>
        <v>347560000</v>
      </c>
      <c r="AV28" s="86">
        <f>budget_request2[[#This Row],[Balance08]]-budget_request2[[#This Row],[Payments09]]+budget_request2[[#This Row],[Charges09]]</f>
        <v>391000000</v>
      </c>
      <c r="AW28" s="86">
        <f>budget_request2[[#This Row],[Balance09]]-budget_request2[[#This Row],[Payments10]]+budget_request2[[#This Row],[Charges10]]</f>
        <v>434840000</v>
      </c>
      <c r="AX28" s="86">
        <f>budget_request2[[#This Row],[Balance10]]-budget_request2[[#This Row],[Payments11]]+budget_request2[[#This Row],[Charges11]]</f>
        <v>478280000</v>
      </c>
      <c r="AY28" s="36">
        <f>budget_request2[[#This Row],[Balance11]]-budget_request2[[#This Row],[Payments12]]+budget_request2[[#This Row],[Charges12]]</f>
        <v>522120000</v>
      </c>
      <c r="AZ28" s="30"/>
      <c r="BA28" s="96"/>
      <c r="BB28" s="31" t="s">
        <v>661</v>
      </c>
      <c r="BC28" s="87">
        <v>44982.885717592595</v>
      </c>
    </row>
    <row r="29" spans="2:55" x14ac:dyDescent="0.25">
      <c r="B29" s="30">
        <v>20</v>
      </c>
      <c r="C29" s="84">
        <v>21</v>
      </c>
      <c r="D29" s="85"/>
      <c r="E29" s="30" t="s">
        <v>452</v>
      </c>
      <c r="F29" s="40" t="s">
        <v>403</v>
      </c>
      <c r="G29" s="32" t="s">
        <v>9</v>
      </c>
      <c r="H29" s="32"/>
      <c r="I29" s="33"/>
      <c r="J29" s="34"/>
      <c r="K29" s="33"/>
      <c r="L29" s="44" t="s">
        <v>159</v>
      </c>
      <c r="M29" s="35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450700000</v>
      </c>
      <c r="N29" s="36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0</v>
      </c>
      <c r="O29" s="37"/>
      <c r="P29" s="35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36"/>
      <c r="AB29" s="35">
        <v>41600000</v>
      </c>
      <c r="AC29" s="86">
        <v>40000000</v>
      </c>
      <c r="AD29" s="86">
        <v>40800000</v>
      </c>
      <c r="AE29" s="86">
        <v>40000000</v>
      </c>
      <c r="AF29" s="86">
        <v>40400000</v>
      </c>
      <c r="AG29" s="86">
        <v>40000000</v>
      </c>
      <c r="AH29" s="86">
        <v>40400000</v>
      </c>
      <c r="AI29" s="86">
        <v>40300000</v>
      </c>
      <c r="AJ29" s="86">
        <v>22600000</v>
      </c>
      <c r="AK29" s="86">
        <v>23000000</v>
      </c>
      <c r="AL29" s="86">
        <v>40600000</v>
      </c>
      <c r="AM29" s="36">
        <v>41000000</v>
      </c>
      <c r="AN29" s="35">
        <f>budget_request2[[#This Row],[Balance00]]-budget_request2[[#This Row],[Payments01]]+budget_request2[[#This Row],[Charges01]]</f>
        <v>-41600000</v>
      </c>
      <c r="AO29" s="86">
        <f>budget_request2[[#This Row],[Balance01]]-budget_request2[[#This Row],[Payments02]]+budget_request2[[#This Row],[Charges02]]</f>
        <v>-81600000</v>
      </c>
      <c r="AP29" s="86">
        <f>budget_request2[[#This Row],[Balance02]]-budget_request2[[#This Row],[Payments03]]+budget_request2[[#This Row],[Charges03]]</f>
        <v>-122400000</v>
      </c>
      <c r="AQ29" s="86">
        <f>budget_request2[[#This Row],[Balance03]]-budget_request2[[#This Row],[Payments04]]+budget_request2[[#This Row],[Charges04]]</f>
        <v>-162400000</v>
      </c>
      <c r="AR29" s="86">
        <f>budget_request2[[#This Row],[Balance04]]-budget_request2[[#This Row],[Payments05]]+budget_request2[[#This Row],[Charges05]]</f>
        <v>-202800000</v>
      </c>
      <c r="AS29" s="86">
        <f>budget_request2[[#This Row],[Balance05]]-budget_request2[[#This Row],[Payments06]]+budget_request2[[#This Row],[Charges06]]</f>
        <v>-242800000</v>
      </c>
      <c r="AT29" s="86">
        <f>budget_request2[[#This Row],[Balance06]]-budget_request2[[#This Row],[Payments07]]+budget_request2[[#This Row],[Charges07]]</f>
        <v>-283200000</v>
      </c>
      <c r="AU29" s="86">
        <f>budget_request2[[#This Row],[Balance07]]-budget_request2[[#This Row],[Payments08]]+budget_request2[[#This Row],[Charges08]]</f>
        <v>-323500000</v>
      </c>
      <c r="AV29" s="86">
        <f>budget_request2[[#This Row],[Balance08]]-budget_request2[[#This Row],[Payments09]]+budget_request2[[#This Row],[Charges09]]</f>
        <v>-346100000</v>
      </c>
      <c r="AW29" s="86">
        <f>budget_request2[[#This Row],[Balance09]]-budget_request2[[#This Row],[Payments10]]+budget_request2[[#This Row],[Charges10]]</f>
        <v>-369100000</v>
      </c>
      <c r="AX29" s="86">
        <f>budget_request2[[#This Row],[Balance10]]-budget_request2[[#This Row],[Payments11]]+budget_request2[[#This Row],[Charges11]]</f>
        <v>-409700000</v>
      </c>
      <c r="AY29" s="36">
        <f>budget_request2[[#This Row],[Balance11]]-budget_request2[[#This Row],[Payments12]]+budget_request2[[#This Row],[Charges12]]</f>
        <v>-450700000</v>
      </c>
      <c r="AZ29" s="30"/>
      <c r="BA29" s="96"/>
      <c r="BB29" s="31" t="s">
        <v>661</v>
      </c>
      <c r="BC29" s="87">
        <v>44982.885717592595</v>
      </c>
    </row>
    <row r="30" spans="2:55" x14ac:dyDescent="0.25">
      <c r="B30" s="30">
        <v>21</v>
      </c>
      <c r="C30" s="84">
        <v>22</v>
      </c>
      <c r="D30" s="85"/>
      <c r="E30" s="30"/>
      <c r="F30" s="31"/>
      <c r="G30" s="32"/>
      <c r="H30" s="32"/>
      <c r="I30" s="33"/>
      <c r="J30" s="34"/>
      <c r="K30" s="33"/>
      <c r="L30" s="30"/>
      <c r="M30" s="35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0</v>
      </c>
      <c r="N30" s="36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0</v>
      </c>
      <c r="O30" s="37"/>
      <c r="P30" s="35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36"/>
      <c r="AB30" s="35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36"/>
      <c r="AN30" s="35">
        <f>budget_request2[[#This Row],[Balance00]]-budget_request2[[#This Row],[Payments01]]+budget_request2[[#This Row],[Charges01]]</f>
        <v>0</v>
      </c>
      <c r="AO30" s="86">
        <f>budget_request2[[#This Row],[Balance01]]-budget_request2[[#This Row],[Payments02]]+budget_request2[[#This Row],[Charges02]]</f>
        <v>0</v>
      </c>
      <c r="AP30" s="86">
        <f>budget_request2[[#This Row],[Balance02]]-budget_request2[[#This Row],[Payments03]]+budget_request2[[#This Row],[Charges03]]</f>
        <v>0</v>
      </c>
      <c r="AQ30" s="86">
        <f>budget_request2[[#This Row],[Balance03]]-budget_request2[[#This Row],[Payments04]]+budget_request2[[#This Row],[Charges04]]</f>
        <v>0</v>
      </c>
      <c r="AR30" s="86">
        <f>budget_request2[[#This Row],[Balance04]]-budget_request2[[#This Row],[Payments05]]+budget_request2[[#This Row],[Charges05]]</f>
        <v>0</v>
      </c>
      <c r="AS30" s="86">
        <f>budget_request2[[#This Row],[Balance05]]-budget_request2[[#This Row],[Payments06]]+budget_request2[[#This Row],[Charges06]]</f>
        <v>0</v>
      </c>
      <c r="AT30" s="86">
        <f>budget_request2[[#This Row],[Balance06]]-budget_request2[[#This Row],[Payments07]]+budget_request2[[#This Row],[Charges07]]</f>
        <v>0</v>
      </c>
      <c r="AU30" s="86">
        <f>budget_request2[[#This Row],[Balance07]]-budget_request2[[#This Row],[Payments08]]+budget_request2[[#This Row],[Charges08]]</f>
        <v>0</v>
      </c>
      <c r="AV30" s="86">
        <f>budget_request2[[#This Row],[Balance08]]-budget_request2[[#This Row],[Payments09]]+budget_request2[[#This Row],[Charges09]]</f>
        <v>0</v>
      </c>
      <c r="AW30" s="86">
        <f>budget_request2[[#This Row],[Balance09]]-budget_request2[[#This Row],[Payments10]]+budget_request2[[#This Row],[Charges10]]</f>
        <v>0</v>
      </c>
      <c r="AX30" s="86">
        <f>budget_request2[[#This Row],[Balance10]]-budget_request2[[#This Row],[Payments11]]+budget_request2[[#This Row],[Charges11]]</f>
        <v>0</v>
      </c>
      <c r="AY30" s="36">
        <f>budget_request2[[#This Row],[Balance11]]-budget_request2[[#This Row],[Payments12]]+budget_request2[[#This Row],[Charges12]]</f>
        <v>0</v>
      </c>
      <c r="AZ30" s="30"/>
      <c r="BA30" s="96"/>
      <c r="BB30" s="31" t="s">
        <v>661</v>
      </c>
      <c r="BC30" s="87">
        <v>44982.885717592595</v>
      </c>
    </row>
    <row r="31" spans="2:55" x14ac:dyDescent="0.25">
      <c r="B31" s="30">
        <v>22</v>
      </c>
      <c r="C31" s="84">
        <v>23</v>
      </c>
      <c r="D31" s="85"/>
      <c r="E31" s="30" t="s">
        <v>453</v>
      </c>
      <c r="F31" s="31"/>
      <c r="G31" s="32"/>
      <c r="H31" s="32"/>
      <c r="I31" s="33"/>
      <c r="J31" s="34"/>
      <c r="K31" s="33"/>
      <c r="L31" s="30"/>
      <c r="M31" s="35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0</v>
      </c>
      <c r="N31" s="36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1151302500</v>
      </c>
      <c r="O31" s="37"/>
      <c r="P31" s="35">
        <v>90400000</v>
      </c>
      <c r="Q31" s="86">
        <v>95150000</v>
      </c>
      <c r="R31" s="86">
        <v>91900000</v>
      </c>
      <c r="S31" s="86">
        <v>94650000</v>
      </c>
      <c r="T31" s="86">
        <v>93400000</v>
      </c>
      <c r="U31" s="86">
        <v>96150000</v>
      </c>
      <c r="V31" s="86">
        <v>94930000</v>
      </c>
      <c r="W31" s="86">
        <v>96827500</v>
      </c>
      <c r="X31" s="86">
        <v>99225000</v>
      </c>
      <c r="Y31" s="86">
        <v>98117500</v>
      </c>
      <c r="Z31" s="86">
        <v>100890000</v>
      </c>
      <c r="AA31" s="36">
        <v>99662500</v>
      </c>
      <c r="AB31" s="35"/>
      <c r="AC31" s="86"/>
      <c r="AD31" s="86"/>
      <c r="AE31" s="86"/>
      <c r="AF31" s="86"/>
      <c r="AG31" s="86"/>
      <c r="AH31" s="86"/>
      <c r="AI31" s="86"/>
      <c r="AJ31" s="86"/>
      <c r="AK31" s="86"/>
      <c r="AL31" s="86"/>
      <c r="AM31" s="36"/>
      <c r="AN31" s="35">
        <f>budget_request2[[#This Row],[Balance00]]-budget_request2[[#This Row],[Payments01]]+budget_request2[[#This Row],[Charges01]]</f>
        <v>90400000</v>
      </c>
      <c r="AO31" s="86">
        <f>budget_request2[[#This Row],[Balance01]]-budget_request2[[#This Row],[Payments02]]+budget_request2[[#This Row],[Charges02]]</f>
        <v>185550000</v>
      </c>
      <c r="AP31" s="86">
        <f>budget_request2[[#This Row],[Balance02]]-budget_request2[[#This Row],[Payments03]]+budget_request2[[#This Row],[Charges03]]</f>
        <v>277450000</v>
      </c>
      <c r="AQ31" s="86">
        <f>budget_request2[[#This Row],[Balance03]]-budget_request2[[#This Row],[Payments04]]+budget_request2[[#This Row],[Charges04]]</f>
        <v>372100000</v>
      </c>
      <c r="AR31" s="86">
        <f>budget_request2[[#This Row],[Balance04]]-budget_request2[[#This Row],[Payments05]]+budget_request2[[#This Row],[Charges05]]</f>
        <v>465500000</v>
      </c>
      <c r="AS31" s="86">
        <f>budget_request2[[#This Row],[Balance05]]-budget_request2[[#This Row],[Payments06]]+budget_request2[[#This Row],[Charges06]]</f>
        <v>561650000</v>
      </c>
      <c r="AT31" s="86">
        <f>budget_request2[[#This Row],[Balance06]]-budget_request2[[#This Row],[Payments07]]+budget_request2[[#This Row],[Charges07]]</f>
        <v>656580000</v>
      </c>
      <c r="AU31" s="86">
        <f>budget_request2[[#This Row],[Balance07]]-budget_request2[[#This Row],[Payments08]]+budget_request2[[#This Row],[Charges08]]</f>
        <v>753407500</v>
      </c>
      <c r="AV31" s="86">
        <f>budget_request2[[#This Row],[Balance08]]-budget_request2[[#This Row],[Payments09]]+budget_request2[[#This Row],[Charges09]]</f>
        <v>852632500</v>
      </c>
      <c r="AW31" s="86">
        <f>budget_request2[[#This Row],[Balance09]]-budget_request2[[#This Row],[Payments10]]+budget_request2[[#This Row],[Charges10]]</f>
        <v>950750000</v>
      </c>
      <c r="AX31" s="86">
        <f>budget_request2[[#This Row],[Balance10]]-budget_request2[[#This Row],[Payments11]]+budget_request2[[#This Row],[Charges11]]</f>
        <v>1051640000</v>
      </c>
      <c r="AY31" s="36">
        <f>budget_request2[[#This Row],[Balance11]]-budget_request2[[#This Row],[Payments12]]+budget_request2[[#This Row],[Charges12]]</f>
        <v>1151302500</v>
      </c>
      <c r="AZ31" s="30"/>
      <c r="BA31" s="96"/>
      <c r="BB31" s="31" t="s">
        <v>661</v>
      </c>
      <c r="BC31" s="87">
        <v>44982.885717592595</v>
      </c>
    </row>
    <row r="32" spans="2:55" x14ac:dyDescent="0.25">
      <c r="B32" s="30">
        <v>23</v>
      </c>
      <c r="C32" s="84">
        <v>24</v>
      </c>
      <c r="D32" s="85"/>
      <c r="E32" s="30" t="s">
        <v>454</v>
      </c>
      <c r="F32" s="40" t="s">
        <v>404</v>
      </c>
      <c r="G32" s="32" t="s">
        <v>454</v>
      </c>
      <c r="H32" s="32"/>
      <c r="I32" s="33"/>
      <c r="J32" s="34"/>
      <c r="K32" s="33"/>
      <c r="L32" s="44" t="s">
        <v>159</v>
      </c>
      <c r="M32" s="35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228328000</v>
      </c>
      <c r="N32" s="36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230260500</v>
      </c>
      <c r="O32" s="37">
        <v>18000000</v>
      </c>
      <c r="P32" s="35">
        <f t="shared" ref="P32:AA32" si="0">P31*0.2</f>
        <v>18080000</v>
      </c>
      <c r="Q32" s="86">
        <f t="shared" si="0"/>
        <v>19030000</v>
      </c>
      <c r="R32" s="86">
        <f t="shared" si="0"/>
        <v>18380000</v>
      </c>
      <c r="S32" s="86">
        <f t="shared" si="0"/>
        <v>18930000</v>
      </c>
      <c r="T32" s="86">
        <f t="shared" si="0"/>
        <v>18680000</v>
      </c>
      <c r="U32" s="86">
        <f t="shared" si="0"/>
        <v>19230000</v>
      </c>
      <c r="V32" s="86">
        <f t="shared" si="0"/>
        <v>18986000</v>
      </c>
      <c r="W32" s="86">
        <f t="shared" si="0"/>
        <v>19365500</v>
      </c>
      <c r="X32" s="86">
        <f t="shared" si="0"/>
        <v>19845000</v>
      </c>
      <c r="Y32" s="86">
        <f t="shared" si="0"/>
        <v>19623500</v>
      </c>
      <c r="Z32" s="86">
        <f t="shared" si="0"/>
        <v>20178000</v>
      </c>
      <c r="AA32" s="36">
        <f t="shared" si="0"/>
        <v>19932500</v>
      </c>
      <c r="AB32" s="35">
        <f>budget_request2[[#This Row],[Balance00]]</f>
        <v>18000000</v>
      </c>
      <c r="AC32" s="86">
        <f>budget_request2[[#This Row],[Charges01]]</f>
        <v>18080000</v>
      </c>
      <c r="AD32" s="86">
        <f>budget_request2[[#This Row],[Charges02]]</f>
        <v>19030000</v>
      </c>
      <c r="AE32" s="86">
        <f>budget_request2[[#This Row],[Charges03]]</f>
        <v>18380000</v>
      </c>
      <c r="AF32" s="86">
        <f>budget_request2[[#This Row],[Charges04]]</f>
        <v>18930000</v>
      </c>
      <c r="AG32" s="86">
        <f>budget_request2[[#This Row],[Charges05]]</f>
        <v>18680000</v>
      </c>
      <c r="AH32" s="86">
        <f>budget_request2[[#This Row],[Charges06]]</f>
        <v>19230000</v>
      </c>
      <c r="AI32" s="86">
        <f>budget_request2[[#This Row],[Charges07]]</f>
        <v>18986000</v>
      </c>
      <c r="AJ32" s="86">
        <f>budget_request2[[#This Row],[Charges08]]</f>
        <v>19365500</v>
      </c>
      <c r="AK32" s="86">
        <f>budget_request2[[#This Row],[Charges09]]</f>
        <v>19845000</v>
      </c>
      <c r="AL32" s="86">
        <f>budget_request2[[#This Row],[Charges10]]</f>
        <v>19623500</v>
      </c>
      <c r="AM32" s="36">
        <f>budget_request2[[#This Row],[Charges11]]</f>
        <v>20178000</v>
      </c>
      <c r="AN32" s="35">
        <f>budget_request2[[#This Row],[Balance00]]-budget_request2[[#This Row],[Payments01]]+budget_request2[[#This Row],[Charges01]]</f>
        <v>18080000</v>
      </c>
      <c r="AO32" s="86">
        <f>budget_request2[[#This Row],[Balance01]]-budget_request2[[#This Row],[Payments02]]+budget_request2[[#This Row],[Charges02]]</f>
        <v>19030000</v>
      </c>
      <c r="AP32" s="86">
        <f>budget_request2[[#This Row],[Balance02]]-budget_request2[[#This Row],[Payments03]]+budget_request2[[#This Row],[Charges03]]</f>
        <v>18380000</v>
      </c>
      <c r="AQ32" s="86">
        <f>budget_request2[[#This Row],[Balance03]]-budget_request2[[#This Row],[Payments04]]+budget_request2[[#This Row],[Charges04]]</f>
        <v>18930000</v>
      </c>
      <c r="AR32" s="86">
        <f>budget_request2[[#This Row],[Balance04]]-budget_request2[[#This Row],[Payments05]]+budget_request2[[#This Row],[Charges05]]</f>
        <v>18680000</v>
      </c>
      <c r="AS32" s="86">
        <f>budget_request2[[#This Row],[Balance05]]-budget_request2[[#This Row],[Payments06]]+budget_request2[[#This Row],[Charges06]]</f>
        <v>19230000</v>
      </c>
      <c r="AT32" s="86">
        <f>budget_request2[[#This Row],[Balance06]]-budget_request2[[#This Row],[Payments07]]+budget_request2[[#This Row],[Charges07]]</f>
        <v>18986000</v>
      </c>
      <c r="AU32" s="86">
        <f>budget_request2[[#This Row],[Balance07]]-budget_request2[[#This Row],[Payments08]]+budget_request2[[#This Row],[Charges08]]</f>
        <v>19365500</v>
      </c>
      <c r="AV32" s="86">
        <f>budget_request2[[#This Row],[Balance08]]-budget_request2[[#This Row],[Payments09]]+budget_request2[[#This Row],[Charges09]]</f>
        <v>19845000</v>
      </c>
      <c r="AW32" s="86">
        <f>budget_request2[[#This Row],[Balance09]]-budget_request2[[#This Row],[Payments10]]+budget_request2[[#This Row],[Charges10]]</f>
        <v>19623500</v>
      </c>
      <c r="AX32" s="86">
        <f>budget_request2[[#This Row],[Balance10]]-budget_request2[[#This Row],[Payments11]]+budget_request2[[#This Row],[Charges11]]</f>
        <v>20178000</v>
      </c>
      <c r="AY32" s="36">
        <f>budget_request2[[#This Row],[Balance11]]-budget_request2[[#This Row],[Payments12]]+budget_request2[[#This Row],[Charges12]]</f>
        <v>19932500</v>
      </c>
      <c r="AZ32" s="30" t="s">
        <v>455</v>
      </c>
      <c r="BA32" s="96"/>
      <c r="BB32" s="31" t="s">
        <v>661</v>
      </c>
      <c r="BC32" s="87">
        <v>44982.885717592595</v>
      </c>
    </row>
    <row r="33" spans="2:55" x14ac:dyDescent="0.25">
      <c r="B33" s="30">
        <v>24</v>
      </c>
      <c r="C33" s="84">
        <v>25</v>
      </c>
      <c r="D33" s="85"/>
      <c r="E33" s="30" t="s">
        <v>456</v>
      </c>
      <c r="F33" s="40" t="s">
        <v>406</v>
      </c>
      <c r="G33" s="32" t="s">
        <v>456</v>
      </c>
      <c r="H33" s="32"/>
      <c r="I33" s="33"/>
      <c r="J33" s="34"/>
      <c r="K33" s="33"/>
      <c r="L33" s="44" t="s">
        <v>159</v>
      </c>
      <c r="M33" s="35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100000000</v>
      </c>
      <c r="N33" s="36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100000000</v>
      </c>
      <c r="O33" s="37"/>
      <c r="P33" s="35"/>
      <c r="Q33" s="86"/>
      <c r="R33" s="86">
        <v>100000000</v>
      </c>
      <c r="S33" s="86"/>
      <c r="T33" s="86"/>
      <c r="U33" s="86"/>
      <c r="V33" s="86"/>
      <c r="W33" s="86"/>
      <c r="X33" s="86"/>
      <c r="Y33" s="86"/>
      <c r="Z33" s="86"/>
      <c r="AA33" s="36"/>
      <c r="AB33" s="35"/>
      <c r="AC33" s="86"/>
      <c r="AD33" s="86">
        <f>budget_request2[[#This Row],[Charges03]]</f>
        <v>100000000</v>
      </c>
      <c r="AE33" s="86"/>
      <c r="AF33" s="86"/>
      <c r="AG33" s="86"/>
      <c r="AH33" s="86"/>
      <c r="AI33" s="86"/>
      <c r="AJ33" s="86"/>
      <c r="AK33" s="86"/>
      <c r="AL33" s="86"/>
      <c r="AM33" s="36"/>
      <c r="AN33" s="35">
        <f>budget_request2[[#This Row],[Balance00]]-budget_request2[[#This Row],[Payments01]]+budget_request2[[#This Row],[Charges01]]</f>
        <v>0</v>
      </c>
      <c r="AO33" s="86">
        <f>budget_request2[[#This Row],[Balance01]]-budget_request2[[#This Row],[Payments02]]+budget_request2[[#This Row],[Charges02]]</f>
        <v>0</v>
      </c>
      <c r="AP33" s="86">
        <f>budget_request2[[#This Row],[Balance02]]-budget_request2[[#This Row],[Payments03]]+budget_request2[[#This Row],[Charges03]]</f>
        <v>0</v>
      </c>
      <c r="AQ33" s="86">
        <f>budget_request2[[#This Row],[Balance03]]-budget_request2[[#This Row],[Payments04]]+budget_request2[[#This Row],[Charges04]]</f>
        <v>0</v>
      </c>
      <c r="AR33" s="86">
        <f>budget_request2[[#This Row],[Balance04]]-budget_request2[[#This Row],[Payments05]]+budget_request2[[#This Row],[Charges05]]</f>
        <v>0</v>
      </c>
      <c r="AS33" s="86">
        <f>budget_request2[[#This Row],[Balance05]]-budget_request2[[#This Row],[Payments06]]+budget_request2[[#This Row],[Charges06]]</f>
        <v>0</v>
      </c>
      <c r="AT33" s="86">
        <f>budget_request2[[#This Row],[Balance06]]-budget_request2[[#This Row],[Payments07]]+budget_request2[[#This Row],[Charges07]]</f>
        <v>0</v>
      </c>
      <c r="AU33" s="86">
        <f>budget_request2[[#This Row],[Balance07]]-budget_request2[[#This Row],[Payments08]]+budget_request2[[#This Row],[Charges08]]</f>
        <v>0</v>
      </c>
      <c r="AV33" s="86">
        <f>budget_request2[[#This Row],[Balance08]]-budget_request2[[#This Row],[Payments09]]+budget_request2[[#This Row],[Charges09]]</f>
        <v>0</v>
      </c>
      <c r="AW33" s="86">
        <f>budget_request2[[#This Row],[Balance09]]-budget_request2[[#This Row],[Payments10]]+budget_request2[[#This Row],[Charges10]]</f>
        <v>0</v>
      </c>
      <c r="AX33" s="86">
        <f>budget_request2[[#This Row],[Balance10]]-budget_request2[[#This Row],[Payments11]]+budget_request2[[#This Row],[Charges11]]</f>
        <v>0</v>
      </c>
      <c r="AY33" s="36">
        <f>budget_request2[[#This Row],[Balance11]]-budget_request2[[#This Row],[Payments12]]+budget_request2[[#This Row],[Charges12]]</f>
        <v>0</v>
      </c>
      <c r="AZ33" s="30" t="s">
        <v>457</v>
      </c>
      <c r="BA33" s="96"/>
      <c r="BB33" s="31" t="s">
        <v>661</v>
      </c>
      <c r="BC33" s="87">
        <v>44982.885717592595</v>
      </c>
    </row>
    <row r="34" spans="2:55" ht="15.75" thickBot="1" x14ac:dyDescent="0.3">
      <c r="B34" s="30">
        <v>25</v>
      </c>
      <c r="C34" s="84">
        <v>26</v>
      </c>
      <c r="D34" s="85"/>
      <c r="E34" s="45"/>
      <c r="F34" s="46"/>
      <c r="G34" s="47"/>
      <c r="H34" s="47"/>
      <c r="I34" s="48"/>
      <c r="J34" s="49"/>
      <c r="K34" s="48"/>
      <c r="L34" s="45"/>
      <c r="M34" s="50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0</v>
      </c>
      <c r="N34" s="51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0</v>
      </c>
      <c r="O34" s="52"/>
      <c r="P34" s="50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51"/>
      <c r="AB34" s="50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51"/>
      <c r="AN34" s="50">
        <f>budget_request2[[#This Row],[Balance00]]-budget_request2[[#This Row],[Payments01]]+budget_request2[[#This Row],[Charges01]]</f>
        <v>0</v>
      </c>
      <c r="AO34" s="97">
        <f>budget_request2[[#This Row],[Balance01]]-budget_request2[[#This Row],[Payments02]]+budget_request2[[#This Row],[Charges02]]</f>
        <v>0</v>
      </c>
      <c r="AP34" s="97">
        <f>budget_request2[[#This Row],[Balance02]]-budget_request2[[#This Row],[Payments03]]+budget_request2[[#This Row],[Charges03]]</f>
        <v>0</v>
      </c>
      <c r="AQ34" s="97">
        <f>budget_request2[[#This Row],[Balance03]]-budget_request2[[#This Row],[Payments04]]+budget_request2[[#This Row],[Charges04]]</f>
        <v>0</v>
      </c>
      <c r="AR34" s="97">
        <f>budget_request2[[#This Row],[Balance04]]-budget_request2[[#This Row],[Payments05]]+budget_request2[[#This Row],[Charges05]]</f>
        <v>0</v>
      </c>
      <c r="AS34" s="97">
        <f>budget_request2[[#This Row],[Balance05]]-budget_request2[[#This Row],[Payments06]]+budget_request2[[#This Row],[Charges06]]</f>
        <v>0</v>
      </c>
      <c r="AT34" s="97">
        <f>budget_request2[[#This Row],[Balance06]]-budget_request2[[#This Row],[Payments07]]+budget_request2[[#This Row],[Charges07]]</f>
        <v>0</v>
      </c>
      <c r="AU34" s="97">
        <f>budget_request2[[#This Row],[Balance07]]-budget_request2[[#This Row],[Payments08]]+budget_request2[[#This Row],[Charges08]]</f>
        <v>0</v>
      </c>
      <c r="AV34" s="97">
        <f>budget_request2[[#This Row],[Balance08]]-budget_request2[[#This Row],[Payments09]]+budget_request2[[#This Row],[Charges09]]</f>
        <v>0</v>
      </c>
      <c r="AW34" s="97">
        <f>budget_request2[[#This Row],[Balance09]]-budget_request2[[#This Row],[Payments10]]+budget_request2[[#This Row],[Charges10]]</f>
        <v>0</v>
      </c>
      <c r="AX34" s="97">
        <f>budget_request2[[#This Row],[Balance10]]-budget_request2[[#This Row],[Payments11]]+budget_request2[[#This Row],[Charges11]]</f>
        <v>0</v>
      </c>
      <c r="AY34" s="51">
        <f>budget_request2[[#This Row],[Balance11]]-budget_request2[[#This Row],[Payments12]]+budget_request2[[#This Row],[Charges12]]</f>
        <v>0</v>
      </c>
      <c r="AZ34" s="30"/>
      <c r="BA34" s="96"/>
      <c r="BB34" s="31"/>
      <c r="BC34" s="87"/>
    </row>
    <row r="35" spans="2:55" x14ac:dyDescent="0.25">
      <c r="E35" s="57" t="s">
        <v>163</v>
      </c>
      <c r="F35" s="58"/>
      <c r="G35" s="58"/>
      <c r="H35" s="58"/>
      <c r="I35" s="58"/>
      <c r="J35" s="58"/>
      <c r="K35" s="59"/>
      <c r="L35" s="60" t="s">
        <v>159</v>
      </c>
      <c r="M35" s="61">
        <f>SUMIF(budget_request2[Unit],$L35,budget_request2[Total Payments])</f>
        <v>3100413000</v>
      </c>
      <c r="N35" s="62">
        <f>SUMIF(budget_request2[Unit],$L35,budget_request2[Total Charges])</f>
        <v>2043178000</v>
      </c>
      <c r="O35" s="63">
        <f>SUMIF(budget_request2[Unit],$L35,budget_request2[Balance00])</f>
        <v>4854750000</v>
      </c>
      <c r="P35" s="61">
        <f>SUMIF(budget_request2[Unit],$L35,budget_request2[Charges01])</f>
        <v>143080000</v>
      </c>
      <c r="Q35" s="88">
        <f>SUMIF(budget_request2[Unit],$L35,budget_request2[Charges02])</f>
        <v>142480000</v>
      </c>
      <c r="R35" s="88">
        <f>SUMIF(budget_request2[Unit],$L35,budget_request2[Charges03])</f>
        <v>241880000</v>
      </c>
      <c r="S35" s="88">
        <f>SUMIF(budget_request2[Unit],$L35,budget_request2[Charges04])</f>
        <v>141280000</v>
      </c>
      <c r="T35" s="88">
        <f>SUMIF(budget_request2[Unit],$L35,budget_request2[Charges05])</f>
        <v>140680000</v>
      </c>
      <c r="U35" s="88">
        <f>SUMIF(budget_request2[Unit],$L35,budget_request2[Charges06])</f>
        <v>140080000</v>
      </c>
      <c r="V35" s="88">
        <f>SUMIF(budget_request2[Unit],$L35,budget_request2[Charges07])</f>
        <v>249076000</v>
      </c>
      <c r="W35" s="88">
        <f>SUMIF(budget_request2[Unit],$L35,budget_request2[Charges08])</f>
        <v>267178000</v>
      </c>
      <c r="X35" s="88">
        <f>SUMIF(budget_request2[Unit],$L35,budget_request2[Charges09])</f>
        <v>158860000</v>
      </c>
      <c r="Y35" s="88">
        <f>SUMIF(budget_request2[Unit],$L35,budget_request2[Charges10])</f>
        <v>140146000</v>
      </c>
      <c r="Z35" s="88">
        <f>SUMIF(budget_request2[Unit],$L35,budget_request2[Charges11])</f>
        <v>139528000</v>
      </c>
      <c r="AA35" s="62">
        <f>SUMIF(budget_request2[Unit],$L35,budget_request2[Charges12])</f>
        <v>138910000</v>
      </c>
      <c r="AB35" s="61">
        <f>SUMIF(budget_request2[Unit],$L35,budget_request2[Payments01])</f>
        <v>216350000</v>
      </c>
      <c r="AC35" s="88">
        <f>SUMIF(budget_request2[Unit],$L35,budget_request2[Payments02])</f>
        <v>214080000</v>
      </c>
      <c r="AD35" s="88">
        <f>SUMIF(budget_request2[Unit],$L35,budget_request2[Payments03])</f>
        <v>315080000</v>
      </c>
      <c r="AE35" s="88">
        <f>SUMIF(budget_request2[Unit],$L35,budget_request2[Payments04])</f>
        <v>212880000</v>
      </c>
      <c r="AF35" s="88">
        <f>SUMIF(budget_request2[Unit],$L35,budget_request2[Payments05])</f>
        <v>213080000</v>
      </c>
      <c r="AG35" s="88">
        <f>SUMIF(budget_request2[Unit],$L35,budget_request2[Payments06])</f>
        <v>211680000</v>
      </c>
      <c r="AH35" s="88">
        <f>SUMIF(budget_request2[Unit],$L35,budget_request2[Payments07])</f>
        <v>643880000</v>
      </c>
      <c r="AI35" s="88">
        <f>SUMIF(budget_request2[Unit],$L35,budget_request2[Payments08])</f>
        <v>215136000</v>
      </c>
      <c r="AJ35" s="88">
        <f>SUMIF(budget_request2[Unit],$L35,budget_request2[Payments09])</f>
        <v>233403000</v>
      </c>
      <c r="AK35" s="88">
        <f>SUMIF(budget_request2[Unit],$L35,budget_request2[Payments10])</f>
        <v>197150000</v>
      </c>
      <c r="AL35" s="88">
        <f>SUMIF(budget_request2[Unit],$L35,budget_request2[Payments11])</f>
        <v>213756000</v>
      </c>
      <c r="AM35" s="62">
        <f>SUMIF(budget_request2[Unit],$L35,budget_request2[Payments12])</f>
        <v>213938000</v>
      </c>
      <c r="AN35" s="61">
        <f>SUMIF(budget_request2[Unit],$L35,budget_request2[Balance01])</f>
        <v>4781480000</v>
      </c>
      <c r="AO35" s="88">
        <f>SUMIF(budget_request2[Unit],$L35,budget_request2[Balance02])</f>
        <v>4709880000</v>
      </c>
      <c r="AP35" s="88">
        <f>SUMIF(budget_request2[Unit],$L35,budget_request2[Balance03])</f>
        <v>4636680000</v>
      </c>
      <c r="AQ35" s="88">
        <f>SUMIF(budget_request2[Unit],$L35,budget_request2[Balance04])</f>
        <v>4565080000</v>
      </c>
      <c r="AR35" s="88">
        <f>SUMIF(budget_request2[Unit],$L35,budget_request2[Balance05])</f>
        <v>4492680000</v>
      </c>
      <c r="AS35" s="88">
        <f>SUMIF(budget_request2[Unit],$L35,budget_request2[Balance06])</f>
        <v>4421080000</v>
      </c>
      <c r="AT35" s="88">
        <f>SUMIF(budget_request2[Unit],$L35,budget_request2[Balance07])</f>
        <v>4026276000</v>
      </c>
      <c r="AU35" s="88">
        <f>SUMIF(budget_request2[Unit],$L35,budget_request2[Balance08])</f>
        <v>4078318000</v>
      </c>
      <c r="AV35" s="88">
        <f>SUMIF(budget_request2[Unit],$L35,budget_request2[Balance09])</f>
        <v>4003775000</v>
      </c>
      <c r="AW35" s="88">
        <f>SUMIF(budget_request2[Unit],$L35,budget_request2[Balance10])</f>
        <v>3946771000</v>
      </c>
      <c r="AX35" s="88">
        <f>SUMIF(budget_request2[Unit],$L35,budget_request2[Balance11])</f>
        <v>3872543000</v>
      </c>
      <c r="AY35" s="62">
        <f>SUMIF(budget_request2[Unit],$L35,budget_request2[Balance12])</f>
        <v>3797515000</v>
      </c>
    </row>
    <row r="36" spans="2:55" x14ac:dyDescent="0.25">
      <c r="E36" s="65"/>
      <c r="F36" s="66"/>
      <c r="G36" s="66"/>
      <c r="H36" s="66"/>
      <c r="I36" s="66"/>
      <c r="J36" s="66"/>
      <c r="K36" s="67"/>
      <c r="L36" s="68" t="s">
        <v>164</v>
      </c>
      <c r="M36" s="69">
        <f>SUMIF(budget_request2[Unit],$L36,budget_request2[Total Payments])</f>
        <v>0</v>
      </c>
      <c r="N36" s="70">
        <f>SUMIF(budget_request2[Unit],$L36,budget_request2[Total Charges])</f>
        <v>0</v>
      </c>
      <c r="O36" s="71">
        <f>SUMIF(budget_request2[Unit],$L36,budget_request2[Balance00])</f>
        <v>0</v>
      </c>
      <c r="P36" s="69">
        <f>SUMIF(budget_request2[Unit],$L36,budget_request2[Charges01])</f>
        <v>0</v>
      </c>
      <c r="Q36" s="89">
        <f>SUMIF(budget_request2[Unit],$L36,budget_request2[Charges02])</f>
        <v>0</v>
      </c>
      <c r="R36" s="89">
        <f>SUMIF(budget_request2[Unit],$L36,budget_request2[Charges03])</f>
        <v>0</v>
      </c>
      <c r="S36" s="89">
        <f>SUMIF(budget_request2[Unit],$L36,budget_request2[Charges04])</f>
        <v>0</v>
      </c>
      <c r="T36" s="89">
        <f>SUMIF(budget_request2[Unit],$L36,budget_request2[Charges05])</f>
        <v>0</v>
      </c>
      <c r="U36" s="89">
        <f>SUMIF(budget_request2[Unit],$L36,budget_request2[Charges06])</f>
        <v>0</v>
      </c>
      <c r="V36" s="89">
        <f>SUMIF(budget_request2[Unit],$L36,budget_request2[Charges07])</f>
        <v>0</v>
      </c>
      <c r="W36" s="89">
        <f>SUMIF(budget_request2[Unit],$L36,budget_request2[Charges08])</f>
        <v>0</v>
      </c>
      <c r="X36" s="89">
        <f>SUMIF(budget_request2[Unit],$L36,budget_request2[Charges09])</f>
        <v>0</v>
      </c>
      <c r="Y36" s="89">
        <f>SUMIF(budget_request2[Unit],$L36,budget_request2[Charges10])</f>
        <v>0</v>
      </c>
      <c r="Z36" s="89">
        <f>SUMIF(budget_request2[Unit],$L36,budget_request2[Charges11])</f>
        <v>0</v>
      </c>
      <c r="AA36" s="70">
        <f>SUMIF(budget_request2[Unit],$L36,budget_request2[Charges12])</f>
        <v>0</v>
      </c>
      <c r="AB36" s="69">
        <f>SUMIF(budget_request2[Unit],$L36,budget_request2[Payments01])</f>
        <v>0</v>
      </c>
      <c r="AC36" s="89">
        <f>SUMIF(budget_request2[Unit],$L36,budget_request2[Payments02])</f>
        <v>0</v>
      </c>
      <c r="AD36" s="89">
        <f>SUMIF(budget_request2[Unit],$L36,budget_request2[Payments03])</f>
        <v>0</v>
      </c>
      <c r="AE36" s="89">
        <f>SUMIF(budget_request2[Unit],$L36,budget_request2[Payments04])</f>
        <v>0</v>
      </c>
      <c r="AF36" s="89">
        <f>SUMIF(budget_request2[Unit],$L36,budget_request2[Payments05])</f>
        <v>0</v>
      </c>
      <c r="AG36" s="89">
        <f>SUMIF(budget_request2[Unit],$L36,budget_request2[Payments06])</f>
        <v>0</v>
      </c>
      <c r="AH36" s="89">
        <f>SUMIF(budget_request2[Unit],$L36,budget_request2[Payments07])</f>
        <v>0</v>
      </c>
      <c r="AI36" s="89">
        <f>SUMIF(budget_request2[Unit],$L36,budget_request2[Payments08])</f>
        <v>0</v>
      </c>
      <c r="AJ36" s="89">
        <f>SUMIF(budget_request2[Unit],$L36,budget_request2[Payments09])</f>
        <v>0</v>
      </c>
      <c r="AK36" s="89">
        <f>SUMIF(budget_request2[Unit],$L36,budget_request2[Payments10])</f>
        <v>0</v>
      </c>
      <c r="AL36" s="89">
        <f>SUMIF(budget_request2[Unit],$L36,budget_request2[Payments11])</f>
        <v>0</v>
      </c>
      <c r="AM36" s="70">
        <f>SUMIF(budget_request2[Unit],$L36,budget_request2[Payments12])</f>
        <v>0</v>
      </c>
      <c r="AN36" s="69">
        <f>SUMIF(budget_request2[Unit],$L36,budget_request2[Balance01])</f>
        <v>0</v>
      </c>
      <c r="AO36" s="89">
        <f>SUMIF(budget_request2[Unit],$L36,budget_request2[Balance02])</f>
        <v>0</v>
      </c>
      <c r="AP36" s="89">
        <f>SUMIF(budget_request2[Unit],$L36,budget_request2[Balance03])</f>
        <v>0</v>
      </c>
      <c r="AQ36" s="89">
        <f>SUMIF(budget_request2[Unit],$L36,budget_request2[Balance04])</f>
        <v>0</v>
      </c>
      <c r="AR36" s="89">
        <f>SUMIF(budget_request2[Unit],$L36,budget_request2[Balance05])</f>
        <v>0</v>
      </c>
      <c r="AS36" s="89">
        <f>SUMIF(budget_request2[Unit],$L36,budget_request2[Balance06])</f>
        <v>0</v>
      </c>
      <c r="AT36" s="89">
        <f>SUMIF(budget_request2[Unit],$L36,budget_request2[Balance07])</f>
        <v>0</v>
      </c>
      <c r="AU36" s="89">
        <f>SUMIF(budget_request2[Unit],$L36,budget_request2[Balance08])</f>
        <v>0</v>
      </c>
      <c r="AV36" s="89">
        <f>SUMIF(budget_request2[Unit],$L36,budget_request2[Balance09])</f>
        <v>0</v>
      </c>
      <c r="AW36" s="89">
        <f>SUMIF(budget_request2[Unit],$L36,budget_request2[Balance10])</f>
        <v>0</v>
      </c>
      <c r="AX36" s="89">
        <f>SUMIF(budget_request2[Unit],$L36,budget_request2[Balance11])</f>
        <v>0</v>
      </c>
      <c r="AY36" s="70">
        <f>SUMIF(budget_request2[Unit],$L36,budget_request2[Balance12])</f>
        <v>0</v>
      </c>
    </row>
    <row r="37" spans="2:55" x14ac:dyDescent="0.25">
      <c r="E37" s="65"/>
      <c r="F37" s="66"/>
      <c r="G37" s="66"/>
      <c r="H37" s="66"/>
      <c r="I37" s="66"/>
      <c r="J37" s="66"/>
      <c r="K37" s="67"/>
      <c r="L37" s="68" t="s">
        <v>165</v>
      </c>
      <c r="M37" s="69">
        <f>SUMIF(budget_request2[Unit],$L37,budget_request2[Total Payments])</f>
        <v>0</v>
      </c>
      <c r="N37" s="70">
        <f>SUMIF(budget_request2[Unit],$L37,budget_request2[Total Charges])</f>
        <v>0</v>
      </c>
      <c r="O37" s="71">
        <f>SUMIF(budget_request2[Unit],$L37,budget_request2[Balance00])</f>
        <v>0</v>
      </c>
      <c r="P37" s="69">
        <f>SUMIF(budget_request2[Unit],$L37,budget_request2[Charges01])</f>
        <v>0</v>
      </c>
      <c r="Q37" s="89">
        <f>SUMIF(budget_request2[Unit],$L37,budget_request2[Charges02])</f>
        <v>0</v>
      </c>
      <c r="R37" s="89">
        <f>SUMIF(budget_request2[Unit],$L37,budget_request2[Charges03])</f>
        <v>0</v>
      </c>
      <c r="S37" s="89">
        <f>SUMIF(budget_request2[Unit],$L37,budget_request2[Charges04])</f>
        <v>0</v>
      </c>
      <c r="T37" s="89">
        <f>SUMIF(budget_request2[Unit],$L37,budget_request2[Charges05])</f>
        <v>0</v>
      </c>
      <c r="U37" s="89">
        <f>SUMIF(budget_request2[Unit],$L37,budget_request2[Charges06])</f>
        <v>0</v>
      </c>
      <c r="V37" s="89">
        <f>SUMIF(budget_request2[Unit],$L37,budget_request2[Charges07])</f>
        <v>0</v>
      </c>
      <c r="W37" s="89">
        <f>SUMIF(budget_request2[Unit],$L37,budget_request2[Charges08])</f>
        <v>0</v>
      </c>
      <c r="X37" s="89">
        <f>SUMIF(budget_request2[Unit],$L37,budget_request2[Charges09])</f>
        <v>0</v>
      </c>
      <c r="Y37" s="89">
        <f>SUMIF(budget_request2[Unit],$L37,budget_request2[Charges10])</f>
        <v>0</v>
      </c>
      <c r="Z37" s="89">
        <f>SUMIF(budget_request2[Unit],$L37,budget_request2[Charges11])</f>
        <v>0</v>
      </c>
      <c r="AA37" s="70">
        <f>SUMIF(budget_request2[Unit],$L37,budget_request2[Charges12])</f>
        <v>0</v>
      </c>
      <c r="AB37" s="69">
        <f>SUMIF(budget_request2[Unit],$L37,budget_request2[Payments01])</f>
        <v>0</v>
      </c>
      <c r="AC37" s="89">
        <f>SUMIF(budget_request2[Unit],$L37,budget_request2[Payments02])</f>
        <v>0</v>
      </c>
      <c r="AD37" s="89">
        <f>SUMIF(budget_request2[Unit],$L37,budget_request2[Payments03])</f>
        <v>0</v>
      </c>
      <c r="AE37" s="89">
        <f>SUMIF(budget_request2[Unit],$L37,budget_request2[Payments04])</f>
        <v>0</v>
      </c>
      <c r="AF37" s="89">
        <f>SUMIF(budget_request2[Unit],$L37,budget_request2[Payments05])</f>
        <v>0</v>
      </c>
      <c r="AG37" s="89">
        <f>SUMIF(budget_request2[Unit],$L37,budget_request2[Payments06])</f>
        <v>0</v>
      </c>
      <c r="AH37" s="89">
        <f>SUMIF(budget_request2[Unit],$L37,budget_request2[Payments07])</f>
        <v>0</v>
      </c>
      <c r="AI37" s="89">
        <f>SUMIF(budget_request2[Unit],$L37,budget_request2[Payments08])</f>
        <v>0</v>
      </c>
      <c r="AJ37" s="89">
        <f>SUMIF(budget_request2[Unit],$L37,budget_request2[Payments09])</f>
        <v>0</v>
      </c>
      <c r="AK37" s="89">
        <f>SUMIF(budget_request2[Unit],$L37,budget_request2[Payments10])</f>
        <v>0</v>
      </c>
      <c r="AL37" s="89">
        <f>SUMIF(budget_request2[Unit],$L37,budget_request2[Payments11])</f>
        <v>0</v>
      </c>
      <c r="AM37" s="70">
        <f>SUMIF(budget_request2[Unit],$L37,budget_request2[Payments12])</f>
        <v>0</v>
      </c>
      <c r="AN37" s="69">
        <f>SUMIF(budget_request2[Unit],$L37,budget_request2[Balance01])</f>
        <v>0</v>
      </c>
      <c r="AO37" s="89">
        <f>SUMIF(budget_request2[Unit],$L37,budget_request2[Balance02])</f>
        <v>0</v>
      </c>
      <c r="AP37" s="89">
        <f>SUMIF(budget_request2[Unit],$L37,budget_request2[Balance03])</f>
        <v>0</v>
      </c>
      <c r="AQ37" s="89">
        <f>SUMIF(budget_request2[Unit],$L37,budget_request2[Balance04])</f>
        <v>0</v>
      </c>
      <c r="AR37" s="89">
        <f>SUMIF(budget_request2[Unit],$L37,budget_request2[Balance05])</f>
        <v>0</v>
      </c>
      <c r="AS37" s="89">
        <f>SUMIF(budget_request2[Unit],$L37,budget_request2[Balance06])</f>
        <v>0</v>
      </c>
      <c r="AT37" s="89">
        <f>SUMIF(budget_request2[Unit],$L37,budget_request2[Balance07])</f>
        <v>0</v>
      </c>
      <c r="AU37" s="89">
        <f>SUMIF(budget_request2[Unit],$L37,budget_request2[Balance08])</f>
        <v>0</v>
      </c>
      <c r="AV37" s="89">
        <f>SUMIF(budget_request2[Unit],$L37,budget_request2[Balance09])</f>
        <v>0</v>
      </c>
      <c r="AW37" s="89">
        <f>SUMIF(budget_request2[Unit],$L37,budget_request2[Balance10])</f>
        <v>0</v>
      </c>
      <c r="AX37" s="89">
        <f>SUMIF(budget_request2[Unit],$L37,budget_request2[Balance11])</f>
        <v>0</v>
      </c>
      <c r="AY37" s="70">
        <f>SUMIF(budget_request2[Unit],$L37,budget_request2[Balance12])</f>
        <v>0</v>
      </c>
    </row>
    <row r="38" spans="2:55" ht="15.75" thickBot="1" x14ac:dyDescent="0.3">
      <c r="E38" s="73"/>
      <c r="F38" s="74"/>
      <c r="G38" s="74"/>
      <c r="H38" s="74"/>
      <c r="I38" s="74"/>
      <c r="J38" s="74"/>
      <c r="K38" s="75"/>
      <c r="L38" s="76" t="s">
        <v>166</v>
      </c>
      <c r="M38" s="77">
        <f>SUMIF(budget_request2[Unit],$L38,budget_request2[Total Payments])</f>
        <v>0</v>
      </c>
      <c r="N38" s="78">
        <f>SUMIF(budget_request2[Unit],$L38,budget_request2[Total Charges])</f>
        <v>0</v>
      </c>
      <c r="O38" s="79">
        <f>SUMIF(budget_request2[Unit],$L38,budget_request2[Balance00])</f>
        <v>0</v>
      </c>
      <c r="P38" s="77">
        <f>SUMIF(budget_request2[Unit],$L38,budget_request2[Charges01])</f>
        <v>0</v>
      </c>
      <c r="Q38" s="90">
        <f>SUMIF(budget_request2[Unit],$L38,budget_request2[Charges02])</f>
        <v>0</v>
      </c>
      <c r="R38" s="90">
        <f>SUMIF(budget_request2[Unit],$L38,budget_request2[Charges03])</f>
        <v>0</v>
      </c>
      <c r="S38" s="90">
        <f>SUMIF(budget_request2[Unit],$L38,budget_request2[Charges04])</f>
        <v>0</v>
      </c>
      <c r="T38" s="90">
        <f>SUMIF(budget_request2[Unit],$L38,budget_request2[Charges05])</f>
        <v>0</v>
      </c>
      <c r="U38" s="90">
        <f>SUMIF(budget_request2[Unit],$L38,budget_request2[Charges06])</f>
        <v>0</v>
      </c>
      <c r="V38" s="90">
        <f>SUMIF(budget_request2[Unit],$L38,budget_request2[Charges07])</f>
        <v>0</v>
      </c>
      <c r="W38" s="90">
        <f>SUMIF(budget_request2[Unit],$L38,budget_request2[Charges08])</f>
        <v>0</v>
      </c>
      <c r="X38" s="90">
        <f>SUMIF(budget_request2[Unit],$L38,budget_request2[Charges09])</f>
        <v>0</v>
      </c>
      <c r="Y38" s="90">
        <f>SUMIF(budget_request2[Unit],$L38,budget_request2[Charges10])</f>
        <v>0</v>
      </c>
      <c r="Z38" s="90">
        <f>SUMIF(budget_request2[Unit],$L38,budget_request2[Charges11])</f>
        <v>0</v>
      </c>
      <c r="AA38" s="78">
        <f>SUMIF(budget_request2[Unit],$L38,budget_request2[Charges12])</f>
        <v>0</v>
      </c>
      <c r="AB38" s="77">
        <f>SUMIF(budget_request2[Unit],$L38,budget_request2[Payments01])</f>
        <v>0</v>
      </c>
      <c r="AC38" s="90">
        <f>SUMIF(budget_request2[Unit],$L38,budget_request2[Payments02])</f>
        <v>0</v>
      </c>
      <c r="AD38" s="90">
        <f>SUMIF(budget_request2[Unit],$L38,budget_request2[Payments03])</f>
        <v>0</v>
      </c>
      <c r="AE38" s="90">
        <f>SUMIF(budget_request2[Unit],$L38,budget_request2[Payments04])</f>
        <v>0</v>
      </c>
      <c r="AF38" s="90">
        <f>SUMIF(budget_request2[Unit],$L38,budget_request2[Payments05])</f>
        <v>0</v>
      </c>
      <c r="AG38" s="90">
        <f>SUMIF(budget_request2[Unit],$L38,budget_request2[Payments06])</f>
        <v>0</v>
      </c>
      <c r="AH38" s="90">
        <f>SUMIF(budget_request2[Unit],$L38,budget_request2[Payments07])</f>
        <v>0</v>
      </c>
      <c r="AI38" s="90">
        <f>SUMIF(budget_request2[Unit],$L38,budget_request2[Payments08])</f>
        <v>0</v>
      </c>
      <c r="AJ38" s="90">
        <f>SUMIF(budget_request2[Unit],$L38,budget_request2[Payments09])</f>
        <v>0</v>
      </c>
      <c r="AK38" s="90">
        <f>SUMIF(budget_request2[Unit],$L38,budget_request2[Payments10])</f>
        <v>0</v>
      </c>
      <c r="AL38" s="90">
        <f>SUMIF(budget_request2[Unit],$L38,budget_request2[Payments11])</f>
        <v>0</v>
      </c>
      <c r="AM38" s="78">
        <f>SUMIF(budget_request2[Unit],$L38,budget_request2[Payments12])</f>
        <v>0</v>
      </c>
      <c r="AN38" s="77">
        <f>SUMIF(budget_request2[Unit],$L38,budget_request2[Balance01])</f>
        <v>0</v>
      </c>
      <c r="AO38" s="90">
        <f>SUMIF(budget_request2[Unit],$L38,budget_request2[Balance02])</f>
        <v>0</v>
      </c>
      <c r="AP38" s="90">
        <f>SUMIF(budget_request2[Unit],$L38,budget_request2[Balance03])</f>
        <v>0</v>
      </c>
      <c r="AQ38" s="90">
        <f>SUMIF(budget_request2[Unit],$L38,budget_request2[Balance04])</f>
        <v>0</v>
      </c>
      <c r="AR38" s="90">
        <f>SUMIF(budget_request2[Unit],$L38,budget_request2[Balance05])</f>
        <v>0</v>
      </c>
      <c r="AS38" s="90">
        <f>SUMIF(budget_request2[Unit],$L38,budget_request2[Balance06])</f>
        <v>0</v>
      </c>
      <c r="AT38" s="90">
        <f>SUMIF(budget_request2[Unit],$L38,budget_request2[Balance07])</f>
        <v>0</v>
      </c>
      <c r="AU38" s="90">
        <f>SUMIF(budget_request2[Unit],$L38,budget_request2[Balance08])</f>
        <v>0</v>
      </c>
      <c r="AV38" s="90">
        <f>SUMIF(budget_request2[Unit],$L38,budget_request2[Balance09])</f>
        <v>0</v>
      </c>
      <c r="AW38" s="90">
        <f>SUMIF(budget_request2[Unit],$L38,budget_request2[Balance10])</f>
        <v>0</v>
      </c>
      <c r="AX38" s="90">
        <f>SUMIF(budget_request2[Unit],$L38,budget_request2[Balance11])</f>
        <v>0</v>
      </c>
      <c r="AY38" s="78">
        <f>SUMIF(budget_request2[Unit],$L38,budget_request2[Balance12])</f>
        <v>0</v>
      </c>
    </row>
  </sheetData>
  <conditionalFormatting sqref="B9:BC34">
    <cfRule type="expression" dxfId="54" priority="1">
      <formula>$D9=1</formula>
    </cfRule>
  </conditionalFormatting>
  <dataValidations count="7">
    <dataValidation allowBlank="1" showInputMessage="1" showErrorMessage="1" sqref="A1 F8 H8:L8" xr:uid="{EBD7B82B-355D-4D03-A6C2-040C01F6CE4F}"/>
    <dataValidation type="list" allowBlank="1" showInputMessage="1" showErrorMessage="1" sqref="F9:F34" xr:uid="{DED922BF-D19A-4095-B5D5-A646BC4F74A3}">
      <formula1>INDIRECT("vl_xls27_xl_validation_list_budgeting_account_id_code_2[name]")</formula1>
    </dataValidation>
    <dataValidation type="list" allowBlank="1" showInputMessage="1" showErrorMessage="1" sqref="J9:J34" xr:uid="{D30B6440-039F-49CF-BC68-781649EA97C4}">
      <formula1>INDIRECT("vl_xls27_xl_validation_list_product_id_code_2[name]")</formula1>
    </dataValidation>
    <dataValidation type="list" allowBlank="1" showInputMessage="1" showErrorMessage="1" sqref="I9:I34" xr:uid="{7365D49F-EE51-4B3B-A757-D263F7BC1E93}">
      <formula1>INDIRECT("vl_xls27_xl_validation_list_region_id_code_2[name]")</formula1>
    </dataValidation>
    <dataValidation type="list" allowBlank="1" showInputMessage="1" showErrorMessage="1" sqref="H9:H34" xr:uid="{2436C653-CAE6-487C-A730-1F85532F499B}">
      <formula1>INDIRECT("vl_xls27_xl_validation_list_subsidiary_account_id_2[name]")</formula1>
    </dataValidation>
    <dataValidation type="list" allowBlank="1" showInputMessage="1" showErrorMessage="1" sqref="L9:L34" xr:uid="{5D5DE759-07AC-47B5-BBD3-C6D310610C8E}">
      <formula1>INDIRECT("vl_xls27_xl_validation_list_unit_id_code_2[code]")</formula1>
    </dataValidation>
    <dataValidation type="list" allowBlank="1" showInputMessage="1" showErrorMessage="1" sqref="K9:K34" xr:uid="{0859DAB3-9D45-4B83-8169-52DEAC4A122E}">
      <formula1>INDIRECT("vl_xls27_xl_validation_list_vat_rate_id_2[name]")</formula1>
    </dataValidation>
  </dataValidations>
  <pageMargins left="0.7" right="0.7" top="0.75" bottom="0.75" header="0.3" footer="0.3"/>
  <pageSetup scale="21" orientation="landscape" r:id="rId1"/>
  <ignoredErrors>
    <ignoredError sqref="B6:AY6" numberStoredAsText="1"/>
  </ignoredError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22AA2-FBC5-45B1-9408-27D848DE3E3C}">
  <sheetPr codeName="Sheet4"/>
  <dimension ref="A1:C718"/>
  <sheetViews>
    <sheetView workbookViewId="0">
      <pane ySplit="1" topLeftCell="A2" activePane="bottomLeft" state="frozenSplit"/>
      <selection pane="bottomLeft"/>
    </sheetView>
  </sheetViews>
  <sheetFormatPr defaultRowHeight="15" x14ac:dyDescent="0.25"/>
  <sheetData>
    <row r="1" spans="1:3" x14ac:dyDescent="0.25">
      <c r="A1" s="66" t="s">
        <v>167</v>
      </c>
    </row>
    <row r="2" spans="1:3" x14ac:dyDescent="0.25">
      <c r="A2" t="s">
        <v>168</v>
      </c>
    </row>
    <row r="3" spans="1:3" x14ac:dyDescent="0.25">
      <c r="A3" s="80" t="s">
        <v>169</v>
      </c>
      <c r="B3" t="s">
        <v>170</v>
      </c>
      <c r="C3" s="80" t="s">
        <v>171</v>
      </c>
    </row>
    <row r="4" spans="1:3" x14ac:dyDescent="0.25">
      <c r="A4" s="80" t="s">
        <v>169</v>
      </c>
      <c r="B4" t="s">
        <v>172</v>
      </c>
      <c r="C4" t="b">
        <v>0</v>
      </c>
    </row>
    <row r="5" spans="1:3" x14ac:dyDescent="0.25">
      <c r="A5" s="80" t="s">
        <v>101</v>
      </c>
      <c r="B5" t="s">
        <v>173</v>
      </c>
      <c r="C5" t="b">
        <v>1</v>
      </c>
    </row>
    <row r="6" spans="1:3" x14ac:dyDescent="0.25">
      <c r="A6" s="80" t="s">
        <v>102</v>
      </c>
      <c r="B6" t="s">
        <v>173</v>
      </c>
      <c r="C6" t="b">
        <v>1</v>
      </c>
    </row>
    <row r="7" spans="1:3" x14ac:dyDescent="0.25">
      <c r="A7" s="80" t="s">
        <v>103</v>
      </c>
      <c r="B7" t="s">
        <v>173</v>
      </c>
      <c r="C7" t="b">
        <v>1</v>
      </c>
    </row>
    <row r="8" spans="1:3" x14ac:dyDescent="0.25">
      <c r="A8" s="80" t="s">
        <v>104</v>
      </c>
      <c r="B8" t="s">
        <v>173</v>
      </c>
      <c r="C8" t="b">
        <v>0</v>
      </c>
    </row>
    <row r="9" spans="1:3" x14ac:dyDescent="0.25">
      <c r="A9" s="80" t="s">
        <v>105</v>
      </c>
      <c r="B9" t="s">
        <v>173</v>
      </c>
      <c r="C9" t="b">
        <v>0</v>
      </c>
    </row>
    <row r="10" spans="1:3" x14ac:dyDescent="0.25">
      <c r="A10" s="80" t="s">
        <v>106</v>
      </c>
      <c r="B10" t="s">
        <v>173</v>
      </c>
      <c r="C10" t="b">
        <v>1</v>
      </c>
    </row>
    <row r="11" spans="1:3" x14ac:dyDescent="0.25">
      <c r="A11" s="80" t="s">
        <v>107</v>
      </c>
      <c r="B11" t="s">
        <v>173</v>
      </c>
      <c r="C11" t="b">
        <v>0</v>
      </c>
    </row>
    <row r="12" spans="1:3" x14ac:dyDescent="0.25">
      <c r="A12" s="80" t="s">
        <v>108</v>
      </c>
      <c r="B12" t="s">
        <v>173</v>
      </c>
      <c r="C12" t="b">
        <v>0</v>
      </c>
    </row>
    <row r="13" spans="1:3" x14ac:dyDescent="0.25">
      <c r="A13" s="80" t="s">
        <v>109</v>
      </c>
      <c r="B13" t="s">
        <v>173</v>
      </c>
      <c r="C13" t="b">
        <v>0</v>
      </c>
    </row>
    <row r="14" spans="1:3" x14ac:dyDescent="0.25">
      <c r="A14" s="80" t="s">
        <v>110</v>
      </c>
      <c r="B14" t="s">
        <v>173</v>
      </c>
      <c r="C14" t="b">
        <v>0</v>
      </c>
    </row>
    <row r="15" spans="1:3" x14ac:dyDescent="0.25">
      <c r="A15" s="80" t="s">
        <v>111</v>
      </c>
      <c r="B15" t="s">
        <v>173</v>
      </c>
      <c r="C15" t="b">
        <v>0</v>
      </c>
    </row>
    <row r="16" spans="1:3" x14ac:dyDescent="0.25">
      <c r="A16" s="80" t="s">
        <v>112</v>
      </c>
      <c r="B16" t="s">
        <v>173</v>
      </c>
      <c r="C16" t="b">
        <v>0</v>
      </c>
    </row>
    <row r="17" spans="1:3" x14ac:dyDescent="0.25">
      <c r="A17" s="80" t="s">
        <v>113</v>
      </c>
      <c r="B17" t="s">
        <v>173</v>
      </c>
      <c r="C17" t="b">
        <v>0</v>
      </c>
    </row>
    <row r="18" spans="1:3" x14ac:dyDescent="0.25">
      <c r="A18" s="80" t="s">
        <v>114</v>
      </c>
      <c r="B18" t="s">
        <v>173</v>
      </c>
      <c r="C18" t="b">
        <v>0</v>
      </c>
    </row>
    <row r="19" spans="1:3" x14ac:dyDescent="0.25">
      <c r="A19" s="80" t="s">
        <v>115</v>
      </c>
      <c r="B19" t="s">
        <v>173</v>
      </c>
      <c r="C19" t="b">
        <v>0</v>
      </c>
    </row>
    <row r="20" spans="1:3" x14ac:dyDescent="0.25">
      <c r="A20" s="80" t="s">
        <v>116</v>
      </c>
      <c r="B20" t="s">
        <v>173</v>
      </c>
      <c r="C20" t="b">
        <v>0</v>
      </c>
    </row>
    <row r="21" spans="1:3" x14ac:dyDescent="0.25">
      <c r="A21" s="80" t="s">
        <v>117</v>
      </c>
      <c r="B21" t="s">
        <v>173</v>
      </c>
      <c r="C21" t="b">
        <v>0</v>
      </c>
    </row>
    <row r="22" spans="1:3" x14ac:dyDescent="0.25">
      <c r="A22" s="80" t="s">
        <v>118</v>
      </c>
      <c r="B22" t="s">
        <v>173</v>
      </c>
      <c r="C22" t="b">
        <v>0</v>
      </c>
    </row>
    <row r="23" spans="1:3" x14ac:dyDescent="0.25">
      <c r="A23" s="80" t="s">
        <v>119</v>
      </c>
      <c r="B23" t="s">
        <v>173</v>
      </c>
      <c r="C23" t="b">
        <v>0</v>
      </c>
    </row>
    <row r="24" spans="1:3" x14ac:dyDescent="0.25">
      <c r="A24" s="80" t="s">
        <v>120</v>
      </c>
      <c r="B24" t="s">
        <v>173</v>
      </c>
      <c r="C24" t="b">
        <v>0</v>
      </c>
    </row>
    <row r="25" spans="1:3" x14ac:dyDescent="0.25">
      <c r="A25" s="80" t="s">
        <v>121</v>
      </c>
      <c r="B25" t="s">
        <v>173</v>
      </c>
      <c r="C25" t="b">
        <v>0</v>
      </c>
    </row>
    <row r="26" spans="1:3" x14ac:dyDescent="0.25">
      <c r="A26" s="80" t="s">
        <v>122</v>
      </c>
      <c r="B26" t="s">
        <v>173</v>
      </c>
      <c r="C26" t="b">
        <v>0</v>
      </c>
    </row>
    <row r="27" spans="1:3" x14ac:dyDescent="0.25">
      <c r="A27" s="80" t="s">
        <v>123</v>
      </c>
      <c r="B27" t="s">
        <v>173</v>
      </c>
      <c r="C27" t="b">
        <v>0</v>
      </c>
    </row>
    <row r="28" spans="1:3" x14ac:dyDescent="0.25">
      <c r="A28" s="80" t="s">
        <v>124</v>
      </c>
      <c r="B28" t="s">
        <v>173</v>
      </c>
      <c r="C28" t="b">
        <v>0</v>
      </c>
    </row>
    <row r="29" spans="1:3" x14ac:dyDescent="0.25">
      <c r="A29" s="80" t="s">
        <v>125</v>
      </c>
      <c r="B29" t="s">
        <v>173</v>
      </c>
      <c r="C29" t="b">
        <v>0</v>
      </c>
    </row>
    <row r="30" spans="1:3" x14ac:dyDescent="0.25">
      <c r="A30" s="80" t="s">
        <v>126</v>
      </c>
      <c r="B30" t="s">
        <v>173</v>
      </c>
      <c r="C30" t="b">
        <v>0</v>
      </c>
    </row>
    <row r="31" spans="1:3" x14ac:dyDescent="0.25">
      <c r="A31" s="80" t="s">
        <v>127</v>
      </c>
      <c r="B31" t="s">
        <v>173</v>
      </c>
      <c r="C31" t="b">
        <v>0</v>
      </c>
    </row>
    <row r="32" spans="1:3" x14ac:dyDescent="0.25">
      <c r="A32" s="80" t="s">
        <v>128</v>
      </c>
      <c r="B32" t="s">
        <v>173</v>
      </c>
      <c r="C32" t="b">
        <v>0</v>
      </c>
    </row>
    <row r="33" spans="1:3" x14ac:dyDescent="0.25">
      <c r="A33" s="80" t="s">
        <v>129</v>
      </c>
      <c r="B33" t="s">
        <v>173</v>
      </c>
      <c r="C33" t="b">
        <v>0</v>
      </c>
    </row>
    <row r="34" spans="1:3" x14ac:dyDescent="0.25">
      <c r="A34" s="80" t="s">
        <v>130</v>
      </c>
      <c r="B34" t="s">
        <v>173</v>
      </c>
      <c r="C34" t="b">
        <v>0</v>
      </c>
    </row>
    <row r="35" spans="1:3" x14ac:dyDescent="0.25">
      <c r="A35" s="80" t="s">
        <v>131</v>
      </c>
      <c r="B35" t="s">
        <v>173</v>
      </c>
      <c r="C35" t="b">
        <v>0</v>
      </c>
    </row>
    <row r="36" spans="1:3" x14ac:dyDescent="0.25">
      <c r="A36" s="80" t="s">
        <v>132</v>
      </c>
      <c r="B36" t="s">
        <v>173</v>
      </c>
      <c r="C36" t="b">
        <v>0</v>
      </c>
    </row>
    <row r="37" spans="1:3" x14ac:dyDescent="0.25">
      <c r="A37" s="80" t="s">
        <v>133</v>
      </c>
      <c r="B37" t="s">
        <v>173</v>
      </c>
      <c r="C37" t="b">
        <v>0</v>
      </c>
    </row>
    <row r="38" spans="1:3" x14ac:dyDescent="0.25">
      <c r="A38" s="80" t="s">
        <v>134</v>
      </c>
      <c r="B38" t="s">
        <v>173</v>
      </c>
      <c r="C38" t="b">
        <v>0</v>
      </c>
    </row>
    <row r="39" spans="1:3" x14ac:dyDescent="0.25">
      <c r="A39" s="80" t="s">
        <v>135</v>
      </c>
      <c r="B39" t="s">
        <v>173</v>
      </c>
      <c r="C39" t="b">
        <v>0</v>
      </c>
    </row>
    <row r="40" spans="1:3" x14ac:dyDescent="0.25">
      <c r="A40" s="80" t="s">
        <v>136</v>
      </c>
      <c r="B40" t="s">
        <v>173</v>
      </c>
      <c r="C40" t="b">
        <v>0</v>
      </c>
    </row>
    <row r="41" spans="1:3" x14ac:dyDescent="0.25">
      <c r="A41" s="80" t="s">
        <v>137</v>
      </c>
      <c r="B41" t="s">
        <v>173</v>
      </c>
      <c r="C41" t="b">
        <v>0</v>
      </c>
    </row>
    <row r="42" spans="1:3" x14ac:dyDescent="0.25">
      <c r="A42" s="80" t="s">
        <v>138</v>
      </c>
      <c r="B42" t="s">
        <v>173</v>
      </c>
      <c r="C42" t="b">
        <v>0</v>
      </c>
    </row>
    <row r="43" spans="1:3" x14ac:dyDescent="0.25">
      <c r="A43" s="80" t="s">
        <v>139</v>
      </c>
      <c r="B43" t="s">
        <v>173</v>
      </c>
      <c r="C43" t="b">
        <v>0</v>
      </c>
    </row>
    <row r="44" spans="1:3" x14ac:dyDescent="0.25">
      <c r="A44" s="80" t="s">
        <v>140</v>
      </c>
      <c r="B44" t="s">
        <v>173</v>
      </c>
      <c r="C44" t="b">
        <v>0</v>
      </c>
    </row>
    <row r="45" spans="1:3" x14ac:dyDescent="0.25">
      <c r="A45" s="80" t="s">
        <v>141</v>
      </c>
      <c r="B45" t="s">
        <v>173</v>
      </c>
      <c r="C45" t="b">
        <v>0</v>
      </c>
    </row>
    <row r="46" spans="1:3" x14ac:dyDescent="0.25">
      <c r="A46" s="80" t="s">
        <v>142</v>
      </c>
      <c r="B46" t="s">
        <v>173</v>
      </c>
      <c r="C46" t="b">
        <v>0</v>
      </c>
    </row>
    <row r="47" spans="1:3" x14ac:dyDescent="0.25">
      <c r="A47" s="80" t="s">
        <v>143</v>
      </c>
      <c r="B47" t="s">
        <v>173</v>
      </c>
      <c r="C47" t="b">
        <v>0</v>
      </c>
    </row>
    <row r="48" spans="1:3" x14ac:dyDescent="0.25">
      <c r="A48" s="80" t="s">
        <v>144</v>
      </c>
      <c r="B48" t="s">
        <v>173</v>
      </c>
      <c r="C48" t="b">
        <v>0</v>
      </c>
    </row>
    <row r="49" spans="1:3" x14ac:dyDescent="0.25">
      <c r="A49" s="80" t="s">
        <v>145</v>
      </c>
      <c r="B49" t="s">
        <v>173</v>
      </c>
      <c r="C49" t="b">
        <v>0</v>
      </c>
    </row>
    <row r="50" spans="1:3" x14ac:dyDescent="0.25">
      <c r="A50" s="80" t="s">
        <v>146</v>
      </c>
      <c r="B50" t="s">
        <v>173</v>
      </c>
      <c r="C50" t="b">
        <v>0</v>
      </c>
    </row>
    <row r="51" spans="1:3" x14ac:dyDescent="0.25">
      <c r="A51" s="80" t="s">
        <v>147</v>
      </c>
      <c r="B51" t="s">
        <v>173</v>
      </c>
      <c r="C51" t="b">
        <v>0</v>
      </c>
    </row>
    <row r="52" spans="1:3" x14ac:dyDescent="0.25">
      <c r="A52" s="80" t="s">
        <v>148</v>
      </c>
      <c r="B52" t="s">
        <v>173</v>
      </c>
      <c r="C52" t="b">
        <v>0</v>
      </c>
    </row>
    <row r="53" spans="1:3" x14ac:dyDescent="0.25">
      <c r="A53" s="80" t="s">
        <v>149</v>
      </c>
      <c r="B53" t="s">
        <v>173</v>
      </c>
      <c r="C53" t="b">
        <v>0</v>
      </c>
    </row>
    <row r="54" spans="1:3" x14ac:dyDescent="0.25">
      <c r="A54" s="80" t="s">
        <v>150</v>
      </c>
      <c r="B54" t="s">
        <v>173</v>
      </c>
      <c r="C54" t="b">
        <v>0</v>
      </c>
    </row>
    <row r="55" spans="1:3" x14ac:dyDescent="0.25">
      <c r="A55" s="80" t="s">
        <v>151</v>
      </c>
      <c r="B55" t="s">
        <v>173</v>
      </c>
      <c r="C55" t="b">
        <v>1</v>
      </c>
    </row>
    <row r="56" spans="1:3" x14ac:dyDescent="0.25">
      <c r="A56" s="80" t="s">
        <v>545</v>
      </c>
      <c r="B56" t="s">
        <v>173</v>
      </c>
      <c r="C56" t="b">
        <v>1</v>
      </c>
    </row>
    <row r="57" spans="1:3" x14ac:dyDescent="0.25">
      <c r="A57" s="80" t="s">
        <v>152</v>
      </c>
      <c r="B57" t="s">
        <v>173</v>
      </c>
      <c r="C57" t="b">
        <v>1</v>
      </c>
    </row>
    <row r="58" spans="1:3" x14ac:dyDescent="0.25">
      <c r="A58" s="80" t="s">
        <v>153</v>
      </c>
      <c r="B58" t="s">
        <v>173</v>
      </c>
      <c r="C58" t="b">
        <v>1</v>
      </c>
    </row>
    <row r="59" spans="1:3" x14ac:dyDescent="0.25">
      <c r="A59" t="s">
        <v>174</v>
      </c>
    </row>
    <row r="60" spans="1:3" x14ac:dyDescent="0.25">
      <c r="A60" t="s">
        <v>175</v>
      </c>
    </row>
    <row r="61" spans="1:3" x14ac:dyDescent="0.25">
      <c r="A61" s="80" t="s">
        <v>169</v>
      </c>
      <c r="B61" t="s">
        <v>170</v>
      </c>
      <c r="C61" s="80" t="s">
        <v>171</v>
      </c>
    </row>
    <row r="62" spans="1:3" x14ac:dyDescent="0.25">
      <c r="A62" s="80" t="s">
        <v>169</v>
      </c>
      <c r="B62" t="s">
        <v>172</v>
      </c>
      <c r="C62" t="b">
        <v>0</v>
      </c>
    </row>
    <row r="63" spans="1:3" x14ac:dyDescent="0.25">
      <c r="A63" s="80" t="s">
        <v>101</v>
      </c>
      <c r="B63" t="s">
        <v>173</v>
      </c>
      <c r="C63" t="b">
        <v>0</v>
      </c>
    </row>
    <row r="64" spans="1:3" x14ac:dyDescent="0.25">
      <c r="A64" s="80" t="s">
        <v>102</v>
      </c>
      <c r="B64" t="s">
        <v>173</v>
      </c>
      <c r="C64" t="b">
        <v>0</v>
      </c>
    </row>
    <row r="65" spans="1:3" x14ac:dyDescent="0.25">
      <c r="A65" s="80" t="s">
        <v>103</v>
      </c>
      <c r="B65" t="s">
        <v>173</v>
      </c>
      <c r="C65" t="b">
        <v>0</v>
      </c>
    </row>
    <row r="66" spans="1:3" x14ac:dyDescent="0.25">
      <c r="A66" s="80" t="s">
        <v>104</v>
      </c>
      <c r="B66" t="s">
        <v>173</v>
      </c>
      <c r="C66" t="b">
        <v>0</v>
      </c>
    </row>
    <row r="67" spans="1:3" x14ac:dyDescent="0.25">
      <c r="A67" s="80" t="s">
        <v>105</v>
      </c>
      <c r="B67" t="s">
        <v>173</v>
      </c>
      <c r="C67" t="b">
        <v>0</v>
      </c>
    </row>
    <row r="68" spans="1:3" x14ac:dyDescent="0.25">
      <c r="A68" s="80" t="s">
        <v>106</v>
      </c>
      <c r="B68" t="s">
        <v>173</v>
      </c>
      <c r="C68" t="b">
        <v>0</v>
      </c>
    </row>
    <row r="69" spans="1:3" x14ac:dyDescent="0.25">
      <c r="A69" s="80" t="s">
        <v>107</v>
      </c>
      <c r="B69" t="s">
        <v>173</v>
      </c>
      <c r="C69" t="b">
        <v>0</v>
      </c>
    </row>
    <row r="70" spans="1:3" x14ac:dyDescent="0.25">
      <c r="A70" s="80" t="s">
        <v>108</v>
      </c>
      <c r="B70" t="s">
        <v>173</v>
      </c>
      <c r="C70" t="b">
        <v>0</v>
      </c>
    </row>
    <row r="71" spans="1:3" x14ac:dyDescent="0.25">
      <c r="A71" s="80" t="s">
        <v>109</v>
      </c>
      <c r="B71" t="s">
        <v>173</v>
      </c>
      <c r="C71" t="b">
        <v>0</v>
      </c>
    </row>
    <row r="72" spans="1:3" x14ac:dyDescent="0.25">
      <c r="A72" s="80" t="s">
        <v>110</v>
      </c>
      <c r="B72" t="s">
        <v>173</v>
      </c>
      <c r="C72" t="b">
        <v>0</v>
      </c>
    </row>
    <row r="73" spans="1:3" x14ac:dyDescent="0.25">
      <c r="A73" s="80" t="s">
        <v>111</v>
      </c>
      <c r="B73" t="s">
        <v>173</v>
      </c>
      <c r="C73" t="b">
        <v>0</v>
      </c>
    </row>
    <row r="74" spans="1:3" x14ac:dyDescent="0.25">
      <c r="A74" s="80" t="s">
        <v>112</v>
      </c>
      <c r="B74" t="s">
        <v>173</v>
      </c>
      <c r="C74" t="b">
        <v>0</v>
      </c>
    </row>
    <row r="75" spans="1:3" x14ac:dyDescent="0.25">
      <c r="A75" s="80" t="s">
        <v>113</v>
      </c>
      <c r="B75" t="s">
        <v>173</v>
      </c>
      <c r="C75" t="b">
        <v>0</v>
      </c>
    </row>
    <row r="76" spans="1:3" x14ac:dyDescent="0.25">
      <c r="A76" s="80" t="s">
        <v>114</v>
      </c>
      <c r="B76" t="s">
        <v>173</v>
      </c>
      <c r="C76" t="b">
        <v>0</v>
      </c>
    </row>
    <row r="77" spans="1:3" x14ac:dyDescent="0.25">
      <c r="A77" s="80" t="s">
        <v>115</v>
      </c>
      <c r="B77" t="s">
        <v>173</v>
      </c>
      <c r="C77" t="b">
        <v>0</v>
      </c>
    </row>
    <row r="78" spans="1:3" x14ac:dyDescent="0.25">
      <c r="A78" s="80" t="s">
        <v>116</v>
      </c>
      <c r="B78" t="s">
        <v>173</v>
      </c>
      <c r="C78" t="b">
        <v>0</v>
      </c>
    </row>
    <row r="79" spans="1:3" x14ac:dyDescent="0.25">
      <c r="A79" s="80" t="s">
        <v>117</v>
      </c>
      <c r="B79" t="s">
        <v>173</v>
      </c>
      <c r="C79" t="b">
        <v>0</v>
      </c>
    </row>
    <row r="80" spans="1:3" x14ac:dyDescent="0.25">
      <c r="A80" s="80" t="s">
        <v>118</v>
      </c>
      <c r="B80" t="s">
        <v>173</v>
      </c>
      <c r="C80" t="b">
        <v>0</v>
      </c>
    </row>
    <row r="81" spans="1:3" x14ac:dyDescent="0.25">
      <c r="A81" s="80" t="s">
        <v>119</v>
      </c>
      <c r="B81" t="s">
        <v>173</v>
      </c>
      <c r="C81" t="b">
        <v>0</v>
      </c>
    </row>
    <row r="82" spans="1:3" x14ac:dyDescent="0.25">
      <c r="A82" s="80" t="s">
        <v>120</v>
      </c>
      <c r="B82" t="s">
        <v>173</v>
      </c>
      <c r="C82" t="b">
        <v>0</v>
      </c>
    </row>
    <row r="83" spans="1:3" x14ac:dyDescent="0.25">
      <c r="A83" s="80" t="s">
        <v>121</v>
      </c>
      <c r="B83" t="s">
        <v>173</v>
      </c>
      <c r="C83" t="b">
        <v>0</v>
      </c>
    </row>
    <row r="84" spans="1:3" x14ac:dyDescent="0.25">
      <c r="A84" s="80" t="s">
        <v>122</v>
      </c>
      <c r="B84" t="s">
        <v>173</v>
      </c>
      <c r="C84" t="b">
        <v>0</v>
      </c>
    </row>
    <row r="85" spans="1:3" x14ac:dyDescent="0.25">
      <c r="A85" s="80" t="s">
        <v>123</v>
      </c>
      <c r="B85" t="s">
        <v>173</v>
      </c>
      <c r="C85" t="b">
        <v>0</v>
      </c>
    </row>
    <row r="86" spans="1:3" x14ac:dyDescent="0.25">
      <c r="A86" s="80" t="s">
        <v>124</v>
      </c>
      <c r="B86" t="s">
        <v>173</v>
      </c>
      <c r="C86" t="b">
        <v>0</v>
      </c>
    </row>
    <row r="87" spans="1:3" x14ac:dyDescent="0.25">
      <c r="A87" s="80" t="s">
        <v>125</v>
      </c>
      <c r="B87" t="s">
        <v>173</v>
      </c>
      <c r="C87" t="b">
        <v>0</v>
      </c>
    </row>
    <row r="88" spans="1:3" x14ac:dyDescent="0.25">
      <c r="A88" s="80" t="s">
        <v>126</v>
      </c>
      <c r="B88" t="s">
        <v>173</v>
      </c>
      <c r="C88" t="b">
        <v>0</v>
      </c>
    </row>
    <row r="89" spans="1:3" x14ac:dyDescent="0.25">
      <c r="A89" s="80" t="s">
        <v>127</v>
      </c>
      <c r="B89" t="s">
        <v>173</v>
      </c>
      <c r="C89" t="b">
        <v>0</v>
      </c>
    </row>
    <row r="90" spans="1:3" x14ac:dyDescent="0.25">
      <c r="A90" s="80" t="s">
        <v>128</v>
      </c>
      <c r="B90" t="s">
        <v>173</v>
      </c>
      <c r="C90" t="b">
        <v>0</v>
      </c>
    </row>
    <row r="91" spans="1:3" x14ac:dyDescent="0.25">
      <c r="A91" s="80" t="s">
        <v>129</v>
      </c>
      <c r="B91" t="s">
        <v>173</v>
      </c>
      <c r="C91" t="b">
        <v>0</v>
      </c>
    </row>
    <row r="92" spans="1:3" x14ac:dyDescent="0.25">
      <c r="A92" s="80" t="s">
        <v>130</v>
      </c>
      <c r="B92" t="s">
        <v>173</v>
      </c>
      <c r="C92" t="b">
        <v>0</v>
      </c>
    </row>
    <row r="93" spans="1:3" x14ac:dyDescent="0.25">
      <c r="A93" s="80" t="s">
        <v>131</v>
      </c>
      <c r="B93" t="s">
        <v>173</v>
      </c>
      <c r="C93" t="b">
        <v>0</v>
      </c>
    </row>
    <row r="94" spans="1:3" x14ac:dyDescent="0.25">
      <c r="A94" s="80" t="s">
        <v>132</v>
      </c>
      <c r="B94" t="s">
        <v>173</v>
      </c>
      <c r="C94" t="b">
        <v>0</v>
      </c>
    </row>
    <row r="95" spans="1:3" x14ac:dyDescent="0.25">
      <c r="A95" s="80" t="s">
        <v>133</v>
      </c>
      <c r="B95" t="s">
        <v>173</v>
      </c>
      <c r="C95" t="b">
        <v>0</v>
      </c>
    </row>
    <row r="96" spans="1:3" x14ac:dyDescent="0.25">
      <c r="A96" s="80" t="s">
        <v>134</v>
      </c>
      <c r="B96" t="s">
        <v>173</v>
      </c>
      <c r="C96" t="b">
        <v>0</v>
      </c>
    </row>
    <row r="97" spans="1:3" x14ac:dyDescent="0.25">
      <c r="A97" s="80" t="s">
        <v>135</v>
      </c>
      <c r="B97" t="s">
        <v>173</v>
      </c>
      <c r="C97" t="b">
        <v>0</v>
      </c>
    </row>
    <row r="98" spans="1:3" x14ac:dyDescent="0.25">
      <c r="A98" s="80" t="s">
        <v>136</v>
      </c>
      <c r="B98" t="s">
        <v>173</v>
      </c>
      <c r="C98" t="b">
        <v>0</v>
      </c>
    </row>
    <row r="99" spans="1:3" x14ac:dyDescent="0.25">
      <c r="A99" s="80" t="s">
        <v>137</v>
      </c>
      <c r="B99" t="s">
        <v>173</v>
      </c>
      <c r="C99" t="b">
        <v>0</v>
      </c>
    </row>
    <row r="100" spans="1:3" x14ac:dyDescent="0.25">
      <c r="A100" s="80" t="s">
        <v>138</v>
      </c>
      <c r="B100" t="s">
        <v>173</v>
      </c>
      <c r="C100" t="b">
        <v>0</v>
      </c>
    </row>
    <row r="101" spans="1:3" x14ac:dyDescent="0.25">
      <c r="A101" s="80" t="s">
        <v>139</v>
      </c>
      <c r="B101" t="s">
        <v>173</v>
      </c>
      <c r="C101" t="b">
        <v>0</v>
      </c>
    </row>
    <row r="102" spans="1:3" x14ac:dyDescent="0.25">
      <c r="A102" s="80" t="s">
        <v>140</v>
      </c>
      <c r="B102" t="s">
        <v>173</v>
      </c>
      <c r="C102" t="b">
        <v>0</v>
      </c>
    </row>
    <row r="103" spans="1:3" x14ac:dyDescent="0.25">
      <c r="A103" s="80" t="s">
        <v>141</v>
      </c>
      <c r="B103" t="s">
        <v>173</v>
      </c>
      <c r="C103" t="b">
        <v>0</v>
      </c>
    </row>
    <row r="104" spans="1:3" x14ac:dyDescent="0.25">
      <c r="A104" s="80" t="s">
        <v>142</v>
      </c>
      <c r="B104" t="s">
        <v>173</v>
      </c>
      <c r="C104" t="b">
        <v>0</v>
      </c>
    </row>
    <row r="105" spans="1:3" x14ac:dyDescent="0.25">
      <c r="A105" s="80" t="s">
        <v>143</v>
      </c>
      <c r="B105" t="s">
        <v>173</v>
      </c>
      <c r="C105" t="b">
        <v>0</v>
      </c>
    </row>
    <row r="106" spans="1:3" x14ac:dyDescent="0.25">
      <c r="A106" s="80" t="s">
        <v>144</v>
      </c>
      <c r="B106" t="s">
        <v>173</v>
      </c>
      <c r="C106" t="b">
        <v>0</v>
      </c>
    </row>
    <row r="107" spans="1:3" x14ac:dyDescent="0.25">
      <c r="A107" s="80" t="s">
        <v>145</v>
      </c>
      <c r="B107" t="s">
        <v>173</v>
      </c>
      <c r="C107" t="b">
        <v>0</v>
      </c>
    </row>
    <row r="108" spans="1:3" x14ac:dyDescent="0.25">
      <c r="A108" s="80" t="s">
        <v>146</v>
      </c>
      <c r="B108" t="s">
        <v>173</v>
      </c>
      <c r="C108" t="b">
        <v>0</v>
      </c>
    </row>
    <row r="109" spans="1:3" x14ac:dyDescent="0.25">
      <c r="A109" s="80" t="s">
        <v>147</v>
      </c>
      <c r="B109" t="s">
        <v>173</v>
      </c>
      <c r="C109" t="b">
        <v>0</v>
      </c>
    </row>
    <row r="110" spans="1:3" x14ac:dyDescent="0.25">
      <c r="A110" s="80" t="s">
        <v>148</v>
      </c>
      <c r="B110" t="s">
        <v>173</v>
      </c>
      <c r="C110" t="b">
        <v>0</v>
      </c>
    </row>
    <row r="111" spans="1:3" x14ac:dyDescent="0.25">
      <c r="A111" s="80" t="s">
        <v>149</v>
      </c>
      <c r="B111" t="s">
        <v>173</v>
      </c>
      <c r="C111" t="b">
        <v>0</v>
      </c>
    </row>
    <row r="112" spans="1:3" x14ac:dyDescent="0.25">
      <c r="A112" s="80" t="s">
        <v>150</v>
      </c>
      <c r="B112" t="s">
        <v>173</v>
      </c>
      <c r="C112" t="b">
        <v>0</v>
      </c>
    </row>
    <row r="113" spans="1:3" x14ac:dyDescent="0.25">
      <c r="A113" s="80" t="s">
        <v>151</v>
      </c>
      <c r="B113" t="s">
        <v>173</v>
      </c>
      <c r="C113" t="b">
        <v>0</v>
      </c>
    </row>
    <row r="114" spans="1:3" x14ac:dyDescent="0.25">
      <c r="A114" s="80" t="s">
        <v>545</v>
      </c>
      <c r="B114" t="s">
        <v>173</v>
      </c>
      <c r="C114" t="b">
        <v>0</v>
      </c>
    </row>
    <row r="115" spans="1:3" x14ac:dyDescent="0.25">
      <c r="A115" s="80" t="s">
        <v>152</v>
      </c>
      <c r="B115" t="s">
        <v>173</v>
      </c>
      <c r="C115" t="b">
        <v>0</v>
      </c>
    </row>
    <row r="116" spans="1:3" x14ac:dyDescent="0.25">
      <c r="A116" s="80" t="s">
        <v>153</v>
      </c>
      <c r="B116" t="s">
        <v>173</v>
      </c>
      <c r="C116" t="b">
        <v>0</v>
      </c>
    </row>
    <row r="117" spans="1:3" x14ac:dyDescent="0.25">
      <c r="A117" s="80" t="s">
        <v>169</v>
      </c>
      <c r="B117" t="s">
        <v>176</v>
      </c>
      <c r="C117" t="b">
        <v>1</v>
      </c>
    </row>
    <row r="118" spans="1:3" x14ac:dyDescent="0.25">
      <c r="A118" t="s">
        <v>177</v>
      </c>
    </row>
    <row r="119" spans="1:3" x14ac:dyDescent="0.25">
      <c r="A119" t="s">
        <v>178</v>
      </c>
    </row>
    <row r="120" spans="1:3" x14ac:dyDescent="0.25">
      <c r="A120" s="80" t="s">
        <v>169</v>
      </c>
      <c r="B120" t="s">
        <v>170</v>
      </c>
      <c r="C120" s="80" t="s">
        <v>171</v>
      </c>
    </row>
    <row r="121" spans="1:3" x14ac:dyDescent="0.25">
      <c r="A121" s="80" t="s">
        <v>169</v>
      </c>
      <c r="B121" t="s">
        <v>172</v>
      </c>
      <c r="C121" t="b">
        <v>0</v>
      </c>
    </row>
    <row r="122" spans="1:3" x14ac:dyDescent="0.25">
      <c r="A122" s="80" t="s">
        <v>101</v>
      </c>
      <c r="B122" t="s">
        <v>173</v>
      </c>
      <c r="C122" t="b">
        <v>1</v>
      </c>
    </row>
    <row r="123" spans="1:3" x14ac:dyDescent="0.25">
      <c r="A123" s="80" t="s">
        <v>102</v>
      </c>
      <c r="B123" t="s">
        <v>173</v>
      </c>
      <c r="C123" t="b">
        <v>1</v>
      </c>
    </row>
    <row r="124" spans="1:3" x14ac:dyDescent="0.25">
      <c r="A124" s="80" t="s">
        <v>103</v>
      </c>
      <c r="B124" t="s">
        <v>173</v>
      </c>
      <c r="C124" t="b">
        <v>1</v>
      </c>
    </row>
    <row r="125" spans="1:3" x14ac:dyDescent="0.25">
      <c r="A125" s="80" t="s">
        <v>104</v>
      </c>
      <c r="B125" t="s">
        <v>173</v>
      </c>
      <c r="C125" t="b">
        <v>0</v>
      </c>
    </row>
    <row r="126" spans="1:3" x14ac:dyDescent="0.25">
      <c r="A126" s="80" t="s">
        <v>105</v>
      </c>
      <c r="B126" t="s">
        <v>173</v>
      </c>
      <c r="C126" t="b">
        <v>0</v>
      </c>
    </row>
    <row r="127" spans="1:3" x14ac:dyDescent="0.25">
      <c r="A127" s="80" t="s">
        <v>106</v>
      </c>
      <c r="B127" t="s">
        <v>173</v>
      </c>
      <c r="C127" t="b">
        <v>1</v>
      </c>
    </row>
    <row r="128" spans="1:3" x14ac:dyDescent="0.25">
      <c r="A128" s="80" t="s">
        <v>107</v>
      </c>
      <c r="B128" t="s">
        <v>173</v>
      </c>
      <c r="C128" t="b">
        <v>0</v>
      </c>
    </row>
    <row r="129" spans="1:3" x14ac:dyDescent="0.25">
      <c r="A129" s="80" t="s">
        <v>108</v>
      </c>
      <c r="B129" t="s">
        <v>173</v>
      </c>
      <c r="C129" t="b">
        <v>0</v>
      </c>
    </row>
    <row r="130" spans="1:3" x14ac:dyDescent="0.25">
      <c r="A130" s="80" t="s">
        <v>109</v>
      </c>
      <c r="B130" t="s">
        <v>173</v>
      </c>
      <c r="C130" t="b">
        <v>0</v>
      </c>
    </row>
    <row r="131" spans="1:3" x14ac:dyDescent="0.25">
      <c r="A131" s="80" t="s">
        <v>110</v>
      </c>
      <c r="B131" t="s">
        <v>173</v>
      </c>
      <c r="C131" t="b">
        <v>0</v>
      </c>
    </row>
    <row r="132" spans="1:3" x14ac:dyDescent="0.25">
      <c r="A132" s="80" t="s">
        <v>111</v>
      </c>
      <c r="B132" t="s">
        <v>173</v>
      </c>
      <c r="C132" t="b">
        <v>0</v>
      </c>
    </row>
    <row r="133" spans="1:3" x14ac:dyDescent="0.25">
      <c r="A133" s="80" t="s">
        <v>112</v>
      </c>
      <c r="B133" t="s">
        <v>173</v>
      </c>
      <c r="C133" t="b">
        <v>0</v>
      </c>
    </row>
    <row r="134" spans="1:3" x14ac:dyDescent="0.25">
      <c r="A134" s="80" t="s">
        <v>113</v>
      </c>
      <c r="B134" t="s">
        <v>173</v>
      </c>
      <c r="C134" t="b">
        <v>1</v>
      </c>
    </row>
    <row r="135" spans="1:3" x14ac:dyDescent="0.25">
      <c r="A135" s="80" t="s">
        <v>114</v>
      </c>
      <c r="B135" t="s">
        <v>173</v>
      </c>
      <c r="C135" t="b">
        <v>1</v>
      </c>
    </row>
    <row r="136" spans="1:3" x14ac:dyDescent="0.25">
      <c r="A136" s="80" t="s">
        <v>115</v>
      </c>
      <c r="B136" t="s">
        <v>173</v>
      </c>
      <c r="C136" t="b">
        <v>0</v>
      </c>
    </row>
    <row r="137" spans="1:3" x14ac:dyDescent="0.25">
      <c r="A137" s="80" t="s">
        <v>116</v>
      </c>
      <c r="B137" t="s">
        <v>173</v>
      </c>
      <c r="C137" t="b">
        <v>1</v>
      </c>
    </row>
    <row r="138" spans="1:3" x14ac:dyDescent="0.25">
      <c r="A138" s="80" t="s">
        <v>117</v>
      </c>
      <c r="B138" t="s">
        <v>173</v>
      </c>
      <c r="C138" t="b">
        <v>1</v>
      </c>
    </row>
    <row r="139" spans="1:3" x14ac:dyDescent="0.25">
      <c r="A139" s="80" t="s">
        <v>118</v>
      </c>
      <c r="B139" t="s">
        <v>173</v>
      </c>
      <c r="C139" t="b">
        <v>0</v>
      </c>
    </row>
    <row r="140" spans="1:3" x14ac:dyDescent="0.25">
      <c r="A140" s="80" t="s">
        <v>119</v>
      </c>
      <c r="B140" t="s">
        <v>173</v>
      </c>
      <c r="C140" t="b">
        <v>1</v>
      </c>
    </row>
    <row r="141" spans="1:3" x14ac:dyDescent="0.25">
      <c r="A141" s="80" t="s">
        <v>120</v>
      </c>
      <c r="B141" t="s">
        <v>173</v>
      </c>
      <c r="C141" t="b">
        <v>1</v>
      </c>
    </row>
    <row r="142" spans="1:3" x14ac:dyDescent="0.25">
      <c r="A142" s="80" t="s">
        <v>121</v>
      </c>
      <c r="B142" t="s">
        <v>173</v>
      </c>
      <c r="C142" t="b">
        <v>0</v>
      </c>
    </row>
    <row r="143" spans="1:3" x14ac:dyDescent="0.25">
      <c r="A143" s="80" t="s">
        <v>122</v>
      </c>
      <c r="B143" t="s">
        <v>173</v>
      </c>
      <c r="C143" t="b">
        <v>1</v>
      </c>
    </row>
    <row r="144" spans="1:3" x14ac:dyDescent="0.25">
      <c r="A144" s="80" t="s">
        <v>123</v>
      </c>
      <c r="B144" t="s">
        <v>173</v>
      </c>
      <c r="C144" t="b">
        <v>1</v>
      </c>
    </row>
    <row r="145" spans="1:3" x14ac:dyDescent="0.25">
      <c r="A145" s="80" t="s">
        <v>124</v>
      </c>
      <c r="B145" t="s">
        <v>173</v>
      </c>
      <c r="C145" t="b">
        <v>0</v>
      </c>
    </row>
    <row r="146" spans="1:3" x14ac:dyDescent="0.25">
      <c r="A146" s="80" t="s">
        <v>125</v>
      </c>
      <c r="B146" t="s">
        <v>173</v>
      </c>
      <c r="C146" t="b">
        <v>1</v>
      </c>
    </row>
    <row r="147" spans="1:3" x14ac:dyDescent="0.25">
      <c r="A147" s="80" t="s">
        <v>126</v>
      </c>
      <c r="B147" t="s">
        <v>173</v>
      </c>
      <c r="C147" t="b">
        <v>1</v>
      </c>
    </row>
    <row r="148" spans="1:3" x14ac:dyDescent="0.25">
      <c r="A148" s="80" t="s">
        <v>127</v>
      </c>
      <c r="B148" t="s">
        <v>173</v>
      </c>
      <c r="C148" t="b">
        <v>0</v>
      </c>
    </row>
    <row r="149" spans="1:3" x14ac:dyDescent="0.25">
      <c r="A149" s="80" t="s">
        <v>128</v>
      </c>
      <c r="B149" t="s">
        <v>173</v>
      </c>
      <c r="C149" t="b">
        <v>1</v>
      </c>
    </row>
    <row r="150" spans="1:3" x14ac:dyDescent="0.25">
      <c r="A150" s="80" t="s">
        <v>129</v>
      </c>
      <c r="B150" t="s">
        <v>173</v>
      </c>
      <c r="C150" t="b">
        <v>1</v>
      </c>
    </row>
    <row r="151" spans="1:3" x14ac:dyDescent="0.25">
      <c r="A151" s="80" t="s">
        <v>130</v>
      </c>
      <c r="B151" t="s">
        <v>173</v>
      </c>
      <c r="C151" t="b">
        <v>0</v>
      </c>
    </row>
    <row r="152" spans="1:3" x14ac:dyDescent="0.25">
      <c r="A152" s="80" t="s">
        <v>131</v>
      </c>
      <c r="B152" t="s">
        <v>173</v>
      </c>
      <c r="C152" t="b">
        <v>1</v>
      </c>
    </row>
    <row r="153" spans="1:3" x14ac:dyDescent="0.25">
      <c r="A153" s="80" t="s">
        <v>132</v>
      </c>
      <c r="B153" t="s">
        <v>173</v>
      </c>
      <c r="C153" t="b">
        <v>1</v>
      </c>
    </row>
    <row r="154" spans="1:3" x14ac:dyDescent="0.25">
      <c r="A154" s="80" t="s">
        <v>133</v>
      </c>
      <c r="B154" t="s">
        <v>173</v>
      </c>
      <c r="C154" t="b">
        <v>0</v>
      </c>
    </row>
    <row r="155" spans="1:3" x14ac:dyDescent="0.25">
      <c r="A155" s="80" t="s">
        <v>134</v>
      </c>
      <c r="B155" t="s">
        <v>173</v>
      </c>
      <c r="C155" t="b">
        <v>1</v>
      </c>
    </row>
    <row r="156" spans="1:3" x14ac:dyDescent="0.25">
      <c r="A156" s="80" t="s">
        <v>135</v>
      </c>
      <c r="B156" t="s">
        <v>173</v>
      </c>
      <c r="C156" t="b">
        <v>1</v>
      </c>
    </row>
    <row r="157" spans="1:3" x14ac:dyDescent="0.25">
      <c r="A157" s="80" t="s">
        <v>136</v>
      </c>
      <c r="B157" t="s">
        <v>173</v>
      </c>
      <c r="C157" t="b">
        <v>0</v>
      </c>
    </row>
    <row r="158" spans="1:3" x14ac:dyDescent="0.25">
      <c r="A158" s="80" t="s">
        <v>137</v>
      </c>
      <c r="B158" t="s">
        <v>173</v>
      </c>
      <c r="C158" t="b">
        <v>1</v>
      </c>
    </row>
    <row r="159" spans="1:3" x14ac:dyDescent="0.25">
      <c r="A159" s="80" t="s">
        <v>138</v>
      </c>
      <c r="B159" t="s">
        <v>173</v>
      </c>
      <c r="C159" t="b">
        <v>1</v>
      </c>
    </row>
    <row r="160" spans="1:3" x14ac:dyDescent="0.25">
      <c r="A160" s="80" t="s">
        <v>139</v>
      </c>
      <c r="B160" t="s">
        <v>173</v>
      </c>
      <c r="C160" t="b">
        <v>0</v>
      </c>
    </row>
    <row r="161" spans="1:3" x14ac:dyDescent="0.25">
      <c r="A161" s="80" t="s">
        <v>140</v>
      </c>
      <c r="B161" t="s">
        <v>173</v>
      </c>
      <c r="C161" t="b">
        <v>1</v>
      </c>
    </row>
    <row r="162" spans="1:3" x14ac:dyDescent="0.25">
      <c r="A162" s="80" t="s">
        <v>141</v>
      </c>
      <c r="B162" t="s">
        <v>173</v>
      </c>
      <c r="C162" t="b">
        <v>1</v>
      </c>
    </row>
    <row r="163" spans="1:3" x14ac:dyDescent="0.25">
      <c r="A163" s="80" t="s">
        <v>142</v>
      </c>
      <c r="B163" t="s">
        <v>173</v>
      </c>
      <c r="C163" t="b">
        <v>0</v>
      </c>
    </row>
    <row r="164" spans="1:3" x14ac:dyDescent="0.25">
      <c r="A164" s="80" t="s">
        <v>143</v>
      </c>
      <c r="B164" t="s">
        <v>173</v>
      </c>
      <c r="C164" t="b">
        <v>1</v>
      </c>
    </row>
    <row r="165" spans="1:3" x14ac:dyDescent="0.25">
      <c r="A165" s="80" t="s">
        <v>144</v>
      </c>
      <c r="B165" t="s">
        <v>173</v>
      </c>
      <c r="C165" t="b">
        <v>1</v>
      </c>
    </row>
    <row r="166" spans="1:3" x14ac:dyDescent="0.25">
      <c r="A166" s="80" t="s">
        <v>145</v>
      </c>
      <c r="B166" t="s">
        <v>173</v>
      </c>
      <c r="C166" t="b">
        <v>0</v>
      </c>
    </row>
    <row r="167" spans="1:3" x14ac:dyDescent="0.25">
      <c r="A167" s="80" t="s">
        <v>146</v>
      </c>
      <c r="B167" t="s">
        <v>173</v>
      </c>
      <c r="C167" t="b">
        <v>1</v>
      </c>
    </row>
    <row r="168" spans="1:3" x14ac:dyDescent="0.25">
      <c r="A168" s="80" t="s">
        <v>147</v>
      </c>
      <c r="B168" t="s">
        <v>173</v>
      </c>
      <c r="C168" t="b">
        <v>1</v>
      </c>
    </row>
    <row r="169" spans="1:3" x14ac:dyDescent="0.25">
      <c r="A169" s="80" t="s">
        <v>148</v>
      </c>
      <c r="B169" t="s">
        <v>173</v>
      </c>
      <c r="C169" t="b">
        <v>0</v>
      </c>
    </row>
    <row r="170" spans="1:3" x14ac:dyDescent="0.25">
      <c r="A170" s="80" t="s">
        <v>149</v>
      </c>
      <c r="B170" t="s">
        <v>173</v>
      </c>
      <c r="C170" t="b">
        <v>1</v>
      </c>
    </row>
    <row r="171" spans="1:3" x14ac:dyDescent="0.25">
      <c r="A171" s="80" t="s">
        <v>150</v>
      </c>
      <c r="B171" t="s">
        <v>173</v>
      </c>
      <c r="C171" t="b">
        <v>1</v>
      </c>
    </row>
    <row r="172" spans="1:3" x14ac:dyDescent="0.25">
      <c r="A172" s="80" t="s">
        <v>151</v>
      </c>
      <c r="B172" t="s">
        <v>173</v>
      </c>
      <c r="C172" t="b">
        <v>1</v>
      </c>
    </row>
    <row r="173" spans="1:3" x14ac:dyDescent="0.25">
      <c r="A173" s="80" t="s">
        <v>545</v>
      </c>
      <c r="B173" t="s">
        <v>173</v>
      </c>
      <c r="C173" t="b">
        <v>1</v>
      </c>
    </row>
    <row r="174" spans="1:3" x14ac:dyDescent="0.25">
      <c r="A174" s="80" t="s">
        <v>152</v>
      </c>
      <c r="B174" t="s">
        <v>173</v>
      </c>
      <c r="C174" t="b">
        <v>1</v>
      </c>
    </row>
    <row r="175" spans="1:3" x14ac:dyDescent="0.25">
      <c r="A175" s="80" t="s">
        <v>153</v>
      </c>
      <c r="B175" t="s">
        <v>173</v>
      </c>
      <c r="C175" t="b">
        <v>1</v>
      </c>
    </row>
    <row r="176" spans="1:3" x14ac:dyDescent="0.25">
      <c r="A176" t="s">
        <v>179</v>
      </c>
    </row>
    <row r="177" spans="1:3" x14ac:dyDescent="0.25">
      <c r="A177" t="s">
        <v>180</v>
      </c>
    </row>
    <row r="178" spans="1:3" x14ac:dyDescent="0.25">
      <c r="A178" s="80" t="s">
        <v>169</v>
      </c>
      <c r="B178" t="s">
        <v>170</v>
      </c>
      <c r="C178" s="80" t="s">
        <v>171</v>
      </c>
    </row>
    <row r="179" spans="1:3" x14ac:dyDescent="0.25">
      <c r="A179" s="80" t="s">
        <v>169</v>
      </c>
      <c r="B179" t="s">
        <v>172</v>
      </c>
      <c r="C179" t="b">
        <v>0</v>
      </c>
    </row>
    <row r="180" spans="1:3" x14ac:dyDescent="0.25">
      <c r="A180" s="80" t="s">
        <v>101</v>
      </c>
      <c r="B180" t="s">
        <v>173</v>
      </c>
      <c r="C180" t="b">
        <v>1</v>
      </c>
    </row>
    <row r="181" spans="1:3" x14ac:dyDescent="0.25">
      <c r="A181" s="80" t="s">
        <v>102</v>
      </c>
      <c r="B181" t="s">
        <v>173</v>
      </c>
      <c r="C181" t="b">
        <v>1</v>
      </c>
    </row>
    <row r="182" spans="1:3" x14ac:dyDescent="0.25">
      <c r="A182" s="80" t="s">
        <v>103</v>
      </c>
      <c r="B182" t="s">
        <v>173</v>
      </c>
      <c r="C182" t="b">
        <v>1</v>
      </c>
    </row>
    <row r="183" spans="1:3" x14ac:dyDescent="0.25">
      <c r="A183" s="80" t="s">
        <v>104</v>
      </c>
      <c r="B183" t="s">
        <v>173</v>
      </c>
      <c r="C183" t="b">
        <v>0</v>
      </c>
    </row>
    <row r="184" spans="1:3" x14ac:dyDescent="0.25">
      <c r="A184" s="80" t="s">
        <v>105</v>
      </c>
      <c r="B184" t="s">
        <v>173</v>
      </c>
      <c r="C184" t="b">
        <v>0</v>
      </c>
    </row>
    <row r="185" spans="1:3" x14ac:dyDescent="0.25">
      <c r="A185" s="80" t="s">
        <v>106</v>
      </c>
      <c r="B185" t="s">
        <v>173</v>
      </c>
      <c r="C185" t="b">
        <v>1</v>
      </c>
    </row>
    <row r="186" spans="1:3" x14ac:dyDescent="0.25">
      <c r="A186" s="80" t="s">
        <v>107</v>
      </c>
      <c r="B186" t="s">
        <v>173</v>
      </c>
      <c r="C186" t="b">
        <v>0</v>
      </c>
    </row>
    <row r="187" spans="1:3" x14ac:dyDescent="0.25">
      <c r="A187" s="80" t="s">
        <v>108</v>
      </c>
      <c r="B187" t="s">
        <v>173</v>
      </c>
      <c r="C187" t="b">
        <v>0</v>
      </c>
    </row>
    <row r="188" spans="1:3" x14ac:dyDescent="0.25">
      <c r="A188" s="80" t="s">
        <v>109</v>
      </c>
      <c r="B188" t="s">
        <v>173</v>
      </c>
      <c r="C188" t="b">
        <v>0</v>
      </c>
    </row>
    <row r="189" spans="1:3" x14ac:dyDescent="0.25">
      <c r="A189" s="80" t="s">
        <v>110</v>
      </c>
      <c r="B189" t="s">
        <v>173</v>
      </c>
      <c r="C189" t="b">
        <v>0</v>
      </c>
    </row>
    <row r="190" spans="1:3" x14ac:dyDescent="0.25">
      <c r="A190" s="80" t="s">
        <v>111</v>
      </c>
      <c r="B190" t="s">
        <v>173</v>
      </c>
      <c r="C190" t="b">
        <v>0</v>
      </c>
    </row>
    <row r="191" spans="1:3" x14ac:dyDescent="0.25">
      <c r="A191" s="80" t="s">
        <v>112</v>
      </c>
      <c r="B191" t="s">
        <v>173</v>
      </c>
      <c r="C191" t="b">
        <v>1</v>
      </c>
    </row>
    <row r="192" spans="1:3" x14ac:dyDescent="0.25">
      <c r="A192" s="80" t="s">
        <v>113</v>
      </c>
      <c r="B192" t="s">
        <v>173</v>
      </c>
      <c r="C192" t="b">
        <v>0</v>
      </c>
    </row>
    <row r="193" spans="1:3" x14ac:dyDescent="0.25">
      <c r="A193" s="80" t="s">
        <v>114</v>
      </c>
      <c r="B193" t="s">
        <v>173</v>
      </c>
      <c r="C193" t="b">
        <v>1</v>
      </c>
    </row>
    <row r="194" spans="1:3" x14ac:dyDescent="0.25">
      <c r="A194" s="80" t="s">
        <v>115</v>
      </c>
      <c r="B194" t="s">
        <v>173</v>
      </c>
      <c r="C194" t="b">
        <v>1</v>
      </c>
    </row>
    <row r="195" spans="1:3" x14ac:dyDescent="0.25">
      <c r="A195" s="80" t="s">
        <v>116</v>
      </c>
      <c r="B195" t="s">
        <v>173</v>
      </c>
      <c r="C195" t="b">
        <v>0</v>
      </c>
    </row>
    <row r="196" spans="1:3" x14ac:dyDescent="0.25">
      <c r="A196" s="80" t="s">
        <v>117</v>
      </c>
      <c r="B196" t="s">
        <v>173</v>
      </c>
      <c r="C196" t="b">
        <v>1</v>
      </c>
    </row>
    <row r="197" spans="1:3" x14ac:dyDescent="0.25">
      <c r="A197" s="80" t="s">
        <v>118</v>
      </c>
      <c r="B197" t="s">
        <v>173</v>
      </c>
      <c r="C197" t="b">
        <v>1</v>
      </c>
    </row>
    <row r="198" spans="1:3" x14ac:dyDescent="0.25">
      <c r="A198" s="80" t="s">
        <v>119</v>
      </c>
      <c r="B198" t="s">
        <v>173</v>
      </c>
      <c r="C198" t="b">
        <v>0</v>
      </c>
    </row>
    <row r="199" spans="1:3" x14ac:dyDescent="0.25">
      <c r="A199" s="80" t="s">
        <v>120</v>
      </c>
      <c r="B199" t="s">
        <v>173</v>
      </c>
      <c r="C199" t="b">
        <v>1</v>
      </c>
    </row>
    <row r="200" spans="1:3" x14ac:dyDescent="0.25">
      <c r="A200" s="80" t="s">
        <v>121</v>
      </c>
      <c r="B200" t="s">
        <v>173</v>
      </c>
      <c r="C200" t="b">
        <v>1</v>
      </c>
    </row>
    <row r="201" spans="1:3" x14ac:dyDescent="0.25">
      <c r="A201" s="80" t="s">
        <v>122</v>
      </c>
      <c r="B201" t="s">
        <v>173</v>
      </c>
      <c r="C201" t="b">
        <v>0</v>
      </c>
    </row>
    <row r="202" spans="1:3" x14ac:dyDescent="0.25">
      <c r="A202" s="80" t="s">
        <v>123</v>
      </c>
      <c r="B202" t="s">
        <v>173</v>
      </c>
      <c r="C202" t="b">
        <v>1</v>
      </c>
    </row>
    <row r="203" spans="1:3" x14ac:dyDescent="0.25">
      <c r="A203" s="80" t="s">
        <v>124</v>
      </c>
      <c r="B203" t="s">
        <v>173</v>
      </c>
      <c r="C203" t="b">
        <v>1</v>
      </c>
    </row>
    <row r="204" spans="1:3" x14ac:dyDescent="0.25">
      <c r="A204" s="80" t="s">
        <v>125</v>
      </c>
      <c r="B204" t="s">
        <v>173</v>
      </c>
      <c r="C204" t="b">
        <v>0</v>
      </c>
    </row>
    <row r="205" spans="1:3" x14ac:dyDescent="0.25">
      <c r="A205" s="80" t="s">
        <v>126</v>
      </c>
      <c r="B205" t="s">
        <v>173</v>
      </c>
      <c r="C205" t="b">
        <v>1</v>
      </c>
    </row>
    <row r="206" spans="1:3" x14ac:dyDescent="0.25">
      <c r="A206" s="80" t="s">
        <v>127</v>
      </c>
      <c r="B206" t="s">
        <v>173</v>
      </c>
      <c r="C206" t="b">
        <v>1</v>
      </c>
    </row>
    <row r="207" spans="1:3" x14ac:dyDescent="0.25">
      <c r="A207" s="80" t="s">
        <v>128</v>
      </c>
      <c r="B207" t="s">
        <v>173</v>
      </c>
      <c r="C207" t="b">
        <v>0</v>
      </c>
    </row>
    <row r="208" spans="1:3" x14ac:dyDescent="0.25">
      <c r="A208" s="80" t="s">
        <v>129</v>
      </c>
      <c r="B208" t="s">
        <v>173</v>
      </c>
      <c r="C208" t="b">
        <v>1</v>
      </c>
    </row>
    <row r="209" spans="1:3" x14ac:dyDescent="0.25">
      <c r="A209" s="80" t="s">
        <v>130</v>
      </c>
      <c r="B209" t="s">
        <v>173</v>
      </c>
      <c r="C209" t="b">
        <v>1</v>
      </c>
    </row>
    <row r="210" spans="1:3" x14ac:dyDescent="0.25">
      <c r="A210" s="80" t="s">
        <v>131</v>
      </c>
      <c r="B210" t="s">
        <v>173</v>
      </c>
      <c r="C210" t="b">
        <v>0</v>
      </c>
    </row>
    <row r="211" spans="1:3" x14ac:dyDescent="0.25">
      <c r="A211" s="80" t="s">
        <v>132</v>
      </c>
      <c r="B211" t="s">
        <v>173</v>
      </c>
      <c r="C211" t="b">
        <v>1</v>
      </c>
    </row>
    <row r="212" spans="1:3" x14ac:dyDescent="0.25">
      <c r="A212" s="80" t="s">
        <v>133</v>
      </c>
      <c r="B212" t="s">
        <v>173</v>
      </c>
      <c r="C212" t="b">
        <v>1</v>
      </c>
    </row>
    <row r="213" spans="1:3" x14ac:dyDescent="0.25">
      <c r="A213" s="80" t="s">
        <v>134</v>
      </c>
      <c r="B213" t="s">
        <v>173</v>
      </c>
      <c r="C213" t="b">
        <v>0</v>
      </c>
    </row>
    <row r="214" spans="1:3" x14ac:dyDescent="0.25">
      <c r="A214" s="80" t="s">
        <v>135</v>
      </c>
      <c r="B214" t="s">
        <v>173</v>
      </c>
      <c r="C214" t="b">
        <v>1</v>
      </c>
    </row>
    <row r="215" spans="1:3" x14ac:dyDescent="0.25">
      <c r="A215" s="80" t="s">
        <v>136</v>
      </c>
      <c r="B215" t="s">
        <v>173</v>
      </c>
      <c r="C215" t="b">
        <v>1</v>
      </c>
    </row>
    <row r="216" spans="1:3" x14ac:dyDescent="0.25">
      <c r="A216" s="80" t="s">
        <v>137</v>
      </c>
      <c r="B216" t="s">
        <v>173</v>
      </c>
      <c r="C216" t="b">
        <v>0</v>
      </c>
    </row>
    <row r="217" spans="1:3" x14ac:dyDescent="0.25">
      <c r="A217" s="80" t="s">
        <v>138</v>
      </c>
      <c r="B217" t="s">
        <v>173</v>
      </c>
      <c r="C217" t="b">
        <v>1</v>
      </c>
    </row>
    <row r="218" spans="1:3" x14ac:dyDescent="0.25">
      <c r="A218" s="80" t="s">
        <v>139</v>
      </c>
      <c r="B218" t="s">
        <v>173</v>
      </c>
      <c r="C218" t="b">
        <v>1</v>
      </c>
    </row>
    <row r="219" spans="1:3" x14ac:dyDescent="0.25">
      <c r="A219" s="80" t="s">
        <v>140</v>
      </c>
      <c r="B219" t="s">
        <v>173</v>
      </c>
      <c r="C219" t="b">
        <v>0</v>
      </c>
    </row>
    <row r="220" spans="1:3" x14ac:dyDescent="0.25">
      <c r="A220" s="80" t="s">
        <v>141</v>
      </c>
      <c r="B220" t="s">
        <v>173</v>
      </c>
      <c r="C220" t="b">
        <v>1</v>
      </c>
    </row>
    <row r="221" spans="1:3" x14ac:dyDescent="0.25">
      <c r="A221" s="80" t="s">
        <v>142</v>
      </c>
      <c r="B221" t="s">
        <v>173</v>
      </c>
      <c r="C221" t="b">
        <v>1</v>
      </c>
    </row>
    <row r="222" spans="1:3" x14ac:dyDescent="0.25">
      <c r="A222" s="80" t="s">
        <v>143</v>
      </c>
      <c r="B222" t="s">
        <v>173</v>
      </c>
      <c r="C222" t="b">
        <v>0</v>
      </c>
    </row>
    <row r="223" spans="1:3" x14ac:dyDescent="0.25">
      <c r="A223" s="80" t="s">
        <v>144</v>
      </c>
      <c r="B223" t="s">
        <v>173</v>
      </c>
      <c r="C223" t="b">
        <v>1</v>
      </c>
    </row>
    <row r="224" spans="1:3" x14ac:dyDescent="0.25">
      <c r="A224" s="80" t="s">
        <v>145</v>
      </c>
      <c r="B224" t="s">
        <v>173</v>
      </c>
      <c r="C224" t="b">
        <v>1</v>
      </c>
    </row>
    <row r="225" spans="1:3" x14ac:dyDescent="0.25">
      <c r="A225" s="80" t="s">
        <v>146</v>
      </c>
      <c r="B225" t="s">
        <v>173</v>
      </c>
      <c r="C225" t="b">
        <v>0</v>
      </c>
    </row>
    <row r="226" spans="1:3" x14ac:dyDescent="0.25">
      <c r="A226" s="80" t="s">
        <v>147</v>
      </c>
      <c r="B226" t="s">
        <v>173</v>
      </c>
      <c r="C226" t="b">
        <v>1</v>
      </c>
    </row>
    <row r="227" spans="1:3" x14ac:dyDescent="0.25">
      <c r="A227" s="80" t="s">
        <v>148</v>
      </c>
      <c r="B227" t="s">
        <v>173</v>
      </c>
      <c r="C227" t="b">
        <v>1</v>
      </c>
    </row>
    <row r="228" spans="1:3" x14ac:dyDescent="0.25">
      <c r="A228" s="80" t="s">
        <v>149</v>
      </c>
      <c r="B228" t="s">
        <v>173</v>
      </c>
      <c r="C228" t="b">
        <v>0</v>
      </c>
    </row>
    <row r="229" spans="1:3" x14ac:dyDescent="0.25">
      <c r="A229" s="80" t="s">
        <v>150</v>
      </c>
      <c r="B229" t="s">
        <v>173</v>
      </c>
      <c r="C229" t="b">
        <v>1</v>
      </c>
    </row>
    <row r="230" spans="1:3" x14ac:dyDescent="0.25">
      <c r="A230" s="80" t="s">
        <v>151</v>
      </c>
      <c r="B230" t="s">
        <v>173</v>
      </c>
      <c r="C230" t="b">
        <v>1</v>
      </c>
    </row>
    <row r="231" spans="1:3" x14ac:dyDescent="0.25">
      <c r="A231" s="80" t="s">
        <v>545</v>
      </c>
      <c r="B231" t="s">
        <v>173</v>
      </c>
      <c r="C231" t="b">
        <v>1</v>
      </c>
    </row>
    <row r="232" spans="1:3" x14ac:dyDescent="0.25">
      <c r="A232" s="80" t="s">
        <v>152</v>
      </c>
      <c r="B232" t="s">
        <v>173</v>
      </c>
      <c r="C232" t="b">
        <v>1</v>
      </c>
    </row>
    <row r="233" spans="1:3" x14ac:dyDescent="0.25">
      <c r="A233" s="80" t="s">
        <v>153</v>
      </c>
      <c r="B233" t="s">
        <v>173</v>
      </c>
      <c r="C233" t="b">
        <v>1</v>
      </c>
    </row>
    <row r="234" spans="1:3" x14ac:dyDescent="0.25">
      <c r="A234" t="s">
        <v>181</v>
      </c>
    </row>
    <row r="235" spans="1:3" x14ac:dyDescent="0.25">
      <c r="A235" t="s">
        <v>182</v>
      </c>
    </row>
    <row r="236" spans="1:3" x14ac:dyDescent="0.25">
      <c r="A236" s="80" t="s">
        <v>169</v>
      </c>
      <c r="B236" t="s">
        <v>170</v>
      </c>
      <c r="C236" s="80" t="s">
        <v>171</v>
      </c>
    </row>
    <row r="237" spans="1:3" x14ac:dyDescent="0.25">
      <c r="A237" s="80" t="s">
        <v>169</v>
      </c>
      <c r="B237" t="s">
        <v>172</v>
      </c>
      <c r="C237" t="b">
        <v>0</v>
      </c>
    </row>
    <row r="238" spans="1:3" x14ac:dyDescent="0.25">
      <c r="A238" s="80" t="s">
        <v>101</v>
      </c>
      <c r="B238" t="s">
        <v>173</v>
      </c>
      <c r="C238" t="b">
        <v>1</v>
      </c>
    </row>
    <row r="239" spans="1:3" x14ac:dyDescent="0.25">
      <c r="A239" s="80" t="s">
        <v>102</v>
      </c>
      <c r="B239" t="s">
        <v>173</v>
      </c>
      <c r="C239" t="b">
        <v>1</v>
      </c>
    </row>
    <row r="240" spans="1:3" x14ac:dyDescent="0.25">
      <c r="A240" s="80" t="s">
        <v>103</v>
      </c>
      <c r="B240" t="s">
        <v>173</v>
      </c>
      <c r="C240" t="b">
        <v>1</v>
      </c>
    </row>
    <row r="241" spans="1:3" x14ac:dyDescent="0.25">
      <c r="A241" s="80" t="s">
        <v>104</v>
      </c>
      <c r="B241" t="s">
        <v>173</v>
      </c>
      <c r="C241" t="b">
        <v>0</v>
      </c>
    </row>
    <row r="242" spans="1:3" x14ac:dyDescent="0.25">
      <c r="A242" s="80" t="s">
        <v>105</v>
      </c>
      <c r="B242" t="s">
        <v>173</v>
      </c>
      <c r="C242" t="b">
        <v>0</v>
      </c>
    </row>
    <row r="243" spans="1:3" x14ac:dyDescent="0.25">
      <c r="A243" s="80" t="s">
        <v>106</v>
      </c>
      <c r="B243" t="s">
        <v>173</v>
      </c>
      <c r="C243" t="b">
        <v>1</v>
      </c>
    </row>
    <row r="244" spans="1:3" x14ac:dyDescent="0.25">
      <c r="A244" s="80" t="s">
        <v>107</v>
      </c>
      <c r="B244" t="s">
        <v>173</v>
      </c>
      <c r="C244" t="b">
        <v>0</v>
      </c>
    </row>
    <row r="245" spans="1:3" x14ac:dyDescent="0.25">
      <c r="A245" s="80" t="s">
        <v>108</v>
      </c>
      <c r="B245" t="s">
        <v>173</v>
      </c>
      <c r="C245" t="b">
        <v>0</v>
      </c>
    </row>
    <row r="246" spans="1:3" x14ac:dyDescent="0.25">
      <c r="A246" s="80" t="s">
        <v>109</v>
      </c>
      <c r="B246" t="s">
        <v>173</v>
      </c>
      <c r="C246" t="b">
        <v>0</v>
      </c>
    </row>
    <row r="247" spans="1:3" x14ac:dyDescent="0.25">
      <c r="A247" s="80" t="s">
        <v>110</v>
      </c>
      <c r="B247" t="s">
        <v>173</v>
      </c>
      <c r="C247" t="b">
        <v>0</v>
      </c>
    </row>
    <row r="248" spans="1:3" x14ac:dyDescent="0.25">
      <c r="A248" s="80" t="s">
        <v>111</v>
      </c>
      <c r="B248" t="s">
        <v>173</v>
      </c>
      <c r="C248" t="b">
        <v>0</v>
      </c>
    </row>
    <row r="249" spans="1:3" x14ac:dyDescent="0.25">
      <c r="A249" s="80" t="s">
        <v>112</v>
      </c>
      <c r="B249" t="s">
        <v>173</v>
      </c>
      <c r="C249" t="b">
        <v>1</v>
      </c>
    </row>
    <row r="250" spans="1:3" x14ac:dyDescent="0.25">
      <c r="A250" s="80" t="s">
        <v>113</v>
      </c>
      <c r="B250" t="s">
        <v>173</v>
      </c>
      <c r="C250" t="b">
        <v>1</v>
      </c>
    </row>
    <row r="251" spans="1:3" x14ac:dyDescent="0.25">
      <c r="A251" s="80" t="s">
        <v>114</v>
      </c>
      <c r="B251" t="s">
        <v>173</v>
      </c>
      <c r="C251" t="b">
        <v>0</v>
      </c>
    </row>
    <row r="252" spans="1:3" x14ac:dyDescent="0.25">
      <c r="A252" s="80" t="s">
        <v>115</v>
      </c>
      <c r="B252" t="s">
        <v>173</v>
      </c>
      <c r="C252" t="b">
        <v>1</v>
      </c>
    </row>
    <row r="253" spans="1:3" x14ac:dyDescent="0.25">
      <c r="A253" s="80" t="s">
        <v>116</v>
      </c>
      <c r="B253" t="s">
        <v>173</v>
      </c>
      <c r="C253" t="b">
        <v>1</v>
      </c>
    </row>
    <row r="254" spans="1:3" x14ac:dyDescent="0.25">
      <c r="A254" s="80" t="s">
        <v>117</v>
      </c>
      <c r="B254" t="s">
        <v>173</v>
      </c>
      <c r="C254" t="b">
        <v>0</v>
      </c>
    </row>
    <row r="255" spans="1:3" x14ac:dyDescent="0.25">
      <c r="A255" s="80" t="s">
        <v>118</v>
      </c>
      <c r="B255" t="s">
        <v>173</v>
      </c>
      <c r="C255" t="b">
        <v>1</v>
      </c>
    </row>
    <row r="256" spans="1:3" x14ac:dyDescent="0.25">
      <c r="A256" s="80" t="s">
        <v>119</v>
      </c>
      <c r="B256" t="s">
        <v>173</v>
      </c>
      <c r="C256" t="b">
        <v>1</v>
      </c>
    </row>
    <row r="257" spans="1:3" x14ac:dyDescent="0.25">
      <c r="A257" s="80" t="s">
        <v>120</v>
      </c>
      <c r="B257" t="s">
        <v>173</v>
      </c>
      <c r="C257" t="b">
        <v>0</v>
      </c>
    </row>
    <row r="258" spans="1:3" x14ac:dyDescent="0.25">
      <c r="A258" s="80" t="s">
        <v>121</v>
      </c>
      <c r="B258" t="s">
        <v>173</v>
      </c>
      <c r="C258" t="b">
        <v>1</v>
      </c>
    </row>
    <row r="259" spans="1:3" x14ac:dyDescent="0.25">
      <c r="A259" s="80" t="s">
        <v>122</v>
      </c>
      <c r="B259" t="s">
        <v>173</v>
      </c>
      <c r="C259" t="b">
        <v>1</v>
      </c>
    </row>
    <row r="260" spans="1:3" x14ac:dyDescent="0.25">
      <c r="A260" s="80" t="s">
        <v>123</v>
      </c>
      <c r="B260" t="s">
        <v>173</v>
      </c>
      <c r="C260" t="b">
        <v>0</v>
      </c>
    </row>
    <row r="261" spans="1:3" x14ac:dyDescent="0.25">
      <c r="A261" s="80" t="s">
        <v>124</v>
      </c>
      <c r="B261" t="s">
        <v>173</v>
      </c>
      <c r="C261" t="b">
        <v>1</v>
      </c>
    </row>
    <row r="262" spans="1:3" x14ac:dyDescent="0.25">
      <c r="A262" s="80" t="s">
        <v>125</v>
      </c>
      <c r="B262" t="s">
        <v>173</v>
      </c>
      <c r="C262" t="b">
        <v>1</v>
      </c>
    </row>
    <row r="263" spans="1:3" x14ac:dyDescent="0.25">
      <c r="A263" s="80" t="s">
        <v>126</v>
      </c>
      <c r="B263" t="s">
        <v>173</v>
      </c>
      <c r="C263" t="b">
        <v>0</v>
      </c>
    </row>
    <row r="264" spans="1:3" x14ac:dyDescent="0.25">
      <c r="A264" s="80" t="s">
        <v>127</v>
      </c>
      <c r="B264" t="s">
        <v>173</v>
      </c>
      <c r="C264" t="b">
        <v>1</v>
      </c>
    </row>
    <row r="265" spans="1:3" x14ac:dyDescent="0.25">
      <c r="A265" s="80" t="s">
        <v>128</v>
      </c>
      <c r="B265" t="s">
        <v>173</v>
      </c>
      <c r="C265" t="b">
        <v>1</v>
      </c>
    </row>
    <row r="266" spans="1:3" x14ac:dyDescent="0.25">
      <c r="A266" s="80" t="s">
        <v>129</v>
      </c>
      <c r="B266" t="s">
        <v>173</v>
      </c>
      <c r="C266" t="b">
        <v>0</v>
      </c>
    </row>
    <row r="267" spans="1:3" x14ac:dyDescent="0.25">
      <c r="A267" s="80" t="s">
        <v>130</v>
      </c>
      <c r="B267" t="s">
        <v>173</v>
      </c>
      <c r="C267" t="b">
        <v>1</v>
      </c>
    </row>
    <row r="268" spans="1:3" x14ac:dyDescent="0.25">
      <c r="A268" s="80" t="s">
        <v>131</v>
      </c>
      <c r="B268" t="s">
        <v>173</v>
      </c>
      <c r="C268" t="b">
        <v>1</v>
      </c>
    </row>
    <row r="269" spans="1:3" x14ac:dyDescent="0.25">
      <c r="A269" s="80" t="s">
        <v>132</v>
      </c>
      <c r="B269" t="s">
        <v>173</v>
      </c>
      <c r="C269" t="b">
        <v>0</v>
      </c>
    </row>
    <row r="270" spans="1:3" x14ac:dyDescent="0.25">
      <c r="A270" s="80" t="s">
        <v>133</v>
      </c>
      <c r="B270" t="s">
        <v>173</v>
      </c>
      <c r="C270" t="b">
        <v>1</v>
      </c>
    </row>
    <row r="271" spans="1:3" x14ac:dyDescent="0.25">
      <c r="A271" s="80" t="s">
        <v>134</v>
      </c>
      <c r="B271" t="s">
        <v>173</v>
      </c>
      <c r="C271" t="b">
        <v>1</v>
      </c>
    </row>
    <row r="272" spans="1:3" x14ac:dyDescent="0.25">
      <c r="A272" s="80" t="s">
        <v>135</v>
      </c>
      <c r="B272" t="s">
        <v>173</v>
      </c>
      <c r="C272" t="b">
        <v>0</v>
      </c>
    </row>
    <row r="273" spans="1:3" x14ac:dyDescent="0.25">
      <c r="A273" s="80" t="s">
        <v>136</v>
      </c>
      <c r="B273" t="s">
        <v>173</v>
      </c>
      <c r="C273" t="b">
        <v>1</v>
      </c>
    </row>
    <row r="274" spans="1:3" x14ac:dyDescent="0.25">
      <c r="A274" s="80" t="s">
        <v>137</v>
      </c>
      <c r="B274" t="s">
        <v>173</v>
      </c>
      <c r="C274" t="b">
        <v>1</v>
      </c>
    </row>
    <row r="275" spans="1:3" x14ac:dyDescent="0.25">
      <c r="A275" s="80" t="s">
        <v>138</v>
      </c>
      <c r="B275" t="s">
        <v>173</v>
      </c>
      <c r="C275" t="b">
        <v>0</v>
      </c>
    </row>
    <row r="276" spans="1:3" x14ac:dyDescent="0.25">
      <c r="A276" s="80" t="s">
        <v>139</v>
      </c>
      <c r="B276" t="s">
        <v>173</v>
      </c>
      <c r="C276" t="b">
        <v>1</v>
      </c>
    </row>
    <row r="277" spans="1:3" x14ac:dyDescent="0.25">
      <c r="A277" s="80" t="s">
        <v>140</v>
      </c>
      <c r="B277" t="s">
        <v>173</v>
      </c>
      <c r="C277" t="b">
        <v>1</v>
      </c>
    </row>
    <row r="278" spans="1:3" x14ac:dyDescent="0.25">
      <c r="A278" s="80" t="s">
        <v>141</v>
      </c>
      <c r="B278" t="s">
        <v>173</v>
      </c>
      <c r="C278" t="b">
        <v>0</v>
      </c>
    </row>
    <row r="279" spans="1:3" x14ac:dyDescent="0.25">
      <c r="A279" s="80" t="s">
        <v>142</v>
      </c>
      <c r="B279" t="s">
        <v>173</v>
      </c>
      <c r="C279" t="b">
        <v>1</v>
      </c>
    </row>
    <row r="280" spans="1:3" x14ac:dyDescent="0.25">
      <c r="A280" s="80" t="s">
        <v>143</v>
      </c>
      <c r="B280" t="s">
        <v>173</v>
      </c>
      <c r="C280" t="b">
        <v>1</v>
      </c>
    </row>
    <row r="281" spans="1:3" x14ac:dyDescent="0.25">
      <c r="A281" s="80" t="s">
        <v>144</v>
      </c>
      <c r="B281" t="s">
        <v>173</v>
      </c>
      <c r="C281" t="b">
        <v>0</v>
      </c>
    </row>
    <row r="282" spans="1:3" x14ac:dyDescent="0.25">
      <c r="A282" s="80" t="s">
        <v>145</v>
      </c>
      <c r="B282" t="s">
        <v>173</v>
      </c>
      <c r="C282" t="b">
        <v>1</v>
      </c>
    </row>
    <row r="283" spans="1:3" x14ac:dyDescent="0.25">
      <c r="A283" s="80" t="s">
        <v>146</v>
      </c>
      <c r="B283" t="s">
        <v>173</v>
      </c>
      <c r="C283" t="b">
        <v>1</v>
      </c>
    </row>
    <row r="284" spans="1:3" x14ac:dyDescent="0.25">
      <c r="A284" s="80" t="s">
        <v>147</v>
      </c>
      <c r="B284" t="s">
        <v>173</v>
      </c>
      <c r="C284" t="b">
        <v>0</v>
      </c>
    </row>
    <row r="285" spans="1:3" x14ac:dyDescent="0.25">
      <c r="A285" s="80" t="s">
        <v>148</v>
      </c>
      <c r="B285" t="s">
        <v>173</v>
      </c>
      <c r="C285" t="b">
        <v>1</v>
      </c>
    </row>
    <row r="286" spans="1:3" x14ac:dyDescent="0.25">
      <c r="A286" s="80" t="s">
        <v>149</v>
      </c>
      <c r="B286" t="s">
        <v>173</v>
      </c>
      <c r="C286" t="b">
        <v>1</v>
      </c>
    </row>
    <row r="287" spans="1:3" x14ac:dyDescent="0.25">
      <c r="A287" s="80" t="s">
        <v>150</v>
      </c>
      <c r="B287" t="s">
        <v>173</v>
      </c>
      <c r="C287" t="b">
        <v>0</v>
      </c>
    </row>
    <row r="288" spans="1:3" x14ac:dyDescent="0.25">
      <c r="A288" s="80" t="s">
        <v>151</v>
      </c>
      <c r="B288" t="s">
        <v>173</v>
      </c>
      <c r="C288" t="b">
        <v>1</v>
      </c>
    </row>
    <row r="289" spans="1:3" x14ac:dyDescent="0.25">
      <c r="A289" s="80" t="s">
        <v>545</v>
      </c>
      <c r="B289" t="s">
        <v>173</v>
      </c>
      <c r="C289" t="b">
        <v>1</v>
      </c>
    </row>
    <row r="290" spans="1:3" x14ac:dyDescent="0.25">
      <c r="A290" s="80" t="s">
        <v>152</v>
      </c>
      <c r="B290" t="s">
        <v>173</v>
      </c>
      <c r="C290" t="b">
        <v>1</v>
      </c>
    </row>
    <row r="291" spans="1:3" x14ac:dyDescent="0.25">
      <c r="A291" s="80" t="s">
        <v>153</v>
      </c>
      <c r="B291" t="s">
        <v>173</v>
      </c>
      <c r="C291" t="b">
        <v>1</v>
      </c>
    </row>
    <row r="292" spans="1:3" x14ac:dyDescent="0.25">
      <c r="A292" t="s">
        <v>183</v>
      </c>
    </row>
    <row r="293" spans="1:3" x14ac:dyDescent="0.25">
      <c r="A293" t="s">
        <v>184</v>
      </c>
    </row>
    <row r="294" spans="1:3" x14ac:dyDescent="0.25">
      <c r="A294" s="80" t="s">
        <v>169</v>
      </c>
      <c r="B294" t="s">
        <v>170</v>
      </c>
      <c r="C294" s="80" t="s">
        <v>171</v>
      </c>
    </row>
    <row r="295" spans="1:3" x14ac:dyDescent="0.25">
      <c r="A295" s="80" t="s">
        <v>169</v>
      </c>
      <c r="B295" t="s">
        <v>172</v>
      </c>
      <c r="C295" t="b">
        <v>0</v>
      </c>
    </row>
    <row r="296" spans="1:3" x14ac:dyDescent="0.25">
      <c r="A296" s="80" t="s">
        <v>101</v>
      </c>
      <c r="B296" t="s">
        <v>173</v>
      </c>
      <c r="C296" t="b">
        <v>1</v>
      </c>
    </row>
    <row r="297" spans="1:3" x14ac:dyDescent="0.25">
      <c r="A297" s="80" t="s">
        <v>102</v>
      </c>
      <c r="B297" t="s">
        <v>173</v>
      </c>
      <c r="C297" t="b">
        <v>1</v>
      </c>
    </row>
    <row r="298" spans="1:3" x14ac:dyDescent="0.25">
      <c r="A298" s="80" t="s">
        <v>103</v>
      </c>
      <c r="B298" t="s">
        <v>173</v>
      </c>
      <c r="C298" t="b">
        <v>1</v>
      </c>
    </row>
    <row r="299" spans="1:3" x14ac:dyDescent="0.25">
      <c r="A299" s="80" t="s">
        <v>104</v>
      </c>
      <c r="B299" t="s">
        <v>173</v>
      </c>
      <c r="C299" t="b">
        <v>0</v>
      </c>
    </row>
    <row r="300" spans="1:3" x14ac:dyDescent="0.25">
      <c r="A300" s="80" t="s">
        <v>105</v>
      </c>
      <c r="B300" t="s">
        <v>173</v>
      </c>
      <c r="C300" t="b">
        <v>0</v>
      </c>
    </row>
    <row r="301" spans="1:3" x14ac:dyDescent="0.25">
      <c r="A301" s="80" t="s">
        <v>106</v>
      </c>
      <c r="B301" t="s">
        <v>173</v>
      </c>
      <c r="C301" t="b">
        <v>1</v>
      </c>
    </row>
    <row r="302" spans="1:3" x14ac:dyDescent="0.25">
      <c r="A302" s="80" t="s">
        <v>107</v>
      </c>
      <c r="B302" t="s">
        <v>173</v>
      </c>
      <c r="C302" t="b">
        <v>0</v>
      </c>
    </row>
    <row r="303" spans="1:3" x14ac:dyDescent="0.25">
      <c r="A303" s="80" t="s">
        <v>108</v>
      </c>
      <c r="B303" t="s">
        <v>173</v>
      </c>
      <c r="C303" t="b">
        <v>0</v>
      </c>
    </row>
    <row r="304" spans="1:3" x14ac:dyDescent="0.25">
      <c r="A304" s="80" t="s">
        <v>109</v>
      </c>
      <c r="B304" t="s">
        <v>173</v>
      </c>
      <c r="C304" t="b">
        <v>0</v>
      </c>
    </row>
    <row r="305" spans="1:3" x14ac:dyDescent="0.25">
      <c r="A305" s="80" t="s">
        <v>110</v>
      </c>
      <c r="B305" t="s">
        <v>173</v>
      </c>
      <c r="C305" t="b">
        <v>0</v>
      </c>
    </row>
    <row r="306" spans="1:3" x14ac:dyDescent="0.25">
      <c r="A306" s="80" t="s">
        <v>111</v>
      </c>
      <c r="B306" t="s">
        <v>173</v>
      </c>
      <c r="C306" t="b">
        <v>0</v>
      </c>
    </row>
    <row r="307" spans="1:3" x14ac:dyDescent="0.25">
      <c r="A307" s="80" t="s">
        <v>112</v>
      </c>
      <c r="B307" t="s">
        <v>173</v>
      </c>
      <c r="C307" t="b">
        <v>0</v>
      </c>
    </row>
    <row r="308" spans="1:3" x14ac:dyDescent="0.25">
      <c r="A308" s="80" t="s">
        <v>113</v>
      </c>
      <c r="B308" t="s">
        <v>173</v>
      </c>
      <c r="C308" t="b">
        <v>0</v>
      </c>
    </row>
    <row r="309" spans="1:3" x14ac:dyDescent="0.25">
      <c r="A309" s="80" t="s">
        <v>114</v>
      </c>
      <c r="B309" t="s">
        <v>173</v>
      </c>
      <c r="C309" t="b">
        <v>1</v>
      </c>
    </row>
    <row r="310" spans="1:3" x14ac:dyDescent="0.25">
      <c r="A310" s="80" t="s">
        <v>115</v>
      </c>
      <c r="B310" t="s">
        <v>173</v>
      </c>
      <c r="C310" t="b">
        <v>1</v>
      </c>
    </row>
    <row r="311" spans="1:3" x14ac:dyDescent="0.25">
      <c r="A311" s="80" t="s">
        <v>116</v>
      </c>
      <c r="B311" t="s">
        <v>173</v>
      </c>
      <c r="C311" t="b">
        <v>1</v>
      </c>
    </row>
    <row r="312" spans="1:3" x14ac:dyDescent="0.25">
      <c r="A312" s="80" t="s">
        <v>117</v>
      </c>
      <c r="B312" t="s">
        <v>173</v>
      </c>
      <c r="C312" t="b">
        <v>1</v>
      </c>
    </row>
    <row r="313" spans="1:3" x14ac:dyDescent="0.25">
      <c r="A313" s="80" t="s">
        <v>118</v>
      </c>
      <c r="B313" t="s">
        <v>173</v>
      </c>
      <c r="C313" t="b">
        <v>1</v>
      </c>
    </row>
    <row r="314" spans="1:3" x14ac:dyDescent="0.25">
      <c r="A314" s="80" t="s">
        <v>119</v>
      </c>
      <c r="B314" t="s">
        <v>173</v>
      </c>
      <c r="C314" t="b">
        <v>1</v>
      </c>
    </row>
    <row r="315" spans="1:3" x14ac:dyDescent="0.25">
      <c r="A315" s="80" t="s">
        <v>120</v>
      </c>
      <c r="B315" t="s">
        <v>173</v>
      </c>
      <c r="C315" t="b">
        <v>1</v>
      </c>
    </row>
    <row r="316" spans="1:3" x14ac:dyDescent="0.25">
      <c r="A316" s="80" t="s">
        <v>121</v>
      </c>
      <c r="B316" t="s">
        <v>173</v>
      </c>
      <c r="C316" t="b">
        <v>1</v>
      </c>
    </row>
    <row r="317" spans="1:3" x14ac:dyDescent="0.25">
      <c r="A317" s="80" t="s">
        <v>122</v>
      </c>
      <c r="B317" t="s">
        <v>173</v>
      </c>
      <c r="C317" t="b">
        <v>1</v>
      </c>
    </row>
    <row r="318" spans="1:3" x14ac:dyDescent="0.25">
      <c r="A318" s="80" t="s">
        <v>123</v>
      </c>
      <c r="B318" t="s">
        <v>173</v>
      </c>
      <c r="C318" t="b">
        <v>1</v>
      </c>
    </row>
    <row r="319" spans="1:3" x14ac:dyDescent="0.25">
      <c r="A319" s="80" t="s">
        <v>124</v>
      </c>
      <c r="B319" t="s">
        <v>173</v>
      </c>
      <c r="C319" t="b">
        <v>1</v>
      </c>
    </row>
    <row r="320" spans="1:3" x14ac:dyDescent="0.25">
      <c r="A320" s="80" t="s">
        <v>125</v>
      </c>
      <c r="B320" t="s">
        <v>173</v>
      </c>
      <c r="C320" t="b">
        <v>1</v>
      </c>
    </row>
    <row r="321" spans="1:3" x14ac:dyDescent="0.25">
      <c r="A321" s="80" t="s">
        <v>126</v>
      </c>
      <c r="B321" t="s">
        <v>173</v>
      </c>
      <c r="C321" t="b">
        <v>1</v>
      </c>
    </row>
    <row r="322" spans="1:3" x14ac:dyDescent="0.25">
      <c r="A322" s="80" t="s">
        <v>127</v>
      </c>
      <c r="B322" t="s">
        <v>173</v>
      </c>
      <c r="C322" t="b">
        <v>1</v>
      </c>
    </row>
    <row r="323" spans="1:3" x14ac:dyDescent="0.25">
      <c r="A323" s="80" t="s">
        <v>128</v>
      </c>
      <c r="B323" t="s">
        <v>173</v>
      </c>
      <c r="C323" t="b">
        <v>1</v>
      </c>
    </row>
    <row r="324" spans="1:3" x14ac:dyDescent="0.25">
      <c r="A324" s="80" t="s">
        <v>129</v>
      </c>
      <c r="B324" t="s">
        <v>173</v>
      </c>
      <c r="C324" t="b">
        <v>1</v>
      </c>
    </row>
    <row r="325" spans="1:3" x14ac:dyDescent="0.25">
      <c r="A325" s="80" t="s">
        <v>130</v>
      </c>
      <c r="B325" t="s">
        <v>173</v>
      </c>
      <c r="C325" t="b">
        <v>1</v>
      </c>
    </row>
    <row r="326" spans="1:3" x14ac:dyDescent="0.25">
      <c r="A326" s="80" t="s">
        <v>131</v>
      </c>
      <c r="B326" t="s">
        <v>173</v>
      </c>
      <c r="C326" t="b">
        <v>1</v>
      </c>
    </row>
    <row r="327" spans="1:3" x14ac:dyDescent="0.25">
      <c r="A327" s="80" t="s">
        <v>132</v>
      </c>
      <c r="B327" t="s">
        <v>173</v>
      </c>
      <c r="C327" t="b">
        <v>1</v>
      </c>
    </row>
    <row r="328" spans="1:3" x14ac:dyDescent="0.25">
      <c r="A328" s="80" t="s">
        <v>133</v>
      </c>
      <c r="B328" t="s">
        <v>173</v>
      </c>
      <c r="C328" t="b">
        <v>1</v>
      </c>
    </row>
    <row r="329" spans="1:3" x14ac:dyDescent="0.25">
      <c r="A329" s="80" t="s">
        <v>134</v>
      </c>
      <c r="B329" t="s">
        <v>173</v>
      </c>
      <c r="C329" t="b">
        <v>1</v>
      </c>
    </row>
    <row r="330" spans="1:3" x14ac:dyDescent="0.25">
      <c r="A330" s="80" t="s">
        <v>135</v>
      </c>
      <c r="B330" t="s">
        <v>173</v>
      </c>
      <c r="C330" t="b">
        <v>1</v>
      </c>
    </row>
    <row r="331" spans="1:3" x14ac:dyDescent="0.25">
      <c r="A331" s="80" t="s">
        <v>136</v>
      </c>
      <c r="B331" t="s">
        <v>173</v>
      </c>
      <c r="C331" t="b">
        <v>1</v>
      </c>
    </row>
    <row r="332" spans="1:3" x14ac:dyDescent="0.25">
      <c r="A332" s="80" t="s">
        <v>137</v>
      </c>
      <c r="B332" t="s">
        <v>173</v>
      </c>
      <c r="C332" t="b">
        <v>1</v>
      </c>
    </row>
    <row r="333" spans="1:3" x14ac:dyDescent="0.25">
      <c r="A333" s="80" t="s">
        <v>138</v>
      </c>
      <c r="B333" t="s">
        <v>173</v>
      </c>
      <c r="C333" t="b">
        <v>1</v>
      </c>
    </row>
    <row r="334" spans="1:3" x14ac:dyDescent="0.25">
      <c r="A334" s="80" t="s">
        <v>139</v>
      </c>
      <c r="B334" t="s">
        <v>173</v>
      </c>
      <c r="C334" t="b">
        <v>1</v>
      </c>
    </row>
    <row r="335" spans="1:3" x14ac:dyDescent="0.25">
      <c r="A335" s="80" t="s">
        <v>140</v>
      </c>
      <c r="B335" t="s">
        <v>173</v>
      </c>
      <c r="C335" t="b">
        <v>1</v>
      </c>
    </row>
    <row r="336" spans="1:3" x14ac:dyDescent="0.25">
      <c r="A336" s="80" t="s">
        <v>141</v>
      </c>
      <c r="B336" t="s">
        <v>173</v>
      </c>
      <c r="C336" t="b">
        <v>1</v>
      </c>
    </row>
    <row r="337" spans="1:3" x14ac:dyDescent="0.25">
      <c r="A337" s="80" t="s">
        <v>142</v>
      </c>
      <c r="B337" t="s">
        <v>173</v>
      </c>
      <c r="C337" t="b">
        <v>1</v>
      </c>
    </row>
    <row r="338" spans="1:3" x14ac:dyDescent="0.25">
      <c r="A338" s="80" t="s">
        <v>143</v>
      </c>
      <c r="B338" t="s">
        <v>173</v>
      </c>
      <c r="C338" t="b">
        <v>1</v>
      </c>
    </row>
    <row r="339" spans="1:3" x14ac:dyDescent="0.25">
      <c r="A339" s="80" t="s">
        <v>144</v>
      </c>
      <c r="B339" t="s">
        <v>173</v>
      </c>
      <c r="C339" t="b">
        <v>1</v>
      </c>
    </row>
    <row r="340" spans="1:3" x14ac:dyDescent="0.25">
      <c r="A340" s="80" t="s">
        <v>145</v>
      </c>
      <c r="B340" t="s">
        <v>173</v>
      </c>
      <c r="C340" t="b">
        <v>1</v>
      </c>
    </row>
    <row r="341" spans="1:3" x14ac:dyDescent="0.25">
      <c r="A341" s="80" t="s">
        <v>146</v>
      </c>
      <c r="B341" t="s">
        <v>173</v>
      </c>
      <c r="C341" t="b">
        <v>1</v>
      </c>
    </row>
    <row r="342" spans="1:3" x14ac:dyDescent="0.25">
      <c r="A342" s="80" t="s">
        <v>147</v>
      </c>
      <c r="B342" t="s">
        <v>173</v>
      </c>
      <c r="C342" t="b">
        <v>1</v>
      </c>
    </row>
    <row r="343" spans="1:3" x14ac:dyDescent="0.25">
      <c r="A343" s="80" t="s">
        <v>148</v>
      </c>
      <c r="B343" t="s">
        <v>173</v>
      </c>
      <c r="C343" t="b">
        <v>1</v>
      </c>
    </row>
    <row r="344" spans="1:3" x14ac:dyDescent="0.25">
      <c r="A344" s="80" t="s">
        <v>149</v>
      </c>
      <c r="B344" t="s">
        <v>173</v>
      </c>
      <c r="C344" t="b">
        <v>1</v>
      </c>
    </row>
    <row r="345" spans="1:3" x14ac:dyDescent="0.25">
      <c r="A345" s="80" t="s">
        <v>150</v>
      </c>
      <c r="B345" t="s">
        <v>173</v>
      </c>
      <c r="C345" t="b">
        <v>1</v>
      </c>
    </row>
    <row r="346" spans="1:3" x14ac:dyDescent="0.25">
      <c r="A346" s="80" t="s">
        <v>151</v>
      </c>
      <c r="B346" t="s">
        <v>173</v>
      </c>
      <c r="C346" t="b">
        <v>1</v>
      </c>
    </row>
    <row r="347" spans="1:3" x14ac:dyDescent="0.25">
      <c r="A347" s="80" t="s">
        <v>545</v>
      </c>
      <c r="B347" t="s">
        <v>173</v>
      </c>
      <c r="C347" t="b">
        <v>1</v>
      </c>
    </row>
    <row r="348" spans="1:3" x14ac:dyDescent="0.25">
      <c r="A348" s="80" t="s">
        <v>152</v>
      </c>
      <c r="B348" t="s">
        <v>173</v>
      </c>
      <c r="C348" t="b">
        <v>1</v>
      </c>
    </row>
    <row r="349" spans="1:3" x14ac:dyDescent="0.25">
      <c r="A349" s="80" t="s">
        <v>153</v>
      </c>
      <c r="B349" t="s">
        <v>173</v>
      </c>
      <c r="C349" t="b">
        <v>1</v>
      </c>
    </row>
    <row r="350" spans="1:3" x14ac:dyDescent="0.25">
      <c r="A350" t="s">
        <v>185</v>
      </c>
    </row>
    <row r="351" spans="1:3" x14ac:dyDescent="0.25">
      <c r="A351" t="s">
        <v>186</v>
      </c>
    </row>
    <row r="352" spans="1:3" x14ac:dyDescent="0.25">
      <c r="A352" t="s">
        <v>187</v>
      </c>
    </row>
    <row r="353" spans="1:3" x14ac:dyDescent="0.25">
      <c r="A353" t="s">
        <v>188</v>
      </c>
    </row>
    <row r="354" spans="1:3" x14ac:dyDescent="0.25">
      <c r="A354" t="s">
        <v>33</v>
      </c>
    </row>
    <row r="355" spans="1:3" x14ac:dyDescent="0.25">
      <c r="A355" t="s">
        <v>34</v>
      </c>
    </row>
    <row r="356" spans="1:3" x14ac:dyDescent="0.25">
      <c r="A356" t="s">
        <v>189</v>
      </c>
    </row>
    <row r="357" spans="1:3" x14ac:dyDescent="0.25">
      <c r="A357" t="s">
        <v>190</v>
      </c>
    </row>
    <row r="358" spans="1:3" x14ac:dyDescent="0.25">
      <c r="A358" t="s">
        <v>191</v>
      </c>
    </row>
    <row r="359" spans="1:3" x14ac:dyDescent="0.25">
      <c r="A359" t="s">
        <v>192</v>
      </c>
    </row>
    <row r="360" spans="1:3" x14ac:dyDescent="0.25">
      <c r="A360" t="s">
        <v>193</v>
      </c>
    </row>
    <row r="361" spans="1:3" x14ac:dyDescent="0.25">
      <c r="A361" t="s">
        <v>203</v>
      </c>
    </row>
    <row r="362" spans="1:3" x14ac:dyDescent="0.25">
      <c r="A362" t="s">
        <v>194</v>
      </c>
    </row>
    <row r="363" spans="1:3" x14ac:dyDescent="0.25">
      <c r="A363" t="s">
        <v>204</v>
      </c>
    </row>
    <row r="364" spans="1:3" x14ac:dyDescent="0.25">
      <c r="A364" s="80" t="s">
        <v>169</v>
      </c>
      <c r="B364" t="s">
        <v>170</v>
      </c>
      <c r="C364" s="80" t="s">
        <v>202</v>
      </c>
    </row>
    <row r="365" spans="1:3" x14ac:dyDescent="0.25">
      <c r="A365" s="80" t="s">
        <v>169</v>
      </c>
      <c r="B365" t="s">
        <v>172</v>
      </c>
      <c r="C365" t="b">
        <v>0</v>
      </c>
    </row>
    <row r="366" spans="1:3" x14ac:dyDescent="0.25">
      <c r="A366" s="80" t="s">
        <v>101</v>
      </c>
      <c r="B366" t="s">
        <v>173</v>
      </c>
      <c r="C366" t="b">
        <v>1</v>
      </c>
    </row>
    <row r="367" spans="1:3" x14ac:dyDescent="0.25">
      <c r="A367" s="80" t="s">
        <v>102</v>
      </c>
      <c r="B367" t="s">
        <v>173</v>
      </c>
      <c r="C367" t="b">
        <v>1</v>
      </c>
    </row>
    <row r="368" spans="1:3" x14ac:dyDescent="0.25">
      <c r="A368" s="80" t="s">
        <v>103</v>
      </c>
      <c r="B368" t="s">
        <v>173</v>
      </c>
      <c r="C368" t="b">
        <v>1</v>
      </c>
    </row>
    <row r="369" spans="1:3" x14ac:dyDescent="0.25">
      <c r="A369" s="80" t="s">
        <v>104</v>
      </c>
      <c r="B369" t="s">
        <v>173</v>
      </c>
      <c r="C369" t="b">
        <v>0</v>
      </c>
    </row>
    <row r="370" spans="1:3" x14ac:dyDescent="0.25">
      <c r="A370" s="80" t="s">
        <v>105</v>
      </c>
      <c r="B370" t="s">
        <v>173</v>
      </c>
      <c r="C370" t="b">
        <v>0</v>
      </c>
    </row>
    <row r="371" spans="1:3" x14ac:dyDescent="0.25">
      <c r="A371" s="80" t="s">
        <v>106</v>
      </c>
      <c r="B371" t="s">
        <v>173</v>
      </c>
      <c r="C371" t="b">
        <v>1</v>
      </c>
    </row>
    <row r="372" spans="1:3" x14ac:dyDescent="0.25">
      <c r="A372" s="80" t="s">
        <v>107</v>
      </c>
      <c r="B372" t="s">
        <v>173</v>
      </c>
      <c r="C372" t="b">
        <v>0</v>
      </c>
    </row>
    <row r="373" spans="1:3" x14ac:dyDescent="0.25">
      <c r="A373" s="80" t="s">
        <v>108</v>
      </c>
      <c r="B373" t="s">
        <v>173</v>
      </c>
      <c r="C373" t="b">
        <v>0</v>
      </c>
    </row>
    <row r="374" spans="1:3" x14ac:dyDescent="0.25">
      <c r="A374" s="80" t="s">
        <v>109</v>
      </c>
      <c r="B374" t="s">
        <v>173</v>
      </c>
      <c r="C374" t="b">
        <v>0</v>
      </c>
    </row>
    <row r="375" spans="1:3" x14ac:dyDescent="0.25">
      <c r="A375" s="80" t="s">
        <v>110</v>
      </c>
      <c r="B375" t="s">
        <v>173</v>
      </c>
      <c r="C375" t="b">
        <v>0</v>
      </c>
    </row>
    <row r="376" spans="1:3" x14ac:dyDescent="0.25">
      <c r="A376" s="80" t="s">
        <v>111</v>
      </c>
      <c r="B376" t="s">
        <v>173</v>
      </c>
      <c r="C376" t="b">
        <v>0</v>
      </c>
    </row>
    <row r="377" spans="1:3" x14ac:dyDescent="0.25">
      <c r="A377" s="80" t="s">
        <v>112</v>
      </c>
      <c r="B377" t="s">
        <v>173</v>
      </c>
      <c r="C377" t="b">
        <v>0</v>
      </c>
    </row>
    <row r="378" spans="1:3" x14ac:dyDescent="0.25">
      <c r="A378" s="80" t="s">
        <v>113</v>
      </c>
      <c r="B378" t="s">
        <v>173</v>
      </c>
      <c r="C378" t="b">
        <v>0</v>
      </c>
    </row>
    <row r="379" spans="1:3" x14ac:dyDescent="0.25">
      <c r="A379" s="80" t="s">
        <v>114</v>
      </c>
      <c r="B379" t="s">
        <v>173</v>
      </c>
      <c r="C379" t="b">
        <v>0</v>
      </c>
    </row>
    <row r="380" spans="1:3" x14ac:dyDescent="0.25">
      <c r="A380" s="80" t="s">
        <v>116</v>
      </c>
      <c r="B380" t="s">
        <v>173</v>
      </c>
      <c r="C380" t="b">
        <v>0</v>
      </c>
    </row>
    <row r="381" spans="1:3" x14ac:dyDescent="0.25">
      <c r="A381" s="80" t="s">
        <v>119</v>
      </c>
      <c r="B381" t="s">
        <v>173</v>
      </c>
      <c r="C381" t="b">
        <v>0</v>
      </c>
    </row>
    <row r="382" spans="1:3" x14ac:dyDescent="0.25">
      <c r="A382" s="80" t="s">
        <v>122</v>
      </c>
      <c r="B382" t="s">
        <v>173</v>
      </c>
      <c r="C382" t="b">
        <v>0</v>
      </c>
    </row>
    <row r="383" spans="1:3" x14ac:dyDescent="0.25">
      <c r="A383" s="80" t="s">
        <v>125</v>
      </c>
      <c r="B383" t="s">
        <v>173</v>
      </c>
      <c r="C383" t="b">
        <v>0</v>
      </c>
    </row>
    <row r="384" spans="1:3" x14ac:dyDescent="0.25">
      <c r="A384" s="80" t="s">
        <v>128</v>
      </c>
      <c r="B384" t="s">
        <v>173</v>
      </c>
      <c r="C384" t="b">
        <v>0</v>
      </c>
    </row>
    <row r="385" spans="1:3" x14ac:dyDescent="0.25">
      <c r="A385" s="80" t="s">
        <v>131</v>
      </c>
      <c r="B385" t="s">
        <v>173</v>
      </c>
      <c r="C385" t="b">
        <v>0</v>
      </c>
    </row>
    <row r="386" spans="1:3" x14ac:dyDescent="0.25">
      <c r="A386" s="80" t="s">
        <v>134</v>
      </c>
      <c r="B386" t="s">
        <v>173</v>
      </c>
      <c r="C386" t="b">
        <v>0</v>
      </c>
    </row>
    <row r="387" spans="1:3" x14ac:dyDescent="0.25">
      <c r="A387" s="80" t="s">
        <v>137</v>
      </c>
      <c r="B387" t="s">
        <v>173</v>
      </c>
      <c r="C387" t="b">
        <v>0</v>
      </c>
    </row>
    <row r="388" spans="1:3" x14ac:dyDescent="0.25">
      <c r="A388" s="80" t="s">
        <v>140</v>
      </c>
      <c r="B388" t="s">
        <v>173</v>
      </c>
      <c r="C388" t="b">
        <v>0</v>
      </c>
    </row>
    <row r="389" spans="1:3" x14ac:dyDescent="0.25">
      <c r="A389" s="80" t="s">
        <v>143</v>
      </c>
      <c r="B389" t="s">
        <v>173</v>
      </c>
      <c r="C389" t="b">
        <v>0</v>
      </c>
    </row>
    <row r="390" spans="1:3" x14ac:dyDescent="0.25">
      <c r="A390" s="80" t="s">
        <v>146</v>
      </c>
      <c r="B390" t="s">
        <v>173</v>
      </c>
      <c r="C390" t="b">
        <v>0</v>
      </c>
    </row>
    <row r="391" spans="1:3" x14ac:dyDescent="0.25">
      <c r="A391" s="80" t="s">
        <v>149</v>
      </c>
      <c r="B391" t="s">
        <v>173</v>
      </c>
      <c r="C391" t="b">
        <v>0</v>
      </c>
    </row>
    <row r="392" spans="1:3" x14ac:dyDescent="0.25">
      <c r="A392" s="80" t="s">
        <v>115</v>
      </c>
      <c r="B392" t="s">
        <v>173</v>
      </c>
      <c r="C392" t="b">
        <v>0</v>
      </c>
    </row>
    <row r="393" spans="1:3" x14ac:dyDescent="0.25">
      <c r="A393" s="80" t="s">
        <v>118</v>
      </c>
      <c r="B393" t="s">
        <v>173</v>
      </c>
      <c r="C393" t="b">
        <v>0</v>
      </c>
    </row>
    <row r="394" spans="1:3" x14ac:dyDescent="0.25">
      <c r="A394" s="80" t="s">
        <v>121</v>
      </c>
      <c r="B394" t="s">
        <v>173</v>
      </c>
      <c r="C394" t="b">
        <v>0</v>
      </c>
    </row>
    <row r="395" spans="1:3" x14ac:dyDescent="0.25">
      <c r="A395" s="80" t="s">
        <v>124</v>
      </c>
      <c r="B395" t="s">
        <v>173</v>
      </c>
      <c r="C395" t="b">
        <v>0</v>
      </c>
    </row>
    <row r="396" spans="1:3" x14ac:dyDescent="0.25">
      <c r="A396" s="80" t="s">
        <v>127</v>
      </c>
      <c r="B396" t="s">
        <v>173</v>
      </c>
      <c r="C396" t="b">
        <v>0</v>
      </c>
    </row>
    <row r="397" spans="1:3" x14ac:dyDescent="0.25">
      <c r="A397" s="80" t="s">
        <v>130</v>
      </c>
      <c r="B397" t="s">
        <v>173</v>
      </c>
      <c r="C397" t="b">
        <v>0</v>
      </c>
    </row>
    <row r="398" spans="1:3" x14ac:dyDescent="0.25">
      <c r="A398" s="80" t="s">
        <v>133</v>
      </c>
      <c r="B398" t="s">
        <v>173</v>
      </c>
      <c r="C398" t="b">
        <v>0</v>
      </c>
    </row>
    <row r="399" spans="1:3" x14ac:dyDescent="0.25">
      <c r="A399" s="80" t="s">
        <v>136</v>
      </c>
      <c r="B399" t="s">
        <v>173</v>
      </c>
      <c r="C399" t="b">
        <v>0</v>
      </c>
    </row>
    <row r="400" spans="1:3" x14ac:dyDescent="0.25">
      <c r="A400" s="80" t="s">
        <v>139</v>
      </c>
      <c r="B400" t="s">
        <v>173</v>
      </c>
      <c r="C400" t="b">
        <v>0</v>
      </c>
    </row>
    <row r="401" spans="1:3" x14ac:dyDescent="0.25">
      <c r="A401" s="80" t="s">
        <v>142</v>
      </c>
      <c r="B401" t="s">
        <v>173</v>
      </c>
      <c r="C401" t="b">
        <v>0</v>
      </c>
    </row>
    <row r="402" spans="1:3" x14ac:dyDescent="0.25">
      <c r="A402" s="80" t="s">
        <v>145</v>
      </c>
      <c r="B402" t="s">
        <v>173</v>
      </c>
      <c r="C402" t="b">
        <v>0</v>
      </c>
    </row>
    <row r="403" spans="1:3" x14ac:dyDescent="0.25">
      <c r="A403" s="80" t="s">
        <v>148</v>
      </c>
      <c r="B403" t="s">
        <v>173</v>
      </c>
      <c r="C403" t="b">
        <v>0</v>
      </c>
    </row>
    <row r="404" spans="1:3" x14ac:dyDescent="0.25">
      <c r="A404" s="80" t="s">
        <v>117</v>
      </c>
      <c r="B404" t="s">
        <v>173</v>
      </c>
      <c r="C404" t="b">
        <v>0</v>
      </c>
    </row>
    <row r="405" spans="1:3" x14ac:dyDescent="0.25">
      <c r="A405" s="80" t="s">
        <v>120</v>
      </c>
      <c r="B405" t="s">
        <v>173</v>
      </c>
      <c r="C405" t="b">
        <v>0</v>
      </c>
    </row>
    <row r="406" spans="1:3" x14ac:dyDescent="0.25">
      <c r="A406" s="80" t="s">
        <v>123</v>
      </c>
      <c r="B406" t="s">
        <v>173</v>
      </c>
      <c r="C406" t="b">
        <v>0</v>
      </c>
    </row>
    <row r="407" spans="1:3" x14ac:dyDescent="0.25">
      <c r="A407" s="80" t="s">
        <v>126</v>
      </c>
      <c r="B407" t="s">
        <v>173</v>
      </c>
      <c r="C407" t="b">
        <v>0</v>
      </c>
    </row>
    <row r="408" spans="1:3" x14ac:dyDescent="0.25">
      <c r="A408" s="80" t="s">
        <v>129</v>
      </c>
      <c r="B408" t="s">
        <v>173</v>
      </c>
      <c r="C408" t="b">
        <v>0</v>
      </c>
    </row>
    <row r="409" spans="1:3" x14ac:dyDescent="0.25">
      <c r="A409" s="80" t="s">
        <v>132</v>
      </c>
      <c r="B409" t="s">
        <v>173</v>
      </c>
      <c r="C409" t="b">
        <v>0</v>
      </c>
    </row>
    <row r="410" spans="1:3" x14ac:dyDescent="0.25">
      <c r="A410" s="80" t="s">
        <v>135</v>
      </c>
      <c r="B410" t="s">
        <v>173</v>
      </c>
      <c r="C410" t="b">
        <v>0</v>
      </c>
    </row>
    <row r="411" spans="1:3" x14ac:dyDescent="0.25">
      <c r="A411" s="80" t="s">
        <v>138</v>
      </c>
      <c r="B411" t="s">
        <v>173</v>
      </c>
      <c r="C411" t="b">
        <v>0</v>
      </c>
    </row>
    <row r="412" spans="1:3" x14ac:dyDescent="0.25">
      <c r="A412" s="80" t="s">
        <v>141</v>
      </c>
      <c r="B412" t="s">
        <v>173</v>
      </c>
      <c r="C412" t="b">
        <v>0</v>
      </c>
    </row>
    <row r="413" spans="1:3" x14ac:dyDescent="0.25">
      <c r="A413" s="80" t="s">
        <v>144</v>
      </c>
      <c r="B413" t="s">
        <v>173</v>
      </c>
      <c r="C413" t="b">
        <v>0</v>
      </c>
    </row>
    <row r="414" spans="1:3" x14ac:dyDescent="0.25">
      <c r="A414" s="80" t="s">
        <v>147</v>
      </c>
      <c r="B414" t="s">
        <v>173</v>
      </c>
      <c r="C414" t="b">
        <v>0</v>
      </c>
    </row>
    <row r="415" spans="1:3" x14ac:dyDescent="0.25">
      <c r="A415" s="80" t="s">
        <v>150</v>
      </c>
      <c r="B415" t="s">
        <v>173</v>
      </c>
      <c r="C415" t="b">
        <v>0</v>
      </c>
    </row>
    <row r="416" spans="1:3" x14ac:dyDescent="0.25">
      <c r="A416" s="80" t="s">
        <v>151</v>
      </c>
      <c r="B416" t="s">
        <v>173</v>
      </c>
      <c r="C416" t="b">
        <v>1</v>
      </c>
    </row>
    <row r="417" spans="1:3" x14ac:dyDescent="0.25">
      <c r="A417" s="80" t="s">
        <v>545</v>
      </c>
      <c r="B417" t="s">
        <v>173</v>
      </c>
      <c r="C417" t="b">
        <v>1</v>
      </c>
    </row>
    <row r="418" spans="1:3" x14ac:dyDescent="0.25">
      <c r="A418" s="80" t="s">
        <v>152</v>
      </c>
      <c r="B418" t="s">
        <v>173</v>
      </c>
      <c r="C418" t="b">
        <v>1</v>
      </c>
    </row>
    <row r="419" spans="1:3" x14ac:dyDescent="0.25">
      <c r="A419" s="80" t="s">
        <v>153</v>
      </c>
      <c r="B419" t="s">
        <v>173</v>
      </c>
      <c r="C419" t="b">
        <v>1</v>
      </c>
    </row>
    <row r="420" spans="1:3" x14ac:dyDescent="0.25">
      <c r="A420" t="s">
        <v>205</v>
      </c>
    </row>
    <row r="421" spans="1:3" x14ac:dyDescent="0.25">
      <c r="A421" t="s">
        <v>206</v>
      </c>
    </row>
    <row r="422" spans="1:3" x14ac:dyDescent="0.25">
      <c r="A422" s="80" t="s">
        <v>169</v>
      </c>
      <c r="B422" t="s">
        <v>170</v>
      </c>
      <c r="C422" s="80" t="s">
        <v>202</v>
      </c>
    </row>
    <row r="423" spans="1:3" x14ac:dyDescent="0.25">
      <c r="A423" s="80" t="s">
        <v>169</v>
      </c>
      <c r="B423" t="s">
        <v>172</v>
      </c>
      <c r="C423" t="b">
        <v>0</v>
      </c>
    </row>
    <row r="424" spans="1:3" x14ac:dyDescent="0.25">
      <c r="A424" s="80" t="s">
        <v>101</v>
      </c>
      <c r="B424" t="s">
        <v>173</v>
      </c>
      <c r="C424" t="b">
        <v>0</v>
      </c>
    </row>
    <row r="425" spans="1:3" x14ac:dyDescent="0.25">
      <c r="A425" s="80" t="s">
        <v>102</v>
      </c>
      <c r="B425" t="s">
        <v>173</v>
      </c>
      <c r="C425" t="b">
        <v>0</v>
      </c>
    </row>
    <row r="426" spans="1:3" x14ac:dyDescent="0.25">
      <c r="A426" s="80" t="s">
        <v>103</v>
      </c>
      <c r="B426" t="s">
        <v>173</v>
      </c>
      <c r="C426" t="b">
        <v>0</v>
      </c>
    </row>
    <row r="427" spans="1:3" x14ac:dyDescent="0.25">
      <c r="A427" s="80" t="s">
        <v>104</v>
      </c>
      <c r="B427" t="s">
        <v>173</v>
      </c>
      <c r="C427" t="b">
        <v>0</v>
      </c>
    </row>
    <row r="428" spans="1:3" x14ac:dyDescent="0.25">
      <c r="A428" s="80" t="s">
        <v>105</v>
      </c>
      <c r="B428" t="s">
        <v>173</v>
      </c>
      <c r="C428" t="b">
        <v>0</v>
      </c>
    </row>
    <row r="429" spans="1:3" x14ac:dyDescent="0.25">
      <c r="A429" s="80" t="s">
        <v>106</v>
      </c>
      <c r="B429" t="s">
        <v>173</v>
      </c>
      <c r="C429" t="b">
        <v>0</v>
      </c>
    </row>
    <row r="430" spans="1:3" x14ac:dyDescent="0.25">
      <c r="A430" s="80" t="s">
        <v>107</v>
      </c>
      <c r="B430" t="s">
        <v>173</v>
      </c>
      <c r="C430" t="b">
        <v>0</v>
      </c>
    </row>
    <row r="431" spans="1:3" x14ac:dyDescent="0.25">
      <c r="A431" s="80" t="s">
        <v>108</v>
      </c>
      <c r="B431" t="s">
        <v>173</v>
      </c>
      <c r="C431" t="b">
        <v>0</v>
      </c>
    </row>
    <row r="432" spans="1:3" x14ac:dyDescent="0.25">
      <c r="A432" s="80" t="s">
        <v>109</v>
      </c>
      <c r="B432" t="s">
        <v>173</v>
      </c>
      <c r="C432" t="b">
        <v>0</v>
      </c>
    </row>
    <row r="433" spans="1:3" x14ac:dyDescent="0.25">
      <c r="A433" s="80" t="s">
        <v>110</v>
      </c>
      <c r="B433" t="s">
        <v>173</v>
      </c>
      <c r="C433" t="b">
        <v>0</v>
      </c>
    </row>
    <row r="434" spans="1:3" x14ac:dyDescent="0.25">
      <c r="A434" s="80" t="s">
        <v>111</v>
      </c>
      <c r="B434" t="s">
        <v>173</v>
      </c>
      <c r="C434" t="b">
        <v>0</v>
      </c>
    </row>
    <row r="435" spans="1:3" x14ac:dyDescent="0.25">
      <c r="A435" s="80" t="s">
        <v>112</v>
      </c>
      <c r="B435" t="s">
        <v>173</v>
      </c>
      <c r="C435" t="b">
        <v>0</v>
      </c>
    </row>
    <row r="436" spans="1:3" x14ac:dyDescent="0.25">
      <c r="A436" s="80" t="s">
        <v>113</v>
      </c>
      <c r="B436" t="s">
        <v>173</v>
      </c>
      <c r="C436" t="b">
        <v>0</v>
      </c>
    </row>
    <row r="437" spans="1:3" x14ac:dyDescent="0.25">
      <c r="A437" s="80" t="s">
        <v>114</v>
      </c>
      <c r="B437" t="s">
        <v>173</v>
      </c>
      <c r="C437" t="b">
        <v>0</v>
      </c>
    </row>
    <row r="438" spans="1:3" x14ac:dyDescent="0.25">
      <c r="A438" s="80" t="s">
        <v>116</v>
      </c>
      <c r="B438" t="s">
        <v>173</v>
      </c>
      <c r="C438" t="b">
        <v>0</v>
      </c>
    </row>
    <row r="439" spans="1:3" x14ac:dyDescent="0.25">
      <c r="A439" s="80" t="s">
        <v>119</v>
      </c>
      <c r="B439" t="s">
        <v>173</v>
      </c>
      <c r="C439" t="b">
        <v>0</v>
      </c>
    </row>
    <row r="440" spans="1:3" x14ac:dyDescent="0.25">
      <c r="A440" s="80" t="s">
        <v>122</v>
      </c>
      <c r="B440" t="s">
        <v>173</v>
      </c>
      <c r="C440" t="b">
        <v>0</v>
      </c>
    </row>
    <row r="441" spans="1:3" x14ac:dyDescent="0.25">
      <c r="A441" s="80" t="s">
        <v>125</v>
      </c>
      <c r="B441" t="s">
        <v>173</v>
      </c>
      <c r="C441" t="b">
        <v>0</v>
      </c>
    </row>
    <row r="442" spans="1:3" x14ac:dyDescent="0.25">
      <c r="A442" s="80" t="s">
        <v>128</v>
      </c>
      <c r="B442" t="s">
        <v>173</v>
      </c>
      <c r="C442" t="b">
        <v>0</v>
      </c>
    </row>
    <row r="443" spans="1:3" x14ac:dyDescent="0.25">
      <c r="A443" s="80" t="s">
        <v>131</v>
      </c>
      <c r="B443" t="s">
        <v>173</v>
      </c>
      <c r="C443" t="b">
        <v>0</v>
      </c>
    </row>
    <row r="444" spans="1:3" x14ac:dyDescent="0.25">
      <c r="A444" s="80" t="s">
        <v>134</v>
      </c>
      <c r="B444" t="s">
        <v>173</v>
      </c>
      <c r="C444" t="b">
        <v>0</v>
      </c>
    </row>
    <row r="445" spans="1:3" x14ac:dyDescent="0.25">
      <c r="A445" s="80" t="s">
        <v>137</v>
      </c>
      <c r="B445" t="s">
        <v>173</v>
      </c>
      <c r="C445" t="b">
        <v>0</v>
      </c>
    </row>
    <row r="446" spans="1:3" x14ac:dyDescent="0.25">
      <c r="A446" s="80" t="s">
        <v>140</v>
      </c>
      <c r="B446" t="s">
        <v>173</v>
      </c>
      <c r="C446" t="b">
        <v>0</v>
      </c>
    </row>
    <row r="447" spans="1:3" x14ac:dyDescent="0.25">
      <c r="A447" s="80" t="s">
        <v>143</v>
      </c>
      <c r="B447" t="s">
        <v>173</v>
      </c>
      <c r="C447" t="b">
        <v>0</v>
      </c>
    </row>
    <row r="448" spans="1:3" x14ac:dyDescent="0.25">
      <c r="A448" s="80" t="s">
        <v>146</v>
      </c>
      <c r="B448" t="s">
        <v>173</v>
      </c>
      <c r="C448" t="b">
        <v>0</v>
      </c>
    </row>
    <row r="449" spans="1:3" x14ac:dyDescent="0.25">
      <c r="A449" s="80" t="s">
        <v>149</v>
      </c>
      <c r="B449" t="s">
        <v>173</v>
      </c>
      <c r="C449" t="b">
        <v>0</v>
      </c>
    </row>
    <row r="450" spans="1:3" x14ac:dyDescent="0.25">
      <c r="A450" s="80" t="s">
        <v>115</v>
      </c>
      <c r="B450" t="s">
        <v>173</v>
      </c>
      <c r="C450" t="b">
        <v>0</v>
      </c>
    </row>
    <row r="451" spans="1:3" x14ac:dyDescent="0.25">
      <c r="A451" s="80" t="s">
        <v>118</v>
      </c>
      <c r="B451" t="s">
        <v>173</v>
      </c>
      <c r="C451" t="b">
        <v>0</v>
      </c>
    </row>
    <row r="452" spans="1:3" x14ac:dyDescent="0.25">
      <c r="A452" s="80" t="s">
        <v>121</v>
      </c>
      <c r="B452" t="s">
        <v>173</v>
      </c>
      <c r="C452" t="b">
        <v>0</v>
      </c>
    </row>
    <row r="453" spans="1:3" x14ac:dyDescent="0.25">
      <c r="A453" s="80" t="s">
        <v>124</v>
      </c>
      <c r="B453" t="s">
        <v>173</v>
      </c>
      <c r="C453" t="b">
        <v>0</v>
      </c>
    </row>
    <row r="454" spans="1:3" x14ac:dyDescent="0.25">
      <c r="A454" s="80" t="s">
        <v>127</v>
      </c>
      <c r="B454" t="s">
        <v>173</v>
      </c>
      <c r="C454" t="b">
        <v>0</v>
      </c>
    </row>
    <row r="455" spans="1:3" x14ac:dyDescent="0.25">
      <c r="A455" s="80" t="s">
        <v>130</v>
      </c>
      <c r="B455" t="s">
        <v>173</v>
      </c>
      <c r="C455" t="b">
        <v>0</v>
      </c>
    </row>
    <row r="456" spans="1:3" x14ac:dyDescent="0.25">
      <c r="A456" s="80" t="s">
        <v>133</v>
      </c>
      <c r="B456" t="s">
        <v>173</v>
      </c>
      <c r="C456" t="b">
        <v>0</v>
      </c>
    </row>
    <row r="457" spans="1:3" x14ac:dyDescent="0.25">
      <c r="A457" s="80" t="s">
        <v>136</v>
      </c>
      <c r="B457" t="s">
        <v>173</v>
      </c>
      <c r="C457" t="b">
        <v>0</v>
      </c>
    </row>
    <row r="458" spans="1:3" x14ac:dyDescent="0.25">
      <c r="A458" s="80" t="s">
        <v>139</v>
      </c>
      <c r="B458" t="s">
        <v>173</v>
      </c>
      <c r="C458" t="b">
        <v>0</v>
      </c>
    </row>
    <row r="459" spans="1:3" x14ac:dyDescent="0.25">
      <c r="A459" s="80" t="s">
        <v>142</v>
      </c>
      <c r="B459" t="s">
        <v>173</v>
      </c>
      <c r="C459" t="b">
        <v>0</v>
      </c>
    </row>
    <row r="460" spans="1:3" x14ac:dyDescent="0.25">
      <c r="A460" s="80" t="s">
        <v>145</v>
      </c>
      <c r="B460" t="s">
        <v>173</v>
      </c>
      <c r="C460" t="b">
        <v>0</v>
      </c>
    </row>
    <row r="461" spans="1:3" x14ac:dyDescent="0.25">
      <c r="A461" s="80" t="s">
        <v>148</v>
      </c>
      <c r="B461" t="s">
        <v>173</v>
      </c>
      <c r="C461" t="b">
        <v>0</v>
      </c>
    </row>
    <row r="462" spans="1:3" x14ac:dyDescent="0.25">
      <c r="A462" s="80" t="s">
        <v>117</v>
      </c>
      <c r="B462" t="s">
        <v>173</v>
      </c>
      <c r="C462" t="b">
        <v>0</v>
      </c>
    </row>
    <row r="463" spans="1:3" x14ac:dyDescent="0.25">
      <c r="A463" s="80" t="s">
        <v>120</v>
      </c>
      <c r="B463" t="s">
        <v>173</v>
      </c>
      <c r="C463" t="b">
        <v>0</v>
      </c>
    </row>
    <row r="464" spans="1:3" x14ac:dyDescent="0.25">
      <c r="A464" s="80" t="s">
        <v>123</v>
      </c>
      <c r="B464" t="s">
        <v>173</v>
      </c>
      <c r="C464" t="b">
        <v>0</v>
      </c>
    </row>
    <row r="465" spans="1:3" x14ac:dyDescent="0.25">
      <c r="A465" s="80" t="s">
        <v>126</v>
      </c>
      <c r="B465" t="s">
        <v>173</v>
      </c>
      <c r="C465" t="b">
        <v>0</v>
      </c>
    </row>
    <row r="466" spans="1:3" x14ac:dyDescent="0.25">
      <c r="A466" s="80" t="s">
        <v>129</v>
      </c>
      <c r="B466" t="s">
        <v>173</v>
      </c>
      <c r="C466" t="b">
        <v>0</v>
      </c>
    </row>
    <row r="467" spans="1:3" x14ac:dyDescent="0.25">
      <c r="A467" s="80" t="s">
        <v>132</v>
      </c>
      <c r="B467" t="s">
        <v>173</v>
      </c>
      <c r="C467" t="b">
        <v>0</v>
      </c>
    </row>
    <row r="468" spans="1:3" x14ac:dyDescent="0.25">
      <c r="A468" s="80" t="s">
        <v>135</v>
      </c>
      <c r="B468" t="s">
        <v>173</v>
      </c>
      <c r="C468" t="b">
        <v>0</v>
      </c>
    </row>
    <row r="469" spans="1:3" x14ac:dyDescent="0.25">
      <c r="A469" s="80" t="s">
        <v>138</v>
      </c>
      <c r="B469" t="s">
        <v>173</v>
      </c>
      <c r="C469" t="b">
        <v>0</v>
      </c>
    </row>
    <row r="470" spans="1:3" x14ac:dyDescent="0.25">
      <c r="A470" s="80" t="s">
        <v>141</v>
      </c>
      <c r="B470" t="s">
        <v>173</v>
      </c>
      <c r="C470" t="b">
        <v>0</v>
      </c>
    </row>
    <row r="471" spans="1:3" x14ac:dyDescent="0.25">
      <c r="A471" s="80" t="s">
        <v>144</v>
      </c>
      <c r="B471" t="s">
        <v>173</v>
      </c>
      <c r="C471" t="b">
        <v>0</v>
      </c>
    </row>
    <row r="472" spans="1:3" x14ac:dyDescent="0.25">
      <c r="A472" s="80" t="s">
        <v>147</v>
      </c>
      <c r="B472" t="s">
        <v>173</v>
      </c>
      <c r="C472" t="b">
        <v>0</v>
      </c>
    </row>
    <row r="473" spans="1:3" x14ac:dyDescent="0.25">
      <c r="A473" s="80" t="s">
        <v>150</v>
      </c>
      <c r="B473" t="s">
        <v>173</v>
      </c>
      <c r="C473" t="b">
        <v>0</v>
      </c>
    </row>
    <row r="474" spans="1:3" x14ac:dyDescent="0.25">
      <c r="A474" s="80" t="s">
        <v>151</v>
      </c>
      <c r="B474" t="s">
        <v>173</v>
      </c>
      <c r="C474" t="b">
        <v>0</v>
      </c>
    </row>
    <row r="475" spans="1:3" x14ac:dyDescent="0.25">
      <c r="A475" s="80" t="s">
        <v>545</v>
      </c>
      <c r="B475" t="s">
        <v>173</v>
      </c>
      <c r="C475" t="b">
        <v>0</v>
      </c>
    </row>
    <row r="476" spans="1:3" x14ac:dyDescent="0.25">
      <c r="A476" s="80" t="s">
        <v>152</v>
      </c>
      <c r="B476" t="s">
        <v>173</v>
      </c>
      <c r="C476" t="b">
        <v>0</v>
      </c>
    </row>
    <row r="477" spans="1:3" x14ac:dyDescent="0.25">
      <c r="A477" s="80" t="s">
        <v>153</v>
      </c>
      <c r="B477" t="s">
        <v>173</v>
      </c>
      <c r="C477" t="b">
        <v>0</v>
      </c>
    </row>
    <row r="478" spans="1:3" x14ac:dyDescent="0.25">
      <c r="A478" t="s">
        <v>207</v>
      </c>
    </row>
    <row r="479" spans="1:3" x14ac:dyDescent="0.25">
      <c r="A479" t="s">
        <v>208</v>
      </c>
    </row>
    <row r="480" spans="1:3" x14ac:dyDescent="0.25">
      <c r="A480" s="80" t="s">
        <v>169</v>
      </c>
      <c r="B480" t="s">
        <v>170</v>
      </c>
      <c r="C480" s="80" t="s">
        <v>202</v>
      </c>
    </row>
    <row r="481" spans="1:3" x14ac:dyDescent="0.25">
      <c r="A481" s="80" t="s">
        <v>169</v>
      </c>
      <c r="B481" t="s">
        <v>172</v>
      </c>
      <c r="C481" t="b">
        <v>0</v>
      </c>
    </row>
    <row r="482" spans="1:3" x14ac:dyDescent="0.25">
      <c r="A482" s="80" t="s">
        <v>101</v>
      </c>
      <c r="B482" t="s">
        <v>173</v>
      </c>
      <c r="C482" t="b">
        <v>1</v>
      </c>
    </row>
    <row r="483" spans="1:3" x14ac:dyDescent="0.25">
      <c r="A483" s="80" t="s">
        <v>102</v>
      </c>
      <c r="B483" t="s">
        <v>173</v>
      </c>
      <c r="C483" t="b">
        <v>1</v>
      </c>
    </row>
    <row r="484" spans="1:3" x14ac:dyDescent="0.25">
      <c r="A484" s="80" t="s">
        <v>103</v>
      </c>
      <c r="B484" t="s">
        <v>173</v>
      </c>
      <c r="C484" t="b">
        <v>1</v>
      </c>
    </row>
    <row r="485" spans="1:3" x14ac:dyDescent="0.25">
      <c r="A485" s="80" t="s">
        <v>104</v>
      </c>
      <c r="B485" t="s">
        <v>173</v>
      </c>
      <c r="C485" t="b">
        <v>0</v>
      </c>
    </row>
    <row r="486" spans="1:3" x14ac:dyDescent="0.25">
      <c r="A486" s="80" t="s">
        <v>105</v>
      </c>
      <c r="B486" t="s">
        <v>173</v>
      </c>
      <c r="C486" t="b">
        <v>0</v>
      </c>
    </row>
    <row r="487" spans="1:3" x14ac:dyDescent="0.25">
      <c r="A487" s="80" t="s">
        <v>106</v>
      </c>
      <c r="B487" t="s">
        <v>173</v>
      </c>
      <c r="C487" t="b">
        <v>1</v>
      </c>
    </row>
    <row r="488" spans="1:3" x14ac:dyDescent="0.25">
      <c r="A488" s="80" t="s">
        <v>107</v>
      </c>
      <c r="B488" t="s">
        <v>173</v>
      </c>
      <c r="C488" t="b">
        <v>0</v>
      </c>
    </row>
    <row r="489" spans="1:3" x14ac:dyDescent="0.25">
      <c r="A489" s="80" t="s">
        <v>108</v>
      </c>
      <c r="B489" t="s">
        <v>173</v>
      </c>
      <c r="C489" t="b">
        <v>0</v>
      </c>
    </row>
    <row r="490" spans="1:3" x14ac:dyDescent="0.25">
      <c r="A490" s="80" t="s">
        <v>109</v>
      </c>
      <c r="B490" t="s">
        <v>173</v>
      </c>
      <c r="C490" t="b">
        <v>0</v>
      </c>
    </row>
    <row r="491" spans="1:3" x14ac:dyDescent="0.25">
      <c r="A491" s="80" t="s">
        <v>110</v>
      </c>
      <c r="B491" t="s">
        <v>173</v>
      </c>
      <c r="C491" t="b">
        <v>0</v>
      </c>
    </row>
    <row r="492" spans="1:3" x14ac:dyDescent="0.25">
      <c r="A492" s="80" t="s">
        <v>111</v>
      </c>
      <c r="B492" t="s">
        <v>173</v>
      </c>
      <c r="C492" t="b">
        <v>0</v>
      </c>
    </row>
    <row r="493" spans="1:3" x14ac:dyDescent="0.25">
      <c r="A493" s="80" t="s">
        <v>112</v>
      </c>
      <c r="B493" t="s">
        <v>173</v>
      </c>
      <c r="C493" t="b">
        <v>0</v>
      </c>
    </row>
    <row r="494" spans="1:3" x14ac:dyDescent="0.25">
      <c r="A494" s="80" t="s">
        <v>113</v>
      </c>
      <c r="B494" t="s">
        <v>173</v>
      </c>
      <c r="C494" t="b">
        <v>1</v>
      </c>
    </row>
    <row r="495" spans="1:3" x14ac:dyDescent="0.25">
      <c r="A495" s="80" t="s">
        <v>114</v>
      </c>
      <c r="B495" t="s">
        <v>173</v>
      </c>
      <c r="C495" t="b">
        <v>1</v>
      </c>
    </row>
    <row r="496" spans="1:3" x14ac:dyDescent="0.25">
      <c r="A496" s="80" t="s">
        <v>116</v>
      </c>
      <c r="B496" t="s">
        <v>173</v>
      </c>
      <c r="C496" t="b">
        <v>1</v>
      </c>
    </row>
    <row r="497" spans="1:3" x14ac:dyDescent="0.25">
      <c r="A497" s="80" t="s">
        <v>119</v>
      </c>
      <c r="B497" t="s">
        <v>173</v>
      </c>
      <c r="C497" t="b">
        <v>1</v>
      </c>
    </row>
    <row r="498" spans="1:3" x14ac:dyDescent="0.25">
      <c r="A498" s="80" t="s">
        <v>122</v>
      </c>
      <c r="B498" t="s">
        <v>173</v>
      </c>
      <c r="C498" t="b">
        <v>1</v>
      </c>
    </row>
    <row r="499" spans="1:3" x14ac:dyDescent="0.25">
      <c r="A499" s="80" t="s">
        <v>125</v>
      </c>
      <c r="B499" t="s">
        <v>173</v>
      </c>
      <c r="C499" t="b">
        <v>1</v>
      </c>
    </row>
    <row r="500" spans="1:3" x14ac:dyDescent="0.25">
      <c r="A500" s="80" t="s">
        <v>128</v>
      </c>
      <c r="B500" t="s">
        <v>173</v>
      </c>
      <c r="C500" t="b">
        <v>1</v>
      </c>
    </row>
    <row r="501" spans="1:3" x14ac:dyDescent="0.25">
      <c r="A501" s="80" t="s">
        <v>131</v>
      </c>
      <c r="B501" t="s">
        <v>173</v>
      </c>
      <c r="C501" t="b">
        <v>1</v>
      </c>
    </row>
    <row r="502" spans="1:3" x14ac:dyDescent="0.25">
      <c r="A502" s="80" t="s">
        <v>134</v>
      </c>
      <c r="B502" t="s">
        <v>173</v>
      </c>
      <c r="C502" t="b">
        <v>1</v>
      </c>
    </row>
    <row r="503" spans="1:3" x14ac:dyDescent="0.25">
      <c r="A503" s="80" t="s">
        <v>137</v>
      </c>
      <c r="B503" t="s">
        <v>173</v>
      </c>
      <c r="C503" t="b">
        <v>1</v>
      </c>
    </row>
    <row r="504" spans="1:3" x14ac:dyDescent="0.25">
      <c r="A504" s="80" t="s">
        <v>140</v>
      </c>
      <c r="B504" t="s">
        <v>173</v>
      </c>
      <c r="C504" t="b">
        <v>1</v>
      </c>
    </row>
    <row r="505" spans="1:3" x14ac:dyDescent="0.25">
      <c r="A505" s="80" t="s">
        <v>143</v>
      </c>
      <c r="B505" t="s">
        <v>173</v>
      </c>
      <c r="C505" t="b">
        <v>1</v>
      </c>
    </row>
    <row r="506" spans="1:3" x14ac:dyDescent="0.25">
      <c r="A506" s="80" t="s">
        <v>146</v>
      </c>
      <c r="B506" t="s">
        <v>173</v>
      </c>
      <c r="C506" t="b">
        <v>1</v>
      </c>
    </row>
    <row r="507" spans="1:3" x14ac:dyDescent="0.25">
      <c r="A507" s="80" t="s">
        <v>149</v>
      </c>
      <c r="B507" t="s">
        <v>173</v>
      </c>
      <c r="C507" t="b">
        <v>1</v>
      </c>
    </row>
    <row r="508" spans="1:3" x14ac:dyDescent="0.25">
      <c r="A508" s="80" t="s">
        <v>115</v>
      </c>
      <c r="B508" t="s">
        <v>173</v>
      </c>
      <c r="C508" t="b">
        <v>0</v>
      </c>
    </row>
    <row r="509" spans="1:3" x14ac:dyDescent="0.25">
      <c r="A509" s="80" t="s">
        <v>118</v>
      </c>
      <c r="B509" t="s">
        <v>173</v>
      </c>
      <c r="C509" t="b">
        <v>0</v>
      </c>
    </row>
    <row r="510" spans="1:3" x14ac:dyDescent="0.25">
      <c r="A510" s="80" t="s">
        <v>121</v>
      </c>
      <c r="B510" t="s">
        <v>173</v>
      </c>
      <c r="C510" t="b">
        <v>0</v>
      </c>
    </row>
    <row r="511" spans="1:3" x14ac:dyDescent="0.25">
      <c r="A511" s="80" t="s">
        <v>124</v>
      </c>
      <c r="B511" t="s">
        <v>173</v>
      </c>
      <c r="C511" t="b">
        <v>0</v>
      </c>
    </row>
    <row r="512" spans="1:3" x14ac:dyDescent="0.25">
      <c r="A512" s="80" t="s">
        <v>127</v>
      </c>
      <c r="B512" t="s">
        <v>173</v>
      </c>
      <c r="C512" t="b">
        <v>0</v>
      </c>
    </row>
    <row r="513" spans="1:3" x14ac:dyDescent="0.25">
      <c r="A513" s="80" t="s">
        <v>130</v>
      </c>
      <c r="B513" t="s">
        <v>173</v>
      </c>
      <c r="C513" t="b">
        <v>0</v>
      </c>
    </row>
    <row r="514" spans="1:3" x14ac:dyDescent="0.25">
      <c r="A514" s="80" t="s">
        <v>133</v>
      </c>
      <c r="B514" t="s">
        <v>173</v>
      </c>
      <c r="C514" t="b">
        <v>0</v>
      </c>
    </row>
    <row r="515" spans="1:3" x14ac:dyDescent="0.25">
      <c r="A515" s="80" t="s">
        <v>136</v>
      </c>
      <c r="B515" t="s">
        <v>173</v>
      </c>
      <c r="C515" t="b">
        <v>0</v>
      </c>
    </row>
    <row r="516" spans="1:3" x14ac:dyDescent="0.25">
      <c r="A516" s="80" t="s">
        <v>139</v>
      </c>
      <c r="B516" t="s">
        <v>173</v>
      </c>
      <c r="C516" t="b">
        <v>0</v>
      </c>
    </row>
    <row r="517" spans="1:3" x14ac:dyDescent="0.25">
      <c r="A517" s="80" t="s">
        <v>142</v>
      </c>
      <c r="B517" t="s">
        <v>173</v>
      </c>
      <c r="C517" t="b">
        <v>0</v>
      </c>
    </row>
    <row r="518" spans="1:3" x14ac:dyDescent="0.25">
      <c r="A518" s="80" t="s">
        <v>145</v>
      </c>
      <c r="B518" t="s">
        <v>173</v>
      </c>
      <c r="C518" t="b">
        <v>0</v>
      </c>
    </row>
    <row r="519" spans="1:3" x14ac:dyDescent="0.25">
      <c r="A519" s="80" t="s">
        <v>148</v>
      </c>
      <c r="B519" t="s">
        <v>173</v>
      </c>
      <c r="C519" t="b">
        <v>0</v>
      </c>
    </row>
    <row r="520" spans="1:3" x14ac:dyDescent="0.25">
      <c r="A520" s="80" t="s">
        <v>117</v>
      </c>
      <c r="B520" t="s">
        <v>173</v>
      </c>
      <c r="C520" t="b">
        <v>1</v>
      </c>
    </row>
    <row r="521" spans="1:3" x14ac:dyDescent="0.25">
      <c r="A521" s="80" t="s">
        <v>120</v>
      </c>
      <c r="B521" t="s">
        <v>173</v>
      </c>
      <c r="C521" t="b">
        <v>1</v>
      </c>
    </row>
    <row r="522" spans="1:3" x14ac:dyDescent="0.25">
      <c r="A522" s="80" t="s">
        <v>123</v>
      </c>
      <c r="B522" t="s">
        <v>173</v>
      </c>
      <c r="C522" t="b">
        <v>1</v>
      </c>
    </row>
    <row r="523" spans="1:3" x14ac:dyDescent="0.25">
      <c r="A523" s="80" t="s">
        <v>126</v>
      </c>
      <c r="B523" t="s">
        <v>173</v>
      </c>
      <c r="C523" t="b">
        <v>1</v>
      </c>
    </row>
    <row r="524" spans="1:3" x14ac:dyDescent="0.25">
      <c r="A524" s="80" t="s">
        <v>129</v>
      </c>
      <c r="B524" t="s">
        <v>173</v>
      </c>
      <c r="C524" t="b">
        <v>1</v>
      </c>
    </row>
    <row r="525" spans="1:3" x14ac:dyDescent="0.25">
      <c r="A525" s="80" t="s">
        <v>132</v>
      </c>
      <c r="B525" t="s">
        <v>173</v>
      </c>
      <c r="C525" t="b">
        <v>1</v>
      </c>
    </row>
    <row r="526" spans="1:3" x14ac:dyDescent="0.25">
      <c r="A526" s="80" t="s">
        <v>135</v>
      </c>
      <c r="B526" t="s">
        <v>173</v>
      </c>
      <c r="C526" t="b">
        <v>1</v>
      </c>
    </row>
    <row r="527" spans="1:3" x14ac:dyDescent="0.25">
      <c r="A527" s="80" t="s">
        <v>138</v>
      </c>
      <c r="B527" t="s">
        <v>173</v>
      </c>
      <c r="C527" t="b">
        <v>1</v>
      </c>
    </row>
    <row r="528" spans="1:3" x14ac:dyDescent="0.25">
      <c r="A528" s="80" t="s">
        <v>141</v>
      </c>
      <c r="B528" t="s">
        <v>173</v>
      </c>
      <c r="C528" t="b">
        <v>1</v>
      </c>
    </row>
    <row r="529" spans="1:3" x14ac:dyDescent="0.25">
      <c r="A529" s="80" t="s">
        <v>144</v>
      </c>
      <c r="B529" t="s">
        <v>173</v>
      </c>
      <c r="C529" t="b">
        <v>1</v>
      </c>
    </row>
    <row r="530" spans="1:3" x14ac:dyDescent="0.25">
      <c r="A530" s="80" t="s">
        <v>147</v>
      </c>
      <c r="B530" t="s">
        <v>173</v>
      </c>
      <c r="C530" t="b">
        <v>1</v>
      </c>
    </row>
    <row r="531" spans="1:3" x14ac:dyDescent="0.25">
      <c r="A531" s="80" t="s">
        <v>150</v>
      </c>
      <c r="B531" t="s">
        <v>173</v>
      </c>
      <c r="C531" t="b">
        <v>1</v>
      </c>
    </row>
    <row r="532" spans="1:3" x14ac:dyDescent="0.25">
      <c r="A532" s="80" t="s">
        <v>151</v>
      </c>
      <c r="B532" t="s">
        <v>173</v>
      </c>
      <c r="C532" t="b">
        <v>1</v>
      </c>
    </row>
    <row r="533" spans="1:3" x14ac:dyDescent="0.25">
      <c r="A533" s="80" t="s">
        <v>545</v>
      </c>
      <c r="B533" t="s">
        <v>173</v>
      </c>
      <c r="C533" t="b">
        <v>1</v>
      </c>
    </row>
    <row r="534" spans="1:3" x14ac:dyDescent="0.25">
      <c r="A534" s="80" t="s">
        <v>152</v>
      </c>
      <c r="B534" t="s">
        <v>173</v>
      </c>
      <c r="C534" t="b">
        <v>1</v>
      </c>
    </row>
    <row r="535" spans="1:3" x14ac:dyDescent="0.25">
      <c r="A535" s="80" t="s">
        <v>153</v>
      </c>
      <c r="B535" t="s">
        <v>173</v>
      </c>
      <c r="C535" t="b">
        <v>1</v>
      </c>
    </row>
    <row r="536" spans="1:3" x14ac:dyDescent="0.25">
      <c r="A536" t="s">
        <v>209</v>
      </c>
    </row>
    <row r="537" spans="1:3" x14ac:dyDescent="0.25">
      <c r="A537" t="s">
        <v>210</v>
      </c>
    </row>
    <row r="538" spans="1:3" x14ac:dyDescent="0.25">
      <c r="A538" s="80" t="s">
        <v>169</v>
      </c>
      <c r="B538" t="s">
        <v>170</v>
      </c>
      <c r="C538" s="80" t="s">
        <v>202</v>
      </c>
    </row>
    <row r="539" spans="1:3" x14ac:dyDescent="0.25">
      <c r="A539" s="80" t="s">
        <v>169</v>
      </c>
      <c r="B539" t="s">
        <v>172</v>
      </c>
      <c r="C539" t="b">
        <v>0</v>
      </c>
    </row>
    <row r="540" spans="1:3" x14ac:dyDescent="0.25">
      <c r="A540" s="80" t="s">
        <v>101</v>
      </c>
      <c r="B540" t="s">
        <v>173</v>
      </c>
      <c r="C540" t="b">
        <v>1</v>
      </c>
    </row>
    <row r="541" spans="1:3" x14ac:dyDescent="0.25">
      <c r="A541" s="80" t="s">
        <v>102</v>
      </c>
      <c r="B541" t="s">
        <v>173</v>
      </c>
      <c r="C541" t="b">
        <v>1</v>
      </c>
    </row>
    <row r="542" spans="1:3" x14ac:dyDescent="0.25">
      <c r="A542" s="80" t="s">
        <v>103</v>
      </c>
      <c r="B542" t="s">
        <v>173</v>
      </c>
      <c r="C542" t="b">
        <v>1</v>
      </c>
    </row>
    <row r="543" spans="1:3" x14ac:dyDescent="0.25">
      <c r="A543" s="80" t="s">
        <v>104</v>
      </c>
      <c r="B543" t="s">
        <v>173</v>
      </c>
      <c r="C543" t="b">
        <v>0</v>
      </c>
    </row>
    <row r="544" spans="1:3" x14ac:dyDescent="0.25">
      <c r="A544" s="80" t="s">
        <v>105</v>
      </c>
      <c r="B544" t="s">
        <v>173</v>
      </c>
      <c r="C544" t="b">
        <v>0</v>
      </c>
    </row>
    <row r="545" spans="1:3" x14ac:dyDescent="0.25">
      <c r="A545" s="80" t="s">
        <v>106</v>
      </c>
      <c r="B545" t="s">
        <v>173</v>
      </c>
      <c r="C545" t="b">
        <v>1</v>
      </c>
    </row>
    <row r="546" spans="1:3" x14ac:dyDescent="0.25">
      <c r="A546" s="80" t="s">
        <v>107</v>
      </c>
      <c r="B546" t="s">
        <v>173</v>
      </c>
      <c r="C546" t="b">
        <v>0</v>
      </c>
    </row>
    <row r="547" spans="1:3" x14ac:dyDescent="0.25">
      <c r="A547" s="80" t="s">
        <v>108</v>
      </c>
      <c r="B547" t="s">
        <v>173</v>
      </c>
      <c r="C547" t="b">
        <v>0</v>
      </c>
    </row>
    <row r="548" spans="1:3" x14ac:dyDescent="0.25">
      <c r="A548" s="80" t="s">
        <v>109</v>
      </c>
      <c r="B548" t="s">
        <v>173</v>
      </c>
      <c r="C548" t="b">
        <v>0</v>
      </c>
    </row>
    <row r="549" spans="1:3" x14ac:dyDescent="0.25">
      <c r="A549" s="80" t="s">
        <v>110</v>
      </c>
      <c r="B549" t="s">
        <v>173</v>
      </c>
      <c r="C549" t="b">
        <v>0</v>
      </c>
    </row>
    <row r="550" spans="1:3" x14ac:dyDescent="0.25">
      <c r="A550" s="80" t="s">
        <v>111</v>
      </c>
      <c r="B550" t="s">
        <v>173</v>
      </c>
      <c r="C550" t="b">
        <v>0</v>
      </c>
    </row>
    <row r="551" spans="1:3" x14ac:dyDescent="0.25">
      <c r="A551" s="80" t="s">
        <v>112</v>
      </c>
      <c r="B551" t="s">
        <v>173</v>
      </c>
      <c r="C551" t="b">
        <v>1</v>
      </c>
    </row>
    <row r="552" spans="1:3" x14ac:dyDescent="0.25">
      <c r="A552" s="80" t="s">
        <v>113</v>
      </c>
      <c r="B552" t="s">
        <v>173</v>
      </c>
      <c r="C552" t="b">
        <v>0</v>
      </c>
    </row>
    <row r="553" spans="1:3" x14ac:dyDescent="0.25">
      <c r="A553" s="80" t="s">
        <v>114</v>
      </c>
      <c r="B553" t="s">
        <v>173</v>
      </c>
      <c r="C553" t="b">
        <v>1</v>
      </c>
    </row>
    <row r="554" spans="1:3" x14ac:dyDescent="0.25">
      <c r="A554" s="80" t="s">
        <v>116</v>
      </c>
      <c r="B554" t="s">
        <v>173</v>
      </c>
      <c r="C554" t="b">
        <v>0</v>
      </c>
    </row>
    <row r="555" spans="1:3" x14ac:dyDescent="0.25">
      <c r="A555" s="80" t="s">
        <v>119</v>
      </c>
      <c r="B555" t="s">
        <v>173</v>
      </c>
      <c r="C555" t="b">
        <v>0</v>
      </c>
    </row>
    <row r="556" spans="1:3" x14ac:dyDescent="0.25">
      <c r="A556" s="80" t="s">
        <v>122</v>
      </c>
      <c r="B556" t="s">
        <v>173</v>
      </c>
      <c r="C556" t="b">
        <v>0</v>
      </c>
    </row>
    <row r="557" spans="1:3" x14ac:dyDescent="0.25">
      <c r="A557" s="80" t="s">
        <v>125</v>
      </c>
      <c r="B557" t="s">
        <v>173</v>
      </c>
      <c r="C557" t="b">
        <v>0</v>
      </c>
    </row>
    <row r="558" spans="1:3" x14ac:dyDescent="0.25">
      <c r="A558" s="80" t="s">
        <v>128</v>
      </c>
      <c r="B558" t="s">
        <v>173</v>
      </c>
      <c r="C558" t="b">
        <v>0</v>
      </c>
    </row>
    <row r="559" spans="1:3" x14ac:dyDescent="0.25">
      <c r="A559" s="80" t="s">
        <v>131</v>
      </c>
      <c r="B559" t="s">
        <v>173</v>
      </c>
      <c r="C559" t="b">
        <v>0</v>
      </c>
    </row>
    <row r="560" spans="1:3" x14ac:dyDescent="0.25">
      <c r="A560" s="80" t="s">
        <v>134</v>
      </c>
      <c r="B560" t="s">
        <v>173</v>
      </c>
      <c r="C560" t="b">
        <v>0</v>
      </c>
    </row>
    <row r="561" spans="1:3" x14ac:dyDescent="0.25">
      <c r="A561" s="80" t="s">
        <v>137</v>
      </c>
      <c r="B561" t="s">
        <v>173</v>
      </c>
      <c r="C561" t="b">
        <v>0</v>
      </c>
    </row>
    <row r="562" spans="1:3" x14ac:dyDescent="0.25">
      <c r="A562" s="80" t="s">
        <v>140</v>
      </c>
      <c r="B562" t="s">
        <v>173</v>
      </c>
      <c r="C562" t="b">
        <v>0</v>
      </c>
    </row>
    <row r="563" spans="1:3" x14ac:dyDescent="0.25">
      <c r="A563" s="80" t="s">
        <v>143</v>
      </c>
      <c r="B563" t="s">
        <v>173</v>
      </c>
      <c r="C563" t="b">
        <v>0</v>
      </c>
    </row>
    <row r="564" spans="1:3" x14ac:dyDescent="0.25">
      <c r="A564" s="80" t="s">
        <v>146</v>
      </c>
      <c r="B564" t="s">
        <v>173</v>
      </c>
      <c r="C564" t="b">
        <v>0</v>
      </c>
    </row>
    <row r="565" spans="1:3" x14ac:dyDescent="0.25">
      <c r="A565" s="80" t="s">
        <v>149</v>
      </c>
      <c r="B565" t="s">
        <v>173</v>
      </c>
      <c r="C565" t="b">
        <v>0</v>
      </c>
    </row>
    <row r="566" spans="1:3" x14ac:dyDescent="0.25">
      <c r="A566" s="80" t="s">
        <v>115</v>
      </c>
      <c r="B566" t="s">
        <v>173</v>
      </c>
      <c r="C566" t="b">
        <v>1</v>
      </c>
    </row>
    <row r="567" spans="1:3" x14ac:dyDescent="0.25">
      <c r="A567" s="80" t="s">
        <v>118</v>
      </c>
      <c r="B567" t="s">
        <v>173</v>
      </c>
      <c r="C567" t="b">
        <v>1</v>
      </c>
    </row>
    <row r="568" spans="1:3" x14ac:dyDescent="0.25">
      <c r="A568" s="80" t="s">
        <v>121</v>
      </c>
      <c r="B568" t="s">
        <v>173</v>
      </c>
      <c r="C568" t="b">
        <v>1</v>
      </c>
    </row>
    <row r="569" spans="1:3" x14ac:dyDescent="0.25">
      <c r="A569" s="80" t="s">
        <v>124</v>
      </c>
      <c r="B569" t="s">
        <v>173</v>
      </c>
      <c r="C569" t="b">
        <v>1</v>
      </c>
    </row>
    <row r="570" spans="1:3" x14ac:dyDescent="0.25">
      <c r="A570" s="80" t="s">
        <v>127</v>
      </c>
      <c r="B570" t="s">
        <v>173</v>
      </c>
      <c r="C570" t="b">
        <v>1</v>
      </c>
    </row>
    <row r="571" spans="1:3" x14ac:dyDescent="0.25">
      <c r="A571" s="80" t="s">
        <v>130</v>
      </c>
      <c r="B571" t="s">
        <v>173</v>
      </c>
      <c r="C571" t="b">
        <v>1</v>
      </c>
    </row>
    <row r="572" spans="1:3" x14ac:dyDescent="0.25">
      <c r="A572" s="80" t="s">
        <v>133</v>
      </c>
      <c r="B572" t="s">
        <v>173</v>
      </c>
      <c r="C572" t="b">
        <v>1</v>
      </c>
    </row>
    <row r="573" spans="1:3" x14ac:dyDescent="0.25">
      <c r="A573" s="80" t="s">
        <v>136</v>
      </c>
      <c r="B573" t="s">
        <v>173</v>
      </c>
      <c r="C573" t="b">
        <v>1</v>
      </c>
    </row>
    <row r="574" spans="1:3" x14ac:dyDescent="0.25">
      <c r="A574" s="80" t="s">
        <v>139</v>
      </c>
      <c r="B574" t="s">
        <v>173</v>
      </c>
      <c r="C574" t="b">
        <v>1</v>
      </c>
    </row>
    <row r="575" spans="1:3" x14ac:dyDescent="0.25">
      <c r="A575" s="80" t="s">
        <v>142</v>
      </c>
      <c r="B575" t="s">
        <v>173</v>
      </c>
      <c r="C575" t="b">
        <v>1</v>
      </c>
    </row>
    <row r="576" spans="1:3" x14ac:dyDescent="0.25">
      <c r="A576" s="80" t="s">
        <v>145</v>
      </c>
      <c r="B576" t="s">
        <v>173</v>
      </c>
      <c r="C576" t="b">
        <v>1</v>
      </c>
    </row>
    <row r="577" spans="1:3" x14ac:dyDescent="0.25">
      <c r="A577" s="80" t="s">
        <v>148</v>
      </c>
      <c r="B577" t="s">
        <v>173</v>
      </c>
      <c r="C577" t="b">
        <v>1</v>
      </c>
    </row>
    <row r="578" spans="1:3" x14ac:dyDescent="0.25">
      <c r="A578" s="80" t="s">
        <v>117</v>
      </c>
      <c r="B578" t="s">
        <v>173</v>
      </c>
      <c r="C578" t="b">
        <v>1</v>
      </c>
    </row>
    <row r="579" spans="1:3" x14ac:dyDescent="0.25">
      <c r="A579" s="80" t="s">
        <v>120</v>
      </c>
      <c r="B579" t="s">
        <v>173</v>
      </c>
      <c r="C579" t="b">
        <v>1</v>
      </c>
    </row>
    <row r="580" spans="1:3" x14ac:dyDescent="0.25">
      <c r="A580" s="80" t="s">
        <v>123</v>
      </c>
      <c r="B580" t="s">
        <v>173</v>
      </c>
      <c r="C580" t="b">
        <v>1</v>
      </c>
    </row>
    <row r="581" spans="1:3" x14ac:dyDescent="0.25">
      <c r="A581" s="80" t="s">
        <v>126</v>
      </c>
      <c r="B581" t="s">
        <v>173</v>
      </c>
      <c r="C581" t="b">
        <v>1</v>
      </c>
    </row>
    <row r="582" spans="1:3" x14ac:dyDescent="0.25">
      <c r="A582" s="80" t="s">
        <v>129</v>
      </c>
      <c r="B582" t="s">
        <v>173</v>
      </c>
      <c r="C582" t="b">
        <v>1</v>
      </c>
    </row>
    <row r="583" spans="1:3" x14ac:dyDescent="0.25">
      <c r="A583" s="80" t="s">
        <v>132</v>
      </c>
      <c r="B583" t="s">
        <v>173</v>
      </c>
      <c r="C583" t="b">
        <v>1</v>
      </c>
    </row>
    <row r="584" spans="1:3" x14ac:dyDescent="0.25">
      <c r="A584" s="80" t="s">
        <v>135</v>
      </c>
      <c r="B584" t="s">
        <v>173</v>
      </c>
      <c r="C584" t="b">
        <v>1</v>
      </c>
    </row>
    <row r="585" spans="1:3" x14ac:dyDescent="0.25">
      <c r="A585" s="80" t="s">
        <v>138</v>
      </c>
      <c r="B585" t="s">
        <v>173</v>
      </c>
      <c r="C585" t="b">
        <v>1</v>
      </c>
    </row>
    <row r="586" spans="1:3" x14ac:dyDescent="0.25">
      <c r="A586" s="80" t="s">
        <v>141</v>
      </c>
      <c r="B586" t="s">
        <v>173</v>
      </c>
      <c r="C586" t="b">
        <v>1</v>
      </c>
    </row>
    <row r="587" spans="1:3" x14ac:dyDescent="0.25">
      <c r="A587" s="80" t="s">
        <v>144</v>
      </c>
      <c r="B587" t="s">
        <v>173</v>
      </c>
      <c r="C587" t="b">
        <v>1</v>
      </c>
    </row>
    <row r="588" spans="1:3" x14ac:dyDescent="0.25">
      <c r="A588" s="80" t="s">
        <v>147</v>
      </c>
      <c r="B588" t="s">
        <v>173</v>
      </c>
      <c r="C588" t="b">
        <v>1</v>
      </c>
    </row>
    <row r="589" spans="1:3" x14ac:dyDescent="0.25">
      <c r="A589" s="80" t="s">
        <v>150</v>
      </c>
      <c r="B589" t="s">
        <v>173</v>
      </c>
      <c r="C589" t="b">
        <v>1</v>
      </c>
    </row>
    <row r="590" spans="1:3" x14ac:dyDescent="0.25">
      <c r="A590" s="80" t="s">
        <v>151</v>
      </c>
      <c r="B590" t="s">
        <v>173</v>
      </c>
      <c r="C590" t="b">
        <v>1</v>
      </c>
    </row>
    <row r="591" spans="1:3" x14ac:dyDescent="0.25">
      <c r="A591" s="80" t="s">
        <v>545</v>
      </c>
      <c r="B591" t="s">
        <v>173</v>
      </c>
      <c r="C591" t="b">
        <v>1</v>
      </c>
    </row>
    <row r="592" spans="1:3" x14ac:dyDescent="0.25">
      <c r="A592" s="80" t="s">
        <v>152</v>
      </c>
      <c r="B592" t="s">
        <v>173</v>
      </c>
      <c r="C592" t="b">
        <v>1</v>
      </c>
    </row>
    <row r="593" spans="1:3" x14ac:dyDescent="0.25">
      <c r="A593" s="80" t="s">
        <v>153</v>
      </c>
      <c r="B593" t="s">
        <v>173</v>
      </c>
      <c r="C593" t="b">
        <v>1</v>
      </c>
    </row>
    <row r="594" spans="1:3" x14ac:dyDescent="0.25">
      <c r="A594" t="s">
        <v>211</v>
      </c>
    </row>
    <row r="595" spans="1:3" x14ac:dyDescent="0.25">
      <c r="A595" t="s">
        <v>212</v>
      </c>
    </row>
    <row r="596" spans="1:3" x14ac:dyDescent="0.25">
      <c r="A596" s="80" t="s">
        <v>169</v>
      </c>
      <c r="B596" t="s">
        <v>170</v>
      </c>
      <c r="C596" s="80" t="s">
        <v>202</v>
      </c>
    </row>
    <row r="597" spans="1:3" x14ac:dyDescent="0.25">
      <c r="A597" s="80" t="s">
        <v>169</v>
      </c>
      <c r="B597" t="s">
        <v>172</v>
      </c>
      <c r="C597" t="b">
        <v>0</v>
      </c>
    </row>
    <row r="598" spans="1:3" x14ac:dyDescent="0.25">
      <c r="A598" s="80" t="s">
        <v>101</v>
      </c>
      <c r="B598" t="s">
        <v>173</v>
      </c>
      <c r="C598" t="b">
        <v>1</v>
      </c>
    </row>
    <row r="599" spans="1:3" x14ac:dyDescent="0.25">
      <c r="A599" s="80" t="s">
        <v>102</v>
      </c>
      <c r="B599" t="s">
        <v>173</v>
      </c>
      <c r="C599" t="b">
        <v>1</v>
      </c>
    </row>
    <row r="600" spans="1:3" x14ac:dyDescent="0.25">
      <c r="A600" s="80" t="s">
        <v>103</v>
      </c>
      <c r="B600" t="s">
        <v>173</v>
      </c>
      <c r="C600" t="b">
        <v>1</v>
      </c>
    </row>
    <row r="601" spans="1:3" x14ac:dyDescent="0.25">
      <c r="A601" s="80" t="s">
        <v>104</v>
      </c>
      <c r="B601" t="s">
        <v>173</v>
      </c>
      <c r="C601" t="b">
        <v>0</v>
      </c>
    </row>
    <row r="602" spans="1:3" x14ac:dyDescent="0.25">
      <c r="A602" s="80" t="s">
        <v>105</v>
      </c>
      <c r="B602" t="s">
        <v>173</v>
      </c>
      <c r="C602" t="b">
        <v>0</v>
      </c>
    </row>
    <row r="603" spans="1:3" x14ac:dyDescent="0.25">
      <c r="A603" s="80" t="s">
        <v>106</v>
      </c>
      <c r="B603" t="s">
        <v>173</v>
      </c>
      <c r="C603" t="b">
        <v>1</v>
      </c>
    </row>
    <row r="604" spans="1:3" x14ac:dyDescent="0.25">
      <c r="A604" s="80" t="s">
        <v>107</v>
      </c>
      <c r="B604" t="s">
        <v>173</v>
      </c>
      <c r="C604" t="b">
        <v>0</v>
      </c>
    </row>
    <row r="605" spans="1:3" x14ac:dyDescent="0.25">
      <c r="A605" s="80" t="s">
        <v>108</v>
      </c>
      <c r="B605" t="s">
        <v>173</v>
      </c>
      <c r="C605" t="b">
        <v>0</v>
      </c>
    </row>
    <row r="606" spans="1:3" x14ac:dyDescent="0.25">
      <c r="A606" s="80" t="s">
        <v>109</v>
      </c>
      <c r="B606" t="s">
        <v>173</v>
      </c>
      <c r="C606" t="b">
        <v>0</v>
      </c>
    </row>
    <row r="607" spans="1:3" x14ac:dyDescent="0.25">
      <c r="A607" s="80" t="s">
        <v>110</v>
      </c>
      <c r="B607" t="s">
        <v>173</v>
      </c>
      <c r="C607" t="b">
        <v>0</v>
      </c>
    </row>
    <row r="608" spans="1:3" x14ac:dyDescent="0.25">
      <c r="A608" s="80" t="s">
        <v>111</v>
      </c>
      <c r="B608" t="s">
        <v>173</v>
      </c>
      <c r="C608" t="b">
        <v>0</v>
      </c>
    </row>
    <row r="609" spans="1:3" x14ac:dyDescent="0.25">
      <c r="A609" s="80" t="s">
        <v>112</v>
      </c>
      <c r="B609" t="s">
        <v>173</v>
      </c>
      <c r="C609" t="b">
        <v>1</v>
      </c>
    </row>
    <row r="610" spans="1:3" x14ac:dyDescent="0.25">
      <c r="A610" s="80" t="s">
        <v>113</v>
      </c>
      <c r="B610" t="s">
        <v>173</v>
      </c>
      <c r="C610" t="b">
        <v>1</v>
      </c>
    </row>
    <row r="611" spans="1:3" x14ac:dyDescent="0.25">
      <c r="A611" s="80" t="s">
        <v>114</v>
      </c>
      <c r="B611" t="s">
        <v>173</v>
      </c>
      <c r="C611" t="b">
        <v>0</v>
      </c>
    </row>
    <row r="612" spans="1:3" x14ac:dyDescent="0.25">
      <c r="A612" s="80" t="s">
        <v>116</v>
      </c>
      <c r="B612" t="s">
        <v>173</v>
      </c>
      <c r="C612" t="b">
        <v>1</v>
      </c>
    </row>
    <row r="613" spans="1:3" x14ac:dyDescent="0.25">
      <c r="A613" s="80" t="s">
        <v>119</v>
      </c>
      <c r="B613" t="s">
        <v>173</v>
      </c>
      <c r="C613" t="b">
        <v>1</v>
      </c>
    </row>
    <row r="614" spans="1:3" x14ac:dyDescent="0.25">
      <c r="A614" s="80" t="s">
        <v>122</v>
      </c>
      <c r="B614" t="s">
        <v>173</v>
      </c>
      <c r="C614" t="b">
        <v>1</v>
      </c>
    </row>
    <row r="615" spans="1:3" x14ac:dyDescent="0.25">
      <c r="A615" s="80" t="s">
        <v>125</v>
      </c>
      <c r="B615" t="s">
        <v>173</v>
      </c>
      <c r="C615" t="b">
        <v>1</v>
      </c>
    </row>
    <row r="616" spans="1:3" x14ac:dyDescent="0.25">
      <c r="A616" s="80" t="s">
        <v>128</v>
      </c>
      <c r="B616" t="s">
        <v>173</v>
      </c>
      <c r="C616" t="b">
        <v>1</v>
      </c>
    </row>
    <row r="617" spans="1:3" x14ac:dyDescent="0.25">
      <c r="A617" s="80" t="s">
        <v>131</v>
      </c>
      <c r="B617" t="s">
        <v>173</v>
      </c>
      <c r="C617" t="b">
        <v>1</v>
      </c>
    </row>
    <row r="618" spans="1:3" x14ac:dyDescent="0.25">
      <c r="A618" s="80" t="s">
        <v>134</v>
      </c>
      <c r="B618" t="s">
        <v>173</v>
      </c>
      <c r="C618" t="b">
        <v>1</v>
      </c>
    </row>
    <row r="619" spans="1:3" x14ac:dyDescent="0.25">
      <c r="A619" s="80" t="s">
        <v>137</v>
      </c>
      <c r="B619" t="s">
        <v>173</v>
      </c>
      <c r="C619" t="b">
        <v>1</v>
      </c>
    </row>
    <row r="620" spans="1:3" x14ac:dyDescent="0.25">
      <c r="A620" s="80" t="s">
        <v>140</v>
      </c>
      <c r="B620" t="s">
        <v>173</v>
      </c>
      <c r="C620" t="b">
        <v>1</v>
      </c>
    </row>
    <row r="621" spans="1:3" x14ac:dyDescent="0.25">
      <c r="A621" s="80" t="s">
        <v>143</v>
      </c>
      <c r="B621" t="s">
        <v>173</v>
      </c>
      <c r="C621" t="b">
        <v>1</v>
      </c>
    </row>
    <row r="622" spans="1:3" x14ac:dyDescent="0.25">
      <c r="A622" s="80" t="s">
        <v>146</v>
      </c>
      <c r="B622" t="s">
        <v>173</v>
      </c>
      <c r="C622" t="b">
        <v>1</v>
      </c>
    </row>
    <row r="623" spans="1:3" x14ac:dyDescent="0.25">
      <c r="A623" s="80" t="s">
        <v>149</v>
      </c>
      <c r="B623" t="s">
        <v>173</v>
      </c>
      <c r="C623" t="b">
        <v>1</v>
      </c>
    </row>
    <row r="624" spans="1:3" x14ac:dyDescent="0.25">
      <c r="A624" s="80" t="s">
        <v>115</v>
      </c>
      <c r="B624" t="s">
        <v>173</v>
      </c>
      <c r="C624" t="b">
        <v>1</v>
      </c>
    </row>
    <row r="625" spans="1:3" x14ac:dyDescent="0.25">
      <c r="A625" s="80" t="s">
        <v>118</v>
      </c>
      <c r="B625" t="s">
        <v>173</v>
      </c>
      <c r="C625" t="b">
        <v>1</v>
      </c>
    </row>
    <row r="626" spans="1:3" x14ac:dyDescent="0.25">
      <c r="A626" s="80" t="s">
        <v>121</v>
      </c>
      <c r="B626" t="s">
        <v>173</v>
      </c>
      <c r="C626" t="b">
        <v>1</v>
      </c>
    </row>
    <row r="627" spans="1:3" x14ac:dyDescent="0.25">
      <c r="A627" s="80" t="s">
        <v>124</v>
      </c>
      <c r="B627" t="s">
        <v>173</v>
      </c>
      <c r="C627" t="b">
        <v>1</v>
      </c>
    </row>
    <row r="628" spans="1:3" x14ac:dyDescent="0.25">
      <c r="A628" s="80" t="s">
        <v>127</v>
      </c>
      <c r="B628" t="s">
        <v>173</v>
      </c>
      <c r="C628" t="b">
        <v>1</v>
      </c>
    </row>
    <row r="629" spans="1:3" x14ac:dyDescent="0.25">
      <c r="A629" s="80" t="s">
        <v>130</v>
      </c>
      <c r="B629" t="s">
        <v>173</v>
      </c>
      <c r="C629" t="b">
        <v>1</v>
      </c>
    </row>
    <row r="630" spans="1:3" x14ac:dyDescent="0.25">
      <c r="A630" s="80" t="s">
        <v>133</v>
      </c>
      <c r="B630" t="s">
        <v>173</v>
      </c>
      <c r="C630" t="b">
        <v>1</v>
      </c>
    </row>
    <row r="631" spans="1:3" x14ac:dyDescent="0.25">
      <c r="A631" s="80" t="s">
        <v>136</v>
      </c>
      <c r="B631" t="s">
        <v>173</v>
      </c>
      <c r="C631" t="b">
        <v>1</v>
      </c>
    </row>
    <row r="632" spans="1:3" x14ac:dyDescent="0.25">
      <c r="A632" s="80" t="s">
        <v>139</v>
      </c>
      <c r="B632" t="s">
        <v>173</v>
      </c>
      <c r="C632" t="b">
        <v>1</v>
      </c>
    </row>
    <row r="633" spans="1:3" x14ac:dyDescent="0.25">
      <c r="A633" s="80" t="s">
        <v>142</v>
      </c>
      <c r="B633" t="s">
        <v>173</v>
      </c>
      <c r="C633" t="b">
        <v>1</v>
      </c>
    </row>
    <row r="634" spans="1:3" x14ac:dyDescent="0.25">
      <c r="A634" s="80" t="s">
        <v>145</v>
      </c>
      <c r="B634" t="s">
        <v>173</v>
      </c>
      <c r="C634" t="b">
        <v>1</v>
      </c>
    </row>
    <row r="635" spans="1:3" x14ac:dyDescent="0.25">
      <c r="A635" s="80" t="s">
        <v>148</v>
      </c>
      <c r="B635" t="s">
        <v>173</v>
      </c>
      <c r="C635" t="b">
        <v>1</v>
      </c>
    </row>
    <row r="636" spans="1:3" x14ac:dyDescent="0.25">
      <c r="A636" s="80" t="s">
        <v>117</v>
      </c>
      <c r="B636" t="s">
        <v>173</v>
      </c>
      <c r="C636" t="b">
        <v>0</v>
      </c>
    </row>
    <row r="637" spans="1:3" x14ac:dyDescent="0.25">
      <c r="A637" s="80" t="s">
        <v>120</v>
      </c>
      <c r="B637" t="s">
        <v>173</v>
      </c>
      <c r="C637" t="b">
        <v>0</v>
      </c>
    </row>
    <row r="638" spans="1:3" x14ac:dyDescent="0.25">
      <c r="A638" s="80" t="s">
        <v>123</v>
      </c>
      <c r="B638" t="s">
        <v>173</v>
      </c>
      <c r="C638" t="b">
        <v>0</v>
      </c>
    </row>
    <row r="639" spans="1:3" x14ac:dyDescent="0.25">
      <c r="A639" s="80" t="s">
        <v>126</v>
      </c>
      <c r="B639" t="s">
        <v>173</v>
      </c>
      <c r="C639" t="b">
        <v>0</v>
      </c>
    </row>
    <row r="640" spans="1:3" x14ac:dyDescent="0.25">
      <c r="A640" s="80" t="s">
        <v>129</v>
      </c>
      <c r="B640" t="s">
        <v>173</v>
      </c>
      <c r="C640" t="b">
        <v>0</v>
      </c>
    </row>
    <row r="641" spans="1:3" x14ac:dyDescent="0.25">
      <c r="A641" s="80" t="s">
        <v>132</v>
      </c>
      <c r="B641" t="s">
        <v>173</v>
      </c>
      <c r="C641" t="b">
        <v>0</v>
      </c>
    </row>
    <row r="642" spans="1:3" x14ac:dyDescent="0.25">
      <c r="A642" s="80" t="s">
        <v>135</v>
      </c>
      <c r="B642" t="s">
        <v>173</v>
      </c>
      <c r="C642" t="b">
        <v>0</v>
      </c>
    </row>
    <row r="643" spans="1:3" x14ac:dyDescent="0.25">
      <c r="A643" s="80" t="s">
        <v>138</v>
      </c>
      <c r="B643" t="s">
        <v>173</v>
      </c>
      <c r="C643" t="b">
        <v>0</v>
      </c>
    </row>
    <row r="644" spans="1:3" x14ac:dyDescent="0.25">
      <c r="A644" s="80" t="s">
        <v>141</v>
      </c>
      <c r="B644" t="s">
        <v>173</v>
      </c>
      <c r="C644" t="b">
        <v>0</v>
      </c>
    </row>
    <row r="645" spans="1:3" x14ac:dyDescent="0.25">
      <c r="A645" s="80" t="s">
        <v>144</v>
      </c>
      <c r="B645" t="s">
        <v>173</v>
      </c>
      <c r="C645" t="b">
        <v>0</v>
      </c>
    </row>
    <row r="646" spans="1:3" x14ac:dyDescent="0.25">
      <c r="A646" s="80" t="s">
        <v>147</v>
      </c>
      <c r="B646" t="s">
        <v>173</v>
      </c>
      <c r="C646" t="b">
        <v>0</v>
      </c>
    </row>
    <row r="647" spans="1:3" x14ac:dyDescent="0.25">
      <c r="A647" s="80" t="s">
        <v>150</v>
      </c>
      <c r="B647" t="s">
        <v>173</v>
      </c>
      <c r="C647" t="b">
        <v>0</v>
      </c>
    </row>
    <row r="648" spans="1:3" x14ac:dyDescent="0.25">
      <c r="A648" s="80" t="s">
        <v>151</v>
      </c>
      <c r="B648" t="s">
        <v>173</v>
      </c>
      <c r="C648" t="b">
        <v>1</v>
      </c>
    </row>
    <row r="649" spans="1:3" x14ac:dyDescent="0.25">
      <c r="A649" s="80" t="s">
        <v>545</v>
      </c>
      <c r="B649" t="s">
        <v>173</v>
      </c>
      <c r="C649" t="b">
        <v>1</v>
      </c>
    </row>
    <row r="650" spans="1:3" x14ac:dyDescent="0.25">
      <c r="A650" s="80" t="s">
        <v>152</v>
      </c>
      <c r="B650" t="s">
        <v>173</v>
      </c>
      <c r="C650" t="b">
        <v>1</v>
      </c>
    </row>
    <row r="651" spans="1:3" x14ac:dyDescent="0.25">
      <c r="A651" s="80" t="s">
        <v>153</v>
      </c>
      <c r="B651" t="s">
        <v>173</v>
      </c>
      <c r="C651" t="b">
        <v>1</v>
      </c>
    </row>
    <row r="652" spans="1:3" x14ac:dyDescent="0.25">
      <c r="A652" t="s">
        <v>213</v>
      </c>
    </row>
    <row r="653" spans="1:3" x14ac:dyDescent="0.25">
      <c r="A653" t="s">
        <v>214</v>
      </c>
    </row>
    <row r="654" spans="1:3" x14ac:dyDescent="0.25">
      <c r="A654" s="80" t="s">
        <v>169</v>
      </c>
      <c r="B654" t="s">
        <v>170</v>
      </c>
      <c r="C654" s="80" t="s">
        <v>202</v>
      </c>
    </row>
    <row r="655" spans="1:3" x14ac:dyDescent="0.25">
      <c r="A655" s="80" t="s">
        <v>169</v>
      </c>
      <c r="B655" t="s">
        <v>172</v>
      </c>
      <c r="C655" t="b">
        <v>0</v>
      </c>
    </row>
    <row r="656" spans="1:3" x14ac:dyDescent="0.25">
      <c r="A656" s="80" t="s">
        <v>101</v>
      </c>
      <c r="B656" t="s">
        <v>173</v>
      </c>
      <c r="C656" t="b">
        <v>1</v>
      </c>
    </row>
    <row r="657" spans="1:3" x14ac:dyDescent="0.25">
      <c r="A657" s="80" t="s">
        <v>102</v>
      </c>
      <c r="B657" t="s">
        <v>173</v>
      </c>
      <c r="C657" t="b">
        <v>1</v>
      </c>
    </row>
    <row r="658" spans="1:3" x14ac:dyDescent="0.25">
      <c r="A658" s="80" t="s">
        <v>103</v>
      </c>
      <c r="B658" t="s">
        <v>173</v>
      </c>
      <c r="C658" t="b">
        <v>1</v>
      </c>
    </row>
    <row r="659" spans="1:3" x14ac:dyDescent="0.25">
      <c r="A659" s="80" t="s">
        <v>104</v>
      </c>
      <c r="B659" t="s">
        <v>173</v>
      </c>
      <c r="C659" t="b">
        <v>0</v>
      </c>
    </row>
    <row r="660" spans="1:3" x14ac:dyDescent="0.25">
      <c r="A660" s="80" t="s">
        <v>105</v>
      </c>
      <c r="B660" t="s">
        <v>173</v>
      </c>
      <c r="C660" t="b">
        <v>0</v>
      </c>
    </row>
    <row r="661" spans="1:3" x14ac:dyDescent="0.25">
      <c r="A661" s="80" t="s">
        <v>106</v>
      </c>
      <c r="B661" t="s">
        <v>173</v>
      </c>
      <c r="C661" t="b">
        <v>1</v>
      </c>
    </row>
    <row r="662" spans="1:3" x14ac:dyDescent="0.25">
      <c r="A662" s="80" t="s">
        <v>107</v>
      </c>
      <c r="B662" t="s">
        <v>173</v>
      </c>
      <c r="C662" t="b">
        <v>0</v>
      </c>
    </row>
    <row r="663" spans="1:3" x14ac:dyDescent="0.25">
      <c r="A663" s="80" t="s">
        <v>108</v>
      </c>
      <c r="B663" t="s">
        <v>173</v>
      </c>
      <c r="C663" t="b">
        <v>0</v>
      </c>
    </row>
    <row r="664" spans="1:3" x14ac:dyDescent="0.25">
      <c r="A664" s="80" t="s">
        <v>109</v>
      </c>
      <c r="B664" t="s">
        <v>173</v>
      </c>
      <c r="C664" t="b">
        <v>0</v>
      </c>
    </row>
    <row r="665" spans="1:3" x14ac:dyDescent="0.25">
      <c r="A665" s="80" t="s">
        <v>110</v>
      </c>
      <c r="B665" t="s">
        <v>173</v>
      </c>
      <c r="C665" t="b">
        <v>0</v>
      </c>
    </row>
    <row r="666" spans="1:3" x14ac:dyDescent="0.25">
      <c r="A666" s="80" t="s">
        <v>111</v>
      </c>
      <c r="B666" t="s">
        <v>173</v>
      </c>
      <c r="C666" t="b">
        <v>0</v>
      </c>
    </row>
    <row r="667" spans="1:3" x14ac:dyDescent="0.25">
      <c r="A667" s="80" t="s">
        <v>112</v>
      </c>
      <c r="B667" t="s">
        <v>173</v>
      </c>
      <c r="C667" t="b">
        <v>0</v>
      </c>
    </row>
    <row r="668" spans="1:3" x14ac:dyDescent="0.25">
      <c r="A668" s="80" t="s">
        <v>113</v>
      </c>
      <c r="B668" t="s">
        <v>173</v>
      </c>
      <c r="C668" t="b">
        <v>0</v>
      </c>
    </row>
    <row r="669" spans="1:3" x14ac:dyDescent="0.25">
      <c r="A669" s="80" t="s">
        <v>114</v>
      </c>
      <c r="B669" t="s">
        <v>173</v>
      </c>
      <c r="C669" t="b">
        <v>1</v>
      </c>
    </row>
    <row r="670" spans="1:3" x14ac:dyDescent="0.25">
      <c r="A670" s="80" t="s">
        <v>116</v>
      </c>
      <c r="B670" t="s">
        <v>173</v>
      </c>
      <c r="C670" t="b">
        <v>1</v>
      </c>
    </row>
    <row r="671" spans="1:3" x14ac:dyDescent="0.25">
      <c r="A671" s="80" t="s">
        <v>119</v>
      </c>
      <c r="B671" t="s">
        <v>173</v>
      </c>
      <c r="C671" t="b">
        <v>1</v>
      </c>
    </row>
    <row r="672" spans="1:3" x14ac:dyDescent="0.25">
      <c r="A672" s="80" t="s">
        <v>122</v>
      </c>
      <c r="B672" t="s">
        <v>173</v>
      </c>
      <c r="C672" t="b">
        <v>1</v>
      </c>
    </row>
    <row r="673" spans="1:3" x14ac:dyDescent="0.25">
      <c r="A673" s="80" t="s">
        <v>125</v>
      </c>
      <c r="B673" t="s">
        <v>173</v>
      </c>
      <c r="C673" t="b">
        <v>1</v>
      </c>
    </row>
    <row r="674" spans="1:3" x14ac:dyDescent="0.25">
      <c r="A674" s="80" t="s">
        <v>128</v>
      </c>
      <c r="B674" t="s">
        <v>173</v>
      </c>
      <c r="C674" t="b">
        <v>1</v>
      </c>
    </row>
    <row r="675" spans="1:3" x14ac:dyDescent="0.25">
      <c r="A675" s="80" t="s">
        <v>131</v>
      </c>
      <c r="B675" t="s">
        <v>173</v>
      </c>
      <c r="C675" t="b">
        <v>1</v>
      </c>
    </row>
    <row r="676" spans="1:3" x14ac:dyDescent="0.25">
      <c r="A676" s="80" t="s">
        <v>134</v>
      </c>
      <c r="B676" t="s">
        <v>173</v>
      </c>
      <c r="C676" t="b">
        <v>1</v>
      </c>
    </row>
    <row r="677" spans="1:3" x14ac:dyDescent="0.25">
      <c r="A677" s="80" t="s">
        <v>137</v>
      </c>
      <c r="B677" t="s">
        <v>173</v>
      </c>
      <c r="C677" t="b">
        <v>1</v>
      </c>
    </row>
    <row r="678" spans="1:3" x14ac:dyDescent="0.25">
      <c r="A678" s="80" t="s">
        <v>140</v>
      </c>
      <c r="B678" t="s">
        <v>173</v>
      </c>
      <c r="C678" t="b">
        <v>1</v>
      </c>
    </row>
    <row r="679" spans="1:3" x14ac:dyDescent="0.25">
      <c r="A679" s="80" t="s">
        <v>143</v>
      </c>
      <c r="B679" t="s">
        <v>173</v>
      </c>
      <c r="C679" t="b">
        <v>1</v>
      </c>
    </row>
    <row r="680" spans="1:3" x14ac:dyDescent="0.25">
      <c r="A680" s="80" t="s">
        <v>146</v>
      </c>
      <c r="B680" t="s">
        <v>173</v>
      </c>
      <c r="C680" t="b">
        <v>1</v>
      </c>
    </row>
    <row r="681" spans="1:3" x14ac:dyDescent="0.25">
      <c r="A681" s="80" t="s">
        <v>149</v>
      </c>
      <c r="B681" t="s">
        <v>173</v>
      </c>
      <c r="C681" t="b">
        <v>1</v>
      </c>
    </row>
    <row r="682" spans="1:3" x14ac:dyDescent="0.25">
      <c r="A682" s="80" t="s">
        <v>115</v>
      </c>
      <c r="B682" t="s">
        <v>173</v>
      </c>
      <c r="C682" t="b">
        <v>1</v>
      </c>
    </row>
    <row r="683" spans="1:3" x14ac:dyDescent="0.25">
      <c r="A683" s="80" t="s">
        <v>118</v>
      </c>
      <c r="B683" t="s">
        <v>173</v>
      </c>
      <c r="C683" t="b">
        <v>1</v>
      </c>
    </row>
    <row r="684" spans="1:3" x14ac:dyDescent="0.25">
      <c r="A684" s="80" t="s">
        <v>121</v>
      </c>
      <c r="B684" t="s">
        <v>173</v>
      </c>
      <c r="C684" t="b">
        <v>1</v>
      </c>
    </row>
    <row r="685" spans="1:3" x14ac:dyDescent="0.25">
      <c r="A685" s="80" t="s">
        <v>124</v>
      </c>
      <c r="B685" t="s">
        <v>173</v>
      </c>
      <c r="C685" t="b">
        <v>1</v>
      </c>
    </row>
    <row r="686" spans="1:3" x14ac:dyDescent="0.25">
      <c r="A686" s="80" t="s">
        <v>127</v>
      </c>
      <c r="B686" t="s">
        <v>173</v>
      </c>
      <c r="C686" t="b">
        <v>1</v>
      </c>
    </row>
    <row r="687" spans="1:3" x14ac:dyDescent="0.25">
      <c r="A687" s="80" t="s">
        <v>130</v>
      </c>
      <c r="B687" t="s">
        <v>173</v>
      </c>
      <c r="C687" t="b">
        <v>1</v>
      </c>
    </row>
    <row r="688" spans="1:3" x14ac:dyDescent="0.25">
      <c r="A688" s="80" t="s">
        <v>133</v>
      </c>
      <c r="B688" t="s">
        <v>173</v>
      </c>
      <c r="C688" t="b">
        <v>1</v>
      </c>
    </row>
    <row r="689" spans="1:3" x14ac:dyDescent="0.25">
      <c r="A689" s="80" t="s">
        <v>136</v>
      </c>
      <c r="B689" t="s">
        <v>173</v>
      </c>
      <c r="C689" t="b">
        <v>1</v>
      </c>
    </row>
    <row r="690" spans="1:3" x14ac:dyDescent="0.25">
      <c r="A690" s="80" t="s">
        <v>139</v>
      </c>
      <c r="B690" t="s">
        <v>173</v>
      </c>
      <c r="C690" t="b">
        <v>1</v>
      </c>
    </row>
    <row r="691" spans="1:3" x14ac:dyDescent="0.25">
      <c r="A691" s="80" t="s">
        <v>142</v>
      </c>
      <c r="B691" t="s">
        <v>173</v>
      </c>
      <c r="C691" t="b">
        <v>1</v>
      </c>
    </row>
    <row r="692" spans="1:3" x14ac:dyDescent="0.25">
      <c r="A692" s="80" t="s">
        <v>145</v>
      </c>
      <c r="B692" t="s">
        <v>173</v>
      </c>
      <c r="C692" t="b">
        <v>1</v>
      </c>
    </row>
    <row r="693" spans="1:3" x14ac:dyDescent="0.25">
      <c r="A693" s="80" t="s">
        <v>148</v>
      </c>
      <c r="B693" t="s">
        <v>173</v>
      </c>
      <c r="C693" t="b">
        <v>1</v>
      </c>
    </row>
    <row r="694" spans="1:3" x14ac:dyDescent="0.25">
      <c r="A694" s="80" t="s">
        <v>117</v>
      </c>
      <c r="B694" t="s">
        <v>173</v>
      </c>
      <c r="C694" t="b">
        <v>1</v>
      </c>
    </row>
    <row r="695" spans="1:3" x14ac:dyDescent="0.25">
      <c r="A695" s="80" t="s">
        <v>120</v>
      </c>
      <c r="B695" t="s">
        <v>173</v>
      </c>
      <c r="C695" t="b">
        <v>1</v>
      </c>
    </row>
    <row r="696" spans="1:3" x14ac:dyDescent="0.25">
      <c r="A696" s="80" t="s">
        <v>123</v>
      </c>
      <c r="B696" t="s">
        <v>173</v>
      </c>
      <c r="C696" t="b">
        <v>1</v>
      </c>
    </row>
    <row r="697" spans="1:3" x14ac:dyDescent="0.25">
      <c r="A697" s="80" t="s">
        <v>126</v>
      </c>
      <c r="B697" t="s">
        <v>173</v>
      </c>
      <c r="C697" t="b">
        <v>1</v>
      </c>
    </row>
    <row r="698" spans="1:3" x14ac:dyDescent="0.25">
      <c r="A698" s="80" t="s">
        <v>129</v>
      </c>
      <c r="B698" t="s">
        <v>173</v>
      </c>
      <c r="C698" t="b">
        <v>1</v>
      </c>
    </row>
    <row r="699" spans="1:3" x14ac:dyDescent="0.25">
      <c r="A699" s="80" t="s">
        <v>132</v>
      </c>
      <c r="B699" t="s">
        <v>173</v>
      </c>
      <c r="C699" t="b">
        <v>1</v>
      </c>
    </row>
    <row r="700" spans="1:3" x14ac:dyDescent="0.25">
      <c r="A700" s="80" t="s">
        <v>135</v>
      </c>
      <c r="B700" t="s">
        <v>173</v>
      </c>
      <c r="C700" t="b">
        <v>1</v>
      </c>
    </row>
    <row r="701" spans="1:3" x14ac:dyDescent="0.25">
      <c r="A701" s="80" t="s">
        <v>138</v>
      </c>
      <c r="B701" t="s">
        <v>173</v>
      </c>
      <c r="C701" t="b">
        <v>1</v>
      </c>
    </row>
    <row r="702" spans="1:3" x14ac:dyDescent="0.25">
      <c r="A702" s="80" t="s">
        <v>141</v>
      </c>
      <c r="B702" t="s">
        <v>173</v>
      </c>
      <c r="C702" t="b">
        <v>1</v>
      </c>
    </row>
    <row r="703" spans="1:3" x14ac:dyDescent="0.25">
      <c r="A703" s="80" t="s">
        <v>144</v>
      </c>
      <c r="B703" t="s">
        <v>173</v>
      </c>
      <c r="C703" t="b">
        <v>1</v>
      </c>
    </row>
    <row r="704" spans="1:3" x14ac:dyDescent="0.25">
      <c r="A704" s="80" t="s">
        <v>147</v>
      </c>
      <c r="B704" t="s">
        <v>173</v>
      </c>
      <c r="C704" t="b">
        <v>1</v>
      </c>
    </row>
    <row r="705" spans="1:3" x14ac:dyDescent="0.25">
      <c r="A705" s="80" t="s">
        <v>150</v>
      </c>
      <c r="B705" t="s">
        <v>173</v>
      </c>
      <c r="C705" t="b">
        <v>1</v>
      </c>
    </row>
    <row r="706" spans="1:3" x14ac:dyDescent="0.25">
      <c r="A706" s="80" t="s">
        <v>151</v>
      </c>
      <c r="B706" t="s">
        <v>173</v>
      </c>
      <c r="C706" t="b">
        <v>1</v>
      </c>
    </row>
    <row r="707" spans="1:3" x14ac:dyDescent="0.25">
      <c r="A707" s="80" t="s">
        <v>545</v>
      </c>
      <c r="B707" t="s">
        <v>173</v>
      </c>
      <c r="C707" t="b">
        <v>1</v>
      </c>
    </row>
    <row r="708" spans="1:3" x14ac:dyDescent="0.25">
      <c r="A708" s="80" t="s">
        <v>152</v>
      </c>
      <c r="B708" t="s">
        <v>173</v>
      </c>
      <c r="C708" t="b">
        <v>1</v>
      </c>
    </row>
    <row r="709" spans="1:3" x14ac:dyDescent="0.25">
      <c r="A709" s="80" t="s">
        <v>153</v>
      </c>
      <c r="B709" t="s">
        <v>173</v>
      </c>
      <c r="C709" t="b">
        <v>1</v>
      </c>
    </row>
    <row r="710" spans="1:3" x14ac:dyDescent="0.25">
      <c r="A710" t="s">
        <v>215</v>
      </c>
    </row>
    <row r="711" spans="1:3" x14ac:dyDescent="0.25">
      <c r="A711" t="s">
        <v>216</v>
      </c>
    </row>
    <row r="712" spans="1:3" x14ac:dyDescent="0.25">
      <c r="A712" t="s">
        <v>187</v>
      </c>
    </row>
    <row r="713" spans="1:3" x14ac:dyDescent="0.25">
      <c r="A713" t="s">
        <v>188</v>
      </c>
    </row>
    <row r="714" spans="1:3" x14ac:dyDescent="0.25">
      <c r="A714" t="s">
        <v>33</v>
      </c>
    </row>
    <row r="715" spans="1:3" x14ac:dyDescent="0.25">
      <c r="A715" t="s">
        <v>34</v>
      </c>
    </row>
    <row r="716" spans="1:3" x14ac:dyDescent="0.25">
      <c r="A716" t="s">
        <v>189</v>
      </c>
    </row>
    <row r="717" spans="1:3" x14ac:dyDescent="0.25">
      <c r="A717" t="s">
        <v>190</v>
      </c>
    </row>
    <row r="718" spans="1:3" x14ac:dyDescent="0.25">
      <c r="A718" t="s">
        <v>217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222E4-CBC9-4FEA-BCEB-DDBEDFDDAD2A}">
  <sheetPr codeName="Sheet5"/>
  <dimension ref="A1:AM2036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39" x14ac:dyDescent="0.25">
      <c r="A1" s="66" t="s">
        <v>167</v>
      </c>
    </row>
    <row r="2" spans="1:39" x14ac:dyDescent="0.25">
      <c r="A2" t="s">
        <v>195</v>
      </c>
    </row>
    <row r="3" spans="1:39" x14ac:dyDescent="0.25">
      <c r="A3" t="s">
        <v>171</v>
      </c>
      <c r="B3" t="s">
        <v>196</v>
      </c>
      <c r="C3" t="b">
        <v>1</v>
      </c>
      <c r="D3" t="s">
        <v>193</v>
      </c>
      <c r="E3" t="s">
        <v>197</v>
      </c>
      <c r="F3" t="s">
        <v>198</v>
      </c>
      <c r="G3" t="s">
        <v>199</v>
      </c>
      <c r="H3" t="s">
        <v>200</v>
      </c>
      <c r="S3" t="s">
        <v>197</v>
      </c>
      <c r="T3" t="s">
        <v>197</v>
      </c>
      <c r="U3" t="s">
        <v>197</v>
      </c>
      <c r="W3" t="s">
        <v>378</v>
      </c>
      <c r="Z3" t="b">
        <v>0</v>
      </c>
      <c r="AH3" t="s">
        <v>675</v>
      </c>
      <c r="AI3" t="s">
        <v>676</v>
      </c>
      <c r="AK3" t="b">
        <v>0</v>
      </c>
      <c r="AL3" t="b">
        <v>0</v>
      </c>
      <c r="AM3" t="s">
        <v>674</v>
      </c>
    </row>
    <row r="4" spans="1:39" x14ac:dyDescent="0.25">
      <c r="A4" t="s">
        <v>202</v>
      </c>
      <c r="B4" t="s">
        <v>196</v>
      </c>
      <c r="C4" t="b">
        <v>1</v>
      </c>
      <c r="D4" t="s">
        <v>203</v>
      </c>
      <c r="E4" t="s">
        <v>197</v>
      </c>
      <c r="F4" t="s">
        <v>218</v>
      </c>
      <c r="G4" t="s">
        <v>219</v>
      </c>
      <c r="H4" t="s">
        <v>220</v>
      </c>
      <c r="S4" t="s">
        <v>197</v>
      </c>
      <c r="T4" t="s">
        <v>197</v>
      </c>
      <c r="U4" t="s">
        <v>197</v>
      </c>
      <c r="W4" t="s">
        <v>385</v>
      </c>
      <c r="Z4" t="b">
        <v>0</v>
      </c>
      <c r="AH4" t="s">
        <v>675</v>
      </c>
      <c r="AI4" t="s">
        <v>676</v>
      </c>
      <c r="AK4" t="b">
        <v>0</v>
      </c>
      <c r="AL4" t="b">
        <v>0</v>
      </c>
      <c r="AM4" t="s">
        <v>674</v>
      </c>
    </row>
    <row r="5" spans="1:39" x14ac:dyDescent="0.25">
      <c r="A5" t="s">
        <v>297</v>
      </c>
      <c r="B5" t="s">
        <v>196</v>
      </c>
      <c r="C5" t="b">
        <v>1</v>
      </c>
      <c r="D5" t="s">
        <v>262</v>
      </c>
      <c r="E5" t="s">
        <v>197</v>
      </c>
      <c r="W5" t="s">
        <v>262</v>
      </c>
      <c r="Z5" t="b">
        <v>0</v>
      </c>
      <c r="AH5" t="s">
        <v>675</v>
      </c>
      <c r="AI5" t="s">
        <v>676</v>
      </c>
      <c r="AK5" t="b">
        <v>0</v>
      </c>
      <c r="AL5" t="b">
        <v>0</v>
      </c>
      <c r="AM5" t="s">
        <v>674</v>
      </c>
    </row>
    <row r="6" spans="1:39" x14ac:dyDescent="0.25">
      <c r="A6" t="s">
        <v>298</v>
      </c>
      <c r="B6" t="s">
        <v>196</v>
      </c>
      <c r="C6" t="b">
        <v>1</v>
      </c>
      <c r="D6" t="s">
        <v>263</v>
      </c>
      <c r="E6" t="s">
        <v>197</v>
      </c>
      <c r="W6" t="s">
        <v>263</v>
      </c>
      <c r="Z6" t="b">
        <v>0</v>
      </c>
      <c r="AH6" t="s">
        <v>675</v>
      </c>
      <c r="AI6" t="s">
        <v>676</v>
      </c>
      <c r="AK6" t="b">
        <v>0</v>
      </c>
      <c r="AL6" t="b">
        <v>0</v>
      </c>
      <c r="AM6" t="s">
        <v>674</v>
      </c>
    </row>
    <row r="7" spans="1:39" x14ac:dyDescent="0.25">
      <c r="A7" t="s">
        <v>300</v>
      </c>
      <c r="B7" t="s">
        <v>196</v>
      </c>
      <c r="C7" t="b">
        <v>1</v>
      </c>
      <c r="D7" t="s">
        <v>264</v>
      </c>
      <c r="E7" t="s">
        <v>197</v>
      </c>
      <c r="W7" t="s">
        <v>264</v>
      </c>
      <c r="Z7" t="b">
        <v>0</v>
      </c>
      <c r="AH7" t="s">
        <v>675</v>
      </c>
      <c r="AI7" t="s">
        <v>676</v>
      </c>
      <c r="AK7" t="b">
        <v>0</v>
      </c>
      <c r="AL7" t="b">
        <v>0</v>
      </c>
      <c r="AM7" t="s">
        <v>674</v>
      </c>
    </row>
    <row r="8" spans="1:39" x14ac:dyDescent="0.25">
      <c r="A8" t="s">
        <v>301</v>
      </c>
      <c r="B8" t="s">
        <v>196</v>
      </c>
      <c r="C8" t="b">
        <v>1</v>
      </c>
      <c r="D8" t="s">
        <v>265</v>
      </c>
      <c r="E8" t="s">
        <v>197</v>
      </c>
      <c r="W8" t="s">
        <v>265</v>
      </c>
      <c r="Z8" t="b">
        <v>0</v>
      </c>
      <c r="AH8" t="s">
        <v>675</v>
      </c>
      <c r="AI8" t="s">
        <v>676</v>
      </c>
      <c r="AK8" t="b">
        <v>0</v>
      </c>
      <c r="AL8" t="b">
        <v>0</v>
      </c>
      <c r="AM8" t="s">
        <v>674</v>
      </c>
    </row>
    <row r="9" spans="1:39" x14ac:dyDescent="0.25">
      <c r="A9" t="s">
        <v>303</v>
      </c>
      <c r="B9" t="s">
        <v>196</v>
      </c>
      <c r="C9" t="b">
        <v>1</v>
      </c>
      <c r="D9" t="s">
        <v>266</v>
      </c>
      <c r="E9" t="s">
        <v>197</v>
      </c>
      <c r="W9" t="s">
        <v>266</v>
      </c>
      <c r="Z9" t="b">
        <v>0</v>
      </c>
      <c r="AH9" t="s">
        <v>675</v>
      </c>
      <c r="AI9" t="s">
        <v>676</v>
      </c>
      <c r="AK9" t="b">
        <v>0</v>
      </c>
      <c r="AL9" t="b">
        <v>0</v>
      </c>
      <c r="AM9" t="s">
        <v>674</v>
      </c>
    </row>
    <row r="10" spans="1:39" x14ac:dyDescent="0.25">
      <c r="A10" t="s">
        <v>305</v>
      </c>
      <c r="B10" t="s">
        <v>196</v>
      </c>
      <c r="C10" t="b">
        <v>1</v>
      </c>
      <c r="D10" t="s">
        <v>267</v>
      </c>
      <c r="E10" t="s">
        <v>197</v>
      </c>
      <c r="W10" t="s">
        <v>267</v>
      </c>
      <c r="Z10" t="b">
        <v>0</v>
      </c>
      <c r="AH10" t="s">
        <v>675</v>
      </c>
      <c r="AI10" t="s">
        <v>676</v>
      </c>
      <c r="AK10" t="b">
        <v>0</v>
      </c>
      <c r="AL10" t="b">
        <v>0</v>
      </c>
      <c r="AM10" t="s">
        <v>674</v>
      </c>
    </row>
    <row r="11" spans="1:39" x14ac:dyDescent="0.25">
      <c r="A11" t="s">
        <v>317</v>
      </c>
      <c r="B11" t="s">
        <v>196</v>
      </c>
      <c r="C11" t="b">
        <v>1</v>
      </c>
      <c r="D11" t="s">
        <v>262</v>
      </c>
      <c r="E11" t="s">
        <v>197</v>
      </c>
      <c r="W11" t="s">
        <v>262</v>
      </c>
      <c r="Z11" t="b">
        <v>0</v>
      </c>
      <c r="AH11" t="s">
        <v>675</v>
      </c>
      <c r="AI11" t="s">
        <v>676</v>
      </c>
      <c r="AK11" t="b">
        <v>0</v>
      </c>
      <c r="AL11" t="b">
        <v>0</v>
      </c>
      <c r="AM11" t="s">
        <v>674</v>
      </c>
    </row>
    <row r="12" spans="1:39" x14ac:dyDescent="0.25">
      <c r="A12" t="s">
        <v>318</v>
      </c>
      <c r="B12" t="s">
        <v>196</v>
      </c>
      <c r="C12" t="b">
        <v>1</v>
      </c>
      <c r="D12" t="s">
        <v>263</v>
      </c>
      <c r="E12" t="s">
        <v>197</v>
      </c>
      <c r="W12" t="s">
        <v>263</v>
      </c>
      <c r="Z12" t="b">
        <v>0</v>
      </c>
      <c r="AH12" t="s">
        <v>675</v>
      </c>
      <c r="AI12" t="s">
        <v>676</v>
      </c>
      <c r="AK12" t="b">
        <v>0</v>
      </c>
      <c r="AL12" t="b">
        <v>0</v>
      </c>
      <c r="AM12" t="s">
        <v>674</v>
      </c>
    </row>
    <row r="13" spans="1:39" x14ac:dyDescent="0.25">
      <c r="A13" t="s">
        <v>319</v>
      </c>
      <c r="B13" t="s">
        <v>196</v>
      </c>
      <c r="C13" t="b">
        <v>1</v>
      </c>
      <c r="D13" t="s">
        <v>264</v>
      </c>
      <c r="E13" t="s">
        <v>197</v>
      </c>
      <c r="W13" t="s">
        <v>264</v>
      </c>
      <c r="Z13" t="b">
        <v>0</v>
      </c>
      <c r="AH13" t="s">
        <v>675</v>
      </c>
      <c r="AI13" t="s">
        <v>676</v>
      </c>
      <c r="AK13" t="b">
        <v>0</v>
      </c>
      <c r="AL13" t="b">
        <v>0</v>
      </c>
      <c r="AM13" t="s">
        <v>674</v>
      </c>
    </row>
    <row r="14" spans="1:39" x14ac:dyDescent="0.25">
      <c r="A14" t="s">
        <v>320</v>
      </c>
      <c r="B14" t="s">
        <v>196</v>
      </c>
      <c r="C14" t="b">
        <v>1</v>
      </c>
      <c r="D14" t="s">
        <v>265</v>
      </c>
      <c r="E14" t="s">
        <v>197</v>
      </c>
      <c r="W14" t="s">
        <v>265</v>
      </c>
      <c r="Z14" t="b">
        <v>0</v>
      </c>
      <c r="AH14" t="s">
        <v>675</v>
      </c>
      <c r="AI14" t="s">
        <v>676</v>
      </c>
      <c r="AK14" t="b">
        <v>0</v>
      </c>
      <c r="AL14" t="b">
        <v>0</v>
      </c>
      <c r="AM14" t="s">
        <v>674</v>
      </c>
    </row>
    <row r="15" spans="1:39" x14ac:dyDescent="0.25">
      <c r="A15" t="s">
        <v>321</v>
      </c>
      <c r="B15" t="s">
        <v>196</v>
      </c>
      <c r="C15" t="b">
        <v>1</v>
      </c>
      <c r="D15" t="s">
        <v>266</v>
      </c>
      <c r="E15" t="s">
        <v>197</v>
      </c>
      <c r="W15" t="s">
        <v>266</v>
      </c>
      <c r="Z15" t="b">
        <v>0</v>
      </c>
      <c r="AH15" t="s">
        <v>675</v>
      </c>
      <c r="AI15" t="s">
        <v>676</v>
      </c>
      <c r="AK15" t="b">
        <v>0</v>
      </c>
      <c r="AL15" t="b">
        <v>0</v>
      </c>
      <c r="AM15" t="s">
        <v>674</v>
      </c>
    </row>
    <row r="16" spans="1:39" x14ac:dyDescent="0.25">
      <c r="A16" t="s">
        <v>322</v>
      </c>
      <c r="B16" t="s">
        <v>196</v>
      </c>
      <c r="C16" t="b">
        <v>1</v>
      </c>
      <c r="D16" t="s">
        <v>267</v>
      </c>
      <c r="E16" t="s">
        <v>197</v>
      </c>
      <c r="W16" t="s">
        <v>267</v>
      </c>
      <c r="Z16" t="b">
        <v>0</v>
      </c>
      <c r="AH16" t="s">
        <v>675</v>
      </c>
      <c r="AI16" t="s">
        <v>676</v>
      </c>
      <c r="AK16" t="b">
        <v>0</v>
      </c>
      <c r="AL16" t="b">
        <v>0</v>
      </c>
      <c r="AM16" t="s">
        <v>674</v>
      </c>
    </row>
    <row r="17" spans="1:19" x14ac:dyDescent="0.25">
      <c r="A17" t="s">
        <v>201</v>
      </c>
    </row>
    <row r="18" spans="1:19" x14ac:dyDescent="0.25">
      <c r="A18" t="s">
        <v>460</v>
      </c>
    </row>
    <row r="19" spans="1:19" x14ac:dyDescent="0.25">
      <c r="D19">
        <v>1</v>
      </c>
      <c r="E19" t="s">
        <v>235</v>
      </c>
      <c r="F19" s="80" t="s">
        <v>236</v>
      </c>
      <c r="G19" t="s">
        <v>237</v>
      </c>
      <c r="I19">
        <v>10</v>
      </c>
      <c r="J19">
        <v>0</v>
      </c>
      <c r="K19" t="s">
        <v>326</v>
      </c>
      <c r="M19" t="s">
        <v>238</v>
      </c>
      <c r="N19" t="s">
        <v>239</v>
      </c>
      <c r="O19" t="s">
        <v>197</v>
      </c>
      <c r="S19" t="b">
        <v>0</v>
      </c>
    </row>
    <row r="20" spans="1:19" x14ac:dyDescent="0.25">
      <c r="D20">
        <v>2</v>
      </c>
      <c r="E20" t="s">
        <v>235</v>
      </c>
      <c r="F20" s="80" t="s">
        <v>240</v>
      </c>
      <c r="G20" t="s">
        <v>237</v>
      </c>
      <c r="I20">
        <v>10</v>
      </c>
      <c r="J20">
        <v>0</v>
      </c>
      <c r="K20" t="s">
        <v>327</v>
      </c>
      <c r="M20" t="s">
        <v>238</v>
      </c>
      <c r="N20" t="s">
        <v>241</v>
      </c>
      <c r="O20" t="s">
        <v>197</v>
      </c>
      <c r="S20" t="b">
        <v>0</v>
      </c>
    </row>
    <row r="21" spans="1:19" x14ac:dyDescent="0.25">
      <c r="D21">
        <v>3</v>
      </c>
      <c r="E21" t="s">
        <v>235</v>
      </c>
      <c r="F21" s="80" t="s">
        <v>242</v>
      </c>
      <c r="G21" t="s">
        <v>237</v>
      </c>
      <c r="I21">
        <v>10</v>
      </c>
      <c r="J21">
        <v>0</v>
      </c>
      <c r="K21" t="s">
        <v>328</v>
      </c>
      <c r="M21" t="s">
        <v>238</v>
      </c>
      <c r="N21" t="s">
        <v>243</v>
      </c>
      <c r="O21" t="s">
        <v>197</v>
      </c>
      <c r="S21" t="b">
        <v>1</v>
      </c>
    </row>
    <row r="22" spans="1:19" x14ac:dyDescent="0.25">
      <c r="D22">
        <v>4</v>
      </c>
      <c r="E22" t="s">
        <v>235</v>
      </c>
      <c r="F22" s="80" t="s">
        <v>244</v>
      </c>
      <c r="G22" t="s">
        <v>237</v>
      </c>
      <c r="I22">
        <v>10</v>
      </c>
      <c r="J22">
        <v>0</v>
      </c>
      <c r="K22" t="s">
        <v>329</v>
      </c>
      <c r="M22" t="s">
        <v>238</v>
      </c>
      <c r="N22" t="s">
        <v>245</v>
      </c>
      <c r="O22" t="s">
        <v>197</v>
      </c>
      <c r="S22" t="b">
        <v>1</v>
      </c>
    </row>
    <row r="23" spans="1:19" x14ac:dyDescent="0.25">
      <c r="D23">
        <v>5</v>
      </c>
      <c r="E23" t="s">
        <v>235</v>
      </c>
      <c r="F23" s="80" t="s">
        <v>246</v>
      </c>
      <c r="G23" t="s">
        <v>237</v>
      </c>
      <c r="I23">
        <v>10</v>
      </c>
      <c r="J23">
        <v>0</v>
      </c>
      <c r="K23" t="s">
        <v>330</v>
      </c>
      <c r="S23" t="b">
        <v>1</v>
      </c>
    </row>
    <row r="24" spans="1:19" x14ac:dyDescent="0.25">
      <c r="D24">
        <v>6</v>
      </c>
      <c r="E24" t="s">
        <v>235</v>
      </c>
      <c r="F24" s="80" t="s">
        <v>247</v>
      </c>
      <c r="G24" t="s">
        <v>672</v>
      </c>
      <c r="H24">
        <v>10</v>
      </c>
      <c r="K24" t="s">
        <v>247</v>
      </c>
      <c r="S24" t="b">
        <v>1</v>
      </c>
    </row>
    <row r="25" spans="1:19" x14ac:dyDescent="0.25">
      <c r="A25" t="s">
        <v>461</v>
      </c>
    </row>
    <row r="26" spans="1:19" x14ac:dyDescent="0.25">
      <c r="A26" t="s">
        <v>462</v>
      </c>
    </row>
    <row r="27" spans="1:19" x14ac:dyDescent="0.25">
      <c r="A27" t="s">
        <v>249</v>
      </c>
      <c r="B27" t="s">
        <v>238</v>
      </c>
      <c r="C27" t="s">
        <v>250</v>
      </c>
      <c r="E27" t="s">
        <v>251</v>
      </c>
      <c r="F27" t="s">
        <v>252</v>
      </c>
      <c r="H27" t="s">
        <v>331</v>
      </c>
      <c r="J27" t="s">
        <v>197</v>
      </c>
      <c r="K27">
        <v>11</v>
      </c>
      <c r="L27" s="80" t="s">
        <v>253</v>
      </c>
    </row>
    <row r="28" spans="1:19" x14ac:dyDescent="0.25">
      <c r="A28" t="s">
        <v>249</v>
      </c>
      <c r="B28" t="s">
        <v>238</v>
      </c>
      <c r="C28" t="s">
        <v>250</v>
      </c>
      <c r="E28" t="s">
        <v>251</v>
      </c>
      <c r="F28" t="s">
        <v>254</v>
      </c>
      <c r="H28" t="s">
        <v>254</v>
      </c>
      <c r="J28" t="s">
        <v>255</v>
      </c>
      <c r="K28">
        <v>90</v>
      </c>
    </row>
    <row r="29" spans="1:19" x14ac:dyDescent="0.25">
      <c r="A29" t="s">
        <v>249</v>
      </c>
      <c r="B29" t="s">
        <v>238</v>
      </c>
      <c r="C29" t="s">
        <v>250</v>
      </c>
      <c r="E29" t="s">
        <v>251</v>
      </c>
      <c r="F29" t="s">
        <v>256</v>
      </c>
      <c r="H29" t="s">
        <v>539</v>
      </c>
      <c r="J29" t="s">
        <v>257</v>
      </c>
      <c r="K29">
        <v>91</v>
      </c>
      <c r="N29" t="s">
        <v>258</v>
      </c>
    </row>
    <row r="30" spans="1:19" x14ac:dyDescent="0.25">
      <c r="A30" t="s">
        <v>249</v>
      </c>
      <c r="B30" t="s">
        <v>238</v>
      </c>
      <c r="C30" t="s">
        <v>250</v>
      </c>
      <c r="D30" s="80" t="s">
        <v>240</v>
      </c>
      <c r="E30" t="s">
        <v>540</v>
      </c>
      <c r="J30" t="s">
        <v>515</v>
      </c>
      <c r="N30" s="80" t="s">
        <v>541</v>
      </c>
    </row>
    <row r="31" spans="1:19" x14ac:dyDescent="0.25">
      <c r="A31" t="s">
        <v>249</v>
      </c>
      <c r="B31" t="s">
        <v>238</v>
      </c>
      <c r="C31" t="s">
        <v>250</v>
      </c>
      <c r="D31" s="80" t="s">
        <v>236</v>
      </c>
      <c r="E31" t="s">
        <v>540</v>
      </c>
      <c r="J31" t="s">
        <v>515</v>
      </c>
      <c r="N31" s="80" t="s">
        <v>49</v>
      </c>
    </row>
    <row r="32" spans="1:19" x14ac:dyDescent="0.25">
      <c r="A32" t="s">
        <v>249</v>
      </c>
      <c r="B32" t="s">
        <v>238</v>
      </c>
      <c r="C32" t="s">
        <v>250</v>
      </c>
      <c r="D32" s="80" t="s">
        <v>244</v>
      </c>
      <c r="E32" t="s">
        <v>540</v>
      </c>
      <c r="J32" t="s">
        <v>515</v>
      </c>
      <c r="N32" s="80" t="s">
        <v>542</v>
      </c>
    </row>
    <row r="33" spans="1:14" x14ac:dyDescent="0.25">
      <c r="A33" t="s">
        <v>249</v>
      </c>
      <c r="B33" t="s">
        <v>238</v>
      </c>
      <c r="C33" t="s">
        <v>250</v>
      </c>
      <c r="D33" s="80" t="s">
        <v>246</v>
      </c>
      <c r="E33" t="s">
        <v>540</v>
      </c>
      <c r="J33" t="s">
        <v>515</v>
      </c>
      <c r="N33" s="80" t="s">
        <v>74</v>
      </c>
    </row>
    <row r="34" spans="1:14" x14ac:dyDescent="0.25">
      <c r="A34" t="s">
        <v>249</v>
      </c>
      <c r="B34" t="s">
        <v>238</v>
      </c>
      <c r="C34" t="s">
        <v>250</v>
      </c>
      <c r="D34" s="80" t="s">
        <v>242</v>
      </c>
      <c r="E34" t="s">
        <v>540</v>
      </c>
      <c r="J34" t="s">
        <v>515</v>
      </c>
      <c r="N34" s="80" t="s">
        <v>543</v>
      </c>
    </row>
    <row r="35" spans="1:14" x14ac:dyDescent="0.25">
      <c r="A35" t="s">
        <v>249</v>
      </c>
      <c r="B35" t="s">
        <v>238</v>
      </c>
      <c r="C35" t="s">
        <v>250</v>
      </c>
      <c r="E35" t="s">
        <v>514</v>
      </c>
      <c r="J35" t="s">
        <v>515</v>
      </c>
    </row>
    <row r="36" spans="1:14" x14ac:dyDescent="0.25">
      <c r="A36" t="s">
        <v>249</v>
      </c>
      <c r="B36" t="s">
        <v>238</v>
      </c>
      <c r="C36" t="s">
        <v>250</v>
      </c>
      <c r="E36" t="s">
        <v>31</v>
      </c>
      <c r="J36" t="s">
        <v>515</v>
      </c>
      <c r="N36" t="s">
        <v>544</v>
      </c>
    </row>
    <row r="37" spans="1:14" x14ac:dyDescent="0.25">
      <c r="A37" t="s">
        <v>249</v>
      </c>
      <c r="B37" t="s">
        <v>238</v>
      </c>
      <c r="C37" t="s">
        <v>250</v>
      </c>
      <c r="D37" s="80" t="s">
        <v>545</v>
      </c>
      <c r="E37" t="s">
        <v>546</v>
      </c>
      <c r="J37" t="s">
        <v>515</v>
      </c>
      <c r="N37" t="s">
        <v>260</v>
      </c>
    </row>
    <row r="38" spans="1:14" x14ac:dyDescent="0.25">
      <c r="A38" t="s">
        <v>249</v>
      </c>
      <c r="B38" t="s">
        <v>238</v>
      </c>
      <c r="C38" t="s">
        <v>250</v>
      </c>
      <c r="D38" s="80" t="s">
        <v>151</v>
      </c>
      <c r="E38" t="s">
        <v>259</v>
      </c>
      <c r="J38" t="s">
        <v>515</v>
      </c>
      <c r="N38" t="s">
        <v>260</v>
      </c>
    </row>
    <row r="39" spans="1:14" x14ac:dyDescent="0.25">
      <c r="A39" t="s">
        <v>249</v>
      </c>
      <c r="B39" t="s">
        <v>238</v>
      </c>
      <c r="C39" t="s">
        <v>250</v>
      </c>
      <c r="D39" s="80" t="s">
        <v>105</v>
      </c>
      <c r="E39" t="s">
        <v>261</v>
      </c>
      <c r="F39" t="s">
        <v>262</v>
      </c>
      <c r="H39" t="s">
        <v>262</v>
      </c>
      <c r="J39" t="s">
        <v>197</v>
      </c>
    </row>
    <row r="40" spans="1:14" x14ac:dyDescent="0.25">
      <c r="A40" t="s">
        <v>249</v>
      </c>
      <c r="B40" t="s">
        <v>238</v>
      </c>
      <c r="C40" t="s">
        <v>250</v>
      </c>
      <c r="D40" s="80" t="s">
        <v>109</v>
      </c>
      <c r="E40" t="s">
        <v>261</v>
      </c>
      <c r="F40" t="s">
        <v>263</v>
      </c>
      <c r="H40" t="s">
        <v>263</v>
      </c>
      <c r="J40" t="s">
        <v>197</v>
      </c>
    </row>
    <row r="41" spans="1:14" x14ac:dyDescent="0.25">
      <c r="A41" t="s">
        <v>249</v>
      </c>
      <c r="B41" t="s">
        <v>238</v>
      </c>
      <c r="C41" t="s">
        <v>250</v>
      </c>
      <c r="D41" s="80" t="s">
        <v>108</v>
      </c>
      <c r="E41" t="s">
        <v>261</v>
      </c>
      <c r="F41" t="s">
        <v>264</v>
      </c>
      <c r="H41" t="s">
        <v>264</v>
      </c>
      <c r="J41" t="s">
        <v>197</v>
      </c>
    </row>
    <row r="42" spans="1:14" x14ac:dyDescent="0.25">
      <c r="A42" t="s">
        <v>249</v>
      </c>
      <c r="B42" t="s">
        <v>238</v>
      </c>
      <c r="C42" t="s">
        <v>250</v>
      </c>
      <c r="D42" s="80" t="s">
        <v>107</v>
      </c>
      <c r="E42" t="s">
        <v>261</v>
      </c>
      <c r="F42" t="s">
        <v>265</v>
      </c>
      <c r="H42" t="s">
        <v>265</v>
      </c>
      <c r="J42" t="s">
        <v>197</v>
      </c>
    </row>
    <row r="43" spans="1:14" x14ac:dyDescent="0.25">
      <c r="A43" t="s">
        <v>249</v>
      </c>
      <c r="B43" t="s">
        <v>238</v>
      </c>
      <c r="C43" t="s">
        <v>250</v>
      </c>
      <c r="D43" s="80" t="s">
        <v>111</v>
      </c>
      <c r="E43" t="s">
        <v>261</v>
      </c>
      <c r="F43" t="s">
        <v>266</v>
      </c>
      <c r="H43" t="s">
        <v>266</v>
      </c>
      <c r="J43" t="s">
        <v>197</v>
      </c>
    </row>
    <row r="44" spans="1:14" x14ac:dyDescent="0.25">
      <c r="A44" t="s">
        <v>249</v>
      </c>
      <c r="B44" t="s">
        <v>238</v>
      </c>
      <c r="C44" t="s">
        <v>250</v>
      </c>
      <c r="D44" s="80" t="s">
        <v>110</v>
      </c>
      <c r="E44" t="s">
        <v>261</v>
      </c>
      <c r="F44" t="s">
        <v>267</v>
      </c>
      <c r="H44" t="s">
        <v>267</v>
      </c>
      <c r="J44" t="s">
        <v>197</v>
      </c>
    </row>
    <row r="45" spans="1:14" x14ac:dyDescent="0.25">
      <c r="A45" t="s">
        <v>463</v>
      </c>
    </row>
    <row r="46" spans="1:14" x14ac:dyDescent="0.25">
      <c r="A46" t="s">
        <v>268</v>
      </c>
    </row>
    <row r="47" spans="1:14" x14ac:dyDescent="0.25">
      <c r="D47">
        <v>1</v>
      </c>
      <c r="E47" t="s">
        <v>235</v>
      </c>
      <c r="F47" s="80" t="s">
        <v>240</v>
      </c>
      <c r="G47" t="s">
        <v>237</v>
      </c>
      <c r="I47">
        <v>10</v>
      </c>
      <c r="J47">
        <v>0</v>
      </c>
      <c r="K47" t="s">
        <v>327</v>
      </c>
    </row>
    <row r="48" spans="1:14" x14ac:dyDescent="0.25">
      <c r="D48">
        <v>2</v>
      </c>
      <c r="E48" t="s">
        <v>235</v>
      </c>
      <c r="F48" s="80" t="s">
        <v>242</v>
      </c>
      <c r="G48" t="s">
        <v>237</v>
      </c>
      <c r="I48">
        <v>10</v>
      </c>
      <c r="J48">
        <v>0</v>
      </c>
      <c r="K48" t="s">
        <v>328</v>
      </c>
    </row>
    <row r="49" spans="4:11" x14ac:dyDescent="0.25">
      <c r="D49">
        <v>3</v>
      </c>
      <c r="E49" t="s">
        <v>235</v>
      </c>
      <c r="F49" s="80" t="s">
        <v>244</v>
      </c>
      <c r="G49" t="s">
        <v>237</v>
      </c>
      <c r="I49">
        <v>10</v>
      </c>
      <c r="J49">
        <v>0</v>
      </c>
      <c r="K49" t="s">
        <v>329</v>
      </c>
    </row>
    <row r="50" spans="4:11" x14ac:dyDescent="0.25">
      <c r="D50">
        <v>4</v>
      </c>
      <c r="E50" t="s">
        <v>235</v>
      </c>
      <c r="F50" s="80" t="s">
        <v>260</v>
      </c>
      <c r="G50" t="s">
        <v>237</v>
      </c>
      <c r="I50">
        <v>10</v>
      </c>
      <c r="J50">
        <v>0</v>
      </c>
      <c r="K50" t="s">
        <v>260</v>
      </c>
    </row>
    <row r="51" spans="4:11" x14ac:dyDescent="0.25">
      <c r="D51">
        <v>5</v>
      </c>
      <c r="E51" t="s">
        <v>235</v>
      </c>
      <c r="F51" s="80" t="s">
        <v>102</v>
      </c>
      <c r="G51" t="s">
        <v>237</v>
      </c>
      <c r="I51">
        <v>10</v>
      </c>
      <c r="J51">
        <v>0</v>
      </c>
      <c r="K51" t="s">
        <v>332</v>
      </c>
    </row>
    <row r="52" spans="4:11" x14ac:dyDescent="0.25">
      <c r="D52">
        <v>6</v>
      </c>
      <c r="E52" t="s">
        <v>235</v>
      </c>
      <c r="F52" s="80" t="s">
        <v>103</v>
      </c>
      <c r="G52" t="s">
        <v>237</v>
      </c>
      <c r="I52">
        <v>10</v>
      </c>
      <c r="J52">
        <v>0</v>
      </c>
      <c r="K52" t="s">
        <v>333</v>
      </c>
    </row>
    <row r="53" spans="4:11" x14ac:dyDescent="0.25">
      <c r="D53">
        <v>7</v>
      </c>
      <c r="E53" t="s">
        <v>235</v>
      </c>
      <c r="F53" s="80" t="s">
        <v>104</v>
      </c>
      <c r="G53" t="s">
        <v>269</v>
      </c>
      <c r="H53">
        <v>255</v>
      </c>
      <c r="K53" t="s">
        <v>3</v>
      </c>
    </row>
    <row r="54" spans="4:11" x14ac:dyDescent="0.25">
      <c r="D54">
        <v>8</v>
      </c>
      <c r="E54" t="s">
        <v>235</v>
      </c>
      <c r="F54" s="80" t="s">
        <v>105</v>
      </c>
      <c r="G54" t="s">
        <v>237</v>
      </c>
      <c r="I54">
        <v>10</v>
      </c>
      <c r="J54">
        <v>0</v>
      </c>
      <c r="K54" t="s">
        <v>32</v>
      </c>
    </row>
    <row r="55" spans="4:11" x14ac:dyDescent="0.25">
      <c r="D55">
        <v>9</v>
      </c>
      <c r="E55" t="s">
        <v>235</v>
      </c>
      <c r="F55" s="80" t="s">
        <v>107</v>
      </c>
      <c r="G55" t="s">
        <v>237</v>
      </c>
      <c r="I55">
        <v>10</v>
      </c>
      <c r="J55">
        <v>0</v>
      </c>
      <c r="K55" t="s">
        <v>334</v>
      </c>
    </row>
    <row r="56" spans="4:11" x14ac:dyDescent="0.25">
      <c r="D56">
        <v>10</v>
      </c>
      <c r="E56" t="s">
        <v>235</v>
      </c>
      <c r="F56" s="80" t="s">
        <v>108</v>
      </c>
      <c r="G56" t="s">
        <v>237</v>
      </c>
      <c r="I56">
        <v>10</v>
      </c>
      <c r="J56">
        <v>0</v>
      </c>
      <c r="K56" t="s">
        <v>7</v>
      </c>
    </row>
    <row r="57" spans="4:11" x14ac:dyDescent="0.25">
      <c r="D57">
        <v>11</v>
      </c>
      <c r="E57" t="s">
        <v>235</v>
      </c>
      <c r="F57" s="80" t="s">
        <v>109</v>
      </c>
      <c r="G57" t="s">
        <v>237</v>
      </c>
      <c r="I57">
        <v>10</v>
      </c>
      <c r="J57">
        <v>0</v>
      </c>
      <c r="K57" t="s">
        <v>335</v>
      </c>
    </row>
    <row r="58" spans="4:11" x14ac:dyDescent="0.25">
      <c r="D58">
        <v>12</v>
      </c>
      <c r="E58" t="s">
        <v>235</v>
      </c>
      <c r="F58" s="80" t="s">
        <v>110</v>
      </c>
      <c r="G58" t="s">
        <v>237</v>
      </c>
      <c r="I58">
        <v>10</v>
      </c>
      <c r="J58">
        <v>0</v>
      </c>
      <c r="K58" t="s">
        <v>336</v>
      </c>
    </row>
    <row r="59" spans="4:11" x14ac:dyDescent="0.25">
      <c r="D59">
        <v>13</v>
      </c>
      <c r="E59" t="s">
        <v>235</v>
      </c>
      <c r="F59" s="80" t="s">
        <v>111</v>
      </c>
      <c r="G59" t="s">
        <v>237</v>
      </c>
      <c r="I59">
        <v>10</v>
      </c>
      <c r="J59">
        <v>0</v>
      </c>
      <c r="K59" t="s">
        <v>337</v>
      </c>
    </row>
    <row r="60" spans="4:11" x14ac:dyDescent="0.25">
      <c r="D60">
        <v>14</v>
      </c>
      <c r="E60" t="s">
        <v>235</v>
      </c>
      <c r="F60" s="80" t="s">
        <v>112</v>
      </c>
      <c r="G60" t="s">
        <v>270</v>
      </c>
      <c r="I60">
        <v>19</v>
      </c>
      <c r="J60">
        <v>4</v>
      </c>
      <c r="K60" t="s">
        <v>338</v>
      </c>
    </row>
    <row r="61" spans="4:11" x14ac:dyDescent="0.25">
      <c r="D61">
        <v>15</v>
      </c>
      <c r="E61" t="s">
        <v>235</v>
      </c>
      <c r="F61" s="80" t="s">
        <v>113</v>
      </c>
      <c r="G61" t="s">
        <v>270</v>
      </c>
      <c r="I61">
        <v>19</v>
      </c>
      <c r="J61">
        <v>4</v>
      </c>
      <c r="K61" t="s">
        <v>339</v>
      </c>
    </row>
    <row r="62" spans="4:11" x14ac:dyDescent="0.25">
      <c r="D62">
        <v>16</v>
      </c>
      <c r="E62" t="s">
        <v>235</v>
      </c>
      <c r="F62" s="80" t="s">
        <v>114</v>
      </c>
      <c r="G62" t="s">
        <v>270</v>
      </c>
      <c r="I62">
        <v>19</v>
      </c>
      <c r="J62">
        <v>4</v>
      </c>
      <c r="K62" t="s">
        <v>340</v>
      </c>
    </row>
    <row r="63" spans="4:11" x14ac:dyDescent="0.25">
      <c r="D63">
        <v>17</v>
      </c>
      <c r="E63" t="s">
        <v>235</v>
      </c>
      <c r="F63" s="80" t="s">
        <v>115</v>
      </c>
      <c r="G63" t="s">
        <v>270</v>
      </c>
      <c r="I63">
        <v>19</v>
      </c>
      <c r="J63">
        <v>4</v>
      </c>
      <c r="K63" t="s">
        <v>341</v>
      </c>
    </row>
    <row r="64" spans="4:11" x14ac:dyDescent="0.25">
      <c r="D64">
        <v>18</v>
      </c>
      <c r="E64" t="s">
        <v>235</v>
      </c>
      <c r="F64" s="80" t="s">
        <v>116</v>
      </c>
      <c r="G64" t="s">
        <v>270</v>
      </c>
      <c r="I64">
        <v>19</v>
      </c>
      <c r="J64">
        <v>4</v>
      </c>
      <c r="K64" t="s">
        <v>342</v>
      </c>
    </row>
    <row r="65" spans="4:11" x14ac:dyDescent="0.25">
      <c r="D65">
        <v>19</v>
      </c>
      <c r="E65" t="s">
        <v>235</v>
      </c>
      <c r="F65" s="80" t="s">
        <v>117</v>
      </c>
      <c r="G65" t="s">
        <v>270</v>
      </c>
      <c r="I65">
        <v>19</v>
      </c>
      <c r="J65">
        <v>4</v>
      </c>
      <c r="K65" t="s">
        <v>343</v>
      </c>
    </row>
    <row r="66" spans="4:11" x14ac:dyDescent="0.25">
      <c r="D66">
        <v>20</v>
      </c>
      <c r="E66" t="s">
        <v>235</v>
      </c>
      <c r="F66" s="80" t="s">
        <v>118</v>
      </c>
      <c r="G66" t="s">
        <v>270</v>
      </c>
      <c r="I66">
        <v>19</v>
      </c>
      <c r="J66">
        <v>4</v>
      </c>
      <c r="K66" t="s">
        <v>344</v>
      </c>
    </row>
    <row r="67" spans="4:11" x14ac:dyDescent="0.25">
      <c r="D67">
        <v>21</v>
      </c>
      <c r="E67" t="s">
        <v>235</v>
      </c>
      <c r="F67" s="80" t="s">
        <v>119</v>
      </c>
      <c r="G67" t="s">
        <v>270</v>
      </c>
      <c r="I67">
        <v>19</v>
      </c>
      <c r="J67">
        <v>4</v>
      </c>
      <c r="K67" t="s">
        <v>345</v>
      </c>
    </row>
    <row r="68" spans="4:11" x14ac:dyDescent="0.25">
      <c r="D68">
        <v>22</v>
      </c>
      <c r="E68" t="s">
        <v>235</v>
      </c>
      <c r="F68" s="80" t="s">
        <v>120</v>
      </c>
      <c r="G68" t="s">
        <v>270</v>
      </c>
      <c r="I68">
        <v>19</v>
      </c>
      <c r="J68">
        <v>4</v>
      </c>
      <c r="K68" t="s">
        <v>346</v>
      </c>
    </row>
    <row r="69" spans="4:11" x14ac:dyDescent="0.25">
      <c r="D69">
        <v>23</v>
      </c>
      <c r="E69" t="s">
        <v>235</v>
      </c>
      <c r="F69" s="80" t="s">
        <v>121</v>
      </c>
      <c r="G69" t="s">
        <v>270</v>
      </c>
      <c r="I69">
        <v>19</v>
      </c>
      <c r="J69">
        <v>4</v>
      </c>
      <c r="K69" t="s">
        <v>347</v>
      </c>
    </row>
    <row r="70" spans="4:11" x14ac:dyDescent="0.25">
      <c r="D70">
        <v>24</v>
      </c>
      <c r="E70" t="s">
        <v>235</v>
      </c>
      <c r="F70" s="80" t="s">
        <v>122</v>
      </c>
      <c r="G70" t="s">
        <v>270</v>
      </c>
      <c r="I70">
        <v>19</v>
      </c>
      <c r="J70">
        <v>4</v>
      </c>
      <c r="K70" t="s">
        <v>348</v>
      </c>
    </row>
    <row r="71" spans="4:11" x14ac:dyDescent="0.25">
      <c r="D71">
        <v>25</v>
      </c>
      <c r="E71" t="s">
        <v>235</v>
      </c>
      <c r="F71" s="80" t="s">
        <v>123</v>
      </c>
      <c r="G71" t="s">
        <v>270</v>
      </c>
      <c r="I71">
        <v>19</v>
      </c>
      <c r="J71">
        <v>4</v>
      </c>
      <c r="K71" t="s">
        <v>349</v>
      </c>
    </row>
    <row r="72" spans="4:11" x14ac:dyDescent="0.25">
      <c r="D72">
        <v>26</v>
      </c>
      <c r="E72" t="s">
        <v>235</v>
      </c>
      <c r="F72" s="80" t="s">
        <v>124</v>
      </c>
      <c r="G72" t="s">
        <v>270</v>
      </c>
      <c r="I72">
        <v>19</v>
      </c>
      <c r="J72">
        <v>4</v>
      </c>
      <c r="K72" t="s">
        <v>350</v>
      </c>
    </row>
    <row r="73" spans="4:11" x14ac:dyDescent="0.25">
      <c r="D73">
        <v>27</v>
      </c>
      <c r="E73" t="s">
        <v>235</v>
      </c>
      <c r="F73" s="80" t="s">
        <v>125</v>
      </c>
      <c r="G73" t="s">
        <v>270</v>
      </c>
      <c r="I73">
        <v>19</v>
      </c>
      <c r="J73">
        <v>4</v>
      </c>
      <c r="K73" t="s">
        <v>351</v>
      </c>
    </row>
    <row r="74" spans="4:11" x14ac:dyDescent="0.25">
      <c r="D74">
        <v>28</v>
      </c>
      <c r="E74" t="s">
        <v>235</v>
      </c>
      <c r="F74" s="80" t="s">
        <v>126</v>
      </c>
      <c r="G74" t="s">
        <v>270</v>
      </c>
      <c r="I74">
        <v>19</v>
      </c>
      <c r="J74">
        <v>4</v>
      </c>
      <c r="K74" t="s">
        <v>352</v>
      </c>
    </row>
    <row r="75" spans="4:11" x14ac:dyDescent="0.25">
      <c r="D75">
        <v>29</v>
      </c>
      <c r="E75" t="s">
        <v>235</v>
      </c>
      <c r="F75" s="80" t="s">
        <v>127</v>
      </c>
      <c r="G75" t="s">
        <v>270</v>
      </c>
      <c r="I75">
        <v>19</v>
      </c>
      <c r="J75">
        <v>4</v>
      </c>
      <c r="K75" t="s">
        <v>353</v>
      </c>
    </row>
    <row r="76" spans="4:11" x14ac:dyDescent="0.25">
      <c r="D76">
        <v>30</v>
      </c>
      <c r="E76" t="s">
        <v>235</v>
      </c>
      <c r="F76" s="80" t="s">
        <v>128</v>
      </c>
      <c r="G76" t="s">
        <v>270</v>
      </c>
      <c r="I76">
        <v>19</v>
      </c>
      <c r="J76">
        <v>4</v>
      </c>
      <c r="K76" t="s">
        <v>354</v>
      </c>
    </row>
    <row r="77" spans="4:11" x14ac:dyDescent="0.25">
      <c r="D77">
        <v>31</v>
      </c>
      <c r="E77" t="s">
        <v>235</v>
      </c>
      <c r="F77" s="80" t="s">
        <v>129</v>
      </c>
      <c r="G77" t="s">
        <v>270</v>
      </c>
      <c r="I77">
        <v>19</v>
      </c>
      <c r="J77">
        <v>4</v>
      </c>
      <c r="K77" t="s">
        <v>355</v>
      </c>
    </row>
    <row r="78" spans="4:11" x14ac:dyDescent="0.25">
      <c r="D78">
        <v>32</v>
      </c>
      <c r="E78" t="s">
        <v>235</v>
      </c>
      <c r="F78" s="80" t="s">
        <v>130</v>
      </c>
      <c r="G78" t="s">
        <v>270</v>
      </c>
      <c r="I78">
        <v>19</v>
      </c>
      <c r="J78">
        <v>4</v>
      </c>
      <c r="K78" t="s">
        <v>356</v>
      </c>
    </row>
    <row r="79" spans="4:11" x14ac:dyDescent="0.25">
      <c r="D79">
        <v>33</v>
      </c>
      <c r="E79" t="s">
        <v>235</v>
      </c>
      <c r="F79" s="80" t="s">
        <v>131</v>
      </c>
      <c r="G79" t="s">
        <v>270</v>
      </c>
      <c r="I79">
        <v>19</v>
      </c>
      <c r="J79">
        <v>4</v>
      </c>
      <c r="K79" t="s">
        <v>357</v>
      </c>
    </row>
    <row r="80" spans="4:11" x14ac:dyDescent="0.25">
      <c r="D80">
        <v>34</v>
      </c>
      <c r="E80" t="s">
        <v>235</v>
      </c>
      <c r="F80" s="80" t="s">
        <v>132</v>
      </c>
      <c r="G80" t="s">
        <v>270</v>
      </c>
      <c r="I80">
        <v>19</v>
      </c>
      <c r="J80">
        <v>4</v>
      </c>
      <c r="K80" t="s">
        <v>358</v>
      </c>
    </row>
    <row r="81" spans="4:11" x14ac:dyDescent="0.25">
      <c r="D81">
        <v>35</v>
      </c>
      <c r="E81" t="s">
        <v>235</v>
      </c>
      <c r="F81" s="80" t="s">
        <v>133</v>
      </c>
      <c r="G81" t="s">
        <v>270</v>
      </c>
      <c r="I81">
        <v>19</v>
      </c>
      <c r="J81">
        <v>4</v>
      </c>
      <c r="K81" t="s">
        <v>359</v>
      </c>
    </row>
    <row r="82" spans="4:11" x14ac:dyDescent="0.25">
      <c r="D82">
        <v>36</v>
      </c>
      <c r="E82" t="s">
        <v>235</v>
      </c>
      <c r="F82" s="80" t="s">
        <v>134</v>
      </c>
      <c r="G82" t="s">
        <v>270</v>
      </c>
      <c r="I82">
        <v>19</v>
      </c>
      <c r="J82">
        <v>4</v>
      </c>
      <c r="K82" t="s">
        <v>360</v>
      </c>
    </row>
    <row r="83" spans="4:11" x14ac:dyDescent="0.25">
      <c r="D83">
        <v>37</v>
      </c>
      <c r="E83" t="s">
        <v>235</v>
      </c>
      <c r="F83" s="80" t="s">
        <v>135</v>
      </c>
      <c r="G83" t="s">
        <v>270</v>
      </c>
      <c r="I83">
        <v>19</v>
      </c>
      <c r="J83">
        <v>4</v>
      </c>
      <c r="K83" t="s">
        <v>361</v>
      </c>
    </row>
    <row r="84" spans="4:11" x14ac:dyDescent="0.25">
      <c r="D84">
        <v>38</v>
      </c>
      <c r="E84" t="s">
        <v>235</v>
      </c>
      <c r="F84" s="80" t="s">
        <v>136</v>
      </c>
      <c r="G84" t="s">
        <v>270</v>
      </c>
      <c r="I84">
        <v>19</v>
      </c>
      <c r="J84">
        <v>4</v>
      </c>
      <c r="K84" t="s">
        <v>362</v>
      </c>
    </row>
    <row r="85" spans="4:11" x14ac:dyDescent="0.25">
      <c r="D85">
        <v>39</v>
      </c>
      <c r="E85" t="s">
        <v>235</v>
      </c>
      <c r="F85" s="80" t="s">
        <v>137</v>
      </c>
      <c r="G85" t="s">
        <v>270</v>
      </c>
      <c r="I85">
        <v>19</v>
      </c>
      <c r="J85">
        <v>4</v>
      </c>
      <c r="K85" t="s">
        <v>363</v>
      </c>
    </row>
    <row r="86" spans="4:11" x14ac:dyDescent="0.25">
      <c r="D86">
        <v>40</v>
      </c>
      <c r="E86" t="s">
        <v>235</v>
      </c>
      <c r="F86" s="80" t="s">
        <v>138</v>
      </c>
      <c r="G86" t="s">
        <v>270</v>
      </c>
      <c r="I86">
        <v>19</v>
      </c>
      <c r="J86">
        <v>4</v>
      </c>
      <c r="K86" t="s">
        <v>364</v>
      </c>
    </row>
    <row r="87" spans="4:11" x14ac:dyDescent="0.25">
      <c r="D87">
        <v>41</v>
      </c>
      <c r="E87" t="s">
        <v>235</v>
      </c>
      <c r="F87" s="80" t="s">
        <v>139</v>
      </c>
      <c r="G87" t="s">
        <v>270</v>
      </c>
      <c r="I87">
        <v>19</v>
      </c>
      <c r="J87">
        <v>4</v>
      </c>
      <c r="K87" t="s">
        <v>365</v>
      </c>
    </row>
    <row r="88" spans="4:11" x14ac:dyDescent="0.25">
      <c r="D88">
        <v>42</v>
      </c>
      <c r="E88" t="s">
        <v>235</v>
      </c>
      <c r="F88" s="80" t="s">
        <v>140</v>
      </c>
      <c r="G88" t="s">
        <v>270</v>
      </c>
      <c r="I88">
        <v>19</v>
      </c>
      <c r="J88">
        <v>4</v>
      </c>
      <c r="K88" t="s">
        <v>366</v>
      </c>
    </row>
    <row r="89" spans="4:11" x14ac:dyDescent="0.25">
      <c r="D89">
        <v>43</v>
      </c>
      <c r="E89" t="s">
        <v>235</v>
      </c>
      <c r="F89" s="80" t="s">
        <v>141</v>
      </c>
      <c r="G89" t="s">
        <v>270</v>
      </c>
      <c r="I89">
        <v>19</v>
      </c>
      <c r="J89">
        <v>4</v>
      </c>
      <c r="K89" t="s">
        <v>367</v>
      </c>
    </row>
    <row r="90" spans="4:11" x14ac:dyDescent="0.25">
      <c r="D90">
        <v>44</v>
      </c>
      <c r="E90" t="s">
        <v>235</v>
      </c>
      <c r="F90" s="80" t="s">
        <v>142</v>
      </c>
      <c r="G90" t="s">
        <v>270</v>
      </c>
      <c r="I90">
        <v>19</v>
      </c>
      <c r="J90">
        <v>4</v>
      </c>
      <c r="K90" t="s">
        <v>368</v>
      </c>
    </row>
    <row r="91" spans="4:11" x14ac:dyDescent="0.25">
      <c r="D91">
        <v>45</v>
      </c>
      <c r="E91" t="s">
        <v>235</v>
      </c>
      <c r="F91" s="80" t="s">
        <v>143</v>
      </c>
      <c r="G91" t="s">
        <v>270</v>
      </c>
      <c r="I91">
        <v>19</v>
      </c>
      <c r="J91">
        <v>4</v>
      </c>
      <c r="K91" t="s">
        <v>369</v>
      </c>
    </row>
    <row r="92" spans="4:11" x14ac:dyDescent="0.25">
      <c r="D92">
        <v>46</v>
      </c>
      <c r="E92" t="s">
        <v>235</v>
      </c>
      <c r="F92" s="80" t="s">
        <v>144</v>
      </c>
      <c r="G92" t="s">
        <v>270</v>
      </c>
      <c r="I92">
        <v>19</v>
      </c>
      <c r="J92">
        <v>4</v>
      </c>
      <c r="K92" t="s">
        <v>370</v>
      </c>
    </row>
    <row r="93" spans="4:11" x14ac:dyDescent="0.25">
      <c r="D93">
        <v>47</v>
      </c>
      <c r="E93" t="s">
        <v>235</v>
      </c>
      <c r="F93" s="80" t="s">
        <v>145</v>
      </c>
      <c r="G93" t="s">
        <v>270</v>
      </c>
      <c r="I93">
        <v>19</v>
      </c>
      <c r="J93">
        <v>4</v>
      </c>
      <c r="K93" t="s">
        <v>371</v>
      </c>
    </row>
    <row r="94" spans="4:11" x14ac:dyDescent="0.25">
      <c r="D94">
        <v>48</v>
      </c>
      <c r="E94" t="s">
        <v>235</v>
      </c>
      <c r="F94" s="80" t="s">
        <v>146</v>
      </c>
      <c r="G94" t="s">
        <v>270</v>
      </c>
      <c r="I94">
        <v>19</v>
      </c>
      <c r="J94">
        <v>4</v>
      </c>
      <c r="K94" t="s">
        <v>372</v>
      </c>
    </row>
    <row r="95" spans="4:11" x14ac:dyDescent="0.25">
      <c r="D95">
        <v>49</v>
      </c>
      <c r="E95" t="s">
        <v>235</v>
      </c>
      <c r="F95" s="80" t="s">
        <v>147</v>
      </c>
      <c r="G95" t="s">
        <v>270</v>
      </c>
      <c r="I95">
        <v>19</v>
      </c>
      <c r="J95">
        <v>4</v>
      </c>
      <c r="K95" t="s">
        <v>373</v>
      </c>
    </row>
    <row r="96" spans="4:11" x14ac:dyDescent="0.25">
      <c r="D96">
        <v>50</v>
      </c>
      <c r="E96" t="s">
        <v>235</v>
      </c>
      <c r="F96" s="80" t="s">
        <v>148</v>
      </c>
      <c r="G96" t="s">
        <v>270</v>
      </c>
      <c r="I96">
        <v>19</v>
      </c>
      <c r="J96">
        <v>4</v>
      </c>
      <c r="K96" t="s">
        <v>374</v>
      </c>
    </row>
    <row r="97" spans="1:11" x14ac:dyDescent="0.25">
      <c r="D97">
        <v>51</v>
      </c>
      <c r="E97" t="s">
        <v>235</v>
      </c>
      <c r="F97" s="80" t="s">
        <v>149</v>
      </c>
      <c r="G97" t="s">
        <v>270</v>
      </c>
      <c r="I97">
        <v>19</v>
      </c>
      <c r="J97">
        <v>4</v>
      </c>
      <c r="K97" t="s">
        <v>375</v>
      </c>
    </row>
    <row r="98" spans="1:11" x14ac:dyDescent="0.25">
      <c r="D98">
        <v>52</v>
      </c>
      <c r="E98" t="s">
        <v>235</v>
      </c>
      <c r="F98" s="80" t="s">
        <v>150</v>
      </c>
      <c r="G98" t="s">
        <v>270</v>
      </c>
      <c r="I98">
        <v>19</v>
      </c>
      <c r="J98">
        <v>4</v>
      </c>
      <c r="K98" t="s">
        <v>376</v>
      </c>
    </row>
    <row r="99" spans="1:11" x14ac:dyDescent="0.25">
      <c r="D99">
        <v>53</v>
      </c>
      <c r="E99" t="s">
        <v>235</v>
      </c>
      <c r="F99" s="80" t="s">
        <v>151</v>
      </c>
      <c r="G99" t="s">
        <v>269</v>
      </c>
      <c r="H99">
        <v>-1</v>
      </c>
      <c r="K99" t="s">
        <v>26</v>
      </c>
    </row>
    <row r="100" spans="1:11" x14ac:dyDescent="0.25">
      <c r="D100">
        <v>54</v>
      </c>
      <c r="E100" t="s">
        <v>235</v>
      </c>
      <c r="F100" s="80" t="s">
        <v>271</v>
      </c>
      <c r="G100" t="s">
        <v>272</v>
      </c>
      <c r="I100">
        <v>3</v>
      </c>
      <c r="K100" t="s">
        <v>377</v>
      </c>
    </row>
    <row r="101" spans="1:11" x14ac:dyDescent="0.25">
      <c r="A101" t="s">
        <v>273</v>
      </c>
    </row>
    <row r="102" spans="1:11" x14ac:dyDescent="0.25">
      <c r="A102" t="s">
        <v>274</v>
      </c>
    </row>
    <row r="103" spans="1:11" x14ac:dyDescent="0.25">
      <c r="D103">
        <v>1</v>
      </c>
      <c r="E103" t="s">
        <v>235</v>
      </c>
      <c r="F103" s="80" t="s">
        <v>240</v>
      </c>
      <c r="G103" t="s">
        <v>237</v>
      </c>
      <c r="I103">
        <v>10</v>
      </c>
      <c r="J103">
        <v>0</v>
      </c>
      <c r="K103" t="s">
        <v>327</v>
      </c>
    </row>
    <row r="104" spans="1:11" x14ac:dyDescent="0.25">
      <c r="D104">
        <v>2</v>
      </c>
      <c r="E104" t="s">
        <v>235</v>
      </c>
      <c r="F104" s="80" t="s">
        <v>242</v>
      </c>
      <c r="G104" t="s">
        <v>237</v>
      </c>
      <c r="I104">
        <v>10</v>
      </c>
      <c r="J104">
        <v>0</v>
      </c>
      <c r="K104" t="s">
        <v>328</v>
      </c>
    </row>
    <row r="105" spans="1:11" x14ac:dyDescent="0.25">
      <c r="D105">
        <v>3</v>
      </c>
      <c r="E105" t="s">
        <v>235</v>
      </c>
      <c r="F105" s="80" t="s">
        <v>244</v>
      </c>
      <c r="G105" t="s">
        <v>237</v>
      </c>
      <c r="I105">
        <v>10</v>
      </c>
      <c r="J105">
        <v>0</v>
      </c>
      <c r="K105" t="s">
        <v>329</v>
      </c>
    </row>
    <row r="106" spans="1:11" x14ac:dyDescent="0.25">
      <c r="D106">
        <v>4</v>
      </c>
      <c r="E106" t="s">
        <v>235</v>
      </c>
      <c r="F106" s="80" t="s">
        <v>260</v>
      </c>
      <c r="G106" t="s">
        <v>237</v>
      </c>
      <c r="I106">
        <v>10</v>
      </c>
      <c r="J106">
        <v>0</v>
      </c>
      <c r="K106" t="s">
        <v>260</v>
      </c>
    </row>
    <row r="107" spans="1:11" x14ac:dyDescent="0.25">
      <c r="D107">
        <v>5</v>
      </c>
      <c r="E107" t="s">
        <v>235</v>
      </c>
      <c r="F107" s="80" t="s">
        <v>102</v>
      </c>
      <c r="G107" t="s">
        <v>237</v>
      </c>
      <c r="I107">
        <v>10</v>
      </c>
      <c r="J107">
        <v>0</v>
      </c>
      <c r="K107" t="s">
        <v>332</v>
      </c>
    </row>
    <row r="108" spans="1:11" x14ac:dyDescent="0.25">
      <c r="D108">
        <v>6</v>
      </c>
      <c r="E108" t="s">
        <v>235</v>
      </c>
      <c r="F108" s="80" t="s">
        <v>103</v>
      </c>
      <c r="G108" t="s">
        <v>237</v>
      </c>
      <c r="I108">
        <v>10</v>
      </c>
      <c r="J108">
        <v>0</v>
      </c>
      <c r="K108" t="s">
        <v>333</v>
      </c>
    </row>
    <row r="109" spans="1:11" x14ac:dyDescent="0.25">
      <c r="D109">
        <v>7</v>
      </c>
      <c r="E109" t="s">
        <v>235</v>
      </c>
      <c r="F109" s="80" t="s">
        <v>104</v>
      </c>
      <c r="G109" t="s">
        <v>269</v>
      </c>
      <c r="H109">
        <v>255</v>
      </c>
      <c r="K109" t="s">
        <v>3</v>
      </c>
    </row>
    <row r="110" spans="1:11" x14ac:dyDescent="0.25">
      <c r="D110">
        <v>8</v>
      </c>
      <c r="E110" t="s">
        <v>235</v>
      </c>
      <c r="F110" s="80" t="s">
        <v>105</v>
      </c>
      <c r="G110" t="s">
        <v>237</v>
      </c>
      <c r="I110">
        <v>10</v>
      </c>
      <c r="J110">
        <v>0</v>
      </c>
      <c r="K110" t="s">
        <v>32</v>
      </c>
    </row>
    <row r="111" spans="1:11" x14ac:dyDescent="0.25">
      <c r="D111">
        <v>9</v>
      </c>
      <c r="E111" t="s">
        <v>235</v>
      </c>
      <c r="F111" s="80" t="s">
        <v>107</v>
      </c>
      <c r="G111" t="s">
        <v>237</v>
      </c>
      <c r="I111">
        <v>10</v>
      </c>
      <c r="J111">
        <v>0</v>
      </c>
      <c r="K111" t="s">
        <v>334</v>
      </c>
    </row>
    <row r="112" spans="1:11" x14ac:dyDescent="0.25">
      <c r="D112">
        <v>10</v>
      </c>
      <c r="E112" t="s">
        <v>235</v>
      </c>
      <c r="F112" s="80" t="s">
        <v>108</v>
      </c>
      <c r="G112" t="s">
        <v>237</v>
      </c>
      <c r="I112">
        <v>10</v>
      </c>
      <c r="J112">
        <v>0</v>
      </c>
      <c r="K112" t="s">
        <v>7</v>
      </c>
    </row>
    <row r="113" spans="4:11" x14ac:dyDescent="0.25">
      <c r="D113">
        <v>11</v>
      </c>
      <c r="E113" t="s">
        <v>235</v>
      </c>
      <c r="F113" s="80" t="s">
        <v>109</v>
      </c>
      <c r="G113" t="s">
        <v>237</v>
      </c>
      <c r="I113">
        <v>10</v>
      </c>
      <c r="J113">
        <v>0</v>
      </c>
      <c r="K113" t="s">
        <v>335</v>
      </c>
    </row>
    <row r="114" spans="4:11" x14ac:dyDescent="0.25">
      <c r="D114">
        <v>12</v>
      </c>
      <c r="E114" t="s">
        <v>235</v>
      </c>
      <c r="F114" s="80" t="s">
        <v>110</v>
      </c>
      <c r="G114" t="s">
        <v>275</v>
      </c>
      <c r="I114">
        <v>3</v>
      </c>
      <c r="J114">
        <v>0</v>
      </c>
      <c r="K114" t="s">
        <v>336</v>
      </c>
    </row>
    <row r="115" spans="4:11" x14ac:dyDescent="0.25">
      <c r="D115">
        <v>13</v>
      </c>
      <c r="E115" t="s">
        <v>235</v>
      </c>
      <c r="F115" s="80" t="s">
        <v>111</v>
      </c>
      <c r="G115" t="s">
        <v>237</v>
      </c>
      <c r="I115">
        <v>10</v>
      </c>
      <c r="J115">
        <v>0</v>
      </c>
      <c r="K115" t="s">
        <v>337</v>
      </c>
    </row>
    <row r="116" spans="4:11" x14ac:dyDescent="0.25">
      <c r="D116">
        <v>14</v>
      </c>
      <c r="E116" t="s">
        <v>235</v>
      </c>
      <c r="F116" s="80" t="s">
        <v>112</v>
      </c>
      <c r="G116" t="s">
        <v>276</v>
      </c>
      <c r="I116">
        <v>53</v>
      </c>
      <c r="K116" t="s">
        <v>338</v>
      </c>
    </row>
    <row r="117" spans="4:11" x14ac:dyDescent="0.25">
      <c r="D117">
        <v>15</v>
      </c>
      <c r="E117" t="s">
        <v>235</v>
      </c>
      <c r="F117" s="80" t="s">
        <v>113</v>
      </c>
      <c r="G117" t="s">
        <v>276</v>
      </c>
      <c r="I117">
        <v>53</v>
      </c>
      <c r="K117" t="s">
        <v>339</v>
      </c>
    </row>
    <row r="118" spans="4:11" x14ac:dyDescent="0.25">
      <c r="D118">
        <v>16</v>
      </c>
      <c r="E118" t="s">
        <v>235</v>
      </c>
      <c r="F118" s="80" t="s">
        <v>114</v>
      </c>
      <c r="G118" t="s">
        <v>276</v>
      </c>
      <c r="I118">
        <v>53</v>
      </c>
      <c r="K118" t="s">
        <v>340</v>
      </c>
    </row>
    <row r="119" spans="4:11" x14ac:dyDescent="0.25">
      <c r="D119">
        <v>17</v>
      </c>
      <c r="E119" t="s">
        <v>235</v>
      </c>
      <c r="F119" s="80" t="s">
        <v>115</v>
      </c>
      <c r="G119" t="s">
        <v>276</v>
      </c>
      <c r="I119">
        <v>53</v>
      </c>
      <c r="K119" t="s">
        <v>341</v>
      </c>
    </row>
    <row r="120" spans="4:11" x14ac:dyDescent="0.25">
      <c r="D120">
        <v>18</v>
      </c>
      <c r="E120" t="s">
        <v>235</v>
      </c>
      <c r="F120" s="80" t="s">
        <v>116</v>
      </c>
      <c r="G120" t="s">
        <v>276</v>
      </c>
      <c r="I120">
        <v>53</v>
      </c>
      <c r="K120" t="s">
        <v>342</v>
      </c>
    </row>
    <row r="121" spans="4:11" x14ac:dyDescent="0.25">
      <c r="D121">
        <v>19</v>
      </c>
      <c r="E121" t="s">
        <v>235</v>
      </c>
      <c r="F121" s="80" t="s">
        <v>117</v>
      </c>
      <c r="G121" t="s">
        <v>276</v>
      </c>
      <c r="I121">
        <v>53</v>
      </c>
      <c r="K121" t="s">
        <v>343</v>
      </c>
    </row>
    <row r="122" spans="4:11" x14ac:dyDescent="0.25">
      <c r="D122">
        <v>20</v>
      </c>
      <c r="E122" t="s">
        <v>235</v>
      </c>
      <c r="F122" s="80" t="s">
        <v>118</v>
      </c>
      <c r="G122" t="s">
        <v>276</v>
      </c>
      <c r="I122">
        <v>53</v>
      </c>
      <c r="K122" t="s">
        <v>344</v>
      </c>
    </row>
    <row r="123" spans="4:11" x14ac:dyDescent="0.25">
      <c r="D123">
        <v>21</v>
      </c>
      <c r="E123" t="s">
        <v>235</v>
      </c>
      <c r="F123" s="80" t="s">
        <v>119</v>
      </c>
      <c r="G123" t="s">
        <v>276</v>
      </c>
      <c r="I123">
        <v>53</v>
      </c>
      <c r="K123" t="s">
        <v>345</v>
      </c>
    </row>
    <row r="124" spans="4:11" x14ac:dyDescent="0.25">
      <c r="D124">
        <v>22</v>
      </c>
      <c r="E124" t="s">
        <v>235</v>
      </c>
      <c r="F124" s="80" t="s">
        <v>120</v>
      </c>
      <c r="G124" t="s">
        <v>276</v>
      </c>
      <c r="I124">
        <v>53</v>
      </c>
      <c r="K124" t="s">
        <v>346</v>
      </c>
    </row>
    <row r="125" spans="4:11" x14ac:dyDescent="0.25">
      <c r="D125">
        <v>23</v>
      </c>
      <c r="E125" t="s">
        <v>235</v>
      </c>
      <c r="F125" s="80" t="s">
        <v>121</v>
      </c>
      <c r="G125" t="s">
        <v>276</v>
      </c>
      <c r="I125">
        <v>53</v>
      </c>
      <c r="K125" t="s">
        <v>347</v>
      </c>
    </row>
    <row r="126" spans="4:11" x14ac:dyDescent="0.25">
      <c r="D126">
        <v>24</v>
      </c>
      <c r="E126" t="s">
        <v>235</v>
      </c>
      <c r="F126" s="80" t="s">
        <v>122</v>
      </c>
      <c r="G126" t="s">
        <v>276</v>
      </c>
      <c r="I126">
        <v>53</v>
      </c>
      <c r="K126" t="s">
        <v>348</v>
      </c>
    </row>
    <row r="127" spans="4:11" x14ac:dyDescent="0.25">
      <c r="D127">
        <v>25</v>
      </c>
      <c r="E127" t="s">
        <v>235</v>
      </c>
      <c r="F127" s="80" t="s">
        <v>123</v>
      </c>
      <c r="G127" t="s">
        <v>276</v>
      </c>
      <c r="I127">
        <v>53</v>
      </c>
      <c r="K127" t="s">
        <v>349</v>
      </c>
    </row>
    <row r="128" spans="4:11" x14ac:dyDescent="0.25">
      <c r="D128">
        <v>26</v>
      </c>
      <c r="E128" t="s">
        <v>235</v>
      </c>
      <c r="F128" s="80" t="s">
        <v>124</v>
      </c>
      <c r="G128" t="s">
        <v>276</v>
      </c>
      <c r="I128">
        <v>53</v>
      </c>
      <c r="K128" t="s">
        <v>350</v>
      </c>
    </row>
    <row r="129" spans="4:11" x14ac:dyDescent="0.25">
      <c r="D129">
        <v>27</v>
      </c>
      <c r="E129" t="s">
        <v>235</v>
      </c>
      <c r="F129" s="80" t="s">
        <v>125</v>
      </c>
      <c r="G129" t="s">
        <v>276</v>
      </c>
      <c r="I129">
        <v>53</v>
      </c>
      <c r="K129" t="s">
        <v>351</v>
      </c>
    </row>
    <row r="130" spans="4:11" x14ac:dyDescent="0.25">
      <c r="D130">
        <v>28</v>
      </c>
      <c r="E130" t="s">
        <v>235</v>
      </c>
      <c r="F130" s="80" t="s">
        <v>126</v>
      </c>
      <c r="G130" t="s">
        <v>276</v>
      </c>
      <c r="I130">
        <v>53</v>
      </c>
      <c r="K130" t="s">
        <v>352</v>
      </c>
    </row>
    <row r="131" spans="4:11" x14ac:dyDescent="0.25">
      <c r="D131">
        <v>29</v>
      </c>
      <c r="E131" t="s">
        <v>235</v>
      </c>
      <c r="F131" s="80" t="s">
        <v>127</v>
      </c>
      <c r="G131" t="s">
        <v>276</v>
      </c>
      <c r="I131">
        <v>53</v>
      </c>
      <c r="K131" t="s">
        <v>353</v>
      </c>
    </row>
    <row r="132" spans="4:11" x14ac:dyDescent="0.25">
      <c r="D132">
        <v>30</v>
      </c>
      <c r="E132" t="s">
        <v>235</v>
      </c>
      <c r="F132" s="80" t="s">
        <v>128</v>
      </c>
      <c r="G132" t="s">
        <v>276</v>
      </c>
      <c r="I132">
        <v>53</v>
      </c>
      <c r="K132" t="s">
        <v>354</v>
      </c>
    </row>
    <row r="133" spans="4:11" x14ac:dyDescent="0.25">
      <c r="D133">
        <v>31</v>
      </c>
      <c r="E133" t="s">
        <v>235</v>
      </c>
      <c r="F133" s="80" t="s">
        <v>129</v>
      </c>
      <c r="G133" t="s">
        <v>276</v>
      </c>
      <c r="I133">
        <v>53</v>
      </c>
      <c r="K133" t="s">
        <v>355</v>
      </c>
    </row>
    <row r="134" spans="4:11" x14ac:dyDescent="0.25">
      <c r="D134">
        <v>32</v>
      </c>
      <c r="E134" t="s">
        <v>235</v>
      </c>
      <c r="F134" s="80" t="s">
        <v>130</v>
      </c>
      <c r="G134" t="s">
        <v>276</v>
      </c>
      <c r="I134">
        <v>53</v>
      </c>
      <c r="K134" t="s">
        <v>356</v>
      </c>
    </row>
    <row r="135" spans="4:11" x14ac:dyDescent="0.25">
      <c r="D135">
        <v>33</v>
      </c>
      <c r="E135" t="s">
        <v>235</v>
      </c>
      <c r="F135" s="80" t="s">
        <v>131</v>
      </c>
      <c r="G135" t="s">
        <v>276</v>
      </c>
      <c r="I135">
        <v>53</v>
      </c>
      <c r="K135" t="s">
        <v>357</v>
      </c>
    </row>
    <row r="136" spans="4:11" x14ac:dyDescent="0.25">
      <c r="D136">
        <v>34</v>
      </c>
      <c r="E136" t="s">
        <v>235</v>
      </c>
      <c r="F136" s="80" t="s">
        <v>132</v>
      </c>
      <c r="G136" t="s">
        <v>276</v>
      </c>
      <c r="I136">
        <v>53</v>
      </c>
      <c r="K136" t="s">
        <v>358</v>
      </c>
    </row>
    <row r="137" spans="4:11" x14ac:dyDescent="0.25">
      <c r="D137">
        <v>35</v>
      </c>
      <c r="E137" t="s">
        <v>235</v>
      </c>
      <c r="F137" s="80" t="s">
        <v>133</v>
      </c>
      <c r="G137" t="s">
        <v>276</v>
      </c>
      <c r="I137">
        <v>53</v>
      </c>
      <c r="K137" t="s">
        <v>359</v>
      </c>
    </row>
    <row r="138" spans="4:11" x14ac:dyDescent="0.25">
      <c r="D138">
        <v>36</v>
      </c>
      <c r="E138" t="s">
        <v>235</v>
      </c>
      <c r="F138" s="80" t="s">
        <v>134</v>
      </c>
      <c r="G138" t="s">
        <v>276</v>
      </c>
      <c r="I138">
        <v>53</v>
      </c>
      <c r="K138" t="s">
        <v>360</v>
      </c>
    </row>
    <row r="139" spans="4:11" x14ac:dyDescent="0.25">
      <c r="D139">
        <v>37</v>
      </c>
      <c r="E139" t="s">
        <v>235</v>
      </c>
      <c r="F139" s="80" t="s">
        <v>135</v>
      </c>
      <c r="G139" t="s">
        <v>276</v>
      </c>
      <c r="I139">
        <v>53</v>
      </c>
      <c r="K139" t="s">
        <v>361</v>
      </c>
    </row>
    <row r="140" spans="4:11" x14ac:dyDescent="0.25">
      <c r="D140">
        <v>38</v>
      </c>
      <c r="E140" t="s">
        <v>235</v>
      </c>
      <c r="F140" s="80" t="s">
        <v>136</v>
      </c>
      <c r="G140" t="s">
        <v>276</v>
      </c>
      <c r="I140">
        <v>53</v>
      </c>
      <c r="K140" t="s">
        <v>362</v>
      </c>
    </row>
    <row r="141" spans="4:11" x14ac:dyDescent="0.25">
      <c r="D141">
        <v>39</v>
      </c>
      <c r="E141" t="s">
        <v>235</v>
      </c>
      <c r="F141" s="80" t="s">
        <v>137</v>
      </c>
      <c r="G141" t="s">
        <v>276</v>
      </c>
      <c r="I141">
        <v>53</v>
      </c>
      <c r="K141" t="s">
        <v>363</v>
      </c>
    </row>
    <row r="142" spans="4:11" x14ac:dyDescent="0.25">
      <c r="D142">
        <v>40</v>
      </c>
      <c r="E142" t="s">
        <v>235</v>
      </c>
      <c r="F142" s="80" t="s">
        <v>138</v>
      </c>
      <c r="G142" t="s">
        <v>276</v>
      </c>
      <c r="I142">
        <v>53</v>
      </c>
      <c r="K142" t="s">
        <v>364</v>
      </c>
    </row>
    <row r="143" spans="4:11" x14ac:dyDescent="0.25">
      <c r="D143">
        <v>41</v>
      </c>
      <c r="E143" t="s">
        <v>235</v>
      </c>
      <c r="F143" s="80" t="s">
        <v>139</v>
      </c>
      <c r="G143" t="s">
        <v>276</v>
      </c>
      <c r="I143">
        <v>53</v>
      </c>
      <c r="K143" t="s">
        <v>365</v>
      </c>
    </row>
    <row r="144" spans="4:11" x14ac:dyDescent="0.25">
      <c r="D144">
        <v>42</v>
      </c>
      <c r="E144" t="s">
        <v>235</v>
      </c>
      <c r="F144" s="80" t="s">
        <v>140</v>
      </c>
      <c r="G144" t="s">
        <v>276</v>
      </c>
      <c r="I144">
        <v>53</v>
      </c>
      <c r="K144" t="s">
        <v>366</v>
      </c>
    </row>
    <row r="145" spans="1:11" x14ac:dyDescent="0.25">
      <c r="D145">
        <v>43</v>
      </c>
      <c r="E145" t="s">
        <v>235</v>
      </c>
      <c r="F145" s="80" t="s">
        <v>141</v>
      </c>
      <c r="G145" t="s">
        <v>276</v>
      </c>
      <c r="I145">
        <v>53</v>
      </c>
      <c r="K145" t="s">
        <v>367</v>
      </c>
    </row>
    <row r="146" spans="1:11" x14ac:dyDescent="0.25">
      <c r="D146">
        <v>44</v>
      </c>
      <c r="E146" t="s">
        <v>235</v>
      </c>
      <c r="F146" s="80" t="s">
        <v>142</v>
      </c>
      <c r="G146" t="s">
        <v>276</v>
      </c>
      <c r="I146">
        <v>53</v>
      </c>
      <c r="K146" t="s">
        <v>368</v>
      </c>
    </row>
    <row r="147" spans="1:11" x14ac:dyDescent="0.25">
      <c r="D147">
        <v>45</v>
      </c>
      <c r="E147" t="s">
        <v>235</v>
      </c>
      <c r="F147" s="80" t="s">
        <v>143</v>
      </c>
      <c r="G147" t="s">
        <v>276</v>
      </c>
      <c r="I147">
        <v>53</v>
      </c>
      <c r="K147" t="s">
        <v>369</v>
      </c>
    </row>
    <row r="148" spans="1:11" x14ac:dyDescent="0.25">
      <c r="D148">
        <v>46</v>
      </c>
      <c r="E148" t="s">
        <v>235</v>
      </c>
      <c r="F148" s="80" t="s">
        <v>144</v>
      </c>
      <c r="G148" t="s">
        <v>276</v>
      </c>
      <c r="I148">
        <v>53</v>
      </c>
      <c r="K148" t="s">
        <v>370</v>
      </c>
    </row>
    <row r="149" spans="1:11" x14ac:dyDescent="0.25">
      <c r="D149">
        <v>47</v>
      </c>
      <c r="E149" t="s">
        <v>235</v>
      </c>
      <c r="F149" s="80" t="s">
        <v>145</v>
      </c>
      <c r="G149" t="s">
        <v>276</v>
      </c>
      <c r="I149">
        <v>53</v>
      </c>
      <c r="K149" t="s">
        <v>371</v>
      </c>
    </row>
    <row r="150" spans="1:11" x14ac:dyDescent="0.25">
      <c r="D150">
        <v>48</v>
      </c>
      <c r="E150" t="s">
        <v>235</v>
      </c>
      <c r="F150" s="80" t="s">
        <v>146</v>
      </c>
      <c r="G150" t="s">
        <v>276</v>
      </c>
      <c r="I150">
        <v>53</v>
      </c>
      <c r="K150" t="s">
        <v>372</v>
      </c>
    </row>
    <row r="151" spans="1:11" x14ac:dyDescent="0.25">
      <c r="D151">
        <v>49</v>
      </c>
      <c r="E151" t="s">
        <v>235</v>
      </c>
      <c r="F151" s="80" t="s">
        <v>147</v>
      </c>
      <c r="G151" t="s">
        <v>276</v>
      </c>
      <c r="I151">
        <v>53</v>
      </c>
      <c r="K151" t="s">
        <v>373</v>
      </c>
    </row>
    <row r="152" spans="1:11" x14ac:dyDescent="0.25">
      <c r="D152">
        <v>50</v>
      </c>
      <c r="E152" t="s">
        <v>235</v>
      </c>
      <c r="F152" s="80" t="s">
        <v>148</v>
      </c>
      <c r="G152" t="s">
        <v>276</v>
      </c>
      <c r="I152">
        <v>53</v>
      </c>
      <c r="K152" t="s">
        <v>374</v>
      </c>
    </row>
    <row r="153" spans="1:11" x14ac:dyDescent="0.25">
      <c r="D153">
        <v>51</v>
      </c>
      <c r="E153" t="s">
        <v>235</v>
      </c>
      <c r="F153" s="80" t="s">
        <v>149</v>
      </c>
      <c r="G153" t="s">
        <v>276</v>
      </c>
      <c r="I153">
        <v>53</v>
      </c>
      <c r="K153" t="s">
        <v>375</v>
      </c>
    </row>
    <row r="154" spans="1:11" x14ac:dyDescent="0.25">
      <c r="D154">
        <v>52</v>
      </c>
      <c r="E154" t="s">
        <v>235</v>
      </c>
      <c r="F154" s="80" t="s">
        <v>150</v>
      </c>
      <c r="G154" t="s">
        <v>276</v>
      </c>
      <c r="I154">
        <v>53</v>
      </c>
      <c r="K154" t="s">
        <v>376</v>
      </c>
    </row>
    <row r="155" spans="1:11" x14ac:dyDescent="0.25">
      <c r="D155">
        <v>53</v>
      </c>
      <c r="E155" t="s">
        <v>235</v>
      </c>
      <c r="F155" s="80" t="s">
        <v>151</v>
      </c>
      <c r="G155" t="s">
        <v>269</v>
      </c>
      <c r="H155">
        <v>-1</v>
      </c>
      <c r="K155" t="s">
        <v>26</v>
      </c>
    </row>
    <row r="156" spans="1:11" x14ac:dyDescent="0.25">
      <c r="D156">
        <v>54</v>
      </c>
      <c r="E156" t="s">
        <v>235</v>
      </c>
      <c r="F156" s="80" t="s">
        <v>271</v>
      </c>
      <c r="G156" t="s">
        <v>272</v>
      </c>
      <c r="I156">
        <v>3</v>
      </c>
      <c r="K156" t="s">
        <v>377</v>
      </c>
    </row>
    <row r="157" spans="1:11" x14ac:dyDescent="0.25">
      <c r="D157">
        <v>55</v>
      </c>
      <c r="E157" t="s">
        <v>235</v>
      </c>
      <c r="F157" s="80" t="s">
        <v>277</v>
      </c>
      <c r="G157" t="s">
        <v>278</v>
      </c>
      <c r="K157" t="s">
        <v>277</v>
      </c>
    </row>
    <row r="158" spans="1:11" x14ac:dyDescent="0.25">
      <c r="A158" t="s">
        <v>279</v>
      </c>
    </row>
    <row r="159" spans="1:11" x14ac:dyDescent="0.25">
      <c r="A159" t="s">
        <v>280</v>
      </c>
    </row>
    <row r="160" spans="1:11" x14ac:dyDescent="0.25">
      <c r="D160">
        <v>1</v>
      </c>
      <c r="E160" t="s">
        <v>235</v>
      </c>
      <c r="F160" s="80" t="s">
        <v>240</v>
      </c>
      <c r="G160" t="s">
        <v>237</v>
      </c>
      <c r="I160">
        <v>10</v>
      </c>
      <c r="J160">
        <v>0</v>
      </c>
      <c r="K160" t="s">
        <v>327</v>
      </c>
    </row>
    <row r="161" spans="1:11" x14ac:dyDescent="0.25">
      <c r="D161">
        <v>2</v>
      </c>
      <c r="E161" t="s">
        <v>235</v>
      </c>
      <c r="F161" s="80" t="s">
        <v>242</v>
      </c>
      <c r="G161" t="s">
        <v>237</v>
      </c>
      <c r="I161">
        <v>10</v>
      </c>
      <c r="J161">
        <v>0</v>
      </c>
      <c r="K161" t="s">
        <v>328</v>
      </c>
    </row>
    <row r="162" spans="1:11" x14ac:dyDescent="0.25">
      <c r="D162">
        <v>3</v>
      </c>
      <c r="E162" t="s">
        <v>235</v>
      </c>
      <c r="F162" s="80" t="s">
        <v>244</v>
      </c>
      <c r="G162" t="s">
        <v>237</v>
      </c>
      <c r="I162">
        <v>10</v>
      </c>
      <c r="J162">
        <v>0</v>
      </c>
      <c r="K162" t="s">
        <v>329</v>
      </c>
    </row>
    <row r="163" spans="1:11" x14ac:dyDescent="0.25">
      <c r="D163">
        <v>4</v>
      </c>
      <c r="E163" t="s">
        <v>235</v>
      </c>
      <c r="F163" s="80" t="s">
        <v>260</v>
      </c>
      <c r="G163" t="s">
        <v>237</v>
      </c>
      <c r="I163">
        <v>10</v>
      </c>
      <c r="J163">
        <v>0</v>
      </c>
      <c r="K163" t="s">
        <v>260</v>
      </c>
    </row>
    <row r="164" spans="1:11" x14ac:dyDescent="0.25">
      <c r="D164">
        <v>5</v>
      </c>
      <c r="E164" t="s">
        <v>235</v>
      </c>
      <c r="F164" s="80" t="s">
        <v>102</v>
      </c>
      <c r="G164" t="s">
        <v>237</v>
      </c>
      <c r="I164">
        <v>10</v>
      </c>
      <c r="J164">
        <v>0</v>
      </c>
      <c r="K164" t="s">
        <v>332</v>
      </c>
    </row>
    <row r="165" spans="1:11" x14ac:dyDescent="0.25">
      <c r="D165">
        <v>6</v>
      </c>
      <c r="E165" t="s">
        <v>235</v>
      </c>
      <c r="F165" s="80" t="s">
        <v>271</v>
      </c>
      <c r="G165" t="s">
        <v>272</v>
      </c>
      <c r="I165">
        <v>3</v>
      </c>
      <c r="K165" t="s">
        <v>377</v>
      </c>
    </row>
    <row r="166" spans="1:11" x14ac:dyDescent="0.25">
      <c r="A166" t="s">
        <v>281</v>
      </c>
    </row>
    <row r="167" spans="1:11" x14ac:dyDescent="0.25">
      <c r="A167" t="s">
        <v>282</v>
      </c>
    </row>
    <row r="168" spans="1:11" x14ac:dyDescent="0.25">
      <c r="D168">
        <v>1</v>
      </c>
      <c r="E168" t="s">
        <v>235</v>
      </c>
      <c r="F168" s="80" t="s">
        <v>247</v>
      </c>
      <c r="G168" t="s">
        <v>248</v>
      </c>
      <c r="H168">
        <v>2</v>
      </c>
      <c r="K168" t="s">
        <v>247</v>
      </c>
    </row>
    <row r="169" spans="1:11" x14ac:dyDescent="0.25">
      <c r="A169" t="s">
        <v>283</v>
      </c>
    </row>
    <row r="170" spans="1:11" x14ac:dyDescent="0.25">
      <c r="A170" t="s">
        <v>284</v>
      </c>
    </row>
    <row r="171" spans="1:11" x14ac:dyDescent="0.25">
      <c r="D171">
        <v>1</v>
      </c>
      <c r="E171" t="s">
        <v>235</v>
      </c>
      <c r="F171" s="80" t="s">
        <v>236</v>
      </c>
      <c r="G171" t="s">
        <v>237</v>
      </c>
      <c r="I171">
        <v>10</v>
      </c>
      <c r="J171">
        <v>0</v>
      </c>
      <c r="K171" t="s">
        <v>326</v>
      </c>
    </row>
    <row r="172" spans="1:11" x14ac:dyDescent="0.25">
      <c r="D172">
        <v>2</v>
      </c>
      <c r="E172" t="s">
        <v>235</v>
      </c>
      <c r="F172" s="80" t="s">
        <v>247</v>
      </c>
      <c r="G172" t="s">
        <v>248</v>
      </c>
      <c r="H172">
        <v>2</v>
      </c>
      <c r="K172" t="s">
        <v>247</v>
      </c>
    </row>
    <row r="173" spans="1:11" x14ac:dyDescent="0.25">
      <c r="A173" t="s">
        <v>285</v>
      </c>
    </row>
    <row r="174" spans="1:11" x14ac:dyDescent="0.25">
      <c r="A174" t="s">
        <v>286</v>
      </c>
    </row>
    <row r="175" spans="1:11" x14ac:dyDescent="0.25">
      <c r="D175">
        <v>1</v>
      </c>
      <c r="E175" t="s">
        <v>235</v>
      </c>
      <c r="F175" s="80" t="s">
        <v>236</v>
      </c>
      <c r="G175" t="s">
        <v>237</v>
      </c>
      <c r="I175">
        <v>10</v>
      </c>
      <c r="J175">
        <v>0</v>
      </c>
      <c r="K175" t="s">
        <v>326</v>
      </c>
    </row>
    <row r="176" spans="1:11" x14ac:dyDescent="0.25">
      <c r="D176">
        <v>2</v>
      </c>
      <c r="E176" t="s">
        <v>235</v>
      </c>
      <c r="F176" s="80" t="s">
        <v>247</v>
      </c>
      <c r="G176" t="s">
        <v>248</v>
      </c>
      <c r="H176">
        <v>2</v>
      </c>
      <c r="K176" t="s">
        <v>247</v>
      </c>
    </row>
    <row r="177" spans="1:19" x14ac:dyDescent="0.25">
      <c r="A177" t="s">
        <v>287</v>
      </c>
    </row>
    <row r="178" spans="1:19" x14ac:dyDescent="0.25">
      <c r="A178" t="s">
        <v>288</v>
      </c>
    </row>
    <row r="179" spans="1:19" x14ac:dyDescent="0.25">
      <c r="D179">
        <v>1</v>
      </c>
      <c r="E179" t="s">
        <v>235</v>
      </c>
      <c r="F179" s="80" t="s">
        <v>236</v>
      </c>
      <c r="G179" t="s">
        <v>237</v>
      </c>
      <c r="I179">
        <v>10</v>
      </c>
      <c r="J179">
        <v>0</v>
      </c>
      <c r="K179" t="s">
        <v>326</v>
      </c>
    </row>
    <row r="180" spans="1:19" x14ac:dyDescent="0.25">
      <c r="D180">
        <v>2</v>
      </c>
      <c r="E180" t="s">
        <v>235</v>
      </c>
      <c r="F180" s="80" t="s">
        <v>247</v>
      </c>
      <c r="G180" t="s">
        <v>248</v>
      </c>
      <c r="H180">
        <v>2</v>
      </c>
      <c r="K180" t="s">
        <v>247</v>
      </c>
    </row>
    <row r="181" spans="1:19" x14ac:dyDescent="0.25">
      <c r="A181" t="s">
        <v>289</v>
      </c>
    </row>
    <row r="182" spans="1:19" x14ac:dyDescent="0.25">
      <c r="A182" t="s">
        <v>290</v>
      </c>
    </row>
    <row r="183" spans="1:19" x14ac:dyDescent="0.25">
      <c r="D183">
        <v>1</v>
      </c>
      <c r="E183" t="s">
        <v>235</v>
      </c>
      <c r="F183" s="80" t="s">
        <v>236</v>
      </c>
      <c r="G183" t="s">
        <v>237</v>
      </c>
      <c r="I183">
        <v>10</v>
      </c>
      <c r="J183">
        <v>0</v>
      </c>
      <c r="K183" t="s">
        <v>326</v>
      </c>
      <c r="M183" t="s">
        <v>238</v>
      </c>
      <c r="N183" t="s">
        <v>239</v>
      </c>
      <c r="O183" t="s">
        <v>197</v>
      </c>
    </row>
    <row r="184" spans="1:19" x14ac:dyDescent="0.25">
      <c r="D184">
        <v>2</v>
      </c>
      <c r="E184" t="s">
        <v>235</v>
      </c>
      <c r="F184" s="80" t="s">
        <v>247</v>
      </c>
      <c r="G184" t="s">
        <v>248</v>
      </c>
      <c r="H184">
        <v>2</v>
      </c>
      <c r="K184" t="s">
        <v>247</v>
      </c>
      <c r="Q184">
        <v>0</v>
      </c>
    </row>
    <row r="185" spans="1:19" x14ac:dyDescent="0.25">
      <c r="A185" t="s">
        <v>291</v>
      </c>
    </row>
    <row r="186" spans="1:19" x14ac:dyDescent="0.25">
      <c r="A186" t="s">
        <v>490</v>
      </c>
    </row>
    <row r="187" spans="1:19" x14ac:dyDescent="0.25">
      <c r="D187">
        <v>1</v>
      </c>
      <c r="E187" t="s">
        <v>235</v>
      </c>
      <c r="F187" s="80" t="s">
        <v>236</v>
      </c>
      <c r="G187" t="s">
        <v>237</v>
      </c>
      <c r="I187">
        <v>10</v>
      </c>
      <c r="J187">
        <v>0</v>
      </c>
      <c r="K187" t="s">
        <v>326</v>
      </c>
      <c r="S187" t="b">
        <v>1</v>
      </c>
    </row>
    <row r="188" spans="1:19" x14ac:dyDescent="0.25">
      <c r="A188" t="s">
        <v>491</v>
      </c>
    </row>
    <row r="189" spans="1:19" x14ac:dyDescent="0.25">
      <c r="A189" t="s">
        <v>494</v>
      </c>
    </row>
    <row r="190" spans="1:19" x14ac:dyDescent="0.25">
      <c r="D190">
        <v>1</v>
      </c>
      <c r="E190" t="s">
        <v>235</v>
      </c>
      <c r="F190" s="80" t="s">
        <v>236</v>
      </c>
      <c r="G190" t="s">
        <v>237</v>
      </c>
      <c r="I190">
        <v>10</v>
      </c>
      <c r="J190">
        <v>0</v>
      </c>
      <c r="K190" t="s">
        <v>326</v>
      </c>
      <c r="S190" t="b">
        <v>1</v>
      </c>
    </row>
    <row r="191" spans="1:19" x14ac:dyDescent="0.25">
      <c r="A191" t="s">
        <v>495</v>
      </c>
    </row>
    <row r="192" spans="1:19" x14ac:dyDescent="0.25">
      <c r="A192" t="s">
        <v>498</v>
      </c>
    </row>
    <row r="193" spans="1:19" x14ac:dyDescent="0.25">
      <c r="D193">
        <v>1</v>
      </c>
      <c r="E193" t="s">
        <v>235</v>
      </c>
      <c r="F193" s="80" t="s">
        <v>236</v>
      </c>
      <c r="G193" t="s">
        <v>237</v>
      </c>
      <c r="I193">
        <v>10</v>
      </c>
      <c r="J193">
        <v>0</v>
      </c>
      <c r="K193" t="s">
        <v>326</v>
      </c>
      <c r="S193" t="b">
        <v>1</v>
      </c>
    </row>
    <row r="194" spans="1:19" x14ac:dyDescent="0.25">
      <c r="A194" t="s">
        <v>499</v>
      </c>
    </row>
    <row r="195" spans="1:19" x14ac:dyDescent="0.25">
      <c r="A195" t="s">
        <v>502</v>
      </c>
    </row>
    <row r="196" spans="1:19" x14ac:dyDescent="0.25">
      <c r="D196">
        <v>1</v>
      </c>
      <c r="E196" t="s">
        <v>235</v>
      </c>
      <c r="F196" s="80" t="s">
        <v>236</v>
      </c>
      <c r="G196" t="s">
        <v>237</v>
      </c>
      <c r="I196">
        <v>10</v>
      </c>
      <c r="J196">
        <v>0</v>
      </c>
      <c r="K196" t="s">
        <v>326</v>
      </c>
      <c r="S196" t="b">
        <v>1</v>
      </c>
    </row>
    <row r="197" spans="1:19" x14ac:dyDescent="0.25">
      <c r="D197">
        <v>2</v>
      </c>
      <c r="E197" t="s">
        <v>235</v>
      </c>
      <c r="F197" s="80" t="s">
        <v>247</v>
      </c>
      <c r="G197" t="s">
        <v>672</v>
      </c>
      <c r="H197">
        <v>10</v>
      </c>
      <c r="K197" t="s">
        <v>247</v>
      </c>
      <c r="S197" t="b">
        <v>1</v>
      </c>
    </row>
    <row r="198" spans="1:19" x14ac:dyDescent="0.25">
      <c r="A198" t="s">
        <v>503</v>
      </c>
    </row>
    <row r="199" spans="1:19" x14ac:dyDescent="0.25">
      <c r="A199" t="s">
        <v>506</v>
      </c>
    </row>
    <row r="200" spans="1:19" x14ac:dyDescent="0.25">
      <c r="D200">
        <v>1</v>
      </c>
      <c r="E200" t="s">
        <v>235</v>
      </c>
      <c r="F200" s="80" t="s">
        <v>236</v>
      </c>
      <c r="G200" t="s">
        <v>237</v>
      </c>
      <c r="I200">
        <v>10</v>
      </c>
      <c r="J200">
        <v>0</v>
      </c>
      <c r="K200" t="s">
        <v>326</v>
      </c>
      <c r="S200" t="b">
        <v>1</v>
      </c>
    </row>
    <row r="201" spans="1:19" x14ac:dyDescent="0.25">
      <c r="A201" t="s">
        <v>507</v>
      </c>
    </row>
    <row r="202" spans="1:19" x14ac:dyDescent="0.25">
      <c r="A202" t="s">
        <v>510</v>
      </c>
    </row>
    <row r="203" spans="1:19" x14ac:dyDescent="0.25">
      <c r="D203">
        <v>1</v>
      </c>
      <c r="E203" t="s">
        <v>235</v>
      </c>
      <c r="F203" s="80" t="s">
        <v>236</v>
      </c>
      <c r="G203" t="s">
        <v>237</v>
      </c>
      <c r="I203">
        <v>10</v>
      </c>
      <c r="J203">
        <v>0</v>
      </c>
      <c r="K203" t="s">
        <v>326</v>
      </c>
      <c r="S203" t="b">
        <v>1</v>
      </c>
    </row>
    <row r="204" spans="1:19" x14ac:dyDescent="0.25">
      <c r="D204">
        <v>2</v>
      </c>
      <c r="E204" t="s">
        <v>235</v>
      </c>
      <c r="F204" s="80" t="s">
        <v>247</v>
      </c>
      <c r="G204" t="s">
        <v>672</v>
      </c>
      <c r="H204">
        <v>10</v>
      </c>
      <c r="K204" t="s">
        <v>247</v>
      </c>
      <c r="S204" t="b">
        <v>1</v>
      </c>
    </row>
    <row r="205" spans="1:19" x14ac:dyDescent="0.25">
      <c r="A205" t="s">
        <v>511</v>
      </c>
    </row>
    <row r="206" spans="1:19" x14ac:dyDescent="0.25">
      <c r="A206" t="s">
        <v>464</v>
      </c>
    </row>
    <row r="208" spans="1:19" x14ac:dyDescent="0.25">
      <c r="A208">
        <v>1</v>
      </c>
      <c r="B208" s="80" t="s">
        <v>292</v>
      </c>
    </row>
    <row r="209" spans="1:19" x14ac:dyDescent="0.25">
      <c r="A209" t="s">
        <v>465</v>
      </c>
    </row>
    <row r="210" spans="1:19" x14ac:dyDescent="0.25">
      <c r="A210" t="s">
        <v>474</v>
      </c>
    </row>
    <row r="211" spans="1:19" x14ac:dyDescent="0.25">
      <c r="D211">
        <v>1</v>
      </c>
      <c r="E211" t="s">
        <v>235</v>
      </c>
      <c r="F211" s="80" t="s">
        <v>236</v>
      </c>
      <c r="G211" t="s">
        <v>237</v>
      </c>
      <c r="I211">
        <v>10</v>
      </c>
      <c r="J211">
        <v>0</v>
      </c>
      <c r="K211" t="s">
        <v>326</v>
      </c>
      <c r="M211" t="s">
        <v>238</v>
      </c>
      <c r="N211" t="s">
        <v>239</v>
      </c>
      <c r="O211" t="s">
        <v>197</v>
      </c>
      <c r="S211" t="b">
        <v>0</v>
      </c>
    </row>
    <row r="212" spans="1:19" x14ac:dyDescent="0.25">
      <c r="D212">
        <v>2</v>
      </c>
      <c r="E212" t="s">
        <v>235</v>
      </c>
      <c r="F212" s="80" t="s">
        <v>240</v>
      </c>
      <c r="G212" t="s">
        <v>237</v>
      </c>
      <c r="I212">
        <v>10</v>
      </c>
      <c r="J212">
        <v>0</v>
      </c>
      <c r="K212" t="s">
        <v>327</v>
      </c>
      <c r="M212" t="s">
        <v>238</v>
      </c>
      <c r="N212" t="s">
        <v>241</v>
      </c>
      <c r="O212" t="s">
        <v>197</v>
      </c>
      <c r="S212" t="b">
        <v>0</v>
      </c>
    </row>
    <row r="213" spans="1:19" x14ac:dyDescent="0.25">
      <c r="D213">
        <v>3</v>
      </c>
      <c r="E213" t="s">
        <v>235</v>
      </c>
      <c r="F213" s="80" t="s">
        <v>242</v>
      </c>
      <c r="G213" t="s">
        <v>237</v>
      </c>
      <c r="I213">
        <v>10</v>
      </c>
      <c r="J213">
        <v>0</v>
      </c>
      <c r="K213" t="s">
        <v>328</v>
      </c>
      <c r="M213" t="s">
        <v>238</v>
      </c>
      <c r="N213" t="s">
        <v>243</v>
      </c>
      <c r="O213" t="s">
        <v>197</v>
      </c>
      <c r="S213" t="b">
        <v>1</v>
      </c>
    </row>
    <row r="214" spans="1:19" x14ac:dyDescent="0.25">
      <c r="D214">
        <v>4</v>
      </c>
      <c r="E214" t="s">
        <v>235</v>
      </c>
      <c r="F214" s="80" t="s">
        <v>244</v>
      </c>
      <c r="G214" t="s">
        <v>237</v>
      </c>
      <c r="I214">
        <v>10</v>
      </c>
      <c r="J214">
        <v>0</v>
      </c>
      <c r="K214" t="s">
        <v>329</v>
      </c>
      <c r="M214" t="s">
        <v>238</v>
      </c>
      <c r="N214" t="s">
        <v>245</v>
      </c>
      <c r="O214" t="s">
        <v>197</v>
      </c>
      <c r="S214" t="b">
        <v>1</v>
      </c>
    </row>
    <row r="215" spans="1:19" x14ac:dyDescent="0.25">
      <c r="D215">
        <v>5</v>
      </c>
      <c r="E215" t="s">
        <v>235</v>
      </c>
      <c r="F215" s="80" t="s">
        <v>246</v>
      </c>
      <c r="G215" t="s">
        <v>237</v>
      </c>
      <c r="I215">
        <v>10</v>
      </c>
      <c r="J215">
        <v>0</v>
      </c>
      <c r="K215" t="s">
        <v>330</v>
      </c>
      <c r="S215" t="b">
        <v>1</v>
      </c>
    </row>
    <row r="216" spans="1:19" x14ac:dyDescent="0.25">
      <c r="D216">
        <v>6</v>
      </c>
      <c r="E216" t="s">
        <v>235</v>
      </c>
      <c r="F216" s="80" t="s">
        <v>247</v>
      </c>
      <c r="G216" t="s">
        <v>672</v>
      </c>
      <c r="H216">
        <v>10</v>
      </c>
      <c r="K216" t="s">
        <v>247</v>
      </c>
      <c r="S216" t="b">
        <v>1</v>
      </c>
    </row>
    <row r="217" spans="1:19" x14ac:dyDescent="0.25">
      <c r="A217" t="s">
        <v>475</v>
      </c>
    </row>
    <row r="218" spans="1:19" x14ac:dyDescent="0.25">
      <c r="A218" t="s">
        <v>476</v>
      </c>
    </row>
    <row r="219" spans="1:19" x14ac:dyDescent="0.25">
      <c r="A219" t="s">
        <v>249</v>
      </c>
      <c r="B219" t="s">
        <v>238</v>
      </c>
      <c r="C219" t="s">
        <v>306</v>
      </c>
      <c r="E219" t="s">
        <v>251</v>
      </c>
      <c r="F219" t="s">
        <v>252</v>
      </c>
      <c r="H219" t="s">
        <v>331</v>
      </c>
      <c r="J219" t="s">
        <v>197</v>
      </c>
      <c r="K219">
        <v>11</v>
      </c>
      <c r="L219" s="80" t="s">
        <v>253</v>
      </c>
    </row>
    <row r="220" spans="1:19" x14ac:dyDescent="0.25">
      <c r="A220" t="s">
        <v>249</v>
      </c>
      <c r="B220" t="s">
        <v>238</v>
      </c>
      <c r="C220" t="s">
        <v>306</v>
      </c>
      <c r="E220" t="s">
        <v>251</v>
      </c>
      <c r="F220" t="s">
        <v>254</v>
      </c>
      <c r="H220" t="s">
        <v>254</v>
      </c>
      <c r="J220" t="s">
        <v>255</v>
      </c>
      <c r="K220">
        <v>90</v>
      </c>
    </row>
    <row r="221" spans="1:19" x14ac:dyDescent="0.25">
      <c r="A221" t="s">
        <v>249</v>
      </c>
      <c r="B221" t="s">
        <v>238</v>
      </c>
      <c r="C221" t="s">
        <v>306</v>
      </c>
      <c r="E221" t="s">
        <v>251</v>
      </c>
      <c r="F221" t="s">
        <v>307</v>
      </c>
      <c r="H221" t="s">
        <v>666</v>
      </c>
      <c r="J221" t="s">
        <v>257</v>
      </c>
      <c r="K221">
        <v>91</v>
      </c>
      <c r="N221" t="s">
        <v>308</v>
      </c>
    </row>
    <row r="222" spans="1:19" x14ac:dyDescent="0.25">
      <c r="A222" t="s">
        <v>249</v>
      </c>
      <c r="B222" t="s">
        <v>238</v>
      </c>
      <c r="C222" t="s">
        <v>306</v>
      </c>
      <c r="D222" s="80" t="s">
        <v>240</v>
      </c>
      <c r="E222" t="s">
        <v>540</v>
      </c>
      <c r="J222" t="s">
        <v>515</v>
      </c>
      <c r="N222" s="80" t="s">
        <v>541</v>
      </c>
    </row>
    <row r="223" spans="1:19" x14ac:dyDescent="0.25">
      <c r="A223" t="s">
        <v>249</v>
      </c>
      <c r="B223" t="s">
        <v>238</v>
      </c>
      <c r="C223" t="s">
        <v>306</v>
      </c>
      <c r="D223" s="80" t="s">
        <v>236</v>
      </c>
      <c r="E223" t="s">
        <v>540</v>
      </c>
      <c r="J223" t="s">
        <v>515</v>
      </c>
      <c r="N223" s="80" t="s">
        <v>49</v>
      </c>
    </row>
    <row r="224" spans="1:19" x14ac:dyDescent="0.25">
      <c r="A224" t="s">
        <v>249</v>
      </c>
      <c r="B224" t="s">
        <v>238</v>
      </c>
      <c r="C224" t="s">
        <v>306</v>
      </c>
      <c r="D224" s="80" t="s">
        <v>244</v>
      </c>
      <c r="E224" t="s">
        <v>540</v>
      </c>
      <c r="J224" t="s">
        <v>515</v>
      </c>
      <c r="N224" s="80" t="s">
        <v>542</v>
      </c>
    </row>
    <row r="225" spans="1:14" x14ac:dyDescent="0.25">
      <c r="A225" t="s">
        <v>249</v>
      </c>
      <c r="B225" t="s">
        <v>238</v>
      </c>
      <c r="C225" t="s">
        <v>306</v>
      </c>
      <c r="D225" s="80" t="s">
        <v>246</v>
      </c>
      <c r="E225" t="s">
        <v>540</v>
      </c>
      <c r="J225" t="s">
        <v>515</v>
      </c>
      <c r="N225" s="80" t="s">
        <v>74</v>
      </c>
    </row>
    <row r="226" spans="1:14" x14ac:dyDescent="0.25">
      <c r="A226" t="s">
        <v>249</v>
      </c>
      <c r="B226" t="s">
        <v>238</v>
      </c>
      <c r="C226" t="s">
        <v>306</v>
      </c>
      <c r="D226" s="80" t="s">
        <v>242</v>
      </c>
      <c r="E226" t="s">
        <v>540</v>
      </c>
      <c r="J226" t="s">
        <v>515</v>
      </c>
      <c r="N226" s="80" t="s">
        <v>543</v>
      </c>
    </row>
    <row r="227" spans="1:14" x14ac:dyDescent="0.25">
      <c r="A227" t="s">
        <v>249</v>
      </c>
      <c r="B227" t="s">
        <v>238</v>
      </c>
      <c r="C227" t="s">
        <v>306</v>
      </c>
      <c r="E227" t="s">
        <v>514</v>
      </c>
      <c r="J227" t="s">
        <v>515</v>
      </c>
    </row>
    <row r="228" spans="1:14" x14ac:dyDescent="0.25">
      <c r="A228" t="s">
        <v>249</v>
      </c>
      <c r="B228" t="s">
        <v>238</v>
      </c>
      <c r="C228" t="s">
        <v>306</v>
      </c>
      <c r="E228" t="s">
        <v>31</v>
      </c>
      <c r="J228" t="s">
        <v>515</v>
      </c>
      <c r="N228" t="s">
        <v>544</v>
      </c>
    </row>
    <row r="229" spans="1:14" x14ac:dyDescent="0.25">
      <c r="A229" t="s">
        <v>249</v>
      </c>
      <c r="B229" t="s">
        <v>238</v>
      </c>
      <c r="C229" t="s">
        <v>306</v>
      </c>
      <c r="D229" s="80" t="s">
        <v>545</v>
      </c>
      <c r="E229" t="s">
        <v>546</v>
      </c>
      <c r="J229" t="s">
        <v>515</v>
      </c>
      <c r="N229" t="s">
        <v>260</v>
      </c>
    </row>
    <row r="230" spans="1:14" x14ac:dyDescent="0.25">
      <c r="A230" t="s">
        <v>249</v>
      </c>
      <c r="B230" t="s">
        <v>238</v>
      </c>
      <c r="C230" t="s">
        <v>306</v>
      </c>
      <c r="D230" s="80" t="s">
        <v>151</v>
      </c>
      <c r="E230" t="s">
        <v>259</v>
      </c>
      <c r="J230" t="s">
        <v>515</v>
      </c>
      <c r="N230" t="s">
        <v>260</v>
      </c>
    </row>
    <row r="231" spans="1:14" x14ac:dyDescent="0.25">
      <c r="A231" t="s">
        <v>249</v>
      </c>
      <c r="B231" t="s">
        <v>238</v>
      </c>
      <c r="C231" t="s">
        <v>306</v>
      </c>
      <c r="D231" s="80" t="s">
        <v>105</v>
      </c>
      <c r="E231" t="s">
        <v>261</v>
      </c>
      <c r="F231" t="s">
        <v>262</v>
      </c>
      <c r="H231" t="s">
        <v>262</v>
      </c>
      <c r="J231" t="s">
        <v>197</v>
      </c>
    </row>
    <row r="232" spans="1:14" x14ac:dyDescent="0.25">
      <c r="A232" t="s">
        <v>249</v>
      </c>
      <c r="B232" t="s">
        <v>238</v>
      </c>
      <c r="C232" t="s">
        <v>306</v>
      </c>
      <c r="D232" s="80" t="s">
        <v>109</v>
      </c>
      <c r="E232" t="s">
        <v>261</v>
      </c>
      <c r="F232" t="s">
        <v>263</v>
      </c>
      <c r="H232" t="s">
        <v>263</v>
      </c>
      <c r="J232" t="s">
        <v>197</v>
      </c>
    </row>
    <row r="233" spans="1:14" x14ac:dyDescent="0.25">
      <c r="A233" t="s">
        <v>249</v>
      </c>
      <c r="B233" t="s">
        <v>238</v>
      </c>
      <c r="C233" t="s">
        <v>306</v>
      </c>
      <c r="D233" s="80" t="s">
        <v>108</v>
      </c>
      <c r="E233" t="s">
        <v>261</v>
      </c>
      <c r="F233" t="s">
        <v>264</v>
      </c>
      <c r="H233" t="s">
        <v>264</v>
      </c>
      <c r="J233" t="s">
        <v>197</v>
      </c>
    </row>
    <row r="234" spans="1:14" x14ac:dyDescent="0.25">
      <c r="A234" t="s">
        <v>249</v>
      </c>
      <c r="B234" t="s">
        <v>238</v>
      </c>
      <c r="C234" t="s">
        <v>306</v>
      </c>
      <c r="D234" s="80" t="s">
        <v>107</v>
      </c>
      <c r="E234" t="s">
        <v>261</v>
      </c>
      <c r="F234" t="s">
        <v>265</v>
      </c>
      <c r="H234" t="s">
        <v>265</v>
      </c>
      <c r="J234" t="s">
        <v>197</v>
      </c>
    </row>
    <row r="235" spans="1:14" x14ac:dyDescent="0.25">
      <c r="A235" t="s">
        <v>249</v>
      </c>
      <c r="B235" t="s">
        <v>238</v>
      </c>
      <c r="C235" t="s">
        <v>306</v>
      </c>
      <c r="D235" s="80" t="s">
        <v>111</v>
      </c>
      <c r="E235" t="s">
        <v>261</v>
      </c>
      <c r="F235" t="s">
        <v>266</v>
      </c>
      <c r="H235" t="s">
        <v>266</v>
      </c>
      <c r="J235" t="s">
        <v>197</v>
      </c>
    </row>
    <row r="236" spans="1:14" x14ac:dyDescent="0.25">
      <c r="A236" t="s">
        <v>249</v>
      </c>
      <c r="B236" t="s">
        <v>238</v>
      </c>
      <c r="C236" t="s">
        <v>306</v>
      </c>
      <c r="D236" s="80" t="s">
        <v>110</v>
      </c>
      <c r="E236" t="s">
        <v>261</v>
      </c>
      <c r="F236" t="s">
        <v>267</v>
      </c>
      <c r="H236" t="s">
        <v>267</v>
      </c>
      <c r="J236" t="s">
        <v>197</v>
      </c>
    </row>
    <row r="237" spans="1:14" x14ac:dyDescent="0.25">
      <c r="A237" t="s">
        <v>477</v>
      </c>
    </row>
    <row r="238" spans="1:14" x14ac:dyDescent="0.25">
      <c r="A238" t="s">
        <v>309</v>
      </c>
    </row>
    <row r="239" spans="1:14" x14ac:dyDescent="0.25">
      <c r="D239">
        <v>1</v>
      </c>
      <c r="E239" t="s">
        <v>235</v>
      </c>
      <c r="F239" s="80" t="s">
        <v>240</v>
      </c>
      <c r="G239" t="s">
        <v>237</v>
      </c>
      <c r="I239">
        <v>10</v>
      </c>
      <c r="J239">
        <v>0</v>
      </c>
      <c r="K239" t="s">
        <v>327</v>
      </c>
    </row>
    <row r="240" spans="1:14" x14ac:dyDescent="0.25">
      <c r="D240">
        <v>2</v>
      </c>
      <c r="E240" t="s">
        <v>235</v>
      </c>
      <c r="F240" s="80" t="s">
        <v>242</v>
      </c>
      <c r="G240" t="s">
        <v>237</v>
      </c>
      <c r="I240">
        <v>10</v>
      </c>
      <c r="J240">
        <v>0</v>
      </c>
      <c r="K240" t="s">
        <v>328</v>
      </c>
    </row>
    <row r="241" spans="4:11" x14ac:dyDescent="0.25">
      <c r="D241">
        <v>3</v>
      </c>
      <c r="E241" t="s">
        <v>235</v>
      </c>
      <c r="F241" s="80" t="s">
        <v>244</v>
      </c>
      <c r="G241" t="s">
        <v>237</v>
      </c>
      <c r="I241">
        <v>10</v>
      </c>
      <c r="J241">
        <v>0</v>
      </c>
      <c r="K241" t="s">
        <v>329</v>
      </c>
    </row>
    <row r="242" spans="4:11" x14ac:dyDescent="0.25">
      <c r="D242">
        <v>4</v>
      </c>
      <c r="E242" t="s">
        <v>235</v>
      </c>
      <c r="F242" s="80" t="s">
        <v>260</v>
      </c>
      <c r="G242" t="s">
        <v>237</v>
      </c>
      <c r="I242">
        <v>10</v>
      </c>
      <c r="J242">
        <v>0</v>
      </c>
      <c r="K242" t="s">
        <v>260</v>
      </c>
    </row>
    <row r="243" spans="4:11" x14ac:dyDescent="0.25">
      <c r="D243">
        <v>5</v>
      </c>
      <c r="E243" t="s">
        <v>235</v>
      </c>
      <c r="F243" s="80" t="s">
        <v>102</v>
      </c>
      <c r="G243" t="s">
        <v>237</v>
      </c>
      <c r="I243">
        <v>10</v>
      </c>
      <c r="J243">
        <v>0</v>
      </c>
      <c r="K243" t="s">
        <v>332</v>
      </c>
    </row>
    <row r="244" spans="4:11" x14ac:dyDescent="0.25">
      <c r="D244">
        <v>6</v>
      </c>
      <c r="E244" t="s">
        <v>235</v>
      </c>
      <c r="F244" s="80" t="s">
        <v>103</v>
      </c>
      <c r="G244" t="s">
        <v>237</v>
      </c>
      <c r="I244">
        <v>10</v>
      </c>
      <c r="J244">
        <v>0</v>
      </c>
      <c r="K244" t="s">
        <v>333</v>
      </c>
    </row>
    <row r="245" spans="4:11" x14ac:dyDescent="0.25">
      <c r="D245">
        <v>7</v>
      </c>
      <c r="E245" t="s">
        <v>235</v>
      </c>
      <c r="F245" s="80" t="s">
        <v>104</v>
      </c>
      <c r="G245" t="s">
        <v>269</v>
      </c>
      <c r="H245">
        <v>255</v>
      </c>
      <c r="K245" t="s">
        <v>3</v>
      </c>
    </row>
    <row r="246" spans="4:11" x14ac:dyDescent="0.25">
      <c r="D246">
        <v>8</v>
      </c>
      <c r="E246" t="s">
        <v>235</v>
      </c>
      <c r="F246" s="80" t="s">
        <v>105</v>
      </c>
      <c r="G246" t="s">
        <v>237</v>
      </c>
      <c r="I246">
        <v>10</v>
      </c>
      <c r="J246">
        <v>0</v>
      </c>
      <c r="K246" t="s">
        <v>32</v>
      </c>
    </row>
    <row r="247" spans="4:11" x14ac:dyDescent="0.25">
      <c r="D247">
        <v>9</v>
      </c>
      <c r="E247" t="s">
        <v>235</v>
      </c>
      <c r="F247" s="80" t="s">
        <v>107</v>
      </c>
      <c r="G247" t="s">
        <v>237</v>
      </c>
      <c r="I247">
        <v>10</v>
      </c>
      <c r="J247">
        <v>0</v>
      </c>
      <c r="K247" t="s">
        <v>334</v>
      </c>
    </row>
    <row r="248" spans="4:11" x14ac:dyDescent="0.25">
      <c r="D248">
        <v>10</v>
      </c>
      <c r="E248" t="s">
        <v>235</v>
      </c>
      <c r="F248" s="80" t="s">
        <v>108</v>
      </c>
      <c r="G248" t="s">
        <v>237</v>
      </c>
      <c r="I248">
        <v>10</v>
      </c>
      <c r="J248">
        <v>0</v>
      </c>
      <c r="K248" t="s">
        <v>7</v>
      </c>
    </row>
    <row r="249" spans="4:11" x14ac:dyDescent="0.25">
      <c r="D249">
        <v>11</v>
      </c>
      <c r="E249" t="s">
        <v>235</v>
      </c>
      <c r="F249" s="80" t="s">
        <v>109</v>
      </c>
      <c r="G249" t="s">
        <v>237</v>
      </c>
      <c r="I249">
        <v>10</v>
      </c>
      <c r="J249">
        <v>0</v>
      </c>
      <c r="K249" t="s">
        <v>335</v>
      </c>
    </row>
    <row r="250" spans="4:11" x14ac:dyDescent="0.25">
      <c r="D250">
        <v>12</v>
      </c>
      <c r="E250" t="s">
        <v>235</v>
      </c>
      <c r="F250" s="80" t="s">
        <v>110</v>
      </c>
      <c r="G250" t="s">
        <v>237</v>
      </c>
      <c r="I250">
        <v>10</v>
      </c>
      <c r="J250">
        <v>0</v>
      </c>
      <c r="K250" t="s">
        <v>336</v>
      </c>
    </row>
    <row r="251" spans="4:11" x14ac:dyDescent="0.25">
      <c r="D251">
        <v>13</v>
      </c>
      <c r="E251" t="s">
        <v>235</v>
      </c>
      <c r="F251" s="80" t="s">
        <v>111</v>
      </c>
      <c r="G251" t="s">
        <v>237</v>
      </c>
      <c r="I251">
        <v>10</v>
      </c>
      <c r="J251">
        <v>0</v>
      </c>
      <c r="K251" t="s">
        <v>337</v>
      </c>
    </row>
    <row r="252" spans="4:11" x14ac:dyDescent="0.25">
      <c r="D252">
        <v>14</v>
      </c>
      <c r="E252" t="s">
        <v>235</v>
      </c>
      <c r="F252" s="80" t="s">
        <v>112</v>
      </c>
      <c r="G252" t="s">
        <v>270</v>
      </c>
      <c r="I252">
        <v>19</v>
      </c>
      <c r="J252">
        <v>4</v>
      </c>
      <c r="K252" t="s">
        <v>338</v>
      </c>
    </row>
    <row r="253" spans="4:11" x14ac:dyDescent="0.25">
      <c r="D253">
        <v>15</v>
      </c>
      <c r="E253" t="s">
        <v>235</v>
      </c>
      <c r="F253" s="80" t="s">
        <v>113</v>
      </c>
      <c r="G253" t="s">
        <v>270</v>
      </c>
      <c r="I253">
        <v>19</v>
      </c>
      <c r="J253">
        <v>4</v>
      </c>
      <c r="K253" t="s">
        <v>339</v>
      </c>
    </row>
    <row r="254" spans="4:11" x14ac:dyDescent="0.25">
      <c r="D254">
        <v>16</v>
      </c>
      <c r="E254" t="s">
        <v>235</v>
      </c>
      <c r="F254" s="80" t="s">
        <v>114</v>
      </c>
      <c r="G254" t="s">
        <v>270</v>
      </c>
      <c r="I254">
        <v>19</v>
      </c>
      <c r="J254">
        <v>4</v>
      </c>
      <c r="K254" t="s">
        <v>340</v>
      </c>
    </row>
    <row r="255" spans="4:11" x14ac:dyDescent="0.25">
      <c r="D255">
        <v>17</v>
      </c>
      <c r="E255" t="s">
        <v>235</v>
      </c>
      <c r="F255" s="80" t="s">
        <v>115</v>
      </c>
      <c r="G255" t="s">
        <v>270</v>
      </c>
      <c r="I255">
        <v>19</v>
      </c>
      <c r="J255">
        <v>4</v>
      </c>
      <c r="K255" t="s">
        <v>341</v>
      </c>
    </row>
    <row r="256" spans="4:11" x14ac:dyDescent="0.25">
      <c r="D256">
        <v>18</v>
      </c>
      <c r="E256" t="s">
        <v>235</v>
      </c>
      <c r="F256" s="80" t="s">
        <v>116</v>
      </c>
      <c r="G256" t="s">
        <v>270</v>
      </c>
      <c r="I256">
        <v>19</v>
      </c>
      <c r="J256">
        <v>4</v>
      </c>
      <c r="K256" t="s">
        <v>342</v>
      </c>
    </row>
    <row r="257" spans="4:11" x14ac:dyDescent="0.25">
      <c r="D257">
        <v>19</v>
      </c>
      <c r="E257" t="s">
        <v>235</v>
      </c>
      <c r="F257" s="80" t="s">
        <v>117</v>
      </c>
      <c r="G257" t="s">
        <v>270</v>
      </c>
      <c r="I257">
        <v>19</v>
      </c>
      <c r="J257">
        <v>4</v>
      </c>
      <c r="K257" t="s">
        <v>343</v>
      </c>
    </row>
    <row r="258" spans="4:11" x14ac:dyDescent="0.25">
      <c r="D258">
        <v>20</v>
      </c>
      <c r="E258" t="s">
        <v>235</v>
      </c>
      <c r="F258" s="80" t="s">
        <v>118</v>
      </c>
      <c r="G258" t="s">
        <v>270</v>
      </c>
      <c r="I258">
        <v>19</v>
      </c>
      <c r="J258">
        <v>4</v>
      </c>
      <c r="K258" t="s">
        <v>344</v>
      </c>
    </row>
    <row r="259" spans="4:11" x14ac:dyDescent="0.25">
      <c r="D259">
        <v>21</v>
      </c>
      <c r="E259" t="s">
        <v>235</v>
      </c>
      <c r="F259" s="80" t="s">
        <v>119</v>
      </c>
      <c r="G259" t="s">
        <v>270</v>
      </c>
      <c r="I259">
        <v>19</v>
      </c>
      <c r="J259">
        <v>4</v>
      </c>
      <c r="K259" t="s">
        <v>345</v>
      </c>
    </row>
    <row r="260" spans="4:11" x14ac:dyDescent="0.25">
      <c r="D260">
        <v>22</v>
      </c>
      <c r="E260" t="s">
        <v>235</v>
      </c>
      <c r="F260" s="80" t="s">
        <v>120</v>
      </c>
      <c r="G260" t="s">
        <v>270</v>
      </c>
      <c r="I260">
        <v>19</v>
      </c>
      <c r="J260">
        <v>4</v>
      </c>
      <c r="K260" t="s">
        <v>346</v>
      </c>
    </row>
    <row r="261" spans="4:11" x14ac:dyDescent="0.25">
      <c r="D261">
        <v>23</v>
      </c>
      <c r="E261" t="s">
        <v>235</v>
      </c>
      <c r="F261" s="80" t="s">
        <v>121</v>
      </c>
      <c r="G261" t="s">
        <v>270</v>
      </c>
      <c r="I261">
        <v>19</v>
      </c>
      <c r="J261">
        <v>4</v>
      </c>
      <c r="K261" t="s">
        <v>347</v>
      </c>
    </row>
    <row r="262" spans="4:11" x14ac:dyDescent="0.25">
      <c r="D262">
        <v>24</v>
      </c>
      <c r="E262" t="s">
        <v>235</v>
      </c>
      <c r="F262" s="80" t="s">
        <v>122</v>
      </c>
      <c r="G262" t="s">
        <v>270</v>
      </c>
      <c r="I262">
        <v>19</v>
      </c>
      <c r="J262">
        <v>4</v>
      </c>
      <c r="K262" t="s">
        <v>348</v>
      </c>
    </row>
    <row r="263" spans="4:11" x14ac:dyDescent="0.25">
      <c r="D263">
        <v>25</v>
      </c>
      <c r="E263" t="s">
        <v>235</v>
      </c>
      <c r="F263" s="80" t="s">
        <v>123</v>
      </c>
      <c r="G263" t="s">
        <v>270</v>
      </c>
      <c r="I263">
        <v>19</v>
      </c>
      <c r="J263">
        <v>4</v>
      </c>
      <c r="K263" t="s">
        <v>349</v>
      </c>
    </row>
    <row r="264" spans="4:11" x14ac:dyDescent="0.25">
      <c r="D264">
        <v>26</v>
      </c>
      <c r="E264" t="s">
        <v>235</v>
      </c>
      <c r="F264" s="80" t="s">
        <v>124</v>
      </c>
      <c r="G264" t="s">
        <v>270</v>
      </c>
      <c r="I264">
        <v>19</v>
      </c>
      <c r="J264">
        <v>4</v>
      </c>
      <c r="K264" t="s">
        <v>350</v>
      </c>
    </row>
    <row r="265" spans="4:11" x14ac:dyDescent="0.25">
      <c r="D265">
        <v>27</v>
      </c>
      <c r="E265" t="s">
        <v>235</v>
      </c>
      <c r="F265" s="80" t="s">
        <v>125</v>
      </c>
      <c r="G265" t="s">
        <v>270</v>
      </c>
      <c r="I265">
        <v>19</v>
      </c>
      <c r="J265">
        <v>4</v>
      </c>
      <c r="K265" t="s">
        <v>351</v>
      </c>
    </row>
    <row r="266" spans="4:11" x14ac:dyDescent="0.25">
      <c r="D266">
        <v>28</v>
      </c>
      <c r="E266" t="s">
        <v>235</v>
      </c>
      <c r="F266" s="80" t="s">
        <v>126</v>
      </c>
      <c r="G266" t="s">
        <v>270</v>
      </c>
      <c r="I266">
        <v>19</v>
      </c>
      <c r="J266">
        <v>4</v>
      </c>
      <c r="K266" t="s">
        <v>352</v>
      </c>
    </row>
    <row r="267" spans="4:11" x14ac:dyDescent="0.25">
      <c r="D267">
        <v>29</v>
      </c>
      <c r="E267" t="s">
        <v>235</v>
      </c>
      <c r="F267" s="80" t="s">
        <v>127</v>
      </c>
      <c r="G267" t="s">
        <v>270</v>
      </c>
      <c r="I267">
        <v>19</v>
      </c>
      <c r="J267">
        <v>4</v>
      </c>
      <c r="K267" t="s">
        <v>353</v>
      </c>
    </row>
    <row r="268" spans="4:11" x14ac:dyDescent="0.25">
      <c r="D268">
        <v>30</v>
      </c>
      <c r="E268" t="s">
        <v>235</v>
      </c>
      <c r="F268" s="80" t="s">
        <v>128</v>
      </c>
      <c r="G268" t="s">
        <v>270</v>
      </c>
      <c r="I268">
        <v>19</v>
      </c>
      <c r="J268">
        <v>4</v>
      </c>
      <c r="K268" t="s">
        <v>354</v>
      </c>
    </row>
    <row r="269" spans="4:11" x14ac:dyDescent="0.25">
      <c r="D269">
        <v>31</v>
      </c>
      <c r="E269" t="s">
        <v>235</v>
      </c>
      <c r="F269" s="80" t="s">
        <v>129</v>
      </c>
      <c r="G269" t="s">
        <v>270</v>
      </c>
      <c r="I269">
        <v>19</v>
      </c>
      <c r="J269">
        <v>4</v>
      </c>
      <c r="K269" t="s">
        <v>355</v>
      </c>
    </row>
    <row r="270" spans="4:11" x14ac:dyDescent="0.25">
      <c r="D270">
        <v>32</v>
      </c>
      <c r="E270" t="s">
        <v>235</v>
      </c>
      <c r="F270" s="80" t="s">
        <v>130</v>
      </c>
      <c r="G270" t="s">
        <v>270</v>
      </c>
      <c r="I270">
        <v>19</v>
      </c>
      <c r="J270">
        <v>4</v>
      </c>
      <c r="K270" t="s">
        <v>356</v>
      </c>
    </row>
    <row r="271" spans="4:11" x14ac:dyDescent="0.25">
      <c r="D271">
        <v>33</v>
      </c>
      <c r="E271" t="s">
        <v>235</v>
      </c>
      <c r="F271" s="80" t="s">
        <v>131</v>
      </c>
      <c r="G271" t="s">
        <v>270</v>
      </c>
      <c r="I271">
        <v>19</v>
      </c>
      <c r="J271">
        <v>4</v>
      </c>
      <c r="K271" t="s">
        <v>357</v>
      </c>
    </row>
    <row r="272" spans="4:11" x14ac:dyDescent="0.25">
      <c r="D272">
        <v>34</v>
      </c>
      <c r="E272" t="s">
        <v>235</v>
      </c>
      <c r="F272" s="80" t="s">
        <v>132</v>
      </c>
      <c r="G272" t="s">
        <v>270</v>
      </c>
      <c r="I272">
        <v>19</v>
      </c>
      <c r="J272">
        <v>4</v>
      </c>
      <c r="K272" t="s">
        <v>358</v>
      </c>
    </row>
    <row r="273" spans="4:11" x14ac:dyDescent="0.25">
      <c r="D273">
        <v>35</v>
      </c>
      <c r="E273" t="s">
        <v>235</v>
      </c>
      <c r="F273" s="80" t="s">
        <v>133</v>
      </c>
      <c r="G273" t="s">
        <v>270</v>
      </c>
      <c r="I273">
        <v>19</v>
      </c>
      <c r="J273">
        <v>4</v>
      </c>
      <c r="K273" t="s">
        <v>359</v>
      </c>
    </row>
    <row r="274" spans="4:11" x14ac:dyDescent="0.25">
      <c r="D274">
        <v>36</v>
      </c>
      <c r="E274" t="s">
        <v>235</v>
      </c>
      <c r="F274" s="80" t="s">
        <v>134</v>
      </c>
      <c r="G274" t="s">
        <v>270</v>
      </c>
      <c r="I274">
        <v>19</v>
      </c>
      <c r="J274">
        <v>4</v>
      </c>
      <c r="K274" t="s">
        <v>360</v>
      </c>
    </row>
    <row r="275" spans="4:11" x14ac:dyDescent="0.25">
      <c r="D275">
        <v>37</v>
      </c>
      <c r="E275" t="s">
        <v>235</v>
      </c>
      <c r="F275" s="80" t="s">
        <v>135</v>
      </c>
      <c r="G275" t="s">
        <v>270</v>
      </c>
      <c r="I275">
        <v>19</v>
      </c>
      <c r="J275">
        <v>4</v>
      </c>
      <c r="K275" t="s">
        <v>361</v>
      </c>
    </row>
    <row r="276" spans="4:11" x14ac:dyDescent="0.25">
      <c r="D276">
        <v>38</v>
      </c>
      <c r="E276" t="s">
        <v>235</v>
      </c>
      <c r="F276" s="80" t="s">
        <v>136</v>
      </c>
      <c r="G276" t="s">
        <v>270</v>
      </c>
      <c r="I276">
        <v>19</v>
      </c>
      <c r="J276">
        <v>4</v>
      </c>
      <c r="K276" t="s">
        <v>362</v>
      </c>
    </row>
    <row r="277" spans="4:11" x14ac:dyDescent="0.25">
      <c r="D277">
        <v>39</v>
      </c>
      <c r="E277" t="s">
        <v>235</v>
      </c>
      <c r="F277" s="80" t="s">
        <v>137</v>
      </c>
      <c r="G277" t="s">
        <v>270</v>
      </c>
      <c r="I277">
        <v>19</v>
      </c>
      <c r="J277">
        <v>4</v>
      </c>
      <c r="K277" t="s">
        <v>363</v>
      </c>
    </row>
    <row r="278" spans="4:11" x14ac:dyDescent="0.25">
      <c r="D278">
        <v>40</v>
      </c>
      <c r="E278" t="s">
        <v>235</v>
      </c>
      <c r="F278" s="80" t="s">
        <v>138</v>
      </c>
      <c r="G278" t="s">
        <v>270</v>
      </c>
      <c r="I278">
        <v>19</v>
      </c>
      <c r="J278">
        <v>4</v>
      </c>
      <c r="K278" t="s">
        <v>364</v>
      </c>
    </row>
    <row r="279" spans="4:11" x14ac:dyDescent="0.25">
      <c r="D279">
        <v>41</v>
      </c>
      <c r="E279" t="s">
        <v>235</v>
      </c>
      <c r="F279" s="80" t="s">
        <v>139</v>
      </c>
      <c r="G279" t="s">
        <v>270</v>
      </c>
      <c r="I279">
        <v>19</v>
      </c>
      <c r="J279">
        <v>4</v>
      </c>
      <c r="K279" t="s">
        <v>365</v>
      </c>
    </row>
    <row r="280" spans="4:11" x14ac:dyDescent="0.25">
      <c r="D280">
        <v>42</v>
      </c>
      <c r="E280" t="s">
        <v>235</v>
      </c>
      <c r="F280" s="80" t="s">
        <v>140</v>
      </c>
      <c r="G280" t="s">
        <v>270</v>
      </c>
      <c r="I280">
        <v>19</v>
      </c>
      <c r="J280">
        <v>4</v>
      </c>
      <c r="K280" t="s">
        <v>366</v>
      </c>
    </row>
    <row r="281" spans="4:11" x14ac:dyDescent="0.25">
      <c r="D281">
        <v>43</v>
      </c>
      <c r="E281" t="s">
        <v>235</v>
      </c>
      <c r="F281" s="80" t="s">
        <v>141</v>
      </c>
      <c r="G281" t="s">
        <v>270</v>
      </c>
      <c r="I281">
        <v>19</v>
      </c>
      <c r="J281">
        <v>4</v>
      </c>
      <c r="K281" t="s">
        <v>367</v>
      </c>
    </row>
    <row r="282" spans="4:11" x14ac:dyDescent="0.25">
      <c r="D282">
        <v>44</v>
      </c>
      <c r="E282" t="s">
        <v>235</v>
      </c>
      <c r="F282" s="80" t="s">
        <v>142</v>
      </c>
      <c r="G282" t="s">
        <v>270</v>
      </c>
      <c r="I282">
        <v>19</v>
      </c>
      <c r="J282">
        <v>4</v>
      </c>
      <c r="K282" t="s">
        <v>368</v>
      </c>
    </row>
    <row r="283" spans="4:11" x14ac:dyDescent="0.25">
      <c r="D283">
        <v>45</v>
      </c>
      <c r="E283" t="s">
        <v>235</v>
      </c>
      <c r="F283" s="80" t="s">
        <v>143</v>
      </c>
      <c r="G283" t="s">
        <v>270</v>
      </c>
      <c r="I283">
        <v>19</v>
      </c>
      <c r="J283">
        <v>4</v>
      </c>
      <c r="K283" t="s">
        <v>369</v>
      </c>
    </row>
    <row r="284" spans="4:11" x14ac:dyDescent="0.25">
      <c r="D284">
        <v>46</v>
      </c>
      <c r="E284" t="s">
        <v>235</v>
      </c>
      <c r="F284" s="80" t="s">
        <v>144</v>
      </c>
      <c r="G284" t="s">
        <v>270</v>
      </c>
      <c r="I284">
        <v>19</v>
      </c>
      <c r="J284">
        <v>4</v>
      </c>
      <c r="K284" t="s">
        <v>370</v>
      </c>
    </row>
    <row r="285" spans="4:11" x14ac:dyDescent="0.25">
      <c r="D285">
        <v>47</v>
      </c>
      <c r="E285" t="s">
        <v>235</v>
      </c>
      <c r="F285" s="80" t="s">
        <v>145</v>
      </c>
      <c r="G285" t="s">
        <v>270</v>
      </c>
      <c r="I285">
        <v>19</v>
      </c>
      <c r="J285">
        <v>4</v>
      </c>
      <c r="K285" t="s">
        <v>371</v>
      </c>
    </row>
    <row r="286" spans="4:11" x14ac:dyDescent="0.25">
      <c r="D286">
        <v>48</v>
      </c>
      <c r="E286" t="s">
        <v>235</v>
      </c>
      <c r="F286" s="80" t="s">
        <v>146</v>
      </c>
      <c r="G286" t="s">
        <v>270</v>
      </c>
      <c r="I286">
        <v>19</v>
      </c>
      <c r="J286">
        <v>4</v>
      </c>
      <c r="K286" t="s">
        <v>372</v>
      </c>
    </row>
    <row r="287" spans="4:11" x14ac:dyDescent="0.25">
      <c r="D287">
        <v>49</v>
      </c>
      <c r="E287" t="s">
        <v>235</v>
      </c>
      <c r="F287" s="80" t="s">
        <v>147</v>
      </c>
      <c r="G287" t="s">
        <v>270</v>
      </c>
      <c r="I287">
        <v>19</v>
      </c>
      <c r="J287">
        <v>4</v>
      </c>
      <c r="K287" t="s">
        <v>373</v>
      </c>
    </row>
    <row r="288" spans="4:11" x14ac:dyDescent="0.25">
      <c r="D288">
        <v>50</v>
      </c>
      <c r="E288" t="s">
        <v>235</v>
      </c>
      <c r="F288" s="80" t="s">
        <v>148</v>
      </c>
      <c r="G288" t="s">
        <v>270</v>
      </c>
      <c r="I288">
        <v>19</v>
      </c>
      <c r="J288">
        <v>4</v>
      </c>
      <c r="K288" t="s">
        <v>374</v>
      </c>
    </row>
    <row r="289" spans="1:11" x14ac:dyDescent="0.25">
      <c r="D289">
        <v>51</v>
      </c>
      <c r="E289" t="s">
        <v>235</v>
      </c>
      <c r="F289" s="80" t="s">
        <v>149</v>
      </c>
      <c r="G289" t="s">
        <v>270</v>
      </c>
      <c r="I289">
        <v>19</v>
      </c>
      <c r="J289">
        <v>4</v>
      </c>
      <c r="K289" t="s">
        <v>375</v>
      </c>
    </row>
    <row r="290" spans="1:11" x14ac:dyDescent="0.25">
      <c r="D290">
        <v>52</v>
      </c>
      <c r="E290" t="s">
        <v>235</v>
      </c>
      <c r="F290" s="80" t="s">
        <v>150</v>
      </c>
      <c r="G290" t="s">
        <v>270</v>
      </c>
      <c r="I290">
        <v>19</v>
      </c>
      <c r="J290">
        <v>4</v>
      </c>
      <c r="K290" t="s">
        <v>376</v>
      </c>
    </row>
    <row r="291" spans="1:11" x14ac:dyDescent="0.25">
      <c r="D291">
        <v>53</v>
      </c>
      <c r="E291" t="s">
        <v>235</v>
      </c>
      <c r="F291" s="80" t="s">
        <v>151</v>
      </c>
      <c r="G291" t="s">
        <v>269</v>
      </c>
      <c r="H291">
        <v>-1</v>
      </c>
      <c r="K291" t="s">
        <v>26</v>
      </c>
    </row>
    <row r="292" spans="1:11" x14ac:dyDescent="0.25">
      <c r="D292">
        <v>54</v>
      </c>
      <c r="E292" t="s">
        <v>235</v>
      </c>
      <c r="F292" s="80" t="s">
        <v>271</v>
      </c>
      <c r="G292" t="s">
        <v>272</v>
      </c>
      <c r="I292">
        <v>3</v>
      </c>
      <c r="K292" t="s">
        <v>377</v>
      </c>
    </row>
    <row r="293" spans="1:11" x14ac:dyDescent="0.25">
      <c r="A293" t="s">
        <v>310</v>
      </c>
    </row>
    <row r="294" spans="1:11" x14ac:dyDescent="0.25">
      <c r="A294" t="s">
        <v>311</v>
      </c>
    </row>
    <row r="295" spans="1:11" x14ac:dyDescent="0.25">
      <c r="D295">
        <v>1</v>
      </c>
      <c r="E295" t="s">
        <v>235</v>
      </c>
      <c r="F295" s="80" t="s">
        <v>240</v>
      </c>
      <c r="G295" t="s">
        <v>237</v>
      </c>
      <c r="I295">
        <v>10</v>
      </c>
      <c r="J295">
        <v>0</v>
      </c>
      <c r="K295" t="s">
        <v>327</v>
      </c>
    </row>
    <row r="296" spans="1:11" x14ac:dyDescent="0.25">
      <c r="D296">
        <v>2</v>
      </c>
      <c r="E296" t="s">
        <v>235</v>
      </c>
      <c r="F296" s="80" t="s">
        <v>242</v>
      </c>
      <c r="G296" t="s">
        <v>237</v>
      </c>
      <c r="I296">
        <v>10</v>
      </c>
      <c r="J296">
        <v>0</v>
      </c>
      <c r="K296" t="s">
        <v>328</v>
      </c>
    </row>
    <row r="297" spans="1:11" x14ac:dyDescent="0.25">
      <c r="D297">
        <v>3</v>
      </c>
      <c r="E297" t="s">
        <v>235</v>
      </c>
      <c r="F297" s="80" t="s">
        <v>244</v>
      </c>
      <c r="G297" t="s">
        <v>237</v>
      </c>
      <c r="I297">
        <v>10</v>
      </c>
      <c r="J297">
        <v>0</v>
      </c>
      <c r="K297" t="s">
        <v>329</v>
      </c>
    </row>
    <row r="298" spans="1:11" x14ac:dyDescent="0.25">
      <c r="D298">
        <v>4</v>
      </c>
      <c r="E298" t="s">
        <v>235</v>
      </c>
      <c r="F298" s="80" t="s">
        <v>260</v>
      </c>
      <c r="G298" t="s">
        <v>237</v>
      </c>
      <c r="I298">
        <v>10</v>
      </c>
      <c r="J298">
        <v>0</v>
      </c>
      <c r="K298" t="s">
        <v>260</v>
      </c>
    </row>
    <row r="299" spans="1:11" x14ac:dyDescent="0.25">
      <c r="D299">
        <v>5</v>
      </c>
      <c r="E299" t="s">
        <v>235</v>
      </c>
      <c r="F299" s="80" t="s">
        <v>102</v>
      </c>
      <c r="G299" t="s">
        <v>237</v>
      </c>
      <c r="I299">
        <v>10</v>
      </c>
      <c r="J299">
        <v>0</v>
      </c>
      <c r="K299" t="s">
        <v>332</v>
      </c>
    </row>
    <row r="300" spans="1:11" x14ac:dyDescent="0.25">
      <c r="D300">
        <v>6</v>
      </c>
      <c r="E300" t="s">
        <v>235</v>
      </c>
      <c r="F300" s="80" t="s">
        <v>103</v>
      </c>
      <c r="G300" t="s">
        <v>237</v>
      </c>
      <c r="I300">
        <v>10</v>
      </c>
      <c r="J300">
        <v>0</v>
      </c>
      <c r="K300" t="s">
        <v>333</v>
      </c>
    </row>
    <row r="301" spans="1:11" x14ac:dyDescent="0.25">
      <c r="D301">
        <v>7</v>
      </c>
      <c r="E301" t="s">
        <v>235</v>
      </c>
      <c r="F301" s="80" t="s">
        <v>104</v>
      </c>
      <c r="G301" t="s">
        <v>269</v>
      </c>
      <c r="H301">
        <v>255</v>
      </c>
      <c r="K301" t="s">
        <v>3</v>
      </c>
    </row>
    <row r="302" spans="1:11" x14ac:dyDescent="0.25">
      <c r="D302">
        <v>8</v>
      </c>
      <c r="E302" t="s">
        <v>235</v>
      </c>
      <c r="F302" s="80" t="s">
        <v>105</v>
      </c>
      <c r="G302" t="s">
        <v>237</v>
      </c>
      <c r="I302">
        <v>10</v>
      </c>
      <c r="J302">
        <v>0</v>
      </c>
      <c r="K302" t="s">
        <v>32</v>
      </c>
    </row>
    <row r="303" spans="1:11" x14ac:dyDescent="0.25">
      <c r="D303">
        <v>9</v>
      </c>
      <c r="E303" t="s">
        <v>235</v>
      </c>
      <c r="F303" s="80" t="s">
        <v>107</v>
      </c>
      <c r="G303" t="s">
        <v>237</v>
      </c>
      <c r="I303">
        <v>10</v>
      </c>
      <c r="J303">
        <v>0</v>
      </c>
      <c r="K303" t="s">
        <v>334</v>
      </c>
    </row>
    <row r="304" spans="1:11" x14ac:dyDescent="0.25">
      <c r="D304">
        <v>10</v>
      </c>
      <c r="E304" t="s">
        <v>235</v>
      </c>
      <c r="F304" s="80" t="s">
        <v>108</v>
      </c>
      <c r="G304" t="s">
        <v>237</v>
      </c>
      <c r="I304">
        <v>10</v>
      </c>
      <c r="J304">
        <v>0</v>
      </c>
      <c r="K304" t="s">
        <v>7</v>
      </c>
    </row>
    <row r="305" spans="4:11" x14ac:dyDescent="0.25">
      <c r="D305">
        <v>11</v>
      </c>
      <c r="E305" t="s">
        <v>235</v>
      </c>
      <c r="F305" s="80" t="s">
        <v>109</v>
      </c>
      <c r="G305" t="s">
        <v>237</v>
      </c>
      <c r="I305">
        <v>10</v>
      </c>
      <c r="J305">
        <v>0</v>
      </c>
      <c r="K305" t="s">
        <v>335</v>
      </c>
    </row>
    <row r="306" spans="4:11" x14ac:dyDescent="0.25">
      <c r="D306">
        <v>12</v>
      </c>
      <c r="E306" t="s">
        <v>235</v>
      </c>
      <c r="F306" s="80" t="s">
        <v>110</v>
      </c>
      <c r="G306" t="s">
        <v>275</v>
      </c>
      <c r="I306">
        <v>3</v>
      </c>
      <c r="J306">
        <v>0</v>
      </c>
      <c r="K306" t="s">
        <v>336</v>
      </c>
    </row>
    <row r="307" spans="4:11" x14ac:dyDescent="0.25">
      <c r="D307">
        <v>13</v>
      </c>
      <c r="E307" t="s">
        <v>235</v>
      </c>
      <c r="F307" s="80" t="s">
        <v>111</v>
      </c>
      <c r="G307" t="s">
        <v>237</v>
      </c>
      <c r="I307">
        <v>10</v>
      </c>
      <c r="J307">
        <v>0</v>
      </c>
      <c r="K307" t="s">
        <v>337</v>
      </c>
    </row>
    <row r="308" spans="4:11" x14ac:dyDescent="0.25">
      <c r="D308">
        <v>14</v>
      </c>
      <c r="E308" t="s">
        <v>235</v>
      </c>
      <c r="F308" s="80" t="s">
        <v>112</v>
      </c>
      <c r="G308" t="s">
        <v>270</v>
      </c>
      <c r="I308">
        <v>19</v>
      </c>
      <c r="J308">
        <v>4</v>
      </c>
      <c r="K308" t="s">
        <v>338</v>
      </c>
    </row>
    <row r="309" spans="4:11" x14ac:dyDescent="0.25">
      <c r="D309">
        <v>15</v>
      </c>
      <c r="E309" t="s">
        <v>235</v>
      </c>
      <c r="F309" s="80" t="s">
        <v>113</v>
      </c>
      <c r="G309" t="s">
        <v>270</v>
      </c>
      <c r="I309">
        <v>19</v>
      </c>
      <c r="J309">
        <v>4</v>
      </c>
      <c r="K309" t="s">
        <v>339</v>
      </c>
    </row>
    <row r="310" spans="4:11" x14ac:dyDescent="0.25">
      <c r="D310">
        <v>16</v>
      </c>
      <c r="E310" t="s">
        <v>235</v>
      </c>
      <c r="F310" s="80" t="s">
        <v>114</v>
      </c>
      <c r="G310" t="s">
        <v>270</v>
      </c>
      <c r="I310">
        <v>19</v>
      </c>
      <c r="J310">
        <v>4</v>
      </c>
      <c r="K310" t="s">
        <v>340</v>
      </c>
    </row>
    <row r="311" spans="4:11" x14ac:dyDescent="0.25">
      <c r="D311">
        <v>17</v>
      </c>
      <c r="E311" t="s">
        <v>235</v>
      </c>
      <c r="F311" s="80" t="s">
        <v>115</v>
      </c>
      <c r="G311" t="s">
        <v>270</v>
      </c>
      <c r="I311">
        <v>19</v>
      </c>
      <c r="J311">
        <v>4</v>
      </c>
      <c r="K311" t="s">
        <v>341</v>
      </c>
    </row>
    <row r="312" spans="4:11" x14ac:dyDescent="0.25">
      <c r="D312">
        <v>18</v>
      </c>
      <c r="E312" t="s">
        <v>235</v>
      </c>
      <c r="F312" s="80" t="s">
        <v>116</v>
      </c>
      <c r="G312" t="s">
        <v>270</v>
      </c>
      <c r="I312">
        <v>19</v>
      </c>
      <c r="J312">
        <v>4</v>
      </c>
      <c r="K312" t="s">
        <v>342</v>
      </c>
    </row>
    <row r="313" spans="4:11" x14ac:dyDescent="0.25">
      <c r="D313">
        <v>19</v>
      </c>
      <c r="E313" t="s">
        <v>235</v>
      </c>
      <c r="F313" s="80" t="s">
        <v>117</v>
      </c>
      <c r="G313" t="s">
        <v>270</v>
      </c>
      <c r="I313">
        <v>19</v>
      </c>
      <c r="J313">
        <v>4</v>
      </c>
      <c r="K313" t="s">
        <v>343</v>
      </c>
    </row>
    <row r="314" spans="4:11" x14ac:dyDescent="0.25">
      <c r="D314">
        <v>20</v>
      </c>
      <c r="E314" t="s">
        <v>235</v>
      </c>
      <c r="F314" s="80" t="s">
        <v>118</v>
      </c>
      <c r="G314" t="s">
        <v>270</v>
      </c>
      <c r="I314">
        <v>19</v>
      </c>
      <c r="J314">
        <v>4</v>
      </c>
      <c r="K314" t="s">
        <v>344</v>
      </c>
    </row>
    <row r="315" spans="4:11" x14ac:dyDescent="0.25">
      <c r="D315">
        <v>21</v>
      </c>
      <c r="E315" t="s">
        <v>235</v>
      </c>
      <c r="F315" s="80" t="s">
        <v>119</v>
      </c>
      <c r="G315" t="s">
        <v>270</v>
      </c>
      <c r="I315">
        <v>19</v>
      </c>
      <c r="J315">
        <v>4</v>
      </c>
      <c r="K315" t="s">
        <v>345</v>
      </c>
    </row>
    <row r="316" spans="4:11" x14ac:dyDescent="0.25">
      <c r="D316">
        <v>22</v>
      </c>
      <c r="E316" t="s">
        <v>235</v>
      </c>
      <c r="F316" s="80" t="s">
        <v>120</v>
      </c>
      <c r="G316" t="s">
        <v>270</v>
      </c>
      <c r="I316">
        <v>19</v>
      </c>
      <c r="J316">
        <v>4</v>
      </c>
      <c r="K316" t="s">
        <v>346</v>
      </c>
    </row>
    <row r="317" spans="4:11" x14ac:dyDescent="0.25">
      <c r="D317">
        <v>23</v>
      </c>
      <c r="E317" t="s">
        <v>235</v>
      </c>
      <c r="F317" s="80" t="s">
        <v>121</v>
      </c>
      <c r="G317" t="s">
        <v>270</v>
      </c>
      <c r="I317">
        <v>19</v>
      </c>
      <c r="J317">
        <v>4</v>
      </c>
      <c r="K317" t="s">
        <v>347</v>
      </c>
    </row>
    <row r="318" spans="4:11" x14ac:dyDescent="0.25">
      <c r="D318">
        <v>24</v>
      </c>
      <c r="E318" t="s">
        <v>235</v>
      </c>
      <c r="F318" s="80" t="s">
        <v>122</v>
      </c>
      <c r="G318" t="s">
        <v>270</v>
      </c>
      <c r="I318">
        <v>19</v>
      </c>
      <c r="J318">
        <v>4</v>
      </c>
      <c r="K318" t="s">
        <v>348</v>
      </c>
    </row>
    <row r="319" spans="4:11" x14ac:dyDescent="0.25">
      <c r="D319">
        <v>25</v>
      </c>
      <c r="E319" t="s">
        <v>235</v>
      </c>
      <c r="F319" s="80" t="s">
        <v>123</v>
      </c>
      <c r="G319" t="s">
        <v>270</v>
      </c>
      <c r="I319">
        <v>19</v>
      </c>
      <c r="J319">
        <v>4</v>
      </c>
      <c r="K319" t="s">
        <v>349</v>
      </c>
    </row>
    <row r="320" spans="4:11" x14ac:dyDescent="0.25">
      <c r="D320">
        <v>26</v>
      </c>
      <c r="E320" t="s">
        <v>235</v>
      </c>
      <c r="F320" s="80" t="s">
        <v>124</v>
      </c>
      <c r="G320" t="s">
        <v>270</v>
      </c>
      <c r="I320">
        <v>19</v>
      </c>
      <c r="J320">
        <v>4</v>
      </c>
      <c r="K320" t="s">
        <v>350</v>
      </c>
    </row>
    <row r="321" spans="4:11" x14ac:dyDescent="0.25">
      <c r="D321">
        <v>27</v>
      </c>
      <c r="E321" t="s">
        <v>235</v>
      </c>
      <c r="F321" s="80" t="s">
        <v>125</v>
      </c>
      <c r="G321" t="s">
        <v>270</v>
      </c>
      <c r="I321">
        <v>19</v>
      </c>
      <c r="J321">
        <v>4</v>
      </c>
      <c r="K321" t="s">
        <v>351</v>
      </c>
    </row>
    <row r="322" spans="4:11" x14ac:dyDescent="0.25">
      <c r="D322">
        <v>28</v>
      </c>
      <c r="E322" t="s">
        <v>235</v>
      </c>
      <c r="F322" s="80" t="s">
        <v>126</v>
      </c>
      <c r="G322" t="s">
        <v>270</v>
      </c>
      <c r="I322">
        <v>19</v>
      </c>
      <c r="J322">
        <v>4</v>
      </c>
      <c r="K322" t="s">
        <v>352</v>
      </c>
    </row>
    <row r="323" spans="4:11" x14ac:dyDescent="0.25">
      <c r="D323">
        <v>29</v>
      </c>
      <c r="E323" t="s">
        <v>235</v>
      </c>
      <c r="F323" s="80" t="s">
        <v>127</v>
      </c>
      <c r="G323" t="s">
        <v>270</v>
      </c>
      <c r="I323">
        <v>19</v>
      </c>
      <c r="J323">
        <v>4</v>
      </c>
      <c r="K323" t="s">
        <v>353</v>
      </c>
    </row>
    <row r="324" spans="4:11" x14ac:dyDescent="0.25">
      <c r="D324">
        <v>30</v>
      </c>
      <c r="E324" t="s">
        <v>235</v>
      </c>
      <c r="F324" s="80" t="s">
        <v>128</v>
      </c>
      <c r="G324" t="s">
        <v>270</v>
      </c>
      <c r="I324">
        <v>19</v>
      </c>
      <c r="J324">
        <v>4</v>
      </c>
      <c r="K324" t="s">
        <v>354</v>
      </c>
    </row>
    <row r="325" spans="4:11" x14ac:dyDescent="0.25">
      <c r="D325">
        <v>31</v>
      </c>
      <c r="E325" t="s">
        <v>235</v>
      </c>
      <c r="F325" s="80" t="s">
        <v>129</v>
      </c>
      <c r="G325" t="s">
        <v>270</v>
      </c>
      <c r="I325">
        <v>19</v>
      </c>
      <c r="J325">
        <v>4</v>
      </c>
      <c r="K325" t="s">
        <v>355</v>
      </c>
    </row>
    <row r="326" spans="4:11" x14ac:dyDescent="0.25">
      <c r="D326">
        <v>32</v>
      </c>
      <c r="E326" t="s">
        <v>235</v>
      </c>
      <c r="F326" s="80" t="s">
        <v>130</v>
      </c>
      <c r="G326" t="s">
        <v>270</v>
      </c>
      <c r="I326">
        <v>19</v>
      </c>
      <c r="J326">
        <v>4</v>
      </c>
      <c r="K326" t="s">
        <v>356</v>
      </c>
    </row>
    <row r="327" spans="4:11" x14ac:dyDescent="0.25">
      <c r="D327">
        <v>33</v>
      </c>
      <c r="E327" t="s">
        <v>235</v>
      </c>
      <c r="F327" s="80" t="s">
        <v>131</v>
      </c>
      <c r="G327" t="s">
        <v>270</v>
      </c>
      <c r="I327">
        <v>19</v>
      </c>
      <c r="J327">
        <v>4</v>
      </c>
      <c r="K327" t="s">
        <v>357</v>
      </c>
    </row>
    <row r="328" spans="4:11" x14ac:dyDescent="0.25">
      <c r="D328">
        <v>34</v>
      </c>
      <c r="E328" t="s">
        <v>235</v>
      </c>
      <c r="F328" s="80" t="s">
        <v>132</v>
      </c>
      <c r="G328" t="s">
        <v>270</v>
      </c>
      <c r="I328">
        <v>19</v>
      </c>
      <c r="J328">
        <v>4</v>
      </c>
      <c r="K328" t="s">
        <v>358</v>
      </c>
    </row>
    <row r="329" spans="4:11" x14ac:dyDescent="0.25">
      <c r="D329">
        <v>35</v>
      </c>
      <c r="E329" t="s">
        <v>235</v>
      </c>
      <c r="F329" s="80" t="s">
        <v>133</v>
      </c>
      <c r="G329" t="s">
        <v>270</v>
      </c>
      <c r="I329">
        <v>19</v>
      </c>
      <c r="J329">
        <v>4</v>
      </c>
      <c r="K329" t="s">
        <v>359</v>
      </c>
    </row>
    <row r="330" spans="4:11" x14ac:dyDescent="0.25">
      <c r="D330">
        <v>36</v>
      </c>
      <c r="E330" t="s">
        <v>235</v>
      </c>
      <c r="F330" s="80" t="s">
        <v>134</v>
      </c>
      <c r="G330" t="s">
        <v>270</v>
      </c>
      <c r="I330">
        <v>19</v>
      </c>
      <c r="J330">
        <v>4</v>
      </c>
      <c r="K330" t="s">
        <v>360</v>
      </c>
    </row>
    <row r="331" spans="4:11" x14ac:dyDescent="0.25">
      <c r="D331">
        <v>37</v>
      </c>
      <c r="E331" t="s">
        <v>235</v>
      </c>
      <c r="F331" s="80" t="s">
        <v>135</v>
      </c>
      <c r="G331" t="s">
        <v>270</v>
      </c>
      <c r="I331">
        <v>19</v>
      </c>
      <c r="J331">
        <v>4</v>
      </c>
      <c r="K331" t="s">
        <v>361</v>
      </c>
    </row>
    <row r="332" spans="4:11" x14ac:dyDescent="0.25">
      <c r="D332">
        <v>38</v>
      </c>
      <c r="E332" t="s">
        <v>235</v>
      </c>
      <c r="F332" s="80" t="s">
        <v>136</v>
      </c>
      <c r="G332" t="s">
        <v>270</v>
      </c>
      <c r="I332">
        <v>19</v>
      </c>
      <c r="J332">
        <v>4</v>
      </c>
      <c r="K332" t="s">
        <v>362</v>
      </c>
    </row>
    <row r="333" spans="4:11" x14ac:dyDescent="0.25">
      <c r="D333">
        <v>39</v>
      </c>
      <c r="E333" t="s">
        <v>235</v>
      </c>
      <c r="F333" s="80" t="s">
        <v>137</v>
      </c>
      <c r="G333" t="s">
        <v>270</v>
      </c>
      <c r="I333">
        <v>19</v>
      </c>
      <c r="J333">
        <v>4</v>
      </c>
      <c r="K333" t="s">
        <v>363</v>
      </c>
    </row>
    <row r="334" spans="4:11" x14ac:dyDescent="0.25">
      <c r="D334">
        <v>40</v>
      </c>
      <c r="E334" t="s">
        <v>235</v>
      </c>
      <c r="F334" s="80" t="s">
        <v>138</v>
      </c>
      <c r="G334" t="s">
        <v>270</v>
      </c>
      <c r="I334">
        <v>19</v>
      </c>
      <c r="J334">
        <v>4</v>
      </c>
      <c r="K334" t="s">
        <v>364</v>
      </c>
    </row>
    <row r="335" spans="4:11" x14ac:dyDescent="0.25">
      <c r="D335">
        <v>41</v>
      </c>
      <c r="E335" t="s">
        <v>235</v>
      </c>
      <c r="F335" s="80" t="s">
        <v>139</v>
      </c>
      <c r="G335" t="s">
        <v>270</v>
      </c>
      <c r="I335">
        <v>19</v>
      </c>
      <c r="J335">
        <v>4</v>
      </c>
      <c r="K335" t="s">
        <v>365</v>
      </c>
    </row>
    <row r="336" spans="4:11" x14ac:dyDescent="0.25">
      <c r="D336">
        <v>42</v>
      </c>
      <c r="E336" t="s">
        <v>235</v>
      </c>
      <c r="F336" s="80" t="s">
        <v>140</v>
      </c>
      <c r="G336" t="s">
        <v>270</v>
      </c>
      <c r="I336">
        <v>19</v>
      </c>
      <c r="J336">
        <v>4</v>
      </c>
      <c r="K336" t="s">
        <v>366</v>
      </c>
    </row>
    <row r="337" spans="1:11" x14ac:dyDescent="0.25">
      <c r="D337">
        <v>43</v>
      </c>
      <c r="E337" t="s">
        <v>235</v>
      </c>
      <c r="F337" s="80" t="s">
        <v>141</v>
      </c>
      <c r="G337" t="s">
        <v>270</v>
      </c>
      <c r="I337">
        <v>19</v>
      </c>
      <c r="J337">
        <v>4</v>
      </c>
      <c r="K337" t="s">
        <v>367</v>
      </c>
    </row>
    <row r="338" spans="1:11" x14ac:dyDescent="0.25">
      <c r="D338">
        <v>44</v>
      </c>
      <c r="E338" t="s">
        <v>235</v>
      </c>
      <c r="F338" s="80" t="s">
        <v>142</v>
      </c>
      <c r="G338" t="s">
        <v>270</v>
      </c>
      <c r="I338">
        <v>19</v>
      </c>
      <c r="J338">
        <v>4</v>
      </c>
      <c r="K338" t="s">
        <v>368</v>
      </c>
    </row>
    <row r="339" spans="1:11" x14ac:dyDescent="0.25">
      <c r="D339">
        <v>45</v>
      </c>
      <c r="E339" t="s">
        <v>235</v>
      </c>
      <c r="F339" s="80" t="s">
        <v>143</v>
      </c>
      <c r="G339" t="s">
        <v>270</v>
      </c>
      <c r="I339">
        <v>19</v>
      </c>
      <c r="J339">
        <v>4</v>
      </c>
      <c r="K339" t="s">
        <v>369</v>
      </c>
    </row>
    <row r="340" spans="1:11" x14ac:dyDescent="0.25">
      <c r="D340">
        <v>46</v>
      </c>
      <c r="E340" t="s">
        <v>235</v>
      </c>
      <c r="F340" s="80" t="s">
        <v>144</v>
      </c>
      <c r="G340" t="s">
        <v>270</v>
      </c>
      <c r="I340">
        <v>19</v>
      </c>
      <c r="J340">
        <v>4</v>
      </c>
      <c r="K340" t="s">
        <v>370</v>
      </c>
    </row>
    <row r="341" spans="1:11" x14ac:dyDescent="0.25">
      <c r="D341">
        <v>47</v>
      </c>
      <c r="E341" t="s">
        <v>235</v>
      </c>
      <c r="F341" s="80" t="s">
        <v>145</v>
      </c>
      <c r="G341" t="s">
        <v>270</v>
      </c>
      <c r="I341">
        <v>19</v>
      </c>
      <c r="J341">
        <v>4</v>
      </c>
      <c r="K341" t="s">
        <v>371</v>
      </c>
    </row>
    <row r="342" spans="1:11" x14ac:dyDescent="0.25">
      <c r="D342">
        <v>48</v>
      </c>
      <c r="E342" t="s">
        <v>235</v>
      </c>
      <c r="F342" s="80" t="s">
        <v>146</v>
      </c>
      <c r="G342" t="s">
        <v>270</v>
      </c>
      <c r="I342">
        <v>19</v>
      </c>
      <c r="J342">
        <v>4</v>
      </c>
      <c r="K342" t="s">
        <v>372</v>
      </c>
    </row>
    <row r="343" spans="1:11" x14ac:dyDescent="0.25">
      <c r="D343">
        <v>49</v>
      </c>
      <c r="E343" t="s">
        <v>235</v>
      </c>
      <c r="F343" s="80" t="s">
        <v>147</v>
      </c>
      <c r="G343" t="s">
        <v>270</v>
      </c>
      <c r="I343">
        <v>19</v>
      </c>
      <c r="J343">
        <v>4</v>
      </c>
      <c r="K343" t="s">
        <v>373</v>
      </c>
    </row>
    <row r="344" spans="1:11" x14ac:dyDescent="0.25">
      <c r="D344">
        <v>50</v>
      </c>
      <c r="E344" t="s">
        <v>235</v>
      </c>
      <c r="F344" s="80" t="s">
        <v>148</v>
      </c>
      <c r="G344" t="s">
        <v>270</v>
      </c>
      <c r="I344">
        <v>19</v>
      </c>
      <c r="J344">
        <v>4</v>
      </c>
      <c r="K344" t="s">
        <v>374</v>
      </c>
    </row>
    <row r="345" spans="1:11" x14ac:dyDescent="0.25">
      <c r="D345">
        <v>51</v>
      </c>
      <c r="E345" t="s">
        <v>235</v>
      </c>
      <c r="F345" s="80" t="s">
        <v>149</v>
      </c>
      <c r="G345" t="s">
        <v>270</v>
      </c>
      <c r="I345">
        <v>19</v>
      </c>
      <c r="J345">
        <v>4</v>
      </c>
      <c r="K345" t="s">
        <v>375</v>
      </c>
    </row>
    <row r="346" spans="1:11" x14ac:dyDescent="0.25">
      <c r="D346">
        <v>52</v>
      </c>
      <c r="E346" t="s">
        <v>235</v>
      </c>
      <c r="F346" s="80" t="s">
        <v>150</v>
      </c>
      <c r="G346" t="s">
        <v>270</v>
      </c>
      <c r="I346">
        <v>19</v>
      </c>
      <c r="J346">
        <v>4</v>
      </c>
      <c r="K346" t="s">
        <v>376</v>
      </c>
    </row>
    <row r="347" spans="1:11" x14ac:dyDescent="0.25">
      <c r="D347">
        <v>53</v>
      </c>
      <c r="E347" t="s">
        <v>235</v>
      </c>
      <c r="F347" s="80" t="s">
        <v>151</v>
      </c>
      <c r="G347" t="s">
        <v>269</v>
      </c>
      <c r="H347">
        <v>-1</v>
      </c>
      <c r="K347" t="s">
        <v>26</v>
      </c>
    </row>
    <row r="348" spans="1:11" x14ac:dyDescent="0.25">
      <c r="D348">
        <v>54</v>
      </c>
      <c r="E348" t="s">
        <v>235</v>
      </c>
      <c r="F348" s="80" t="s">
        <v>271</v>
      </c>
      <c r="G348" t="s">
        <v>272</v>
      </c>
      <c r="I348">
        <v>3</v>
      </c>
      <c r="K348" t="s">
        <v>377</v>
      </c>
    </row>
    <row r="349" spans="1:11" x14ac:dyDescent="0.25">
      <c r="D349">
        <v>55</v>
      </c>
      <c r="E349" t="s">
        <v>235</v>
      </c>
      <c r="F349" s="80" t="s">
        <v>277</v>
      </c>
      <c r="G349" t="s">
        <v>278</v>
      </c>
      <c r="K349" t="s">
        <v>277</v>
      </c>
    </row>
    <row r="350" spans="1:11" x14ac:dyDescent="0.25">
      <c r="A350" t="s">
        <v>312</v>
      </c>
    </row>
    <row r="351" spans="1:11" x14ac:dyDescent="0.25">
      <c r="A351" t="s">
        <v>313</v>
      </c>
    </row>
    <row r="352" spans="1:11" x14ac:dyDescent="0.25">
      <c r="D352">
        <v>1</v>
      </c>
      <c r="E352" t="s">
        <v>235</v>
      </c>
      <c r="F352" s="80" t="s">
        <v>240</v>
      </c>
      <c r="G352" t="s">
        <v>237</v>
      </c>
      <c r="I352">
        <v>10</v>
      </c>
      <c r="J352">
        <v>0</v>
      </c>
      <c r="K352" t="s">
        <v>327</v>
      </c>
    </row>
    <row r="353" spans="1:11" x14ac:dyDescent="0.25">
      <c r="D353">
        <v>2</v>
      </c>
      <c r="E353" t="s">
        <v>235</v>
      </c>
      <c r="F353" s="80" t="s">
        <v>242</v>
      </c>
      <c r="G353" t="s">
        <v>237</v>
      </c>
      <c r="I353">
        <v>10</v>
      </c>
      <c r="J353">
        <v>0</v>
      </c>
      <c r="K353" t="s">
        <v>328</v>
      </c>
    </row>
    <row r="354" spans="1:11" x14ac:dyDescent="0.25">
      <c r="D354">
        <v>3</v>
      </c>
      <c r="E354" t="s">
        <v>235</v>
      </c>
      <c r="F354" s="80" t="s">
        <v>244</v>
      </c>
      <c r="G354" t="s">
        <v>237</v>
      </c>
      <c r="I354">
        <v>10</v>
      </c>
      <c r="J354">
        <v>0</v>
      </c>
      <c r="K354" t="s">
        <v>329</v>
      </c>
    </row>
    <row r="355" spans="1:11" x14ac:dyDescent="0.25">
      <c r="D355">
        <v>4</v>
      </c>
      <c r="E355" t="s">
        <v>235</v>
      </c>
      <c r="F355" s="80" t="s">
        <v>260</v>
      </c>
      <c r="G355" t="s">
        <v>237</v>
      </c>
      <c r="I355">
        <v>10</v>
      </c>
      <c r="J355">
        <v>0</v>
      </c>
      <c r="K355" t="s">
        <v>260</v>
      </c>
    </row>
    <row r="356" spans="1:11" x14ac:dyDescent="0.25">
      <c r="D356">
        <v>5</v>
      </c>
      <c r="E356" t="s">
        <v>235</v>
      </c>
      <c r="F356" s="80" t="s">
        <v>102</v>
      </c>
      <c r="G356" t="s">
        <v>237</v>
      </c>
      <c r="I356">
        <v>10</v>
      </c>
      <c r="J356">
        <v>0</v>
      </c>
      <c r="K356" t="s">
        <v>332</v>
      </c>
    </row>
    <row r="357" spans="1:11" x14ac:dyDescent="0.25">
      <c r="D357">
        <v>6</v>
      </c>
      <c r="E357" t="s">
        <v>235</v>
      </c>
      <c r="F357" s="80" t="s">
        <v>271</v>
      </c>
      <c r="G357" t="s">
        <v>272</v>
      </c>
      <c r="I357">
        <v>3</v>
      </c>
      <c r="K357" t="s">
        <v>377</v>
      </c>
    </row>
    <row r="358" spans="1:11" x14ac:dyDescent="0.25">
      <c r="A358" t="s">
        <v>314</v>
      </c>
    </row>
    <row r="359" spans="1:11" x14ac:dyDescent="0.25">
      <c r="A359" t="s">
        <v>478</v>
      </c>
    </row>
    <row r="361" spans="1:11" x14ac:dyDescent="0.25">
      <c r="A361">
        <v>1</v>
      </c>
      <c r="B361" s="80" t="s">
        <v>292</v>
      </c>
    </row>
    <row r="362" spans="1:11" x14ac:dyDescent="0.25">
      <c r="A362" t="s">
        <v>479</v>
      </c>
    </row>
    <row r="363" spans="1:11" x14ac:dyDescent="0.25">
      <c r="A363" t="s">
        <v>480</v>
      </c>
    </row>
    <row r="364" spans="1:11" x14ac:dyDescent="0.25">
      <c r="A364">
        <v>26</v>
      </c>
    </row>
    <row r="366" spans="1:11" x14ac:dyDescent="0.25">
      <c r="A366">
        <v>26</v>
      </c>
    </row>
    <row r="367" spans="1:11" x14ac:dyDescent="0.25">
      <c r="A367" t="s">
        <v>481</v>
      </c>
    </row>
    <row r="368" spans="1:11" x14ac:dyDescent="0.25">
      <c r="A368" t="s">
        <v>323</v>
      </c>
    </row>
    <row r="369" spans="1:2" x14ac:dyDescent="0.25">
      <c r="A369" t="s">
        <v>324</v>
      </c>
    </row>
    <row r="370" spans="1:2" x14ac:dyDescent="0.25">
      <c r="A370" t="s">
        <v>325</v>
      </c>
    </row>
    <row r="371" spans="1:2" x14ac:dyDescent="0.25">
      <c r="A371" t="s">
        <v>382</v>
      </c>
    </row>
    <row r="372" spans="1:2" x14ac:dyDescent="0.25">
      <c r="A372" t="s">
        <v>383</v>
      </c>
      <c r="B372" t="s">
        <v>193</v>
      </c>
    </row>
    <row r="373" spans="1:2" x14ac:dyDescent="0.25">
      <c r="A373" t="s">
        <v>102</v>
      </c>
      <c r="B373" t="s">
        <v>332</v>
      </c>
    </row>
    <row r="374" spans="1:2" x14ac:dyDescent="0.25">
      <c r="A374" t="s">
        <v>103</v>
      </c>
      <c r="B374" t="s">
        <v>333</v>
      </c>
    </row>
    <row r="375" spans="1:2" x14ac:dyDescent="0.25">
      <c r="A375" t="s">
        <v>104</v>
      </c>
      <c r="B375" t="s">
        <v>3</v>
      </c>
    </row>
    <row r="376" spans="1:2" x14ac:dyDescent="0.25">
      <c r="A376" t="s">
        <v>105</v>
      </c>
      <c r="B376" t="s">
        <v>32</v>
      </c>
    </row>
    <row r="377" spans="1:2" x14ac:dyDescent="0.25">
      <c r="A377" t="s">
        <v>106</v>
      </c>
      <c r="B377" t="s">
        <v>379</v>
      </c>
    </row>
    <row r="378" spans="1:2" x14ac:dyDescent="0.25">
      <c r="A378" t="s">
        <v>107</v>
      </c>
      <c r="B378" t="s">
        <v>380</v>
      </c>
    </row>
    <row r="379" spans="1:2" x14ac:dyDescent="0.25">
      <c r="A379" t="s">
        <v>108</v>
      </c>
      <c r="B379" t="s">
        <v>7</v>
      </c>
    </row>
    <row r="380" spans="1:2" x14ac:dyDescent="0.25">
      <c r="A380" t="s">
        <v>109</v>
      </c>
      <c r="B380" t="s">
        <v>335</v>
      </c>
    </row>
    <row r="381" spans="1:2" x14ac:dyDescent="0.25">
      <c r="A381" t="s">
        <v>110</v>
      </c>
      <c r="B381" t="s">
        <v>336</v>
      </c>
    </row>
    <row r="382" spans="1:2" x14ac:dyDescent="0.25">
      <c r="A382" t="s">
        <v>111</v>
      </c>
      <c r="B382" t="s">
        <v>337</v>
      </c>
    </row>
    <row r="383" spans="1:2" x14ac:dyDescent="0.25">
      <c r="A383" t="s">
        <v>112</v>
      </c>
      <c r="B383" t="s">
        <v>338</v>
      </c>
    </row>
    <row r="384" spans="1:2" x14ac:dyDescent="0.25">
      <c r="A384" t="s">
        <v>113</v>
      </c>
      <c r="B384" t="s">
        <v>339</v>
      </c>
    </row>
    <row r="385" spans="1:2" x14ac:dyDescent="0.25">
      <c r="A385" t="s">
        <v>114</v>
      </c>
      <c r="B385" t="s">
        <v>340</v>
      </c>
    </row>
    <row r="386" spans="1:2" x14ac:dyDescent="0.25">
      <c r="A386" t="s">
        <v>115</v>
      </c>
      <c r="B386" t="s">
        <v>341</v>
      </c>
    </row>
    <row r="387" spans="1:2" x14ac:dyDescent="0.25">
      <c r="A387" t="s">
        <v>116</v>
      </c>
      <c r="B387" t="s">
        <v>342</v>
      </c>
    </row>
    <row r="388" spans="1:2" x14ac:dyDescent="0.25">
      <c r="A388" t="s">
        <v>117</v>
      </c>
      <c r="B388" t="s">
        <v>343</v>
      </c>
    </row>
    <row r="389" spans="1:2" x14ac:dyDescent="0.25">
      <c r="A389" t="s">
        <v>118</v>
      </c>
      <c r="B389" t="s">
        <v>344</v>
      </c>
    </row>
    <row r="390" spans="1:2" x14ac:dyDescent="0.25">
      <c r="A390" t="s">
        <v>119</v>
      </c>
      <c r="B390" t="s">
        <v>345</v>
      </c>
    </row>
    <row r="391" spans="1:2" x14ac:dyDescent="0.25">
      <c r="A391" t="s">
        <v>120</v>
      </c>
      <c r="B391" t="s">
        <v>346</v>
      </c>
    </row>
    <row r="392" spans="1:2" x14ac:dyDescent="0.25">
      <c r="A392" t="s">
        <v>121</v>
      </c>
      <c r="B392" t="s">
        <v>347</v>
      </c>
    </row>
    <row r="393" spans="1:2" x14ac:dyDescent="0.25">
      <c r="A393" t="s">
        <v>122</v>
      </c>
      <c r="B393" t="s">
        <v>348</v>
      </c>
    </row>
    <row r="394" spans="1:2" x14ac:dyDescent="0.25">
      <c r="A394" t="s">
        <v>123</v>
      </c>
      <c r="B394" t="s">
        <v>349</v>
      </c>
    </row>
    <row r="395" spans="1:2" x14ac:dyDescent="0.25">
      <c r="A395" t="s">
        <v>124</v>
      </c>
      <c r="B395" t="s">
        <v>350</v>
      </c>
    </row>
    <row r="396" spans="1:2" x14ac:dyDescent="0.25">
      <c r="A396" t="s">
        <v>125</v>
      </c>
      <c r="B396" t="s">
        <v>351</v>
      </c>
    </row>
    <row r="397" spans="1:2" x14ac:dyDescent="0.25">
      <c r="A397" t="s">
        <v>126</v>
      </c>
      <c r="B397" t="s">
        <v>352</v>
      </c>
    </row>
    <row r="398" spans="1:2" x14ac:dyDescent="0.25">
      <c r="A398" t="s">
        <v>127</v>
      </c>
      <c r="B398" t="s">
        <v>353</v>
      </c>
    </row>
    <row r="399" spans="1:2" x14ac:dyDescent="0.25">
      <c r="A399" t="s">
        <v>128</v>
      </c>
      <c r="B399" t="s">
        <v>354</v>
      </c>
    </row>
    <row r="400" spans="1:2" x14ac:dyDescent="0.25">
      <c r="A400" t="s">
        <v>129</v>
      </c>
      <c r="B400" t="s">
        <v>355</v>
      </c>
    </row>
    <row r="401" spans="1:2" x14ac:dyDescent="0.25">
      <c r="A401" t="s">
        <v>130</v>
      </c>
      <c r="B401" t="s">
        <v>356</v>
      </c>
    </row>
    <row r="402" spans="1:2" x14ac:dyDescent="0.25">
      <c r="A402" t="s">
        <v>131</v>
      </c>
      <c r="B402" t="s">
        <v>357</v>
      </c>
    </row>
    <row r="403" spans="1:2" x14ac:dyDescent="0.25">
      <c r="A403" t="s">
        <v>132</v>
      </c>
      <c r="B403" t="s">
        <v>358</v>
      </c>
    </row>
    <row r="404" spans="1:2" x14ac:dyDescent="0.25">
      <c r="A404" t="s">
        <v>133</v>
      </c>
      <c r="B404" t="s">
        <v>359</v>
      </c>
    </row>
    <row r="405" spans="1:2" x14ac:dyDescent="0.25">
      <c r="A405" t="s">
        <v>134</v>
      </c>
      <c r="B405" t="s">
        <v>360</v>
      </c>
    </row>
    <row r="406" spans="1:2" x14ac:dyDescent="0.25">
      <c r="A406" t="s">
        <v>135</v>
      </c>
      <c r="B406" t="s">
        <v>361</v>
      </c>
    </row>
    <row r="407" spans="1:2" x14ac:dyDescent="0.25">
      <c r="A407" t="s">
        <v>136</v>
      </c>
      <c r="B407" t="s">
        <v>362</v>
      </c>
    </row>
    <row r="408" spans="1:2" x14ac:dyDescent="0.25">
      <c r="A408" t="s">
        <v>137</v>
      </c>
      <c r="B408" t="s">
        <v>363</v>
      </c>
    </row>
    <row r="409" spans="1:2" x14ac:dyDescent="0.25">
      <c r="A409" t="s">
        <v>138</v>
      </c>
      <c r="B409" t="s">
        <v>364</v>
      </c>
    </row>
    <row r="410" spans="1:2" x14ac:dyDescent="0.25">
      <c r="A410" t="s">
        <v>139</v>
      </c>
      <c r="B410" t="s">
        <v>365</v>
      </c>
    </row>
    <row r="411" spans="1:2" x14ac:dyDescent="0.25">
      <c r="A411" t="s">
        <v>140</v>
      </c>
      <c r="B411" t="s">
        <v>366</v>
      </c>
    </row>
    <row r="412" spans="1:2" x14ac:dyDescent="0.25">
      <c r="A412" t="s">
        <v>141</v>
      </c>
      <c r="B412" t="s">
        <v>367</v>
      </c>
    </row>
    <row r="413" spans="1:2" x14ac:dyDescent="0.25">
      <c r="A413" t="s">
        <v>142</v>
      </c>
      <c r="B413" t="s">
        <v>368</v>
      </c>
    </row>
    <row r="414" spans="1:2" x14ac:dyDescent="0.25">
      <c r="A414" t="s">
        <v>143</v>
      </c>
      <c r="B414" t="s">
        <v>369</v>
      </c>
    </row>
    <row r="415" spans="1:2" x14ac:dyDescent="0.25">
      <c r="A415" t="s">
        <v>144</v>
      </c>
      <c r="B415" t="s">
        <v>370</v>
      </c>
    </row>
    <row r="416" spans="1:2" x14ac:dyDescent="0.25">
      <c r="A416" t="s">
        <v>145</v>
      </c>
      <c r="B416" t="s">
        <v>371</v>
      </c>
    </row>
    <row r="417" spans="1:2" x14ac:dyDescent="0.25">
      <c r="A417" t="s">
        <v>146</v>
      </c>
      <c r="B417" t="s">
        <v>372</v>
      </c>
    </row>
    <row r="418" spans="1:2" x14ac:dyDescent="0.25">
      <c r="A418" t="s">
        <v>147</v>
      </c>
      <c r="B418" t="s">
        <v>373</v>
      </c>
    </row>
    <row r="419" spans="1:2" x14ac:dyDescent="0.25">
      <c r="A419" t="s">
        <v>148</v>
      </c>
      <c r="B419" t="s">
        <v>374</v>
      </c>
    </row>
    <row r="420" spans="1:2" x14ac:dyDescent="0.25">
      <c r="A420" t="s">
        <v>149</v>
      </c>
      <c r="B420" t="s">
        <v>375</v>
      </c>
    </row>
    <row r="421" spans="1:2" x14ac:dyDescent="0.25">
      <c r="A421" t="s">
        <v>150</v>
      </c>
      <c r="B421" t="s">
        <v>376</v>
      </c>
    </row>
    <row r="422" spans="1:2" x14ac:dyDescent="0.25">
      <c r="A422" t="s">
        <v>151</v>
      </c>
      <c r="B422" t="s">
        <v>26</v>
      </c>
    </row>
    <row r="423" spans="1:2" x14ac:dyDescent="0.25">
      <c r="A423" t="s">
        <v>545</v>
      </c>
      <c r="B423" t="s">
        <v>547</v>
      </c>
    </row>
    <row r="424" spans="1:2" x14ac:dyDescent="0.25">
      <c r="A424" t="s">
        <v>152</v>
      </c>
      <c r="B424" t="s">
        <v>27</v>
      </c>
    </row>
    <row r="425" spans="1:2" x14ac:dyDescent="0.25">
      <c r="A425" t="s">
        <v>153</v>
      </c>
      <c r="B425" t="s">
        <v>28</v>
      </c>
    </row>
    <row r="426" spans="1:2" x14ac:dyDescent="0.25">
      <c r="A426" t="s">
        <v>384</v>
      </c>
    </row>
    <row r="427" spans="1:2" x14ac:dyDescent="0.25">
      <c r="A427" t="s">
        <v>386</v>
      </c>
    </row>
    <row r="428" spans="1:2" x14ac:dyDescent="0.25">
      <c r="A428" t="s">
        <v>383</v>
      </c>
      <c r="B428" t="s">
        <v>203</v>
      </c>
    </row>
    <row r="429" spans="1:2" x14ac:dyDescent="0.25">
      <c r="A429" t="s">
        <v>102</v>
      </c>
      <c r="B429" t="s">
        <v>332</v>
      </c>
    </row>
    <row r="430" spans="1:2" x14ac:dyDescent="0.25">
      <c r="A430" t="s">
        <v>103</v>
      </c>
      <c r="B430" t="s">
        <v>333</v>
      </c>
    </row>
    <row r="431" spans="1:2" x14ac:dyDescent="0.25">
      <c r="A431" t="s">
        <v>104</v>
      </c>
      <c r="B431" t="s">
        <v>3</v>
      </c>
    </row>
    <row r="432" spans="1:2" x14ac:dyDescent="0.25">
      <c r="A432" t="s">
        <v>105</v>
      </c>
      <c r="B432" t="s">
        <v>32</v>
      </c>
    </row>
    <row r="433" spans="1:2" x14ac:dyDescent="0.25">
      <c r="A433" t="s">
        <v>106</v>
      </c>
      <c r="B433" t="s">
        <v>379</v>
      </c>
    </row>
    <row r="434" spans="1:2" x14ac:dyDescent="0.25">
      <c r="A434" t="s">
        <v>107</v>
      </c>
      <c r="B434" t="s">
        <v>380</v>
      </c>
    </row>
    <row r="435" spans="1:2" x14ac:dyDescent="0.25">
      <c r="A435" t="s">
        <v>108</v>
      </c>
      <c r="B435" t="s">
        <v>7</v>
      </c>
    </row>
    <row r="436" spans="1:2" x14ac:dyDescent="0.25">
      <c r="A436" t="s">
        <v>109</v>
      </c>
      <c r="B436" t="s">
        <v>335</v>
      </c>
    </row>
    <row r="437" spans="1:2" x14ac:dyDescent="0.25">
      <c r="A437" t="s">
        <v>110</v>
      </c>
      <c r="B437" t="s">
        <v>336</v>
      </c>
    </row>
    <row r="438" spans="1:2" x14ac:dyDescent="0.25">
      <c r="A438" t="s">
        <v>111</v>
      </c>
      <c r="B438" t="s">
        <v>337</v>
      </c>
    </row>
    <row r="439" spans="1:2" x14ac:dyDescent="0.25">
      <c r="A439" t="s">
        <v>112</v>
      </c>
      <c r="B439" t="s">
        <v>338</v>
      </c>
    </row>
    <row r="440" spans="1:2" x14ac:dyDescent="0.25">
      <c r="A440" t="s">
        <v>113</v>
      </c>
      <c r="B440" t="s">
        <v>339</v>
      </c>
    </row>
    <row r="441" spans="1:2" x14ac:dyDescent="0.25">
      <c r="A441" t="s">
        <v>114</v>
      </c>
      <c r="B441" t="s">
        <v>340</v>
      </c>
    </row>
    <row r="442" spans="1:2" x14ac:dyDescent="0.25">
      <c r="A442" t="s">
        <v>116</v>
      </c>
      <c r="B442" t="s">
        <v>342</v>
      </c>
    </row>
    <row r="443" spans="1:2" x14ac:dyDescent="0.25">
      <c r="A443" t="s">
        <v>119</v>
      </c>
      <c r="B443" t="s">
        <v>345</v>
      </c>
    </row>
    <row r="444" spans="1:2" x14ac:dyDescent="0.25">
      <c r="A444" t="s">
        <v>122</v>
      </c>
      <c r="B444" t="s">
        <v>348</v>
      </c>
    </row>
    <row r="445" spans="1:2" x14ac:dyDescent="0.25">
      <c r="A445" t="s">
        <v>125</v>
      </c>
      <c r="B445" t="s">
        <v>351</v>
      </c>
    </row>
    <row r="446" spans="1:2" x14ac:dyDescent="0.25">
      <c r="A446" t="s">
        <v>128</v>
      </c>
      <c r="B446" t="s">
        <v>354</v>
      </c>
    </row>
    <row r="447" spans="1:2" x14ac:dyDescent="0.25">
      <c r="A447" t="s">
        <v>131</v>
      </c>
      <c r="B447" t="s">
        <v>357</v>
      </c>
    </row>
    <row r="448" spans="1:2" x14ac:dyDescent="0.25">
      <c r="A448" t="s">
        <v>134</v>
      </c>
      <c r="B448" t="s">
        <v>360</v>
      </c>
    </row>
    <row r="449" spans="1:2" x14ac:dyDescent="0.25">
      <c r="A449" t="s">
        <v>137</v>
      </c>
      <c r="B449" t="s">
        <v>363</v>
      </c>
    </row>
    <row r="450" spans="1:2" x14ac:dyDescent="0.25">
      <c r="A450" t="s">
        <v>140</v>
      </c>
      <c r="B450" t="s">
        <v>366</v>
      </c>
    </row>
    <row r="451" spans="1:2" x14ac:dyDescent="0.25">
      <c r="A451" t="s">
        <v>143</v>
      </c>
      <c r="B451" t="s">
        <v>369</v>
      </c>
    </row>
    <row r="452" spans="1:2" x14ac:dyDescent="0.25">
      <c r="A452" t="s">
        <v>146</v>
      </c>
      <c r="B452" t="s">
        <v>372</v>
      </c>
    </row>
    <row r="453" spans="1:2" x14ac:dyDescent="0.25">
      <c r="A453" t="s">
        <v>149</v>
      </c>
      <c r="B453" t="s">
        <v>375</v>
      </c>
    </row>
    <row r="454" spans="1:2" x14ac:dyDescent="0.25">
      <c r="A454" t="s">
        <v>115</v>
      </c>
      <c r="B454" t="s">
        <v>341</v>
      </c>
    </row>
    <row r="455" spans="1:2" x14ac:dyDescent="0.25">
      <c r="A455" t="s">
        <v>118</v>
      </c>
      <c r="B455" t="s">
        <v>344</v>
      </c>
    </row>
    <row r="456" spans="1:2" x14ac:dyDescent="0.25">
      <c r="A456" t="s">
        <v>121</v>
      </c>
      <c r="B456" t="s">
        <v>347</v>
      </c>
    </row>
    <row r="457" spans="1:2" x14ac:dyDescent="0.25">
      <c r="A457" t="s">
        <v>124</v>
      </c>
      <c r="B457" t="s">
        <v>350</v>
      </c>
    </row>
    <row r="458" spans="1:2" x14ac:dyDescent="0.25">
      <c r="A458" t="s">
        <v>127</v>
      </c>
      <c r="B458" t="s">
        <v>353</v>
      </c>
    </row>
    <row r="459" spans="1:2" x14ac:dyDescent="0.25">
      <c r="A459" t="s">
        <v>130</v>
      </c>
      <c r="B459" t="s">
        <v>356</v>
      </c>
    </row>
    <row r="460" spans="1:2" x14ac:dyDescent="0.25">
      <c r="A460" t="s">
        <v>133</v>
      </c>
      <c r="B460" t="s">
        <v>359</v>
      </c>
    </row>
    <row r="461" spans="1:2" x14ac:dyDescent="0.25">
      <c r="A461" t="s">
        <v>136</v>
      </c>
      <c r="B461" t="s">
        <v>362</v>
      </c>
    </row>
    <row r="462" spans="1:2" x14ac:dyDescent="0.25">
      <c r="A462" t="s">
        <v>139</v>
      </c>
      <c r="B462" t="s">
        <v>365</v>
      </c>
    </row>
    <row r="463" spans="1:2" x14ac:dyDescent="0.25">
      <c r="A463" t="s">
        <v>142</v>
      </c>
      <c r="B463" t="s">
        <v>368</v>
      </c>
    </row>
    <row r="464" spans="1:2" x14ac:dyDescent="0.25">
      <c r="A464" t="s">
        <v>145</v>
      </c>
      <c r="B464" t="s">
        <v>371</v>
      </c>
    </row>
    <row r="465" spans="1:2" x14ac:dyDescent="0.25">
      <c r="A465" t="s">
        <v>148</v>
      </c>
      <c r="B465" t="s">
        <v>374</v>
      </c>
    </row>
    <row r="466" spans="1:2" x14ac:dyDescent="0.25">
      <c r="A466" t="s">
        <v>117</v>
      </c>
      <c r="B466" t="s">
        <v>343</v>
      </c>
    </row>
    <row r="467" spans="1:2" x14ac:dyDescent="0.25">
      <c r="A467" t="s">
        <v>120</v>
      </c>
      <c r="B467" t="s">
        <v>346</v>
      </c>
    </row>
    <row r="468" spans="1:2" x14ac:dyDescent="0.25">
      <c r="A468" t="s">
        <v>123</v>
      </c>
      <c r="B468" t="s">
        <v>349</v>
      </c>
    </row>
    <row r="469" spans="1:2" x14ac:dyDescent="0.25">
      <c r="A469" t="s">
        <v>126</v>
      </c>
      <c r="B469" t="s">
        <v>352</v>
      </c>
    </row>
    <row r="470" spans="1:2" x14ac:dyDescent="0.25">
      <c r="A470" t="s">
        <v>129</v>
      </c>
      <c r="B470" t="s">
        <v>355</v>
      </c>
    </row>
    <row r="471" spans="1:2" x14ac:dyDescent="0.25">
      <c r="A471" t="s">
        <v>132</v>
      </c>
      <c r="B471" t="s">
        <v>358</v>
      </c>
    </row>
    <row r="472" spans="1:2" x14ac:dyDescent="0.25">
      <c r="A472" t="s">
        <v>135</v>
      </c>
      <c r="B472" t="s">
        <v>361</v>
      </c>
    </row>
    <row r="473" spans="1:2" x14ac:dyDescent="0.25">
      <c r="A473" t="s">
        <v>138</v>
      </c>
      <c r="B473" t="s">
        <v>364</v>
      </c>
    </row>
    <row r="474" spans="1:2" x14ac:dyDescent="0.25">
      <c r="A474" t="s">
        <v>141</v>
      </c>
      <c r="B474" t="s">
        <v>367</v>
      </c>
    </row>
    <row r="475" spans="1:2" x14ac:dyDescent="0.25">
      <c r="A475" t="s">
        <v>144</v>
      </c>
      <c r="B475" t="s">
        <v>370</v>
      </c>
    </row>
    <row r="476" spans="1:2" x14ac:dyDescent="0.25">
      <c r="A476" t="s">
        <v>147</v>
      </c>
      <c r="B476" t="s">
        <v>373</v>
      </c>
    </row>
    <row r="477" spans="1:2" x14ac:dyDescent="0.25">
      <c r="A477" t="s">
        <v>150</v>
      </c>
      <c r="B477" t="s">
        <v>376</v>
      </c>
    </row>
    <row r="478" spans="1:2" x14ac:dyDescent="0.25">
      <c r="A478" t="s">
        <v>151</v>
      </c>
      <c r="B478" t="s">
        <v>26</v>
      </c>
    </row>
    <row r="479" spans="1:2" x14ac:dyDescent="0.25">
      <c r="A479" t="s">
        <v>545</v>
      </c>
      <c r="B479" t="s">
        <v>547</v>
      </c>
    </row>
    <row r="480" spans="1:2" x14ac:dyDescent="0.25">
      <c r="A480" t="s">
        <v>152</v>
      </c>
      <c r="B480" t="s">
        <v>27</v>
      </c>
    </row>
    <row r="481" spans="1:19" x14ac:dyDescent="0.25">
      <c r="A481" t="s">
        <v>153</v>
      </c>
      <c r="B481" t="s">
        <v>28</v>
      </c>
    </row>
    <row r="482" spans="1:19" x14ac:dyDescent="0.25">
      <c r="A482" t="s">
        <v>387</v>
      </c>
    </row>
    <row r="483" spans="1:19" x14ac:dyDescent="0.25">
      <c r="A483" t="s">
        <v>516</v>
      </c>
    </row>
    <row r="484" spans="1:19" x14ac:dyDescent="0.25">
      <c r="D484">
        <v>1</v>
      </c>
      <c r="E484" t="s">
        <v>235</v>
      </c>
      <c r="F484" s="80" t="s">
        <v>240</v>
      </c>
      <c r="G484" t="s">
        <v>237</v>
      </c>
      <c r="I484">
        <v>10</v>
      </c>
      <c r="J484">
        <v>0</v>
      </c>
      <c r="K484" t="s">
        <v>327</v>
      </c>
      <c r="S484" t="b">
        <v>1</v>
      </c>
    </row>
    <row r="485" spans="1:19" x14ac:dyDescent="0.25">
      <c r="D485">
        <v>2</v>
      </c>
      <c r="E485" t="s">
        <v>235</v>
      </c>
      <c r="F485" s="80" t="s">
        <v>242</v>
      </c>
      <c r="G485" t="s">
        <v>237</v>
      </c>
      <c r="I485">
        <v>10</v>
      </c>
      <c r="J485">
        <v>0</v>
      </c>
      <c r="K485" t="s">
        <v>328</v>
      </c>
      <c r="S485" t="b">
        <v>1</v>
      </c>
    </row>
    <row r="486" spans="1:19" x14ac:dyDescent="0.25">
      <c r="D486">
        <v>3</v>
      </c>
      <c r="E486" t="s">
        <v>235</v>
      </c>
      <c r="F486" s="80" t="s">
        <v>244</v>
      </c>
      <c r="G486" t="s">
        <v>237</v>
      </c>
      <c r="I486">
        <v>10</v>
      </c>
      <c r="J486">
        <v>0</v>
      </c>
      <c r="K486" t="s">
        <v>329</v>
      </c>
      <c r="S486" t="b">
        <v>1</v>
      </c>
    </row>
    <row r="487" spans="1:19" x14ac:dyDescent="0.25">
      <c r="D487">
        <v>4</v>
      </c>
      <c r="E487" t="s">
        <v>235</v>
      </c>
      <c r="F487" s="80" t="s">
        <v>260</v>
      </c>
      <c r="G487" t="s">
        <v>237</v>
      </c>
      <c r="I487">
        <v>10</v>
      </c>
      <c r="J487">
        <v>0</v>
      </c>
      <c r="K487" t="s">
        <v>260</v>
      </c>
      <c r="S487" t="b">
        <v>1</v>
      </c>
    </row>
    <row r="488" spans="1:19" x14ac:dyDescent="0.25">
      <c r="D488">
        <v>5</v>
      </c>
      <c r="E488" t="s">
        <v>235</v>
      </c>
      <c r="F488" s="80" t="s">
        <v>102</v>
      </c>
      <c r="G488" t="s">
        <v>237</v>
      </c>
      <c r="I488">
        <v>10</v>
      </c>
      <c r="J488">
        <v>0</v>
      </c>
      <c r="K488" t="s">
        <v>332</v>
      </c>
      <c r="S488" t="b">
        <v>1</v>
      </c>
    </row>
    <row r="489" spans="1:19" x14ac:dyDescent="0.25">
      <c r="D489">
        <v>6</v>
      </c>
      <c r="E489" t="s">
        <v>235</v>
      </c>
      <c r="F489" s="80" t="s">
        <v>103</v>
      </c>
      <c r="G489" t="s">
        <v>237</v>
      </c>
      <c r="I489">
        <v>10</v>
      </c>
      <c r="J489">
        <v>0</v>
      </c>
      <c r="K489" t="s">
        <v>333</v>
      </c>
      <c r="S489" t="b">
        <v>1</v>
      </c>
    </row>
    <row r="490" spans="1:19" x14ac:dyDescent="0.25">
      <c r="D490">
        <v>7</v>
      </c>
      <c r="E490" t="s">
        <v>235</v>
      </c>
      <c r="F490" s="80" t="s">
        <v>104</v>
      </c>
      <c r="G490" t="s">
        <v>269</v>
      </c>
      <c r="H490">
        <v>255</v>
      </c>
      <c r="K490" t="s">
        <v>3</v>
      </c>
      <c r="S490" t="b">
        <v>1</v>
      </c>
    </row>
    <row r="491" spans="1:19" x14ac:dyDescent="0.25">
      <c r="D491">
        <v>8</v>
      </c>
      <c r="E491" t="s">
        <v>235</v>
      </c>
      <c r="F491" s="80" t="s">
        <v>105</v>
      </c>
      <c r="G491" t="s">
        <v>237</v>
      </c>
      <c r="I491">
        <v>10</v>
      </c>
      <c r="J491">
        <v>0</v>
      </c>
      <c r="K491" t="s">
        <v>32</v>
      </c>
      <c r="S491" t="b">
        <v>1</v>
      </c>
    </row>
    <row r="492" spans="1:19" x14ac:dyDescent="0.25">
      <c r="D492">
        <v>9</v>
      </c>
      <c r="E492" t="s">
        <v>235</v>
      </c>
      <c r="F492" s="80" t="s">
        <v>107</v>
      </c>
      <c r="G492" t="s">
        <v>237</v>
      </c>
      <c r="I492">
        <v>10</v>
      </c>
      <c r="J492">
        <v>0</v>
      </c>
      <c r="K492" t="s">
        <v>334</v>
      </c>
      <c r="S492" t="b">
        <v>1</v>
      </c>
    </row>
    <row r="493" spans="1:19" x14ac:dyDescent="0.25">
      <c r="D493">
        <v>10</v>
      </c>
      <c r="E493" t="s">
        <v>235</v>
      </c>
      <c r="F493" s="80" t="s">
        <v>108</v>
      </c>
      <c r="G493" t="s">
        <v>237</v>
      </c>
      <c r="I493">
        <v>10</v>
      </c>
      <c r="J493">
        <v>0</v>
      </c>
      <c r="K493" t="s">
        <v>7</v>
      </c>
      <c r="S493" t="b">
        <v>1</v>
      </c>
    </row>
    <row r="494" spans="1:19" x14ac:dyDescent="0.25">
      <c r="D494">
        <v>11</v>
      </c>
      <c r="E494" t="s">
        <v>235</v>
      </c>
      <c r="F494" s="80" t="s">
        <v>109</v>
      </c>
      <c r="G494" t="s">
        <v>237</v>
      </c>
      <c r="I494">
        <v>10</v>
      </c>
      <c r="J494">
        <v>0</v>
      </c>
      <c r="K494" t="s">
        <v>335</v>
      </c>
      <c r="S494" t="b">
        <v>1</v>
      </c>
    </row>
    <row r="495" spans="1:19" x14ac:dyDescent="0.25">
      <c r="D495">
        <v>12</v>
      </c>
      <c r="E495" t="s">
        <v>235</v>
      </c>
      <c r="F495" s="80" t="s">
        <v>110</v>
      </c>
      <c r="G495" t="s">
        <v>237</v>
      </c>
      <c r="I495">
        <v>10</v>
      </c>
      <c r="J495">
        <v>0</v>
      </c>
      <c r="K495" t="s">
        <v>336</v>
      </c>
      <c r="S495" t="b">
        <v>1</v>
      </c>
    </row>
    <row r="496" spans="1:19" x14ac:dyDescent="0.25">
      <c r="D496">
        <v>13</v>
      </c>
      <c r="E496" t="s">
        <v>235</v>
      </c>
      <c r="F496" s="80" t="s">
        <v>111</v>
      </c>
      <c r="G496" t="s">
        <v>237</v>
      </c>
      <c r="I496">
        <v>10</v>
      </c>
      <c r="J496">
        <v>0</v>
      </c>
      <c r="K496" t="s">
        <v>337</v>
      </c>
      <c r="S496" t="b">
        <v>1</v>
      </c>
    </row>
    <row r="497" spans="4:19" x14ac:dyDescent="0.25">
      <c r="D497">
        <v>14</v>
      </c>
      <c r="E497" t="s">
        <v>235</v>
      </c>
      <c r="F497" s="80" t="s">
        <v>112</v>
      </c>
      <c r="G497" t="s">
        <v>270</v>
      </c>
      <c r="I497">
        <v>19</v>
      </c>
      <c r="J497">
        <v>4</v>
      </c>
      <c r="K497" t="s">
        <v>338</v>
      </c>
      <c r="S497" t="b">
        <v>1</v>
      </c>
    </row>
    <row r="498" spans="4:19" x14ac:dyDescent="0.25">
      <c r="D498">
        <v>15</v>
      </c>
      <c r="E498" t="s">
        <v>235</v>
      </c>
      <c r="F498" s="80" t="s">
        <v>113</v>
      </c>
      <c r="G498" t="s">
        <v>270</v>
      </c>
      <c r="I498">
        <v>19</v>
      </c>
      <c r="J498">
        <v>4</v>
      </c>
      <c r="K498" t="s">
        <v>339</v>
      </c>
      <c r="S498" t="b">
        <v>1</v>
      </c>
    </row>
    <row r="499" spans="4:19" x14ac:dyDescent="0.25">
      <c r="D499">
        <v>16</v>
      </c>
      <c r="E499" t="s">
        <v>235</v>
      </c>
      <c r="F499" s="80" t="s">
        <v>114</v>
      </c>
      <c r="G499" t="s">
        <v>270</v>
      </c>
      <c r="I499">
        <v>19</v>
      </c>
      <c r="J499">
        <v>4</v>
      </c>
      <c r="K499" t="s">
        <v>340</v>
      </c>
      <c r="S499" t="b">
        <v>1</v>
      </c>
    </row>
    <row r="500" spans="4:19" x14ac:dyDescent="0.25">
      <c r="D500">
        <v>17</v>
      </c>
      <c r="E500" t="s">
        <v>235</v>
      </c>
      <c r="F500" s="80" t="s">
        <v>115</v>
      </c>
      <c r="G500" t="s">
        <v>270</v>
      </c>
      <c r="I500">
        <v>19</v>
      </c>
      <c r="J500">
        <v>4</v>
      </c>
      <c r="K500" t="s">
        <v>341</v>
      </c>
      <c r="S500" t="b">
        <v>1</v>
      </c>
    </row>
    <row r="501" spans="4:19" x14ac:dyDescent="0.25">
      <c r="D501">
        <v>18</v>
      </c>
      <c r="E501" t="s">
        <v>235</v>
      </c>
      <c r="F501" s="80" t="s">
        <v>116</v>
      </c>
      <c r="G501" t="s">
        <v>270</v>
      </c>
      <c r="I501">
        <v>19</v>
      </c>
      <c r="J501">
        <v>4</v>
      </c>
      <c r="K501" t="s">
        <v>342</v>
      </c>
      <c r="S501" t="b">
        <v>1</v>
      </c>
    </row>
    <row r="502" spans="4:19" x14ac:dyDescent="0.25">
      <c r="D502">
        <v>19</v>
      </c>
      <c r="E502" t="s">
        <v>235</v>
      </c>
      <c r="F502" s="80" t="s">
        <v>117</v>
      </c>
      <c r="G502" t="s">
        <v>270</v>
      </c>
      <c r="I502">
        <v>19</v>
      </c>
      <c r="J502">
        <v>4</v>
      </c>
      <c r="K502" t="s">
        <v>343</v>
      </c>
      <c r="S502" t="b">
        <v>1</v>
      </c>
    </row>
    <row r="503" spans="4:19" x14ac:dyDescent="0.25">
      <c r="D503">
        <v>20</v>
      </c>
      <c r="E503" t="s">
        <v>235</v>
      </c>
      <c r="F503" s="80" t="s">
        <v>118</v>
      </c>
      <c r="G503" t="s">
        <v>270</v>
      </c>
      <c r="I503">
        <v>19</v>
      </c>
      <c r="J503">
        <v>4</v>
      </c>
      <c r="K503" t="s">
        <v>344</v>
      </c>
      <c r="S503" t="b">
        <v>1</v>
      </c>
    </row>
    <row r="504" spans="4:19" x14ac:dyDescent="0.25">
      <c r="D504">
        <v>21</v>
      </c>
      <c r="E504" t="s">
        <v>235</v>
      </c>
      <c r="F504" s="80" t="s">
        <v>119</v>
      </c>
      <c r="G504" t="s">
        <v>270</v>
      </c>
      <c r="I504">
        <v>19</v>
      </c>
      <c r="J504">
        <v>4</v>
      </c>
      <c r="K504" t="s">
        <v>345</v>
      </c>
      <c r="S504" t="b">
        <v>1</v>
      </c>
    </row>
    <row r="505" spans="4:19" x14ac:dyDescent="0.25">
      <c r="D505">
        <v>22</v>
      </c>
      <c r="E505" t="s">
        <v>235</v>
      </c>
      <c r="F505" s="80" t="s">
        <v>120</v>
      </c>
      <c r="G505" t="s">
        <v>270</v>
      </c>
      <c r="I505">
        <v>19</v>
      </c>
      <c r="J505">
        <v>4</v>
      </c>
      <c r="K505" t="s">
        <v>346</v>
      </c>
      <c r="S505" t="b">
        <v>1</v>
      </c>
    </row>
    <row r="506" spans="4:19" x14ac:dyDescent="0.25">
      <c r="D506">
        <v>23</v>
      </c>
      <c r="E506" t="s">
        <v>235</v>
      </c>
      <c r="F506" s="80" t="s">
        <v>121</v>
      </c>
      <c r="G506" t="s">
        <v>270</v>
      </c>
      <c r="I506">
        <v>19</v>
      </c>
      <c r="J506">
        <v>4</v>
      </c>
      <c r="K506" t="s">
        <v>347</v>
      </c>
      <c r="S506" t="b">
        <v>1</v>
      </c>
    </row>
    <row r="507" spans="4:19" x14ac:dyDescent="0.25">
      <c r="D507">
        <v>24</v>
      </c>
      <c r="E507" t="s">
        <v>235</v>
      </c>
      <c r="F507" s="80" t="s">
        <v>122</v>
      </c>
      <c r="G507" t="s">
        <v>270</v>
      </c>
      <c r="I507">
        <v>19</v>
      </c>
      <c r="J507">
        <v>4</v>
      </c>
      <c r="K507" t="s">
        <v>348</v>
      </c>
      <c r="S507" t="b">
        <v>1</v>
      </c>
    </row>
    <row r="508" spans="4:19" x14ac:dyDescent="0.25">
      <c r="D508">
        <v>25</v>
      </c>
      <c r="E508" t="s">
        <v>235</v>
      </c>
      <c r="F508" s="80" t="s">
        <v>123</v>
      </c>
      <c r="G508" t="s">
        <v>270</v>
      </c>
      <c r="I508">
        <v>19</v>
      </c>
      <c r="J508">
        <v>4</v>
      </c>
      <c r="K508" t="s">
        <v>349</v>
      </c>
      <c r="S508" t="b">
        <v>1</v>
      </c>
    </row>
    <row r="509" spans="4:19" x14ac:dyDescent="0.25">
      <c r="D509">
        <v>26</v>
      </c>
      <c r="E509" t="s">
        <v>235</v>
      </c>
      <c r="F509" s="80" t="s">
        <v>124</v>
      </c>
      <c r="G509" t="s">
        <v>270</v>
      </c>
      <c r="I509">
        <v>19</v>
      </c>
      <c r="J509">
        <v>4</v>
      </c>
      <c r="K509" t="s">
        <v>350</v>
      </c>
      <c r="S509" t="b">
        <v>1</v>
      </c>
    </row>
    <row r="510" spans="4:19" x14ac:dyDescent="0.25">
      <c r="D510">
        <v>27</v>
      </c>
      <c r="E510" t="s">
        <v>235</v>
      </c>
      <c r="F510" s="80" t="s">
        <v>125</v>
      </c>
      <c r="G510" t="s">
        <v>270</v>
      </c>
      <c r="I510">
        <v>19</v>
      </c>
      <c r="J510">
        <v>4</v>
      </c>
      <c r="K510" t="s">
        <v>351</v>
      </c>
      <c r="S510" t="b">
        <v>1</v>
      </c>
    </row>
    <row r="511" spans="4:19" x14ac:dyDescent="0.25">
      <c r="D511">
        <v>28</v>
      </c>
      <c r="E511" t="s">
        <v>235</v>
      </c>
      <c r="F511" s="80" t="s">
        <v>126</v>
      </c>
      <c r="G511" t="s">
        <v>270</v>
      </c>
      <c r="I511">
        <v>19</v>
      </c>
      <c r="J511">
        <v>4</v>
      </c>
      <c r="K511" t="s">
        <v>352</v>
      </c>
      <c r="S511" t="b">
        <v>1</v>
      </c>
    </row>
    <row r="512" spans="4:19" x14ac:dyDescent="0.25">
      <c r="D512">
        <v>29</v>
      </c>
      <c r="E512" t="s">
        <v>235</v>
      </c>
      <c r="F512" s="80" t="s">
        <v>127</v>
      </c>
      <c r="G512" t="s">
        <v>270</v>
      </c>
      <c r="I512">
        <v>19</v>
      </c>
      <c r="J512">
        <v>4</v>
      </c>
      <c r="K512" t="s">
        <v>353</v>
      </c>
      <c r="S512" t="b">
        <v>1</v>
      </c>
    </row>
    <row r="513" spans="4:19" x14ac:dyDescent="0.25">
      <c r="D513">
        <v>30</v>
      </c>
      <c r="E513" t="s">
        <v>235</v>
      </c>
      <c r="F513" s="80" t="s">
        <v>128</v>
      </c>
      <c r="G513" t="s">
        <v>270</v>
      </c>
      <c r="I513">
        <v>19</v>
      </c>
      <c r="J513">
        <v>4</v>
      </c>
      <c r="K513" t="s">
        <v>354</v>
      </c>
      <c r="S513" t="b">
        <v>1</v>
      </c>
    </row>
    <row r="514" spans="4:19" x14ac:dyDescent="0.25">
      <c r="D514">
        <v>31</v>
      </c>
      <c r="E514" t="s">
        <v>235</v>
      </c>
      <c r="F514" s="80" t="s">
        <v>129</v>
      </c>
      <c r="G514" t="s">
        <v>270</v>
      </c>
      <c r="I514">
        <v>19</v>
      </c>
      <c r="J514">
        <v>4</v>
      </c>
      <c r="K514" t="s">
        <v>355</v>
      </c>
      <c r="S514" t="b">
        <v>1</v>
      </c>
    </row>
    <row r="515" spans="4:19" x14ac:dyDescent="0.25">
      <c r="D515">
        <v>32</v>
      </c>
      <c r="E515" t="s">
        <v>235</v>
      </c>
      <c r="F515" s="80" t="s">
        <v>130</v>
      </c>
      <c r="G515" t="s">
        <v>270</v>
      </c>
      <c r="I515">
        <v>19</v>
      </c>
      <c r="J515">
        <v>4</v>
      </c>
      <c r="K515" t="s">
        <v>356</v>
      </c>
      <c r="S515" t="b">
        <v>1</v>
      </c>
    </row>
    <row r="516" spans="4:19" x14ac:dyDescent="0.25">
      <c r="D516">
        <v>33</v>
      </c>
      <c r="E516" t="s">
        <v>235</v>
      </c>
      <c r="F516" s="80" t="s">
        <v>131</v>
      </c>
      <c r="G516" t="s">
        <v>270</v>
      </c>
      <c r="I516">
        <v>19</v>
      </c>
      <c r="J516">
        <v>4</v>
      </c>
      <c r="K516" t="s">
        <v>357</v>
      </c>
      <c r="S516" t="b">
        <v>1</v>
      </c>
    </row>
    <row r="517" spans="4:19" x14ac:dyDescent="0.25">
      <c r="D517">
        <v>34</v>
      </c>
      <c r="E517" t="s">
        <v>235</v>
      </c>
      <c r="F517" s="80" t="s">
        <v>132</v>
      </c>
      <c r="G517" t="s">
        <v>270</v>
      </c>
      <c r="I517">
        <v>19</v>
      </c>
      <c r="J517">
        <v>4</v>
      </c>
      <c r="K517" t="s">
        <v>358</v>
      </c>
      <c r="S517" t="b">
        <v>1</v>
      </c>
    </row>
    <row r="518" spans="4:19" x14ac:dyDescent="0.25">
      <c r="D518">
        <v>35</v>
      </c>
      <c r="E518" t="s">
        <v>235</v>
      </c>
      <c r="F518" s="80" t="s">
        <v>133</v>
      </c>
      <c r="G518" t="s">
        <v>270</v>
      </c>
      <c r="I518">
        <v>19</v>
      </c>
      <c r="J518">
        <v>4</v>
      </c>
      <c r="K518" t="s">
        <v>359</v>
      </c>
      <c r="S518" t="b">
        <v>1</v>
      </c>
    </row>
    <row r="519" spans="4:19" x14ac:dyDescent="0.25">
      <c r="D519">
        <v>36</v>
      </c>
      <c r="E519" t="s">
        <v>235</v>
      </c>
      <c r="F519" s="80" t="s">
        <v>134</v>
      </c>
      <c r="G519" t="s">
        <v>270</v>
      </c>
      <c r="I519">
        <v>19</v>
      </c>
      <c r="J519">
        <v>4</v>
      </c>
      <c r="K519" t="s">
        <v>360</v>
      </c>
      <c r="S519" t="b">
        <v>1</v>
      </c>
    </row>
    <row r="520" spans="4:19" x14ac:dyDescent="0.25">
      <c r="D520">
        <v>37</v>
      </c>
      <c r="E520" t="s">
        <v>235</v>
      </c>
      <c r="F520" s="80" t="s">
        <v>135</v>
      </c>
      <c r="G520" t="s">
        <v>270</v>
      </c>
      <c r="I520">
        <v>19</v>
      </c>
      <c r="J520">
        <v>4</v>
      </c>
      <c r="K520" t="s">
        <v>361</v>
      </c>
      <c r="S520" t="b">
        <v>1</v>
      </c>
    </row>
    <row r="521" spans="4:19" x14ac:dyDescent="0.25">
      <c r="D521">
        <v>38</v>
      </c>
      <c r="E521" t="s">
        <v>235</v>
      </c>
      <c r="F521" s="80" t="s">
        <v>136</v>
      </c>
      <c r="G521" t="s">
        <v>270</v>
      </c>
      <c r="I521">
        <v>19</v>
      </c>
      <c r="J521">
        <v>4</v>
      </c>
      <c r="K521" t="s">
        <v>362</v>
      </c>
      <c r="S521" t="b">
        <v>1</v>
      </c>
    </row>
    <row r="522" spans="4:19" x14ac:dyDescent="0.25">
      <c r="D522">
        <v>39</v>
      </c>
      <c r="E522" t="s">
        <v>235</v>
      </c>
      <c r="F522" s="80" t="s">
        <v>137</v>
      </c>
      <c r="G522" t="s">
        <v>270</v>
      </c>
      <c r="I522">
        <v>19</v>
      </c>
      <c r="J522">
        <v>4</v>
      </c>
      <c r="K522" t="s">
        <v>363</v>
      </c>
      <c r="S522" t="b">
        <v>1</v>
      </c>
    </row>
    <row r="523" spans="4:19" x14ac:dyDescent="0.25">
      <c r="D523">
        <v>40</v>
      </c>
      <c r="E523" t="s">
        <v>235</v>
      </c>
      <c r="F523" s="80" t="s">
        <v>138</v>
      </c>
      <c r="G523" t="s">
        <v>270</v>
      </c>
      <c r="I523">
        <v>19</v>
      </c>
      <c r="J523">
        <v>4</v>
      </c>
      <c r="K523" t="s">
        <v>364</v>
      </c>
      <c r="S523" t="b">
        <v>1</v>
      </c>
    </row>
    <row r="524" spans="4:19" x14ac:dyDescent="0.25">
      <c r="D524">
        <v>41</v>
      </c>
      <c r="E524" t="s">
        <v>235</v>
      </c>
      <c r="F524" s="80" t="s">
        <v>139</v>
      </c>
      <c r="G524" t="s">
        <v>270</v>
      </c>
      <c r="I524">
        <v>19</v>
      </c>
      <c r="J524">
        <v>4</v>
      </c>
      <c r="K524" t="s">
        <v>365</v>
      </c>
      <c r="S524" t="b">
        <v>1</v>
      </c>
    </row>
    <row r="525" spans="4:19" x14ac:dyDescent="0.25">
      <c r="D525">
        <v>42</v>
      </c>
      <c r="E525" t="s">
        <v>235</v>
      </c>
      <c r="F525" s="80" t="s">
        <v>140</v>
      </c>
      <c r="G525" t="s">
        <v>270</v>
      </c>
      <c r="I525">
        <v>19</v>
      </c>
      <c r="J525">
        <v>4</v>
      </c>
      <c r="K525" t="s">
        <v>366</v>
      </c>
      <c r="S525" t="b">
        <v>1</v>
      </c>
    </row>
    <row r="526" spans="4:19" x14ac:dyDescent="0.25">
      <c r="D526">
        <v>43</v>
      </c>
      <c r="E526" t="s">
        <v>235</v>
      </c>
      <c r="F526" s="80" t="s">
        <v>141</v>
      </c>
      <c r="G526" t="s">
        <v>270</v>
      </c>
      <c r="I526">
        <v>19</v>
      </c>
      <c r="J526">
        <v>4</v>
      </c>
      <c r="K526" t="s">
        <v>367</v>
      </c>
      <c r="S526" t="b">
        <v>1</v>
      </c>
    </row>
    <row r="527" spans="4:19" x14ac:dyDescent="0.25">
      <c r="D527">
        <v>44</v>
      </c>
      <c r="E527" t="s">
        <v>235</v>
      </c>
      <c r="F527" s="80" t="s">
        <v>142</v>
      </c>
      <c r="G527" t="s">
        <v>270</v>
      </c>
      <c r="I527">
        <v>19</v>
      </c>
      <c r="J527">
        <v>4</v>
      </c>
      <c r="K527" t="s">
        <v>368</v>
      </c>
      <c r="S527" t="b">
        <v>1</v>
      </c>
    </row>
    <row r="528" spans="4:19" x14ac:dyDescent="0.25">
      <c r="D528">
        <v>45</v>
      </c>
      <c r="E528" t="s">
        <v>235</v>
      </c>
      <c r="F528" s="80" t="s">
        <v>143</v>
      </c>
      <c r="G528" t="s">
        <v>270</v>
      </c>
      <c r="I528">
        <v>19</v>
      </c>
      <c r="J528">
        <v>4</v>
      </c>
      <c r="K528" t="s">
        <v>369</v>
      </c>
      <c r="S528" t="b">
        <v>1</v>
      </c>
    </row>
    <row r="529" spans="1:19" x14ac:dyDescent="0.25">
      <c r="D529">
        <v>46</v>
      </c>
      <c r="E529" t="s">
        <v>235</v>
      </c>
      <c r="F529" s="80" t="s">
        <v>144</v>
      </c>
      <c r="G529" t="s">
        <v>270</v>
      </c>
      <c r="I529">
        <v>19</v>
      </c>
      <c r="J529">
        <v>4</v>
      </c>
      <c r="K529" t="s">
        <v>370</v>
      </c>
      <c r="S529" t="b">
        <v>1</v>
      </c>
    </row>
    <row r="530" spans="1:19" x14ac:dyDescent="0.25">
      <c r="D530">
        <v>47</v>
      </c>
      <c r="E530" t="s">
        <v>235</v>
      </c>
      <c r="F530" s="80" t="s">
        <v>145</v>
      </c>
      <c r="G530" t="s">
        <v>270</v>
      </c>
      <c r="I530">
        <v>19</v>
      </c>
      <c r="J530">
        <v>4</v>
      </c>
      <c r="K530" t="s">
        <v>371</v>
      </c>
      <c r="S530" t="b">
        <v>1</v>
      </c>
    </row>
    <row r="531" spans="1:19" x14ac:dyDescent="0.25">
      <c r="D531">
        <v>48</v>
      </c>
      <c r="E531" t="s">
        <v>235</v>
      </c>
      <c r="F531" s="80" t="s">
        <v>146</v>
      </c>
      <c r="G531" t="s">
        <v>270</v>
      </c>
      <c r="I531">
        <v>19</v>
      </c>
      <c r="J531">
        <v>4</v>
      </c>
      <c r="K531" t="s">
        <v>372</v>
      </c>
      <c r="S531" t="b">
        <v>1</v>
      </c>
    </row>
    <row r="532" spans="1:19" x14ac:dyDescent="0.25">
      <c r="D532">
        <v>49</v>
      </c>
      <c r="E532" t="s">
        <v>235</v>
      </c>
      <c r="F532" s="80" t="s">
        <v>147</v>
      </c>
      <c r="G532" t="s">
        <v>270</v>
      </c>
      <c r="I532">
        <v>19</v>
      </c>
      <c r="J532">
        <v>4</v>
      </c>
      <c r="K532" t="s">
        <v>373</v>
      </c>
      <c r="S532" t="b">
        <v>1</v>
      </c>
    </row>
    <row r="533" spans="1:19" x14ac:dyDescent="0.25">
      <c r="D533">
        <v>50</v>
      </c>
      <c r="E533" t="s">
        <v>235</v>
      </c>
      <c r="F533" s="80" t="s">
        <v>148</v>
      </c>
      <c r="G533" t="s">
        <v>270</v>
      </c>
      <c r="I533">
        <v>19</v>
      </c>
      <c r="J533">
        <v>4</v>
      </c>
      <c r="K533" t="s">
        <v>374</v>
      </c>
      <c r="S533" t="b">
        <v>1</v>
      </c>
    </row>
    <row r="534" spans="1:19" x14ac:dyDescent="0.25">
      <c r="D534">
        <v>51</v>
      </c>
      <c r="E534" t="s">
        <v>235</v>
      </c>
      <c r="F534" s="80" t="s">
        <v>149</v>
      </c>
      <c r="G534" t="s">
        <v>270</v>
      </c>
      <c r="I534">
        <v>19</v>
      </c>
      <c r="J534">
        <v>4</v>
      </c>
      <c r="K534" t="s">
        <v>375</v>
      </c>
      <c r="S534" t="b">
        <v>1</v>
      </c>
    </row>
    <row r="535" spans="1:19" x14ac:dyDescent="0.25">
      <c r="D535">
        <v>52</v>
      </c>
      <c r="E535" t="s">
        <v>235</v>
      </c>
      <c r="F535" s="80" t="s">
        <v>150</v>
      </c>
      <c r="G535" t="s">
        <v>270</v>
      </c>
      <c r="I535">
        <v>19</v>
      </c>
      <c r="J535">
        <v>4</v>
      </c>
      <c r="K535" t="s">
        <v>376</v>
      </c>
      <c r="S535" t="b">
        <v>1</v>
      </c>
    </row>
    <row r="536" spans="1:19" x14ac:dyDescent="0.25">
      <c r="D536">
        <v>53</v>
      </c>
      <c r="E536" t="s">
        <v>235</v>
      </c>
      <c r="F536" s="80" t="s">
        <v>151</v>
      </c>
      <c r="G536" t="s">
        <v>269</v>
      </c>
      <c r="H536">
        <v>-1</v>
      </c>
      <c r="K536" t="s">
        <v>26</v>
      </c>
      <c r="S536" t="b">
        <v>1</v>
      </c>
    </row>
    <row r="537" spans="1:19" x14ac:dyDescent="0.25">
      <c r="D537">
        <v>54</v>
      </c>
      <c r="E537" t="s">
        <v>235</v>
      </c>
      <c r="F537" s="80" t="s">
        <v>545</v>
      </c>
      <c r="G537" t="s">
        <v>269</v>
      </c>
      <c r="H537">
        <v>-1</v>
      </c>
      <c r="K537" t="s">
        <v>547</v>
      </c>
      <c r="S537" t="b">
        <v>1</v>
      </c>
    </row>
    <row r="538" spans="1:19" x14ac:dyDescent="0.25">
      <c r="D538">
        <v>55</v>
      </c>
      <c r="E538" t="s">
        <v>235</v>
      </c>
      <c r="F538" s="80" t="s">
        <v>271</v>
      </c>
      <c r="G538" t="s">
        <v>272</v>
      </c>
      <c r="I538">
        <v>3</v>
      </c>
      <c r="K538" t="s">
        <v>377</v>
      </c>
      <c r="S538" t="b">
        <v>1</v>
      </c>
    </row>
    <row r="539" spans="1:19" x14ac:dyDescent="0.25">
      <c r="A539" t="s">
        <v>517</v>
      </c>
    </row>
    <row r="540" spans="1:19" x14ac:dyDescent="0.25">
      <c r="A540" t="s">
        <v>518</v>
      </c>
    </row>
    <row r="541" spans="1:19" x14ac:dyDescent="0.25">
      <c r="D541">
        <v>1</v>
      </c>
      <c r="E541" t="s">
        <v>235</v>
      </c>
      <c r="F541" s="80" t="s">
        <v>240</v>
      </c>
      <c r="G541" t="s">
        <v>237</v>
      </c>
      <c r="I541">
        <v>10</v>
      </c>
      <c r="J541">
        <v>0</v>
      </c>
      <c r="K541" t="s">
        <v>327</v>
      </c>
      <c r="S541" t="b">
        <v>1</v>
      </c>
    </row>
    <row r="542" spans="1:19" x14ac:dyDescent="0.25">
      <c r="D542">
        <v>2</v>
      </c>
      <c r="E542" t="s">
        <v>235</v>
      </c>
      <c r="F542" s="80" t="s">
        <v>242</v>
      </c>
      <c r="G542" t="s">
        <v>237</v>
      </c>
      <c r="I542">
        <v>10</v>
      </c>
      <c r="J542">
        <v>0</v>
      </c>
      <c r="K542" t="s">
        <v>328</v>
      </c>
      <c r="S542" t="b">
        <v>1</v>
      </c>
    </row>
    <row r="543" spans="1:19" x14ac:dyDescent="0.25">
      <c r="D543">
        <v>3</v>
      </c>
      <c r="E543" t="s">
        <v>235</v>
      </c>
      <c r="F543" s="80" t="s">
        <v>244</v>
      </c>
      <c r="G543" t="s">
        <v>237</v>
      </c>
      <c r="I543">
        <v>10</v>
      </c>
      <c r="J543">
        <v>0</v>
      </c>
      <c r="K543" t="s">
        <v>329</v>
      </c>
      <c r="S543" t="b">
        <v>1</v>
      </c>
    </row>
    <row r="544" spans="1:19" x14ac:dyDescent="0.25">
      <c r="D544">
        <v>4</v>
      </c>
      <c r="E544" t="s">
        <v>235</v>
      </c>
      <c r="F544" s="80" t="s">
        <v>260</v>
      </c>
      <c r="G544" t="s">
        <v>237</v>
      </c>
      <c r="I544">
        <v>10</v>
      </c>
      <c r="J544">
        <v>0</v>
      </c>
      <c r="K544" t="s">
        <v>260</v>
      </c>
      <c r="S544" t="b">
        <v>1</v>
      </c>
    </row>
    <row r="545" spans="4:19" x14ac:dyDescent="0.25">
      <c r="D545">
        <v>5</v>
      </c>
      <c r="E545" t="s">
        <v>235</v>
      </c>
      <c r="F545" s="80" t="s">
        <v>102</v>
      </c>
      <c r="G545" t="s">
        <v>237</v>
      </c>
      <c r="I545">
        <v>10</v>
      </c>
      <c r="J545">
        <v>0</v>
      </c>
      <c r="K545" t="s">
        <v>332</v>
      </c>
      <c r="S545" t="b">
        <v>1</v>
      </c>
    </row>
    <row r="546" spans="4:19" x14ac:dyDescent="0.25">
      <c r="D546">
        <v>6</v>
      </c>
      <c r="E546" t="s">
        <v>235</v>
      </c>
      <c r="F546" s="80" t="s">
        <v>103</v>
      </c>
      <c r="G546" t="s">
        <v>237</v>
      </c>
      <c r="I546">
        <v>10</v>
      </c>
      <c r="J546">
        <v>0</v>
      </c>
      <c r="K546" t="s">
        <v>333</v>
      </c>
      <c r="S546" t="b">
        <v>1</v>
      </c>
    </row>
    <row r="547" spans="4:19" x14ac:dyDescent="0.25">
      <c r="D547">
        <v>7</v>
      </c>
      <c r="E547" t="s">
        <v>235</v>
      </c>
      <c r="F547" s="80" t="s">
        <v>104</v>
      </c>
      <c r="G547" t="s">
        <v>269</v>
      </c>
      <c r="H547">
        <v>255</v>
      </c>
      <c r="K547" t="s">
        <v>3</v>
      </c>
      <c r="S547" t="b">
        <v>1</v>
      </c>
    </row>
    <row r="548" spans="4:19" x14ac:dyDescent="0.25">
      <c r="D548">
        <v>8</v>
      </c>
      <c r="E548" t="s">
        <v>235</v>
      </c>
      <c r="F548" s="80" t="s">
        <v>105</v>
      </c>
      <c r="G548" t="s">
        <v>237</v>
      </c>
      <c r="I548">
        <v>10</v>
      </c>
      <c r="J548">
        <v>0</v>
      </c>
      <c r="K548" t="s">
        <v>32</v>
      </c>
      <c r="S548" t="b">
        <v>1</v>
      </c>
    </row>
    <row r="549" spans="4:19" x14ac:dyDescent="0.25">
      <c r="D549">
        <v>9</v>
      </c>
      <c r="E549" t="s">
        <v>235</v>
      </c>
      <c r="F549" s="80" t="s">
        <v>107</v>
      </c>
      <c r="G549" t="s">
        <v>237</v>
      </c>
      <c r="I549">
        <v>10</v>
      </c>
      <c r="J549">
        <v>0</v>
      </c>
      <c r="K549" t="s">
        <v>334</v>
      </c>
      <c r="S549" t="b">
        <v>1</v>
      </c>
    </row>
    <row r="550" spans="4:19" x14ac:dyDescent="0.25">
      <c r="D550">
        <v>10</v>
      </c>
      <c r="E550" t="s">
        <v>235</v>
      </c>
      <c r="F550" s="80" t="s">
        <v>108</v>
      </c>
      <c r="G550" t="s">
        <v>237</v>
      </c>
      <c r="I550">
        <v>10</v>
      </c>
      <c r="J550">
        <v>0</v>
      </c>
      <c r="K550" t="s">
        <v>7</v>
      </c>
      <c r="S550" t="b">
        <v>1</v>
      </c>
    </row>
    <row r="551" spans="4:19" x14ac:dyDescent="0.25">
      <c r="D551">
        <v>11</v>
      </c>
      <c r="E551" t="s">
        <v>235</v>
      </c>
      <c r="F551" s="80" t="s">
        <v>109</v>
      </c>
      <c r="G551" t="s">
        <v>237</v>
      </c>
      <c r="I551">
        <v>10</v>
      </c>
      <c r="J551">
        <v>0</v>
      </c>
      <c r="K551" t="s">
        <v>335</v>
      </c>
      <c r="S551" t="b">
        <v>1</v>
      </c>
    </row>
    <row r="552" spans="4:19" x14ac:dyDescent="0.25">
      <c r="D552">
        <v>12</v>
      </c>
      <c r="E552" t="s">
        <v>235</v>
      </c>
      <c r="F552" s="80" t="s">
        <v>110</v>
      </c>
      <c r="G552" t="s">
        <v>275</v>
      </c>
      <c r="I552">
        <v>3</v>
      </c>
      <c r="J552">
        <v>0</v>
      </c>
      <c r="K552" t="s">
        <v>336</v>
      </c>
      <c r="S552" t="b">
        <v>1</v>
      </c>
    </row>
    <row r="553" spans="4:19" x14ac:dyDescent="0.25">
      <c r="D553">
        <v>13</v>
      </c>
      <c r="E553" t="s">
        <v>235</v>
      </c>
      <c r="F553" s="80" t="s">
        <v>111</v>
      </c>
      <c r="G553" t="s">
        <v>237</v>
      </c>
      <c r="I553">
        <v>10</v>
      </c>
      <c r="J553">
        <v>0</v>
      </c>
      <c r="K553" t="s">
        <v>337</v>
      </c>
      <c r="S553" t="b">
        <v>1</v>
      </c>
    </row>
    <row r="554" spans="4:19" x14ac:dyDescent="0.25">
      <c r="D554">
        <v>14</v>
      </c>
      <c r="E554" t="s">
        <v>235</v>
      </c>
      <c r="F554" s="80" t="s">
        <v>112</v>
      </c>
      <c r="G554" t="s">
        <v>276</v>
      </c>
      <c r="I554">
        <v>53</v>
      </c>
      <c r="K554" t="s">
        <v>338</v>
      </c>
      <c r="S554" t="b">
        <v>1</v>
      </c>
    </row>
    <row r="555" spans="4:19" x14ac:dyDescent="0.25">
      <c r="D555">
        <v>15</v>
      </c>
      <c r="E555" t="s">
        <v>235</v>
      </c>
      <c r="F555" s="80" t="s">
        <v>113</v>
      </c>
      <c r="G555" t="s">
        <v>276</v>
      </c>
      <c r="I555">
        <v>53</v>
      </c>
      <c r="K555" t="s">
        <v>339</v>
      </c>
      <c r="S555" t="b">
        <v>1</v>
      </c>
    </row>
    <row r="556" spans="4:19" x14ac:dyDescent="0.25">
      <c r="D556">
        <v>16</v>
      </c>
      <c r="E556" t="s">
        <v>235</v>
      </c>
      <c r="F556" s="80" t="s">
        <v>114</v>
      </c>
      <c r="G556" t="s">
        <v>276</v>
      </c>
      <c r="I556">
        <v>53</v>
      </c>
      <c r="K556" t="s">
        <v>340</v>
      </c>
      <c r="S556" t="b">
        <v>1</v>
      </c>
    </row>
    <row r="557" spans="4:19" x14ac:dyDescent="0.25">
      <c r="D557">
        <v>17</v>
      </c>
      <c r="E557" t="s">
        <v>235</v>
      </c>
      <c r="F557" s="80" t="s">
        <v>115</v>
      </c>
      <c r="G557" t="s">
        <v>276</v>
      </c>
      <c r="I557">
        <v>53</v>
      </c>
      <c r="K557" t="s">
        <v>341</v>
      </c>
      <c r="S557" t="b">
        <v>1</v>
      </c>
    </row>
    <row r="558" spans="4:19" x14ac:dyDescent="0.25">
      <c r="D558">
        <v>18</v>
      </c>
      <c r="E558" t="s">
        <v>235</v>
      </c>
      <c r="F558" s="80" t="s">
        <v>116</v>
      </c>
      <c r="G558" t="s">
        <v>276</v>
      </c>
      <c r="I558">
        <v>53</v>
      </c>
      <c r="K558" t="s">
        <v>342</v>
      </c>
      <c r="S558" t="b">
        <v>1</v>
      </c>
    </row>
    <row r="559" spans="4:19" x14ac:dyDescent="0.25">
      <c r="D559">
        <v>19</v>
      </c>
      <c r="E559" t="s">
        <v>235</v>
      </c>
      <c r="F559" s="80" t="s">
        <v>117</v>
      </c>
      <c r="G559" t="s">
        <v>276</v>
      </c>
      <c r="I559">
        <v>53</v>
      </c>
      <c r="K559" t="s">
        <v>343</v>
      </c>
      <c r="S559" t="b">
        <v>1</v>
      </c>
    </row>
    <row r="560" spans="4:19" x14ac:dyDescent="0.25">
      <c r="D560">
        <v>20</v>
      </c>
      <c r="E560" t="s">
        <v>235</v>
      </c>
      <c r="F560" s="80" t="s">
        <v>118</v>
      </c>
      <c r="G560" t="s">
        <v>276</v>
      </c>
      <c r="I560">
        <v>53</v>
      </c>
      <c r="K560" t="s">
        <v>344</v>
      </c>
      <c r="S560" t="b">
        <v>1</v>
      </c>
    </row>
    <row r="561" spans="4:19" x14ac:dyDescent="0.25">
      <c r="D561">
        <v>21</v>
      </c>
      <c r="E561" t="s">
        <v>235</v>
      </c>
      <c r="F561" s="80" t="s">
        <v>119</v>
      </c>
      <c r="G561" t="s">
        <v>276</v>
      </c>
      <c r="I561">
        <v>53</v>
      </c>
      <c r="K561" t="s">
        <v>345</v>
      </c>
      <c r="S561" t="b">
        <v>1</v>
      </c>
    </row>
    <row r="562" spans="4:19" x14ac:dyDescent="0.25">
      <c r="D562">
        <v>22</v>
      </c>
      <c r="E562" t="s">
        <v>235</v>
      </c>
      <c r="F562" s="80" t="s">
        <v>120</v>
      </c>
      <c r="G562" t="s">
        <v>276</v>
      </c>
      <c r="I562">
        <v>53</v>
      </c>
      <c r="K562" t="s">
        <v>346</v>
      </c>
      <c r="S562" t="b">
        <v>1</v>
      </c>
    </row>
    <row r="563" spans="4:19" x14ac:dyDescent="0.25">
      <c r="D563">
        <v>23</v>
      </c>
      <c r="E563" t="s">
        <v>235</v>
      </c>
      <c r="F563" s="80" t="s">
        <v>121</v>
      </c>
      <c r="G563" t="s">
        <v>276</v>
      </c>
      <c r="I563">
        <v>53</v>
      </c>
      <c r="K563" t="s">
        <v>347</v>
      </c>
      <c r="S563" t="b">
        <v>1</v>
      </c>
    </row>
    <row r="564" spans="4:19" x14ac:dyDescent="0.25">
      <c r="D564">
        <v>24</v>
      </c>
      <c r="E564" t="s">
        <v>235</v>
      </c>
      <c r="F564" s="80" t="s">
        <v>122</v>
      </c>
      <c r="G564" t="s">
        <v>276</v>
      </c>
      <c r="I564">
        <v>53</v>
      </c>
      <c r="K564" t="s">
        <v>348</v>
      </c>
      <c r="S564" t="b">
        <v>1</v>
      </c>
    </row>
    <row r="565" spans="4:19" x14ac:dyDescent="0.25">
      <c r="D565">
        <v>25</v>
      </c>
      <c r="E565" t="s">
        <v>235</v>
      </c>
      <c r="F565" s="80" t="s">
        <v>123</v>
      </c>
      <c r="G565" t="s">
        <v>276</v>
      </c>
      <c r="I565">
        <v>53</v>
      </c>
      <c r="K565" t="s">
        <v>349</v>
      </c>
      <c r="S565" t="b">
        <v>1</v>
      </c>
    </row>
    <row r="566" spans="4:19" x14ac:dyDescent="0.25">
      <c r="D566">
        <v>26</v>
      </c>
      <c r="E566" t="s">
        <v>235</v>
      </c>
      <c r="F566" s="80" t="s">
        <v>124</v>
      </c>
      <c r="G566" t="s">
        <v>276</v>
      </c>
      <c r="I566">
        <v>53</v>
      </c>
      <c r="K566" t="s">
        <v>350</v>
      </c>
      <c r="S566" t="b">
        <v>1</v>
      </c>
    </row>
    <row r="567" spans="4:19" x14ac:dyDescent="0.25">
      <c r="D567">
        <v>27</v>
      </c>
      <c r="E567" t="s">
        <v>235</v>
      </c>
      <c r="F567" s="80" t="s">
        <v>125</v>
      </c>
      <c r="G567" t="s">
        <v>276</v>
      </c>
      <c r="I567">
        <v>53</v>
      </c>
      <c r="K567" t="s">
        <v>351</v>
      </c>
      <c r="S567" t="b">
        <v>1</v>
      </c>
    </row>
    <row r="568" spans="4:19" x14ac:dyDescent="0.25">
      <c r="D568">
        <v>28</v>
      </c>
      <c r="E568" t="s">
        <v>235</v>
      </c>
      <c r="F568" s="80" t="s">
        <v>126</v>
      </c>
      <c r="G568" t="s">
        <v>276</v>
      </c>
      <c r="I568">
        <v>53</v>
      </c>
      <c r="K568" t="s">
        <v>352</v>
      </c>
      <c r="S568" t="b">
        <v>1</v>
      </c>
    </row>
    <row r="569" spans="4:19" x14ac:dyDescent="0.25">
      <c r="D569">
        <v>29</v>
      </c>
      <c r="E569" t="s">
        <v>235</v>
      </c>
      <c r="F569" s="80" t="s">
        <v>127</v>
      </c>
      <c r="G569" t="s">
        <v>276</v>
      </c>
      <c r="I569">
        <v>53</v>
      </c>
      <c r="K569" t="s">
        <v>353</v>
      </c>
      <c r="S569" t="b">
        <v>1</v>
      </c>
    </row>
    <row r="570" spans="4:19" x14ac:dyDescent="0.25">
      <c r="D570">
        <v>30</v>
      </c>
      <c r="E570" t="s">
        <v>235</v>
      </c>
      <c r="F570" s="80" t="s">
        <v>128</v>
      </c>
      <c r="G570" t="s">
        <v>276</v>
      </c>
      <c r="I570">
        <v>53</v>
      </c>
      <c r="K570" t="s">
        <v>354</v>
      </c>
      <c r="S570" t="b">
        <v>1</v>
      </c>
    </row>
    <row r="571" spans="4:19" x14ac:dyDescent="0.25">
      <c r="D571">
        <v>31</v>
      </c>
      <c r="E571" t="s">
        <v>235</v>
      </c>
      <c r="F571" s="80" t="s">
        <v>129</v>
      </c>
      <c r="G571" t="s">
        <v>276</v>
      </c>
      <c r="I571">
        <v>53</v>
      </c>
      <c r="K571" t="s">
        <v>355</v>
      </c>
      <c r="S571" t="b">
        <v>1</v>
      </c>
    </row>
    <row r="572" spans="4:19" x14ac:dyDescent="0.25">
      <c r="D572">
        <v>32</v>
      </c>
      <c r="E572" t="s">
        <v>235</v>
      </c>
      <c r="F572" s="80" t="s">
        <v>130</v>
      </c>
      <c r="G572" t="s">
        <v>276</v>
      </c>
      <c r="I572">
        <v>53</v>
      </c>
      <c r="K572" t="s">
        <v>356</v>
      </c>
      <c r="S572" t="b">
        <v>1</v>
      </c>
    </row>
    <row r="573" spans="4:19" x14ac:dyDescent="0.25">
      <c r="D573">
        <v>33</v>
      </c>
      <c r="E573" t="s">
        <v>235</v>
      </c>
      <c r="F573" s="80" t="s">
        <v>131</v>
      </c>
      <c r="G573" t="s">
        <v>276</v>
      </c>
      <c r="I573">
        <v>53</v>
      </c>
      <c r="K573" t="s">
        <v>357</v>
      </c>
      <c r="S573" t="b">
        <v>1</v>
      </c>
    </row>
    <row r="574" spans="4:19" x14ac:dyDescent="0.25">
      <c r="D574">
        <v>34</v>
      </c>
      <c r="E574" t="s">
        <v>235</v>
      </c>
      <c r="F574" s="80" t="s">
        <v>132</v>
      </c>
      <c r="G574" t="s">
        <v>276</v>
      </c>
      <c r="I574">
        <v>53</v>
      </c>
      <c r="K574" t="s">
        <v>358</v>
      </c>
      <c r="S574" t="b">
        <v>1</v>
      </c>
    </row>
    <row r="575" spans="4:19" x14ac:dyDescent="0.25">
      <c r="D575">
        <v>35</v>
      </c>
      <c r="E575" t="s">
        <v>235</v>
      </c>
      <c r="F575" s="80" t="s">
        <v>133</v>
      </c>
      <c r="G575" t="s">
        <v>276</v>
      </c>
      <c r="I575">
        <v>53</v>
      </c>
      <c r="K575" t="s">
        <v>359</v>
      </c>
      <c r="S575" t="b">
        <v>1</v>
      </c>
    </row>
    <row r="576" spans="4:19" x14ac:dyDescent="0.25">
      <c r="D576">
        <v>36</v>
      </c>
      <c r="E576" t="s">
        <v>235</v>
      </c>
      <c r="F576" s="80" t="s">
        <v>134</v>
      </c>
      <c r="G576" t="s">
        <v>276</v>
      </c>
      <c r="I576">
        <v>53</v>
      </c>
      <c r="K576" t="s">
        <v>360</v>
      </c>
      <c r="S576" t="b">
        <v>1</v>
      </c>
    </row>
    <row r="577" spans="4:19" x14ac:dyDescent="0.25">
      <c r="D577">
        <v>37</v>
      </c>
      <c r="E577" t="s">
        <v>235</v>
      </c>
      <c r="F577" s="80" t="s">
        <v>135</v>
      </c>
      <c r="G577" t="s">
        <v>276</v>
      </c>
      <c r="I577">
        <v>53</v>
      </c>
      <c r="K577" t="s">
        <v>361</v>
      </c>
      <c r="S577" t="b">
        <v>1</v>
      </c>
    </row>
    <row r="578" spans="4:19" x14ac:dyDescent="0.25">
      <c r="D578">
        <v>38</v>
      </c>
      <c r="E578" t="s">
        <v>235</v>
      </c>
      <c r="F578" s="80" t="s">
        <v>136</v>
      </c>
      <c r="G578" t="s">
        <v>276</v>
      </c>
      <c r="I578">
        <v>53</v>
      </c>
      <c r="K578" t="s">
        <v>362</v>
      </c>
      <c r="S578" t="b">
        <v>1</v>
      </c>
    </row>
    <row r="579" spans="4:19" x14ac:dyDescent="0.25">
      <c r="D579">
        <v>39</v>
      </c>
      <c r="E579" t="s">
        <v>235</v>
      </c>
      <c r="F579" s="80" t="s">
        <v>137</v>
      </c>
      <c r="G579" t="s">
        <v>276</v>
      </c>
      <c r="I579">
        <v>53</v>
      </c>
      <c r="K579" t="s">
        <v>363</v>
      </c>
      <c r="S579" t="b">
        <v>1</v>
      </c>
    </row>
    <row r="580" spans="4:19" x14ac:dyDescent="0.25">
      <c r="D580">
        <v>40</v>
      </c>
      <c r="E580" t="s">
        <v>235</v>
      </c>
      <c r="F580" s="80" t="s">
        <v>138</v>
      </c>
      <c r="G580" t="s">
        <v>276</v>
      </c>
      <c r="I580">
        <v>53</v>
      </c>
      <c r="K580" t="s">
        <v>364</v>
      </c>
      <c r="S580" t="b">
        <v>1</v>
      </c>
    </row>
    <row r="581" spans="4:19" x14ac:dyDescent="0.25">
      <c r="D581">
        <v>41</v>
      </c>
      <c r="E581" t="s">
        <v>235</v>
      </c>
      <c r="F581" s="80" t="s">
        <v>139</v>
      </c>
      <c r="G581" t="s">
        <v>276</v>
      </c>
      <c r="I581">
        <v>53</v>
      </c>
      <c r="K581" t="s">
        <v>365</v>
      </c>
      <c r="S581" t="b">
        <v>1</v>
      </c>
    </row>
    <row r="582" spans="4:19" x14ac:dyDescent="0.25">
      <c r="D582">
        <v>42</v>
      </c>
      <c r="E582" t="s">
        <v>235</v>
      </c>
      <c r="F582" s="80" t="s">
        <v>140</v>
      </c>
      <c r="G582" t="s">
        <v>276</v>
      </c>
      <c r="I582">
        <v>53</v>
      </c>
      <c r="K582" t="s">
        <v>366</v>
      </c>
      <c r="S582" t="b">
        <v>1</v>
      </c>
    </row>
    <row r="583" spans="4:19" x14ac:dyDescent="0.25">
      <c r="D583">
        <v>43</v>
      </c>
      <c r="E583" t="s">
        <v>235</v>
      </c>
      <c r="F583" s="80" t="s">
        <v>141</v>
      </c>
      <c r="G583" t="s">
        <v>276</v>
      </c>
      <c r="I583">
        <v>53</v>
      </c>
      <c r="K583" t="s">
        <v>367</v>
      </c>
      <c r="S583" t="b">
        <v>1</v>
      </c>
    </row>
    <row r="584" spans="4:19" x14ac:dyDescent="0.25">
      <c r="D584">
        <v>44</v>
      </c>
      <c r="E584" t="s">
        <v>235</v>
      </c>
      <c r="F584" s="80" t="s">
        <v>142</v>
      </c>
      <c r="G584" t="s">
        <v>276</v>
      </c>
      <c r="I584">
        <v>53</v>
      </c>
      <c r="K584" t="s">
        <v>368</v>
      </c>
      <c r="S584" t="b">
        <v>1</v>
      </c>
    </row>
    <row r="585" spans="4:19" x14ac:dyDescent="0.25">
      <c r="D585">
        <v>45</v>
      </c>
      <c r="E585" t="s">
        <v>235</v>
      </c>
      <c r="F585" s="80" t="s">
        <v>143</v>
      </c>
      <c r="G585" t="s">
        <v>276</v>
      </c>
      <c r="I585">
        <v>53</v>
      </c>
      <c r="K585" t="s">
        <v>369</v>
      </c>
      <c r="S585" t="b">
        <v>1</v>
      </c>
    </row>
    <row r="586" spans="4:19" x14ac:dyDescent="0.25">
      <c r="D586">
        <v>46</v>
      </c>
      <c r="E586" t="s">
        <v>235</v>
      </c>
      <c r="F586" s="80" t="s">
        <v>144</v>
      </c>
      <c r="G586" t="s">
        <v>276</v>
      </c>
      <c r="I586">
        <v>53</v>
      </c>
      <c r="K586" t="s">
        <v>370</v>
      </c>
      <c r="S586" t="b">
        <v>1</v>
      </c>
    </row>
    <row r="587" spans="4:19" x14ac:dyDescent="0.25">
      <c r="D587">
        <v>47</v>
      </c>
      <c r="E587" t="s">
        <v>235</v>
      </c>
      <c r="F587" s="80" t="s">
        <v>145</v>
      </c>
      <c r="G587" t="s">
        <v>276</v>
      </c>
      <c r="I587">
        <v>53</v>
      </c>
      <c r="K587" t="s">
        <v>371</v>
      </c>
      <c r="S587" t="b">
        <v>1</v>
      </c>
    </row>
    <row r="588" spans="4:19" x14ac:dyDescent="0.25">
      <c r="D588">
        <v>48</v>
      </c>
      <c r="E588" t="s">
        <v>235</v>
      </c>
      <c r="F588" s="80" t="s">
        <v>146</v>
      </c>
      <c r="G588" t="s">
        <v>276</v>
      </c>
      <c r="I588">
        <v>53</v>
      </c>
      <c r="K588" t="s">
        <v>372</v>
      </c>
      <c r="S588" t="b">
        <v>1</v>
      </c>
    </row>
    <row r="589" spans="4:19" x14ac:dyDescent="0.25">
      <c r="D589">
        <v>49</v>
      </c>
      <c r="E589" t="s">
        <v>235</v>
      </c>
      <c r="F589" s="80" t="s">
        <v>147</v>
      </c>
      <c r="G589" t="s">
        <v>276</v>
      </c>
      <c r="I589">
        <v>53</v>
      </c>
      <c r="K589" t="s">
        <v>373</v>
      </c>
      <c r="S589" t="b">
        <v>1</v>
      </c>
    </row>
    <row r="590" spans="4:19" x14ac:dyDescent="0.25">
      <c r="D590">
        <v>50</v>
      </c>
      <c r="E590" t="s">
        <v>235</v>
      </c>
      <c r="F590" s="80" t="s">
        <v>148</v>
      </c>
      <c r="G590" t="s">
        <v>276</v>
      </c>
      <c r="I590">
        <v>53</v>
      </c>
      <c r="K590" t="s">
        <v>374</v>
      </c>
      <c r="S590" t="b">
        <v>1</v>
      </c>
    </row>
    <row r="591" spans="4:19" x14ac:dyDescent="0.25">
      <c r="D591">
        <v>51</v>
      </c>
      <c r="E591" t="s">
        <v>235</v>
      </c>
      <c r="F591" s="80" t="s">
        <v>149</v>
      </c>
      <c r="G591" t="s">
        <v>276</v>
      </c>
      <c r="I591">
        <v>53</v>
      </c>
      <c r="K591" t="s">
        <v>375</v>
      </c>
      <c r="S591" t="b">
        <v>1</v>
      </c>
    </row>
    <row r="592" spans="4:19" x14ac:dyDescent="0.25">
      <c r="D592">
        <v>52</v>
      </c>
      <c r="E592" t="s">
        <v>235</v>
      </c>
      <c r="F592" s="80" t="s">
        <v>150</v>
      </c>
      <c r="G592" t="s">
        <v>276</v>
      </c>
      <c r="I592">
        <v>53</v>
      </c>
      <c r="K592" t="s">
        <v>376</v>
      </c>
      <c r="S592" t="b">
        <v>1</v>
      </c>
    </row>
    <row r="593" spans="1:19" x14ac:dyDescent="0.25">
      <c r="D593">
        <v>53</v>
      </c>
      <c r="E593" t="s">
        <v>235</v>
      </c>
      <c r="F593" s="80" t="s">
        <v>151</v>
      </c>
      <c r="G593" t="s">
        <v>269</v>
      </c>
      <c r="H593">
        <v>-1</v>
      </c>
      <c r="K593" t="s">
        <v>26</v>
      </c>
      <c r="S593" t="b">
        <v>1</v>
      </c>
    </row>
    <row r="594" spans="1:19" x14ac:dyDescent="0.25">
      <c r="D594">
        <v>54</v>
      </c>
      <c r="E594" t="s">
        <v>235</v>
      </c>
      <c r="F594" s="80" t="s">
        <v>545</v>
      </c>
      <c r="G594" t="s">
        <v>269</v>
      </c>
      <c r="H594">
        <v>-1</v>
      </c>
      <c r="K594" t="s">
        <v>547</v>
      </c>
      <c r="S594" t="b">
        <v>1</v>
      </c>
    </row>
    <row r="595" spans="1:19" x14ac:dyDescent="0.25">
      <c r="D595">
        <v>55</v>
      </c>
      <c r="E595" t="s">
        <v>235</v>
      </c>
      <c r="F595" s="80" t="s">
        <v>271</v>
      </c>
      <c r="G595" t="s">
        <v>272</v>
      </c>
      <c r="I595">
        <v>3</v>
      </c>
      <c r="K595" t="s">
        <v>377</v>
      </c>
      <c r="S595" t="b">
        <v>1</v>
      </c>
    </row>
    <row r="596" spans="1:19" x14ac:dyDescent="0.25">
      <c r="D596">
        <v>56</v>
      </c>
      <c r="E596" t="s">
        <v>235</v>
      </c>
      <c r="F596" s="80" t="s">
        <v>277</v>
      </c>
      <c r="G596" t="s">
        <v>278</v>
      </c>
      <c r="K596" t="s">
        <v>277</v>
      </c>
      <c r="S596" t="b">
        <v>1</v>
      </c>
    </row>
    <row r="597" spans="1:19" x14ac:dyDescent="0.25">
      <c r="A597" t="s">
        <v>519</v>
      </c>
    </row>
    <row r="598" spans="1:19" x14ac:dyDescent="0.25">
      <c r="A598" t="s">
        <v>520</v>
      </c>
    </row>
    <row r="599" spans="1:19" x14ac:dyDescent="0.25">
      <c r="D599">
        <v>1</v>
      </c>
      <c r="E599" t="s">
        <v>235</v>
      </c>
      <c r="F599" s="80" t="s">
        <v>240</v>
      </c>
      <c r="G599" t="s">
        <v>237</v>
      </c>
      <c r="I599">
        <v>10</v>
      </c>
      <c r="J599">
        <v>0</v>
      </c>
      <c r="K599" t="s">
        <v>327</v>
      </c>
      <c r="S599" t="b">
        <v>1</v>
      </c>
    </row>
    <row r="600" spans="1:19" x14ac:dyDescent="0.25">
      <c r="D600">
        <v>2</v>
      </c>
      <c r="E600" t="s">
        <v>235</v>
      </c>
      <c r="F600" s="80" t="s">
        <v>242</v>
      </c>
      <c r="G600" t="s">
        <v>237</v>
      </c>
      <c r="I600">
        <v>10</v>
      </c>
      <c r="J600">
        <v>0</v>
      </c>
      <c r="K600" t="s">
        <v>328</v>
      </c>
      <c r="S600" t="b">
        <v>1</v>
      </c>
    </row>
    <row r="601" spans="1:19" x14ac:dyDescent="0.25">
      <c r="D601">
        <v>3</v>
      </c>
      <c r="E601" t="s">
        <v>235</v>
      </c>
      <c r="F601" s="80" t="s">
        <v>244</v>
      </c>
      <c r="G601" t="s">
        <v>237</v>
      </c>
      <c r="I601">
        <v>10</v>
      </c>
      <c r="J601">
        <v>0</v>
      </c>
      <c r="K601" t="s">
        <v>329</v>
      </c>
      <c r="S601" t="b">
        <v>1</v>
      </c>
    </row>
    <row r="602" spans="1:19" x14ac:dyDescent="0.25">
      <c r="D602">
        <v>4</v>
      </c>
      <c r="E602" t="s">
        <v>235</v>
      </c>
      <c r="F602" s="80" t="s">
        <v>260</v>
      </c>
      <c r="G602" t="s">
        <v>237</v>
      </c>
      <c r="I602">
        <v>10</v>
      </c>
      <c r="J602">
        <v>0</v>
      </c>
      <c r="K602" t="s">
        <v>260</v>
      </c>
      <c r="S602" t="b">
        <v>1</v>
      </c>
    </row>
    <row r="603" spans="1:19" x14ac:dyDescent="0.25">
      <c r="D603">
        <v>5</v>
      </c>
      <c r="E603" t="s">
        <v>235</v>
      </c>
      <c r="F603" s="80" t="s">
        <v>102</v>
      </c>
      <c r="G603" t="s">
        <v>237</v>
      </c>
      <c r="I603">
        <v>10</v>
      </c>
      <c r="J603">
        <v>0</v>
      </c>
      <c r="K603" t="s">
        <v>332</v>
      </c>
      <c r="S603" t="b">
        <v>1</v>
      </c>
    </row>
    <row r="604" spans="1:19" x14ac:dyDescent="0.25">
      <c r="D604">
        <v>6</v>
      </c>
      <c r="E604" t="s">
        <v>235</v>
      </c>
      <c r="F604" s="80" t="s">
        <v>271</v>
      </c>
      <c r="G604" t="s">
        <v>272</v>
      </c>
      <c r="I604">
        <v>3</v>
      </c>
      <c r="K604" t="s">
        <v>377</v>
      </c>
      <c r="S604" t="b">
        <v>1</v>
      </c>
    </row>
    <row r="605" spans="1:19" x14ac:dyDescent="0.25">
      <c r="A605" t="s">
        <v>521</v>
      </c>
    </row>
    <row r="606" spans="1:19" x14ac:dyDescent="0.25">
      <c r="A606" t="s">
        <v>522</v>
      </c>
    </row>
    <row r="607" spans="1:19" x14ac:dyDescent="0.25">
      <c r="D607">
        <v>1</v>
      </c>
      <c r="E607" t="s">
        <v>235</v>
      </c>
      <c r="F607" s="80" t="s">
        <v>247</v>
      </c>
      <c r="G607" t="s">
        <v>672</v>
      </c>
      <c r="H607">
        <v>10</v>
      </c>
      <c r="K607" t="s">
        <v>247</v>
      </c>
      <c r="S607" t="b">
        <v>1</v>
      </c>
    </row>
    <row r="608" spans="1:19" x14ac:dyDescent="0.25">
      <c r="A608" t="s">
        <v>523</v>
      </c>
    </row>
    <row r="609" spans="1:19" x14ac:dyDescent="0.25">
      <c r="A609" t="s">
        <v>524</v>
      </c>
    </row>
    <row r="610" spans="1:19" x14ac:dyDescent="0.25">
      <c r="D610">
        <v>1</v>
      </c>
      <c r="E610" t="s">
        <v>235</v>
      </c>
      <c r="F610" s="80" t="s">
        <v>236</v>
      </c>
      <c r="G610" t="s">
        <v>237</v>
      </c>
      <c r="I610">
        <v>10</v>
      </c>
      <c r="J610">
        <v>0</v>
      </c>
      <c r="K610" t="s">
        <v>326</v>
      </c>
      <c r="S610" t="b">
        <v>1</v>
      </c>
    </row>
    <row r="611" spans="1:19" x14ac:dyDescent="0.25">
      <c r="D611">
        <v>2</v>
      </c>
      <c r="E611" t="s">
        <v>235</v>
      </c>
      <c r="F611" s="80" t="s">
        <v>247</v>
      </c>
      <c r="G611" t="s">
        <v>672</v>
      </c>
      <c r="H611">
        <v>10</v>
      </c>
      <c r="K611" t="s">
        <v>247</v>
      </c>
      <c r="S611" t="b">
        <v>1</v>
      </c>
    </row>
    <row r="612" spans="1:19" x14ac:dyDescent="0.25">
      <c r="A612" t="s">
        <v>525</v>
      </c>
    </row>
    <row r="613" spans="1:19" x14ac:dyDescent="0.25">
      <c r="A613" t="s">
        <v>526</v>
      </c>
    </row>
    <row r="614" spans="1:19" x14ac:dyDescent="0.25">
      <c r="D614">
        <v>1</v>
      </c>
      <c r="E614" t="s">
        <v>235</v>
      </c>
      <c r="F614" s="80" t="s">
        <v>236</v>
      </c>
      <c r="G614" t="s">
        <v>237</v>
      </c>
      <c r="I614">
        <v>10</v>
      </c>
      <c r="J614">
        <v>0</v>
      </c>
      <c r="K614" t="s">
        <v>326</v>
      </c>
      <c r="S614" t="b">
        <v>1</v>
      </c>
    </row>
    <row r="615" spans="1:19" x14ac:dyDescent="0.25">
      <c r="D615">
        <v>2</v>
      </c>
      <c r="E615" t="s">
        <v>235</v>
      </c>
      <c r="F615" s="80" t="s">
        <v>247</v>
      </c>
      <c r="G615" t="s">
        <v>672</v>
      </c>
      <c r="H615">
        <v>10</v>
      </c>
      <c r="K615" t="s">
        <v>247</v>
      </c>
      <c r="S615" t="b">
        <v>1</v>
      </c>
    </row>
    <row r="616" spans="1:19" x14ac:dyDescent="0.25">
      <c r="A616" t="s">
        <v>527</v>
      </c>
    </row>
    <row r="617" spans="1:19" x14ac:dyDescent="0.25">
      <c r="A617" t="s">
        <v>528</v>
      </c>
    </row>
    <row r="618" spans="1:19" x14ac:dyDescent="0.25">
      <c r="D618">
        <v>1</v>
      </c>
      <c r="E618" t="s">
        <v>235</v>
      </c>
      <c r="F618" s="80" t="s">
        <v>236</v>
      </c>
      <c r="G618" t="s">
        <v>237</v>
      </c>
      <c r="I618">
        <v>10</v>
      </c>
      <c r="J618">
        <v>0</v>
      </c>
      <c r="K618" t="s">
        <v>326</v>
      </c>
      <c r="S618" t="b">
        <v>1</v>
      </c>
    </row>
    <row r="619" spans="1:19" x14ac:dyDescent="0.25">
      <c r="D619">
        <v>2</v>
      </c>
      <c r="E619" t="s">
        <v>235</v>
      </c>
      <c r="F619" s="80" t="s">
        <v>247</v>
      </c>
      <c r="G619" t="s">
        <v>672</v>
      </c>
      <c r="H619">
        <v>10</v>
      </c>
      <c r="K619" t="s">
        <v>247</v>
      </c>
      <c r="S619" t="b">
        <v>1</v>
      </c>
    </row>
    <row r="620" spans="1:19" x14ac:dyDescent="0.25">
      <c r="A620" t="s">
        <v>529</v>
      </c>
    </row>
    <row r="621" spans="1:19" x14ac:dyDescent="0.25">
      <c r="A621" t="s">
        <v>530</v>
      </c>
    </row>
    <row r="622" spans="1:19" x14ac:dyDescent="0.25">
      <c r="D622">
        <v>1</v>
      </c>
      <c r="E622" t="s">
        <v>235</v>
      </c>
      <c r="F622" s="80" t="s">
        <v>236</v>
      </c>
      <c r="G622" t="s">
        <v>237</v>
      </c>
      <c r="I622">
        <v>10</v>
      </c>
      <c r="J622">
        <v>0</v>
      </c>
      <c r="K622" t="s">
        <v>326</v>
      </c>
      <c r="M622" t="s">
        <v>238</v>
      </c>
      <c r="N622" t="s">
        <v>239</v>
      </c>
      <c r="O622" t="s">
        <v>197</v>
      </c>
      <c r="S622" t="b">
        <v>0</v>
      </c>
    </row>
    <row r="623" spans="1:19" x14ac:dyDescent="0.25">
      <c r="D623">
        <v>2</v>
      </c>
      <c r="E623" t="s">
        <v>235</v>
      </c>
      <c r="F623" s="80" t="s">
        <v>247</v>
      </c>
      <c r="G623" t="s">
        <v>672</v>
      </c>
      <c r="H623">
        <v>10</v>
      </c>
      <c r="K623" t="s">
        <v>247</v>
      </c>
      <c r="S623" t="b">
        <v>1</v>
      </c>
    </row>
    <row r="624" spans="1:19" x14ac:dyDescent="0.25">
      <c r="A624" t="s">
        <v>531</v>
      </c>
    </row>
    <row r="625" spans="1:19" x14ac:dyDescent="0.25">
      <c r="A625" t="s">
        <v>532</v>
      </c>
    </row>
    <row r="626" spans="1:19" x14ac:dyDescent="0.25">
      <c r="D626">
        <v>1</v>
      </c>
      <c r="E626" t="s">
        <v>235</v>
      </c>
      <c r="F626" s="80" t="s">
        <v>240</v>
      </c>
      <c r="G626" t="s">
        <v>237</v>
      </c>
      <c r="I626">
        <v>10</v>
      </c>
      <c r="J626">
        <v>0</v>
      </c>
      <c r="K626" t="s">
        <v>327</v>
      </c>
      <c r="S626" t="b">
        <v>1</v>
      </c>
    </row>
    <row r="627" spans="1:19" x14ac:dyDescent="0.25">
      <c r="D627">
        <v>2</v>
      </c>
      <c r="E627" t="s">
        <v>235</v>
      </c>
      <c r="F627" s="80" t="s">
        <v>242</v>
      </c>
      <c r="G627" t="s">
        <v>237</v>
      </c>
      <c r="I627">
        <v>10</v>
      </c>
      <c r="J627">
        <v>0</v>
      </c>
      <c r="K627" t="s">
        <v>328</v>
      </c>
      <c r="S627" t="b">
        <v>1</v>
      </c>
    </row>
    <row r="628" spans="1:19" x14ac:dyDescent="0.25">
      <c r="D628">
        <v>3</v>
      </c>
      <c r="E628" t="s">
        <v>235</v>
      </c>
      <c r="F628" s="80" t="s">
        <v>244</v>
      </c>
      <c r="G628" t="s">
        <v>237</v>
      </c>
      <c r="I628">
        <v>10</v>
      </c>
      <c r="J628">
        <v>0</v>
      </c>
      <c r="K628" t="s">
        <v>329</v>
      </c>
      <c r="S628" t="b">
        <v>1</v>
      </c>
    </row>
    <row r="629" spans="1:19" x14ac:dyDescent="0.25">
      <c r="D629">
        <v>4</v>
      </c>
      <c r="E629" t="s">
        <v>235</v>
      </c>
      <c r="F629" s="80" t="s">
        <v>260</v>
      </c>
      <c r="G629" t="s">
        <v>237</v>
      </c>
      <c r="I629">
        <v>10</v>
      </c>
      <c r="J629">
        <v>0</v>
      </c>
      <c r="K629" t="s">
        <v>260</v>
      </c>
      <c r="S629" t="b">
        <v>1</v>
      </c>
    </row>
    <row r="630" spans="1:19" x14ac:dyDescent="0.25">
      <c r="D630">
        <v>5</v>
      </c>
      <c r="E630" t="s">
        <v>235</v>
      </c>
      <c r="F630" s="80" t="s">
        <v>102</v>
      </c>
      <c r="G630" t="s">
        <v>237</v>
      </c>
      <c r="I630">
        <v>10</v>
      </c>
      <c r="J630">
        <v>0</v>
      </c>
      <c r="K630" t="s">
        <v>332</v>
      </c>
      <c r="S630" t="b">
        <v>1</v>
      </c>
    </row>
    <row r="631" spans="1:19" x14ac:dyDescent="0.25">
      <c r="D631">
        <v>6</v>
      </c>
      <c r="E631" t="s">
        <v>235</v>
      </c>
      <c r="F631" s="80" t="s">
        <v>103</v>
      </c>
      <c r="G631" t="s">
        <v>237</v>
      </c>
      <c r="I631">
        <v>10</v>
      </c>
      <c r="J631">
        <v>0</v>
      </c>
      <c r="K631" t="s">
        <v>333</v>
      </c>
      <c r="S631" t="b">
        <v>1</v>
      </c>
    </row>
    <row r="632" spans="1:19" x14ac:dyDescent="0.25">
      <c r="D632">
        <v>7</v>
      </c>
      <c r="E632" t="s">
        <v>235</v>
      </c>
      <c r="F632" s="80" t="s">
        <v>104</v>
      </c>
      <c r="G632" t="s">
        <v>269</v>
      </c>
      <c r="H632">
        <v>255</v>
      </c>
      <c r="K632" t="s">
        <v>3</v>
      </c>
      <c r="S632" t="b">
        <v>1</v>
      </c>
    </row>
    <row r="633" spans="1:19" x14ac:dyDescent="0.25">
      <c r="D633">
        <v>8</v>
      </c>
      <c r="E633" t="s">
        <v>235</v>
      </c>
      <c r="F633" s="80" t="s">
        <v>105</v>
      </c>
      <c r="G633" t="s">
        <v>237</v>
      </c>
      <c r="I633">
        <v>10</v>
      </c>
      <c r="J633">
        <v>0</v>
      </c>
      <c r="K633" t="s">
        <v>32</v>
      </c>
      <c r="S633" t="b">
        <v>1</v>
      </c>
    </row>
    <row r="634" spans="1:19" x14ac:dyDescent="0.25">
      <c r="D634">
        <v>9</v>
      </c>
      <c r="E634" t="s">
        <v>235</v>
      </c>
      <c r="F634" s="80" t="s">
        <v>107</v>
      </c>
      <c r="G634" t="s">
        <v>237</v>
      </c>
      <c r="I634">
        <v>10</v>
      </c>
      <c r="J634">
        <v>0</v>
      </c>
      <c r="K634" t="s">
        <v>334</v>
      </c>
      <c r="S634" t="b">
        <v>1</v>
      </c>
    </row>
    <row r="635" spans="1:19" x14ac:dyDescent="0.25">
      <c r="D635">
        <v>10</v>
      </c>
      <c r="E635" t="s">
        <v>235</v>
      </c>
      <c r="F635" s="80" t="s">
        <v>108</v>
      </c>
      <c r="G635" t="s">
        <v>237</v>
      </c>
      <c r="I635">
        <v>10</v>
      </c>
      <c r="J635">
        <v>0</v>
      </c>
      <c r="K635" t="s">
        <v>7</v>
      </c>
      <c r="S635" t="b">
        <v>1</v>
      </c>
    </row>
    <row r="636" spans="1:19" x14ac:dyDescent="0.25">
      <c r="D636">
        <v>11</v>
      </c>
      <c r="E636" t="s">
        <v>235</v>
      </c>
      <c r="F636" s="80" t="s">
        <v>109</v>
      </c>
      <c r="G636" t="s">
        <v>237</v>
      </c>
      <c r="I636">
        <v>10</v>
      </c>
      <c r="J636">
        <v>0</v>
      </c>
      <c r="K636" t="s">
        <v>335</v>
      </c>
      <c r="S636" t="b">
        <v>1</v>
      </c>
    </row>
    <row r="637" spans="1:19" x14ac:dyDescent="0.25">
      <c r="D637">
        <v>12</v>
      </c>
      <c r="E637" t="s">
        <v>235</v>
      </c>
      <c r="F637" s="80" t="s">
        <v>110</v>
      </c>
      <c r="G637" t="s">
        <v>237</v>
      </c>
      <c r="I637">
        <v>10</v>
      </c>
      <c r="J637">
        <v>0</v>
      </c>
      <c r="K637" t="s">
        <v>336</v>
      </c>
      <c r="S637" t="b">
        <v>1</v>
      </c>
    </row>
    <row r="638" spans="1:19" x14ac:dyDescent="0.25">
      <c r="D638">
        <v>13</v>
      </c>
      <c r="E638" t="s">
        <v>235</v>
      </c>
      <c r="F638" s="80" t="s">
        <v>111</v>
      </c>
      <c r="G638" t="s">
        <v>237</v>
      </c>
      <c r="I638">
        <v>10</v>
      </c>
      <c r="J638">
        <v>0</v>
      </c>
      <c r="K638" t="s">
        <v>337</v>
      </c>
      <c r="S638" t="b">
        <v>1</v>
      </c>
    </row>
    <row r="639" spans="1:19" x14ac:dyDescent="0.25">
      <c r="D639">
        <v>14</v>
      </c>
      <c r="E639" t="s">
        <v>235</v>
      </c>
      <c r="F639" s="80" t="s">
        <v>112</v>
      </c>
      <c r="G639" t="s">
        <v>270</v>
      </c>
      <c r="I639">
        <v>19</v>
      </c>
      <c r="J639">
        <v>4</v>
      </c>
      <c r="K639" t="s">
        <v>338</v>
      </c>
      <c r="S639" t="b">
        <v>1</v>
      </c>
    </row>
    <row r="640" spans="1:19" x14ac:dyDescent="0.25">
      <c r="D640">
        <v>15</v>
      </c>
      <c r="E640" t="s">
        <v>235</v>
      </c>
      <c r="F640" s="80" t="s">
        <v>113</v>
      </c>
      <c r="G640" t="s">
        <v>270</v>
      </c>
      <c r="I640">
        <v>19</v>
      </c>
      <c r="J640">
        <v>4</v>
      </c>
      <c r="K640" t="s">
        <v>339</v>
      </c>
      <c r="S640" t="b">
        <v>1</v>
      </c>
    </row>
    <row r="641" spans="4:19" x14ac:dyDescent="0.25">
      <c r="D641">
        <v>16</v>
      </c>
      <c r="E641" t="s">
        <v>235</v>
      </c>
      <c r="F641" s="80" t="s">
        <v>114</v>
      </c>
      <c r="G641" t="s">
        <v>270</v>
      </c>
      <c r="I641">
        <v>19</v>
      </c>
      <c r="J641">
        <v>4</v>
      </c>
      <c r="K641" t="s">
        <v>340</v>
      </c>
      <c r="S641" t="b">
        <v>1</v>
      </c>
    </row>
    <row r="642" spans="4:19" x14ac:dyDescent="0.25">
      <c r="D642">
        <v>17</v>
      </c>
      <c r="E642" t="s">
        <v>235</v>
      </c>
      <c r="F642" s="80" t="s">
        <v>115</v>
      </c>
      <c r="G642" t="s">
        <v>270</v>
      </c>
      <c r="I642">
        <v>19</v>
      </c>
      <c r="J642">
        <v>4</v>
      </c>
      <c r="K642" t="s">
        <v>341</v>
      </c>
      <c r="S642" t="b">
        <v>1</v>
      </c>
    </row>
    <row r="643" spans="4:19" x14ac:dyDescent="0.25">
      <c r="D643">
        <v>18</v>
      </c>
      <c r="E643" t="s">
        <v>235</v>
      </c>
      <c r="F643" s="80" t="s">
        <v>116</v>
      </c>
      <c r="G643" t="s">
        <v>270</v>
      </c>
      <c r="I643">
        <v>19</v>
      </c>
      <c r="J643">
        <v>4</v>
      </c>
      <c r="K643" t="s">
        <v>342</v>
      </c>
      <c r="S643" t="b">
        <v>1</v>
      </c>
    </row>
    <row r="644" spans="4:19" x14ac:dyDescent="0.25">
      <c r="D644">
        <v>19</v>
      </c>
      <c r="E644" t="s">
        <v>235</v>
      </c>
      <c r="F644" s="80" t="s">
        <v>117</v>
      </c>
      <c r="G644" t="s">
        <v>270</v>
      </c>
      <c r="I644">
        <v>19</v>
      </c>
      <c r="J644">
        <v>4</v>
      </c>
      <c r="K644" t="s">
        <v>343</v>
      </c>
      <c r="S644" t="b">
        <v>1</v>
      </c>
    </row>
    <row r="645" spans="4:19" x14ac:dyDescent="0.25">
      <c r="D645">
        <v>20</v>
      </c>
      <c r="E645" t="s">
        <v>235</v>
      </c>
      <c r="F645" s="80" t="s">
        <v>118</v>
      </c>
      <c r="G645" t="s">
        <v>270</v>
      </c>
      <c r="I645">
        <v>19</v>
      </c>
      <c r="J645">
        <v>4</v>
      </c>
      <c r="K645" t="s">
        <v>344</v>
      </c>
      <c r="S645" t="b">
        <v>1</v>
      </c>
    </row>
    <row r="646" spans="4:19" x14ac:dyDescent="0.25">
      <c r="D646">
        <v>21</v>
      </c>
      <c r="E646" t="s">
        <v>235</v>
      </c>
      <c r="F646" s="80" t="s">
        <v>119</v>
      </c>
      <c r="G646" t="s">
        <v>270</v>
      </c>
      <c r="I646">
        <v>19</v>
      </c>
      <c r="J646">
        <v>4</v>
      </c>
      <c r="K646" t="s">
        <v>345</v>
      </c>
      <c r="S646" t="b">
        <v>1</v>
      </c>
    </row>
    <row r="647" spans="4:19" x14ac:dyDescent="0.25">
      <c r="D647">
        <v>22</v>
      </c>
      <c r="E647" t="s">
        <v>235</v>
      </c>
      <c r="F647" s="80" t="s">
        <v>120</v>
      </c>
      <c r="G647" t="s">
        <v>270</v>
      </c>
      <c r="I647">
        <v>19</v>
      </c>
      <c r="J647">
        <v>4</v>
      </c>
      <c r="K647" t="s">
        <v>346</v>
      </c>
      <c r="S647" t="b">
        <v>1</v>
      </c>
    </row>
    <row r="648" spans="4:19" x14ac:dyDescent="0.25">
      <c r="D648">
        <v>23</v>
      </c>
      <c r="E648" t="s">
        <v>235</v>
      </c>
      <c r="F648" s="80" t="s">
        <v>121</v>
      </c>
      <c r="G648" t="s">
        <v>270</v>
      </c>
      <c r="I648">
        <v>19</v>
      </c>
      <c r="J648">
        <v>4</v>
      </c>
      <c r="K648" t="s">
        <v>347</v>
      </c>
      <c r="S648" t="b">
        <v>1</v>
      </c>
    </row>
    <row r="649" spans="4:19" x14ac:dyDescent="0.25">
      <c r="D649">
        <v>24</v>
      </c>
      <c r="E649" t="s">
        <v>235</v>
      </c>
      <c r="F649" s="80" t="s">
        <v>122</v>
      </c>
      <c r="G649" t="s">
        <v>270</v>
      </c>
      <c r="I649">
        <v>19</v>
      </c>
      <c r="J649">
        <v>4</v>
      </c>
      <c r="K649" t="s">
        <v>348</v>
      </c>
      <c r="S649" t="b">
        <v>1</v>
      </c>
    </row>
    <row r="650" spans="4:19" x14ac:dyDescent="0.25">
      <c r="D650">
        <v>25</v>
      </c>
      <c r="E650" t="s">
        <v>235</v>
      </c>
      <c r="F650" s="80" t="s">
        <v>123</v>
      </c>
      <c r="G650" t="s">
        <v>270</v>
      </c>
      <c r="I650">
        <v>19</v>
      </c>
      <c r="J650">
        <v>4</v>
      </c>
      <c r="K650" t="s">
        <v>349</v>
      </c>
      <c r="S650" t="b">
        <v>1</v>
      </c>
    </row>
    <row r="651" spans="4:19" x14ac:dyDescent="0.25">
      <c r="D651">
        <v>26</v>
      </c>
      <c r="E651" t="s">
        <v>235</v>
      </c>
      <c r="F651" s="80" t="s">
        <v>124</v>
      </c>
      <c r="G651" t="s">
        <v>270</v>
      </c>
      <c r="I651">
        <v>19</v>
      </c>
      <c r="J651">
        <v>4</v>
      </c>
      <c r="K651" t="s">
        <v>350</v>
      </c>
      <c r="S651" t="b">
        <v>1</v>
      </c>
    </row>
    <row r="652" spans="4:19" x14ac:dyDescent="0.25">
      <c r="D652">
        <v>27</v>
      </c>
      <c r="E652" t="s">
        <v>235</v>
      </c>
      <c r="F652" s="80" t="s">
        <v>125</v>
      </c>
      <c r="G652" t="s">
        <v>270</v>
      </c>
      <c r="I652">
        <v>19</v>
      </c>
      <c r="J652">
        <v>4</v>
      </c>
      <c r="K652" t="s">
        <v>351</v>
      </c>
      <c r="S652" t="b">
        <v>1</v>
      </c>
    </row>
    <row r="653" spans="4:19" x14ac:dyDescent="0.25">
      <c r="D653">
        <v>28</v>
      </c>
      <c r="E653" t="s">
        <v>235</v>
      </c>
      <c r="F653" s="80" t="s">
        <v>126</v>
      </c>
      <c r="G653" t="s">
        <v>270</v>
      </c>
      <c r="I653">
        <v>19</v>
      </c>
      <c r="J653">
        <v>4</v>
      </c>
      <c r="K653" t="s">
        <v>352</v>
      </c>
      <c r="S653" t="b">
        <v>1</v>
      </c>
    </row>
    <row r="654" spans="4:19" x14ac:dyDescent="0.25">
      <c r="D654">
        <v>29</v>
      </c>
      <c r="E654" t="s">
        <v>235</v>
      </c>
      <c r="F654" s="80" t="s">
        <v>127</v>
      </c>
      <c r="G654" t="s">
        <v>270</v>
      </c>
      <c r="I654">
        <v>19</v>
      </c>
      <c r="J654">
        <v>4</v>
      </c>
      <c r="K654" t="s">
        <v>353</v>
      </c>
      <c r="S654" t="b">
        <v>1</v>
      </c>
    </row>
    <row r="655" spans="4:19" x14ac:dyDescent="0.25">
      <c r="D655">
        <v>30</v>
      </c>
      <c r="E655" t="s">
        <v>235</v>
      </c>
      <c r="F655" s="80" t="s">
        <v>128</v>
      </c>
      <c r="G655" t="s">
        <v>270</v>
      </c>
      <c r="I655">
        <v>19</v>
      </c>
      <c r="J655">
        <v>4</v>
      </c>
      <c r="K655" t="s">
        <v>354</v>
      </c>
      <c r="S655" t="b">
        <v>1</v>
      </c>
    </row>
    <row r="656" spans="4:19" x14ac:dyDescent="0.25">
      <c r="D656">
        <v>31</v>
      </c>
      <c r="E656" t="s">
        <v>235</v>
      </c>
      <c r="F656" s="80" t="s">
        <v>129</v>
      </c>
      <c r="G656" t="s">
        <v>270</v>
      </c>
      <c r="I656">
        <v>19</v>
      </c>
      <c r="J656">
        <v>4</v>
      </c>
      <c r="K656" t="s">
        <v>355</v>
      </c>
      <c r="S656" t="b">
        <v>1</v>
      </c>
    </row>
    <row r="657" spans="4:19" x14ac:dyDescent="0.25">
      <c r="D657">
        <v>32</v>
      </c>
      <c r="E657" t="s">
        <v>235</v>
      </c>
      <c r="F657" s="80" t="s">
        <v>130</v>
      </c>
      <c r="G657" t="s">
        <v>270</v>
      </c>
      <c r="I657">
        <v>19</v>
      </c>
      <c r="J657">
        <v>4</v>
      </c>
      <c r="K657" t="s">
        <v>356</v>
      </c>
      <c r="S657" t="b">
        <v>1</v>
      </c>
    </row>
    <row r="658" spans="4:19" x14ac:dyDescent="0.25">
      <c r="D658">
        <v>33</v>
      </c>
      <c r="E658" t="s">
        <v>235</v>
      </c>
      <c r="F658" s="80" t="s">
        <v>131</v>
      </c>
      <c r="G658" t="s">
        <v>270</v>
      </c>
      <c r="I658">
        <v>19</v>
      </c>
      <c r="J658">
        <v>4</v>
      </c>
      <c r="K658" t="s">
        <v>357</v>
      </c>
      <c r="S658" t="b">
        <v>1</v>
      </c>
    </row>
    <row r="659" spans="4:19" x14ac:dyDescent="0.25">
      <c r="D659">
        <v>34</v>
      </c>
      <c r="E659" t="s">
        <v>235</v>
      </c>
      <c r="F659" s="80" t="s">
        <v>132</v>
      </c>
      <c r="G659" t="s">
        <v>270</v>
      </c>
      <c r="I659">
        <v>19</v>
      </c>
      <c r="J659">
        <v>4</v>
      </c>
      <c r="K659" t="s">
        <v>358</v>
      </c>
      <c r="S659" t="b">
        <v>1</v>
      </c>
    </row>
    <row r="660" spans="4:19" x14ac:dyDescent="0.25">
      <c r="D660">
        <v>35</v>
      </c>
      <c r="E660" t="s">
        <v>235</v>
      </c>
      <c r="F660" s="80" t="s">
        <v>133</v>
      </c>
      <c r="G660" t="s">
        <v>270</v>
      </c>
      <c r="I660">
        <v>19</v>
      </c>
      <c r="J660">
        <v>4</v>
      </c>
      <c r="K660" t="s">
        <v>359</v>
      </c>
      <c r="S660" t="b">
        <v>1</v>
      </c>
    </row>
    <row r="661" spans="4:19" x14ac:dyDescent="0.25">
      <c r="D661">
        <v>36</v>
      </c>
      <c r="E661" t="s">
        <v>235</v>
      </c>
      <c r="F661" s="80" t="s">
        <v>134</v>
      </c>
      <c r="G661" t="s">
        <v>270</v>
      </c>
      <c r="I661">
        <v>19</v>
      </c>
      <c r="J661">
        <v>4</v>
      </c>
      <c r="K661" t="s">
        <v>360</v>
      </c>
      <c r="S661" t="b">
        <v>1</v>
      </c>
    </row>
    <row r="662" spans="4:19" x14ac:dyDescent="0.25">
      <c r="D662">
        <v>37</v>
      </c>
      <c r="E662" t="s">
        <v>235</v>
      </c>
      <c r="F662" s="80" t="s">
        <v>135</v>
      </c>
      <c r="G662" t="s">
        <v>270</v>
      </c>
      <c r="I662">
        <v>19</v>
      </c>
      <c r="J662">
        <v>4</v>
      </c>
      <c r="K662" t="s">
        <v>361</v>
      </c>
      <c r="S662" t="b">
        <v>1</v>
      </c>
    </row>
    <row r="663" spans="4:19" x14ac:dyDescent="0.25">
      <c r="D663">
        <v>38</v>
      </c>
      <c r="E663" t="s">
        <v>235</v>
      </c>
      <c r="F663" s="80" t="s">
        <v>136</v>
      </c>
      <c r="G663" t="s">
        <v>270</v>
      </c>
      <c r="I663">
        <v>19</v>
      </c>
      <c r="J663">
        <v>4</v>
      </c>
      <c r="K663" t="s">
        <v>362</v>
      </c>
      <c r="S663" t="b">
        <v>1</v>
      </c>
    </row>
    <row r="664" spans="4:19" x14ac:dyDescent="0.25">
      <c r="D664">
        <v>39</v>
      </c>
      <c r="E664" t="s">
        <v>235</v>
      </c>
      <c r="F664" s="80" t="s">
        <v>137</v>
      </c>
      <c r="G664" t="s">
        <v>270</v>
      </c>
      <c r="I664">
        <v>19</v>
      </c>
      <c r="J664">
        <v>4</v>
      </c>
      <c r="K664" t="s">
        <v>363</v>
      </c>
      <c r="S664" t="b">
        <v>1</v>
      </c>
    </row>
    <row r="665" spans="4:19" x14ac:dyDescent="0.25">
      <c r="D665">
        <v>40</v>
      </c>
      <c r="E665" t="s">
        <v>235</v>
      </c>
      <c r="F665" s="80" t="s">
        <v>138</v>
      </c>
      <c r="G665" t="s">
        <v>270</v>
      </c>
      <c r="I665">
        <v>19</v>
      </c>
      <c r="J665">
        <v>4</v>
      </c>
      <c r="K665" t="s">
        <v>364</v>
      </c>
      <c r="S665" t="b">
        <v>1</v>
      </c>
    </row>
    <row r="666" spans="4:19" x14ac:dyDescent="0.25">
      <c r="D666">
        <v>41</v>
      </c>
      <c r="E666" t="s">
        <v>235</v>
      </c>
      <c r="F666" s="80" t="s">
        <v>139</v>
      </c>
      <c r="G666" t="s">
        <v>270</v>
      </c>
      <c r="I666">
        <v>19</v>
      </c>
      <c r="J666">
        <v>4</v>
      </c>
      <c r="K666" t="s">
        <v>365</v>
      </c>
      <c r="S666" t="b">
        <v>1</v>
      </c>
    </row>
    <row r="667" spans="4:19" x14ac:dyDescent="0.25">
      <c r="D667">
        <v>42</v>
      </c>
      <c r="E667" t="s">
        <v>235</v>
      </c>
      <c r="F667" s="80" t="s">
        <v>140</v>
      </c>
      <c r="G667" t="s">
        <v>270</v>
      </c>
      <c r="I667">
        <v>19</v>
      </c>
      <c r="J667">
        <v>4</v>
      </c>
      <c r="K667" t="s">
        <v>366</v>
      </c>
      <c r="S667" t="b">
        <v>1</v>
      </c>
    </row>
    <row r="668" spans="4:19" x14ac:dyDescent="0.25">
      <c r="D668">
        <v>43</v>
      </c>
      <c r="E668" t="s">
        <v>235</v>
      </c>
      <c r="F668" s="80" t="s">
        <v>141</v>
      </c>
      <c r="G668" t="s">
        <v>270</v>
      </c>
      <c r="I668">
        <v>19</v>
      </c>
      <c r="J668">
        <v>4</v>
      </c>
      <c r="K668" t="s">
        <v>367</v>
      </c>
      <c r="S668" t="b">
        <v>1</v>
      </c>
    </row>
    <row r="669" spans="4:19" x14ac:dyDescent="0.25">
      <c r="D669">
        <v>44</v>
      </c>
      <c r="E669" t="s">
        <v>235</v>
      </c>
      <c r="F669" s="80" t="s">
        <v>142</v>
      </c>
      <c r="G669" t="s">
        <v>270</v>
      </c>
      <c r="I669">
        <v>19</v>
      </c>
      <c r="J669">
        <v>4</v>
      </c>
      <c r="K669" t="s">
        <v>368</v>
      </c>
      <c r="S669" t="b">
        <v>1</v>
      </c>
    </row>
    <row r="670" spans="4:19" x14ac:dyDescent="0.25">
      <c r="D670">
        <v>45</v>
      </c>
      <c r="E670" t="s">
        <v>235</v>
      </c>
      <c r="F670" s="80" t="s">
        <v>143</v>
      </c>
      <c r="G670" t="s">
        <v>270</v>
      </c>
      <c r="I670">
        <v>19</v>
      </c>
      <c r="J670">
        <v>4</v>
      </c>
      <c r="K670" t="s">
        <v>369</v>
      </c>
      <c r="S670" t="b">
        <v>1</v>
      </c>
    </row>
    <row r="671" spans="4:19" x14ac:dyDescent="0.25">
      <c r="D671">
        <v>46</v>
      </c>
      <c r="E671" t="s">
        <v>235</v>
      </c>
      <c r="F671" s="80" t="s">
        <v>144</v>
      </c>
      <c r="G671" t="s">
        <v>270</v>
      </c>
      <c r="I671">
        <v>19</v>
      </c>
      <c r="J671">
        <v>4</v>
      </c>
      <c r="K671" t="s">
        <v>370</v>
      </c>
      <c r="S671" t="b">
        <v>1</v>
      </c>
    </row>
    <row r="672" spans="4:19" x14ac:dyDescent="0.25">
      <c r="D672">
        <v>47</v>
      </c>
      <c r="E672" t="s">
        <v>235</v>
      </c>
      <c r="F672" s="80" t="s">
        <v>145</v>
      </c>
      <c r="G672" t="s">
        <v>270</v>
      </c>
      <c r="I672">
        <v>19</v>
      </c>
      <c r="J672">
        <v>4</v>
      </c>
      <c r="K672" t="s">
        <v>371</v>
      </c>
      <c r="S672" t="b">
        <v>1</v>
      </c>
    </row>
    <row r="673" spans="1:19" x14ac:dyDescent="0.25">
      <c r="D673">
        <v>48</v>
      </c>
      <c r="E673" t="s">
        <v>235</v>
      </c>
      <c r="F673" s="80" t="s">
        <v>146</v>
      </c>
      <c r="G673" t="s">
        <v>270</v>
      </c>
      <c r="I673">
        <v>19</v>
      </c>
      <c r="J673">
        <v>4</v>
      </c>
      <c r="K673" t="s">
        <v>372</v>
      </c>
      <c r="S673" t="b">
        <v>1</v>
      </c>
    </row>
    <row r="674" spans="1:19" x14ac:dyDescent="0.25">
      <c r="D674">
        <v>49</v>
      </c>
      <c r="E674" t="s">
        <v>235</v>
      </c>
      <c r="F674" s="80" t="s">
        <v>147</v>
      </c>
      <c r="G674" t="s">
        <v>270</v>
      </c>
      <c r="I674">
        <v>19</v>
      </c>
      <c r="J674">
        <v>4</v>
      </c>
      <c r="K674" t="s">
        <v>373</v>
      </c>
      <c r="S674" t="b">
        <v>1</v>
      </c>
    </row>
    <row r="675" spans="1:19" x14ac:dyDescent="0.25">
      <c r="D675">
        <v>50</v>
      </c>
      <c r="E675" t="s">
        <v>235</v>
      </c>
      <c r="F675" s="80" t="s">
        <v>148</v>
      </c>
      <c r="G675" t="s">
        <v>270</v>
      </c>
      <c r="I675">
        <v>19</v>
      </c>
      <c r="J675">
        <v>4</v>
      </c>
      <c r="K675" t="s">
        <v>374</v>
      </c>
      <c r="S675" t="b">
        <v>1</v>
      </c>
    </row>
    <row r="676" spans="1:19" x14ac:dyDescent="0.25">
      <c r="D676">
        <v>51</v>
      </c>
      <c r="E676" t="s">
        <v>235</v>
      </c>
      <c r="F676" s="80" t="s">
        <v>149</v>
      </c>
      <c r="G676" t="s">
        <v>270</v>
      </c>
      <c r="I676">
        <v>19</v>
      </c>
      <c r="J676">
        <v>4</v>
      </c>
      <c r="K676" t="s">
        <v>375</v>
      </c>
      <c r="S676" t="b">
        <v>1</v>
      </c>
    </row>
    <row r="677" spans="1:19" x14ac:dyDescent="0.25">
      <c r="D677">
        <v>52</v>
      </c>
      <c r="E677" t="s">
        <v>235</v>
      </c>
      <c r="F677" s="80" t="s">
        <v>150</v>
      </c>
      <c r="G677" t="s">
        <v>270</v>
      </c>
      <c r="I677">
        <v>19</v>
      </c>
      <c r="J677">
        <v>4</v>
      </c>
      <c r="K677" t="s">
        <v>376</v>
      </c>
      <c r="S677" t="b">
        <v>1</v>
      </c>
    </row>
    <row r="678" spans="1:19" x14ac:dyDescent="0.25">
      <c r="D678">
        <v>53</v>
      </c>
      <c r="E678" t="s">
        <v>235</v>
      </c>
      <c r="F678" s="80" t="s">
        <v>151</v>
      </c>
      <c r="G678" t="s">
        <v>269</v>
      </c>
      <c r="H678">
        <v>-1</v>
      </c>
      <c r="K678" t="s">
        <v>26</v>
      </c>
      <c r="S678" t="b">
        <v>1</v>
      </c>
    </row>
    <row r="679" spans="1:19" x14ac:dyDescent="0.25">
      <c r="D679">
        <v>54</v>
      </c>
      <c r="E679" t="s">
        <v>235</v>
      </c>
      <c r="F679" s="80" t="s">
        <v>545</v>
      </c>
      <c r="G679" t="s">
        <v>269</v>
      </c>
      <c r="H679">
        <v>-1</v>
      </c>
      <c r="K679" t="s">
        <v>547</v>
      </c>
      <c r="S679" t="b">
        <v>1</v>
      </c>
    </row>
    <row r="680" spans="1:19" x14ac:dyDescent="0.25">
      <c r="D680">
        <v>55</v>
      </c>
      <c r="E680" t="s">
        <v>235</v>
      </c>
      <c r="F680" s="80" t="s">
        <v>271</v>
      </c>
      <c r="G680" t="s">
        <v>272</v>
      </c>
      <c r="I680">
        <v>3</v>
      </c>
      <c r="K680" t="s">
        <v>377</v>
      </c>
      <c r="S680" t="b">
        <v>1</v>
      </c>
    </row>
    <row r="681" spans="1:19" x14ac:dyDescent="0.25">
      <c r="A681" t="s">
        <v>533</v>
      </c>
    </row>
    <row r="682" spans="1:19" x14ac:dyDescent="0.25">
      <c r="A682" t="s">
        <v>534</v>
      </c>
    </row>
    <row r="683" spans="1:19" x14ac:dyDescent="0.25">
      <c r="D683">
        <v>1</v>
      </c>
      <c r="E683" t="s">
        <v>235</v>
      </c>
      <c r="F683" s="80" t="s">
        <v>240</v>
      </c>
      <c r="G683" t="s">
        <v>237</v>
      </c>
      <c r="I683">
        <v>10</v>
      </c>
      <c r="J683">
        <v>0</v>
      </c>
      <c r="K683" t="s">
        <v>327</v>
      </c>
      <c r="S683" t="b">
        <v>1</v>
      </c>
    </row>
    <row r="684" spans="1:19" x14ac:dyDescent="0.25">
      <c r="D684">
        <v>2</v>
      </c>
      <c r="E684" t="s">
        <v>235</v>
      </c>
      <c r="F684" s="80" t="s">
        <v>242</v>
      </c>
      <c r="G684" t="s">
        <v>237</v>
      </c>
      <c r="I684">
        <v>10</v>
      </c>
      <c r="J684">
        <v>0</v>
      </c>
      <c r="K684" t="s">
        <v>328</v>
      </c>
      <c r="S684" t="b">
        <v>1</v>
      </c>
    </row>
    <row r="685" spans="1:19" x14ac:dyDescent="0.25">
      <c r="D685">
        <v>3</v>
      </c>
      <c r="E685" t="s">
        <v>235</v>
      </c>
      <c r="F685" s="80" t="s">
        <v>244</v>
      </c>
      <c r="G685" t="s">
        <v>237</v>
      </c>
      <c r="I685">
        <v>10</v>
      </c>
      <c r="J685">
        <v>0</v>
      </c>
      <c r="K685" t="s">
        <v>329</v>
      </c>
      <c r="S685" t="b">
        <v>1</v>
      </c>
    </row>
    <row r="686" spans="1:19" x14ac:dyDescent="0.25">
      <c r="D686">
        <v>4</v>
      </c>
      <c r="E686" t="s">
        <v>235</v>
      </c>
      <c r="F686" s="80" t="s">
        <v>260</v>
      </c>
      <c r="G686" t="s">
        <v>237</v>
      </c>
      <c r="I686">
        <v>10</v>
      </c>
      <c r="J686">
        <v>0</v>
      </c>
      <c r="K686" t="s">
        <v>260</v>
      </c>
      <c r="S686" t="b">
        <v>1</v>
      </c>
    </row>
    <row r="687" spans="1:19" x14ac:dyDescent="0.25">
      <c r="D687">
        <v>5</v>
      </c>
      <c r="E687" t="s">
        <v>235</v>
      </c>
      <c r="F687" s="80" t="s">
        <v>102</v>
      </c>
      <c r="G687" t="s">
        <v>237</v>
      </c>
      <c r="I687">
        <v>10</v>
      </c>
      <c r="J687">
        <v>0</v>
      </c>
      <c r="K687" t="s">
        <v>332</v>
      </c>
      <c r="S687" t="b">
        <v>1</v>
      </c>
    </row>
    <row r="688" spans="1:19" x14ac:dyDescent="0.25">
      <c r="D688">
        <v>6</v>
      </c>
      <c r="E688" t="s">
        <v>235</v>
      </c>
      <c r="F688" s="80" t="s">
        <v>103</v>
      </c>
      <c r="G688" t="s">
        <v>237</v>
      </c>
      <c r="I688">
        <v>10</v>
      </c>
      <c r="J688">
        <v>0</v>
      </c>
      <c r="K688" t="s">
        <v>333</v>
      </c>
      <c r="S688" t="b">
        <v>1</v>
      </c>
    </row>
    <row r="689" spans="4:19" x14ac:dyDescent="0.25">
      <c r="D689">
        <v>7</v>
      </c>
      <c r="E689" t="s">
        <v>235</v>
      </c>
      <c r="F689" s="80" t="s">
        <v>104</v>
      </c>
      <c r="G689" t="s">
        <v>269</v>
      </c>
      <c r="H689">
        <v>255</v>
      </c>
      <c r="K689" t="s">
        <v>3</v>
      </c>
      <c r="S689" t="b">
        <v>1</v>
      </c>
    </row>
    <row r="690" spans="4:19" x14ac:dyDescent="0.25">
      <c r="D690">
        <v>8</v>
      </c>
      <c r="E690" t="s">
        <v>235</v>
      </c>
      <c r="F690" s="80" t="s">
        <v>105</v>
      </c>
      <c r="G690" t="s">
        <v>237</v>
      </c>
      <c r="I690">
        <v>10</v>
      </c>
      <c r="J690">
        <v>0</v>
      </c>
      <c r="K690" t="s">
        <v>32</v>
      </c>
      <c r="S690" t="b">
        <v>1</v>
      </c>
    </row>
    <row r="691" spans="4:19" x14ac:dyDescent="0.25">
      <c r="D691">
        <v>9</v>
      </c>
      <c r="E691" t="s">
        <v>235</v>
      </c>
      <c r="F691" s="80" t="s">
        <v>107</v>
      </c>
      <c r="G691" t="s">
        <v>237</v>
      </c>
      <c r="I691">
        <v>10</v>
      </c>
      <c r="J691">
        <v>0</v>
      </c>
      <c r="K691" t="s">
        <v>334</v>
      </c>
      <c r="S691" t="b">
        <v>1</v>
      </c>
    </row>
    <row r="692" spans="4:19" x14ac:dyDescent="0.25">
      <c r="D692">
        <v>10</v>
      </c>
      <c r="E692" t="s">
        <v>235</v>
      </c>
      <c r="F692" s="80" t="s">
        <v>108</v>
      </c>
      <c r="G692" t="s">
        <v>237</v>
      </c>
      <c r="I692">
        <v>10</v>
      </c>
      <c r="J692">
        <v>0</v>
      </c>
      <c r="K692" t="s">
        <v>7</v>
      </c>
      <c r="S692" t="b">
        <v>1</v>
      </c>
    </row>
    <row r="693" spans="4:19" x14ac:dyDescent="0.25">
      <c r="D693">
        <v>11</v>
      </c>
      <c r="E693" t="s">
        <v>235</v>
      </c>
      <c r="F693" s="80" t="s">
        <v>109</v>
      </c>
      <c r="G693" t="s">
        <v>237</v>
      </c>
      <c r="I693">
        <v>10</v>
      </c>
      <c r="J693">
        <v>0</v>
      </c>
      <c r="K693" t="s">
        <v>335</v>
      </c>
      <c r="S693" t="b">
        <v>1</v>
      </c>
    </row>
    <row r="694" spans="4:19" x14ac:dyDescent="0.25">
      <c r="D694">
        <v>12</v>
      </c>
      <c r="E694" t="s">
        <v>235</v>
      </c>
      <c r="F694" s="80" t="s">
        <v>110</v>
      </c>
      <c r="G694" t="s">
        <v>275</v>
      </c>
      <c r="I694">
        <v>3</v>
      </c>
      <c r="J694">
        <v>0</v>
      </c>
      <c r="K694" t="s">
        <v>336</v>
      </c>
      <c r="S694" t="b">
        <v>1</v>
      </c>
    </row>
    <row r="695" spans="4:19" x14ac:dyDescent="0.25">
      <c r="D695">
        <v>13</v>
      </c>
      <c r="E695" t="s">
        <v>235</v>
      </c>
      <c r="F695" s="80" t="s">
        <v>111</v>
      </c>
      <c r="G695" t="s">
        <v>237</v>
      </c>
      <c r="I695">
        <v>10</v>
      </c>
      <c r="J695">
        <v>0</v>
      </c>
      <c r="K695" t="s">
        <v>337</v>
      </c>
      <c r="S695" t="b">
        <v>1</v>
      </c>
    </row>
    <row r="696" spans="4:19" x14ac:dyDescent="0.25">
      <c r="D696">
        <v>14</v>
      </c>
      <c r="E696" t="s">
        <v>235</v>
      </c>
      <c r="F696" s="80" t="s">
        <v>112</v>
      </c>
      <c r="G696" t="s">
        <v>270</v>
      </c>
      <c r="I696">
        <v>19</v>
      </c>
      <c r="J696">
        <v>4</v>
      </c>
      <c r="K696" t="s">
        <v>338</v>
      </c>
      <c r="S696" t="b">
        <v>1</v>
      </c>
    </row>
    <row r="697" spans="4:19" x14ac:dyDescent="0.25">
      <c r="D697">
        <v>15</v>
      </c>
      <c r="E697" t="s">
        <v>235</v>
      </c>
      <c r="F697" s="80" t="s">
        <v>113</v>
      </c>
      <c r="G697" t="s">
        <v>270</v>
      </c>
      <c r="I697">
        <v>19</v>
      </c>
      <c r="J697">
        <v>4</v>
      </c>
      <c r="K697" t="s">
        <v>339</v>
      </c>
      <c r="S697" t="b">
        <v>1</v>
      </c>
    </row>
    <row r="698" spans="4:19" x14ac:dyDescent="0.25">
      <c r="D698">
        <v>16</v>
      </c>
      <c r="E698" t="s">
        <v>235</v>
      </c>
      <c r="F698" s="80" t="s">
        <v>114</v>
      </c>
      <c r="G698" t="s">
        <v>270</v>
      </c>
      <c r="I698">
        <v>19</v>
      </c>
      <c r="J698">
        <v>4</v>
      </c>
      <c r="K698" t="s">
        <v>340</v>
      </c>
      <c r="S698" t="b">
        <v>1</v>
      </c>
    </row>
    <row r="699" spans="4:19" x14ac:dyDescent="0.25">
      <c r="D699">
        <v>17</v>
      </c>
      <c r="E699" t="s">
        <v>235</v>
      </c>
      <c r="F699" s="80" t="s">
        <v>115</v>
      </c>
      <c r="G699" t="s">
        <v>270</v>
      </c>
      <c r="I699">
        <v>19</v>
      </c>
      <c r="J699">
        <v>4</v>
      </c>
      <c r="K699" t="s">
        <v>341</v>
      </c>
      <c r="S699" t="b">
        <v>1</v>
      </c>
    </row>
    <row r="700" spans="4:19" x14ac:dyDescent="0.25">
      <c r="D700">
        <v>18</v>
      </c>
      <c r="E700" t="s">
        <v>235</v>
      </c>
      <c r="F700" s="80" t="s">
        <v>116</v>
      </c>
      <c r="G700" t="s">
        <v>270</v>
      </c>
      <c r="I700">
        <v>19</v>
      </c>
      <c r="J700">
        <v>4</v>
      </c>
      <c r="K700" t="s">
        <v>342</v>
      </c>
      <c r="S700" t="b">
        <v>1</v>
      </c>
    </row>
    <row r="701" spans="4:19" x14ac:dyDescent="0.25">
      <c r="D701">
        <v>19</v>
      </c>
      <c r="E701" t="s">
        <v>235</v>
      </c>
      <c r="F701" s="80" t="s">
        <v>117</v>
      </c>
      <c r="G701" t="s">
        <v>270</v>
      </c>
      <c r="I701">
        <v>19</v>
      </c>
      <c r="J701">
        <v>4</v>
      </c>
      <c r="K701" t="s">
        <v>343</v>
      </c>
      <c r="S701" t="b">
        <v>1</v>
      </c>
    </row>
    <row r="702" spans="4:19" x14ac:dyDescent="0.25">
      <c r="D702">
        <v>20</v>
      </c>
      <c r="E702" t="s">
        <v>235</v>
      </c>
      <c r="F702" s="80" t="s">
        <v>118</v>
      </c>
      <c r="G702" t="s">
        <v>270</v>
      </c>
      <c r="I702">
        <v>19</v>
      </c>
      <c r="J702">
        <v>4</v>
      </c>
      <c r="K702" t="s">
        <v>344</v>
      </c>
      <c r="S702" t="b">
        <v>1</v>
      </c>
    </row>
    <row r="703" spans="4:19" x14ac:dyDescent="0.25">
      <c r="D703">
        <v>21</v>
      </c>
      <c r="E703" t="s">
        <v>235</v>
      </c>
      <c r="F703" s="80" t="s">
        <v>119</v>
      </c>
      <c r="G703" t="s">
        <v>270</v>
      </c>
      <c r="I703">
        <v>19</v>
      </c>
      <c r="J703">
        <v>4</v>
      </c>
      <c r="K703" t="s">
        <v>345</v>
      </c>
      <c r="S703" t="b">
        <v>1</v>
      </c>
    </row>
    <row r="704" spans="4:19" x14ac:dyDescent="0.25">
      <c r="D704">
        <v>22</v>
      </c>
      <c r="E704" t="s">
        <v>235</v>
      </c>
      <c r="F704" s="80" t="s">
        <v>120</v>
      </c>
      <c r="G704" t="s">
        <v>270</v>
      </c>
      <c r="I704">
        <v>19</v>
      </c>
      <c r="J704">
        <v>4</v>
      </c>
      <c r="K704" t="s">
        <v>346</v>
      </c>
      <c r="S704" t="b">
        <v>1</v>
      </c>
    </row>
    <row r="705" spans="4:19" x14ac:dyDescent="0.25">
      <c r="D705">
        <v>23</v>
      </c>
      <c r="E705" t="s">
        <v>235</v>
      </c>
      <c r="F705" s="80" t="s">
        <v>121</v>
      </c>
      <c r="G705" t="s">
        <v>270</v>
      </c>
      <c r="I705">
        <v>19</v>
      </c>
      <c r="J705">
        <v>4</v>
      </c>
      <c r="K705" t="s">
        <v>347</v>
      </c>
      <c r="S705" t="b">
        <v>1</v>
      </c>
    </row>
    <row r="706" spans="4:19" x14ac:dyDescent="0.25">
      <c r="D706">
        <v>24</v>
      </c>
      <c r="E706" t="s">
        <v>235</v>
      </c>
      <c r="F706" s="80" t="s">
        <v>122</v>
      </c>
      <c r="G706" t="s">
        <v>270</v>
      </c>
      <c r="I706">
        <v>19</v>
      </c>
      <c r="J706">
        <v>4</v>
      </c>
      <c r="K706" t="s">
        <v>348</v>
      </c>
      <c r="S706" t="b">
        <v>1</v>
      </c>
    </row>
    <row r="707" spans="4:19" x14ac:dyDescent="0.25">
      <c r="D707">
        <v>25</v>
      </c>
      <c r="E707" t="s">
        <v>235</v>
      </c>
      <c r="F707" s="80" t="s">
        <v>123</v>
      </c>
      <c r="G707" t="s">
        <v>270</v>
      </c>
      <c r="I707">
        <v>19</v>
      </c>
      <c r="J707">
        <v>4</v>
      </c>
      <c r="K707" t="s">
        <v>349</v>
      </c>
      <c r="S707" t="b">
        <v>1</v>
      </c>
    </row>
    <row r="708" spans="4:19" x14ac:dyDescent="0.25">
      <c r="D708">
        <v>26</v>
      </c>
      <c r="E708" t="s">
        <v>235</v>
      </c>
      <c r="F708" s="80" t="s">
        <v>124</v>
      </c>
      <c r="G708" t="s">
        <v>270</v>
      </c>
      <c r="I708">
        <v>19</v>
      </c>
      <c r="J708">
        <v>4</v>
      </c>
      <c r="K708" t="s">
        <v>350</v>
      </c>
      <c r="S708" t="b">
        <v>1</v>
      </c>
    </row>
    <row r="709" spans="4:19" x14ac:dyDescent="0.25">
      <c r="D709">
        <v>27</v>
      </c>
      <c r="E709" t="s">
        <v>235</v>
      </c>
      <c r="F709" s="80" t="s">
        <v>125</v>
      </c>
      <c r="G709" t="s">
        <v>270</v>
      </c>
      <c r="I709">
        <v>19</v>
      </c>
      <c r="J709">
        <v>4</v>
      </c>
      <c r="K709" t="s">
        <v>351</v>
      </c>
      <c r="S709" t="b">
        <v>1</v>
      </c>
    </row>
    <row r="710" spans="4:19" x14ac:dyDescent="0.25">
      <c r="D710">
        <v>28</v>
      </c>
      <c r="E710" t="s">
        <v>235</v>
      </c>
      <c r="F710" s="80" t="s">
        <v>126</v>
      </c>
      <c r="G710" t="s">
        <v>270</v>
      </c>
      <c r="I710">
        <v>19</v>
      </c>
      <c r="J710">
        <v>4</v>
      </c>
      <c r="K710" t="s">
        <v>352</v>
      </c>
      <c r="S710" t="b">
        <v>1</v>
      </c>
    </row>
    <row r="711" spans="4:19" x14ac:dyDescent="0.25">
      <c r="D711">
        <v>29</v>
      </c>
      <c r="E711" t="s">
        <v>235</v>
      </c>
      <c r="F711" s="80" t="s">
        <v>127</v>
      </c>
      <c r="G711" t="s">
        <v>270</v>
      </c>
      <c r="I711">
        <v>19</v>
      </c>
      <c r="J711">
        <v>4</v>
      </c>
      <c r="K711" t="s">
        <v>353</v>
      </c>
      <c r="S711" t="b">
        <v>1</v>
      </c>
    </row>
    <row r="712" spans="4:19" x14ac:dyDescent="0.25">
      <c r="D712">
        <v>30</v>
      </c>
      <c r="E712" t="s">
        <v>235</v>
      </c>
      <c r="F712" s="80" t="s">
        <v>128</v>
      </c>
      <c r="G712" t="s">
        <v>270</v>
      </c>
      <c r="I712">
        <v>19</v>
      </c>
      <c r="J712">
        <v>4</v>
      </c>
      <c r="K712" t="s">
        <v>354</v>
      </c>
      <c r="S712" t="b">
        <v>1</v>
      </c>
    </row>
    <row r="713" spans="4:19" x14ac:dyDescent="0.25">
      <c r="D713">
        <v>31</v>
      </c>
      <c r="E713" t="s">
        <v>235</v>
      </c>
      <c r="F713" s="80" t="s">
        <v>129</v>
      </c>
      <c r="G713" t="s">
        <v>270</v>
      </c>
      <c r="I713">
        <v>19</v>
      </c>
      <c r="J713">
        <v>4</v>
      </c>
      <c r="K713" t="s">
        <v>355</v>
      </c>
      <c r="S713" t="b">
        <v>1</v>
      </c>
    </row>
    <row r="714" spans="4:19" x14ac:dyDescent="0.25">
      <c r="D714">
        <v>32</v>
      </c>
      <c r="E714" t="s">
        <v>235</v>
      </c>
      <c r="F714" s="80" t="s">
        <v>130</v>
      </c>
      <c r="G714" t="s">
        <v>270</v>
      </c>
      <c r="I714">
        <v>19</v>
      </c>
      <c r="J714">
        <v>4</v>
      </c>
      <c r="K714" t="s">
        <v>356</v>
      </c>
      <c r="S714" t="b">
        <v>1</v>
      </c>
    </row>
    <row r="715" spans="4:19" x14ac:dyDescent="0.25">
      <c r="D715">
        <v>33</v>
      </c>
      <c r="E715" t="s">
        <v>235</v>
      </c>
      <c r="F715" s="80" t="s">
        <v>131</v>
      </c>
      <c r="G715" t="s">
        <v>270</v>
      </c>
      <c r="I715">
        <v>19</v>
      </c>
      <c r="J715">
        <v>4</v>
      </c>
      <c r="K715" t="s">
        <v>357</v>
      </c>
      <c r="S715" t="b">
        <v>1</v>
      </c>
    </row>
    <row r="716" spans="4:19" x14ac:dyDescent="0.25">
      <c r="D716">
        <v>34</v>
      </c>
      <c r="E716" t="s">
        <v>235</v>
      </c>
      <c r="F716" s="80" t="s">
        <v>132</v>
      </c>
      <c r="G716" t="s">
        <v>270</v>
      </c>
      <c r="I716">
        <v>19</v>
      </c>
      <c r="J716">
        <v>4</v>
      </c>
      <c r="K716" t="s">
        <v>358</v>
      </c>
      <c r="S716" t="b">
        <v>1</v>
      </c>
    </row>
    <row r="717" spans="4:19" x14ac:dyDescent="0.25">
      <c r="D717">
        <v>35</v>
      </c>
      <c r="E717" t="s">
        <v>235</v>
      </c>
      <c r="F717" s="80" t="s">
        <v>133</v>
      </c>
      <c r="G717" t="s">
        <v>270</v>
      </c>
      <c r="I717">
        <v>19</v>
      </c>
      <c r="J717">
        <v>4</v>
      </c>
      <c r="K717" t="s">
        <v>359</v>
      </c>
      <c r="S717" t="b">
        <v>1</v>
      </c>
    </row>
    <row r="718" spans="4:19" x14ac:dyDescent="0.25">
      <c r="D718">
        <v>36</v>
      </c>
      <c r="E718" t="s">
        <v>235</v>
      </c>
      <c r="F718" s="80" t="s">
        <v>134</v>
      </c>
      <c r="G718" t="s">
        <v>270</v>
      </c>
      <c r="I718">
        <v>19</v>
      </c>
      <c r="J718">
        <v>4</v>
      </c>
      <c r="K718" t="s">
        <v>360</v>
      </c>
      <c r="S718" t="b">
        <v>1</v>
      </c>
    </row>
    <row r="719" spans="4:19" x14ac:dyDescent="0.25">
      <c r="D719">
        <v>37</v>
      </c>
      <c r="E719" t="s">
        <v>235</v>
      </c>
      <c r="F719" s="80" t="s">
        <v>135</v>
      </c>
      <c r="G719" t="s">
        <v>270</v>
      </c>
      <c r="I719">
        <v>19</v>
      </c>
      <c r="J719">
        <v>4</v>
      </c>
      <c r="K719" t="s">
        <v>361</v>
      </c>
      <c r="S719" t="b">
        <v>1</v>
      </c>
    </row>
    <row r="720" spans="4:19" x14ac:dyDescent="0.25">
      <c r="D720">
        <v>38</v>
      </c>
      <c r="E720" t="s">
        <v>235</v>
      </c>
      <c r="F720" s="80" t="s">
        <v>136</v>
      </c>
      <c r="G720" t="s">
        <v>270</v>
      </c>
      <c r="I720">
        <v>19</v>
      </c>
      <c r="J720">
        <v>4</v>
      </c>
      <c r="K720" t="s">
        <v>362</v>
      </c>
      <c r="S720" t="b">
        <v>1</v>
      </c>
    </row>
    <row r="721" spans="4:19" x14ac:dyDescent="0.25">
      <c r="D721">
        <v>39</v>
      </c>
      <c r="E721" t="s">
        <v>235</v>
      </c>
      <c r="F721" s="80" t="s">
        <v>137</v>
      </c>
      <c r="G721" t="s">
        <v>270</v>
      </c>
      <c r="I721">
        <v>19</v>
      </c>
      <c r="J721">
        <v>4</v>
      </c>
      <c r="K721" t="s">
        <v>363</v>
      </c>
      <c r="S721" t="b">
        <v>1</v>
      </c>
    </row>
    <row r="722" spans="4:19" x14ac:dyDescent="0.25">
      <c r="D722">
        <v>40</v>
      </c>
      <c r="E722" t="s">
        <v>235</v>
      </c>
      <c r="F722" s="80" t="s">
        <v>138</v>
      </c>
      <c r="G722" t="s">
        <v>270</v>
      </c>
      <c r="I722">
        <v>19</v>
      </c>
      <c r="J722">
        <v>4</v>
      </c>
      <c r="K722" t="s">
        <v>364</v>
      </c>
      <c r="S722" t="b">
        <v>1</v>
      </c>
    </row>
    <row r="723" spans="4:19" x14ac:dyDescent="0.25">
      <c r="D723">
        <v>41</v>
      </c>
      <c r="E723" t="s">
        <v>235</v>
      </c>
      <c r="F723" s="80" t="s">
        <v>139</v>
      </c>
      <c r="G723" t="s">
        <v>270</v>
      </c>
      <c r="I723">
        <v>19</v>
      </c>
      <c r="J723">
        <v>4</v>
      </c>
      <c r="K723" t="s">
        <v>365</v>
      </c>
      <c r="S723" t="b">
        <v>1</v>
      </c>
    </row>
    <row r="724" spans="4:19" x14ac:dyDescent="0.25">
      <c r="D724">
        <v>42</v>
      </c>
      <c r="E724" t="s">
        <v>235</v>
      </c>
      <c r="F724" s="80" t="s">
        <v>140</v>
      </c>
      <c r="G724" t="s">
        <v>270</v>
      </c>
      <c r="I724">
        <v>19</v>
      </c>
      <c r="J724">
        <v>4</v>
      </c>
      <c r="K724" t="s">
        <v>366</v>
      </c>
      <c r="S724" t="b">
        <v>1</v>
      </c>
    </row>
    <row r="725" spans="4:19" x14ac:dyDescent="0.25">
      <c r="D725">
        <v>43</v>
      </c>
      <c r="E725" t="s">
        <v>235</v>
      </c>
      <c r="F725" s="80" t="s">
        <v>141</v>
      </c>
      <c r="G725" t="s">
        <v>270</v>
      </c>
      <c r="I725">
        <v>19</v>
      </c>
      <c r="J725">
        <v>4</v>
      </c>
      <c r="K725" t="s">
        <v>367</v>
      </c>
      <c r="S725" t="b">
        <v>1</v>
      </c>
    </row>
    <row r="726" spans="4:19" x14ac:dyDescent="0.25">
      <c r="D726">
        <v>44</v>
      </c>
      <c r="E726" t="s">
        <v>235</v>
      </c>
      <c r="F726" s="80" t="s">
        <v>142</v>
      </c>
      <c r="G726" t="s">
        <v>270</v>
      </c>
      <c r="I726">
        <v>19</v>
      </c>
      <c r="J726">
        <v>4</v>
      </c>
      <c r="K726" t="s">
        <v>368</v>
      </c>
      <c r="S726" t="b">
        <v>1</v>
      </c>
    </row>
    <row r="727" spans="4:19" x14ac:dyDescent="0.25">
      <c r="D727">
        <v>45</v>
      </c>
      <c r="E727" t="s">
        <v>235</v>
      </c>
      <c r="F727" s="80" t="s">
        <v>143</v>
      </c>
      <c r="G727" t="s">
        <v>270</v>
      </c>
      <c r="I727">
        <v>19</v>
      </c>
      <c r="J727">
        <v>4</v>
      </c>
      <c r="K727" t="s">
        <v>369</v>
      </c>
      <c r="S727" t="b">
        <v>1</v>
      </c>
    </row>
    <row r="728" spans="4:19" x14ac:dyDescent="0.25">
      <c r="D728">
        <v>46</v>
      </c>
      <c r="E728" t="s">
        <v>235</v>
      </c>
      <c r="F728" s="80" t="s">
        <v>144</v>
      </c>
      <c r="G728" t="s">
        <v>270</v>
      </c>
      <c r="I728">
        <v>19</v>
      </c>
      <c r="J728">
        <v>4</v>
      </c>
      <c r="K728" t="s">
        <v>370</v>
      </c>
      <c r="S728" t="b">
        <v>1</v>
      </c>
    </row>
    <row r="729" spans="4:19" x14ac:dyDescent="0.25">
      <c r="D729">
        <v>47</v>
      </c>
      <c r="E729" t="s">
        <v>235</v>
      </c>
      <c r="F729" s="80" t="s">
        <v>145</v>
      </c>
      <c r="G729" t="s">
        <v>270</v>
      </c>
      <c r="I729">
        <v>19</v>
      </c>
      <c r="J729">
        <v>4</v>
      </c>
      <c r="K729" t="s">
        <v>371</v>
      </c>
      <c r="S729" t="b">
        <v>1</v>
      </c>
    </row>
    <row r="730" spans="4:19" x14ac:dyDescent="0.25">
      <c r="D730">
        <v>48</v>
      </c>
      <c r="E730" t="s">
        <v>235</v>
      </c>
      <c r="F730" s="80" t="s">
        <v>146</v>
      </c>
      <c r="G730" t="s">
        <v>270</v>
      </c>
      <c r="I730">
        <v>19</v>
      </c>
      <c r="J730">
        <v>4</v>
      </c>
      <c r="K730" t="s">
        <v>372</v>
      </c>
      <c r="S730" t="b">
        <v>1</v>
      </c>
    </row>
    <row r="731" spans="4:19" x14ac:dyDescent="0.25">
      <c r="D731">
        <v>49</v>
      </c>
      <c r="E731" t="s">
        <v>235</v>
      </c>
      <c r="F731" s="80" t="s">
        <v>147</v>
      </c>
      <c r="G731" t="s">
        <v>270</v>
      </c>
      <c r="I731">
        <v>19</v>
      </c>
      <c r="J731">
        <v>4</v>
      </c>
      <c r="K731" t="s">
        <v>373</v>
      </c>
      <c r="S731" t="b">
        <v>1</v>
      </c>
    </row>
    <row r="732" spans="4:19" x14ac:dyDescent="0.25">
      <c r="D732">
        <v>50</v>
      </c>
      <c r="E732" t="s">
        <v>235</v>
      </c>
      <c r="F732" s="80" t="s">
        <v>148</v>
      </c>
      <c r="G732" t="s">
        <v>270</v>
      </c>
      <c r="I732">
        <v>19</v>
      </c>
      <c r="J732">
        <v>4</v>
      </c>
      <c r="K732" t="s">
        <v>374</v>
      </c>
      <c r="S732" t="b">
        <v>1</v>
      </c>
    </row>
    <row r="733" spans="4:19" x14ac:dyDescent="0.25">
      <c r="D733">
        <v>51</v>
      </c>
      <c r="E733" t="s">
        <v>235</v>
      </c>
      <c r="F733" s="80" t="s">
        <v>149</v>
      </c>
      <c r="G733" t="s">
        <v>270</v>
      </c>
      <c r="I733">
        <v>19</v>
      </c>
      <c r="J733">
        <v>4</v>
      </c>
      <c r="K733" t="s">
        <v>375</v>
      </c>
      <c r="S733" t="b">
        <v>1</v>
      </c>
    </row>
    <row r="734" spans="4:19" x14ac:dyDescent="0.25">
      <c r="D734">
        <v>52</v>
      </c>
      <c r="E734" t="s">
        <v>235</v>
      </c>
      <c r="F734" s="80" t="s">
        <v>150</v>
      </c>
      <c r="G734" t="s">
        <v>270</v>
      </c>
      <c r="I734">
        <v>19</v>
      </c>
      <c r="J734">
        <v>4</v>
      </c>
      <c r="K734" t="s">
        <v>376</v>
      </c>
      <c r="S734" t="b">
        <v>1</v>
      </c>
    </row>
    <row r="735" spans="4:19" x14ac:dyDescent="0.25">
      <c r="D735">
        <v>53</v>
      </c>
      <c r="E735" t="s">
        <v>235</v>
      </c>
      <c r="F735" s="80" t="s">
        <v>151</v>
      </c>
      <c r="G735" t="s">
        <v>269</v>
      </c>
      <c r="H735">
        <v>-1</v>
      </c>
      <c r="K735" t="s">
        <v>26</v>
      </c>
      <c r="S735" t="b">
        <v>1</v>
      </c>
    </row>
    <row r="736" spans="4:19" x14ac:dyDescent="0.25">
      <c r="D736">
        <v>54</v>
      </c>
      <c r="E736" t="s">
        <v>235</v>
      </c>
      <c r="F736" s="80" t="s">
        <v>545</v>
      </c>
      <c r="G736" t="s">
        <v>269</v>
      </c>
      <c r="H736">
        <v>-1</v>
      </c>
      <c r="K736" t="s">
        <v>547</v>
      </c>
      <c r="S736" t="b">
        <v>1</v>
      </c>
    </row>
    <row r="737" spans="1:19" x14ac:dyDescent="0.25">
      <c r="D737">
        <v>55</v>
      </c>
      <c r="E737" t="s">
        <v>235</v>
      </c>
      <c r="F737" s="80" t="s">
        <v>271</v>
      </c>
      <c r="G737" t="s">
        <v>272</v>
      </c>
      <c r="I737">
        <v>3</v>
      </c>
      <c r="K737" t="s">
        <v>377</v>
      </c>
      <c r="S737" t="b">
        <v>1</v>
      </c>
    </row>
    <row r="738" spans="1:19" x14ac:dyDescent="0.25">
      <c r="D738">
        <v>56</v>
      </c>
      <c r="E738" t="s">
        <v>235</v>
      </c>
      <c r="F738" s="80" t="s">
        <v>277</v>
      </c>
      <c r="G738" t="s">
        <v>278</v>
      </c>
      <c r="K738" t="s">
        <v>277</v>
      </c>
      <c r="S738" t="b">
        <v>1</v>
      </c>
    </row>
    <row r="739" spans="1:19" x14ac:dyDescent="0.25">
      <c r="A739" t="s">
        <v>535</v>
      </c>
    </row>
    <row r="740" spans="1:19" x14ac:dyDescent="0.25">
      <c r="A740" t="s">
        <v>536</v>
      </c>
    </row>
    <row r="741" spans="1:19" x14ac:dyDescent="0.25">
      <c r="D741">
        <v>1</v>
      </c>
      <c r="E741" t="s">
        <v>235</v>
      </c>
      <c r="F741" s="80" t="s">
        <v>240</v>
      </c>
      <c r="G741" t="s">
        <v>237</v>
      </c>
      <c r="I741">
        <v>10</v>
      </c>
      <c r="J741">
        <v>0</v>
      </c>
      <c r="K741" t="s">
        <v>327</v>
      </c>
      <c r="S741" t="b">
        <v>1</v>
      </c>
    </row>
    <row r="742" spans="1:19" x14ac:dyDescent="0.25">
      <c r="D742">
        <v>2</v>
      </c>
      <c r="E742" t="s">
        <v>235</v>
      </c>
      <c r="F742" s="80" t="s">
        <v>242</v>
      </c>
      <c r="G742" t="s">
        <v>237</v>
      </c>
      <c r="I742">
        <v>10</v>
      </c>
      <c r="J742">
        <v>0</v>
      </c>
      <c r="K742" t="s">
        <v>328</v>
      </c>
      <c r="S742" t="b">
        <v>1</v>
      </c>
    </row>
    <row r="743" spans="1:19" x14ac:dyDescent="0.25">
      <c r="D743">
        <v>3</v>
      </c>
      <c r="E743" t="s">
        <v>235</v>
      </c>
      <c r="F743" s="80" t="s">
        <v>244</v>
      </c>
      <c r="G743" t="s">
        <v>237</v>
      </c>
      <c r="I743">
        <v>10</v>
      </c>
      <c r="J743">
        <v>0</v>
      </c>
      <c r="K743" t="s">
        <v>329</v>
      </c>
      <c r="S743" t="b">
        <v>1</v>
      </c>
    </row>
    <row r="744" spans="1:19" x14ac:dyDescent="0.25">
      <c r="D744">
        <v>4</v>
      </c>
      <c r="E744" t="s">
        <v>235</v>
      </c>
      <c r="F744" s="80" t="s">
        <v>260</v>
      </c>
      <c r="G744" t="s">
        <v>237</v>
      </c>
      <c r="I744">
        <v>10</v>
      </c>
      <c r="J744">
        <v>0</v>
      </c>
      <c r="K744" t="s">
        <v>260</v>
      </c>
      <c r="S744" t="b">
        <v>1</v>
      </c>
    </row>
    <row r="745" spans="1:19" x14ac:dyDescent="0.25">
      <c r="D745">
        <v>5</v>
      </c>
      <c r="E745" t="s">
        <v>235</v>
      </c>
      <c r="F745" s="80" t="s">
        <v>102</v>
      </c>
      <c r="G745" t="s">
        <v>237</v>
      </c>
      <c r="I745">
        <v>10</v>
      </c>
      <c r="J745">
        <v>0</v>
      </c>
      <c r="K745" t="s">
        <v>332</v>
      </c>
      <c r="S745" t="b">
        <v>1</v>
      </c>
    </row>
    <row r="746" spans="1:19" x14ac:dyDescent="0.25">
      <c r="D746">
        <v>6</v>
      </c>
      <c r="E746" t="s">
        <v>235</v>
      </c>
      <c r="F746" s="80" t="s">
        <v>271</v>
      </c>
      <c r="G746" t="s">
        <v>272</v>
      </c>
      <c r="I746">
        <v>3</v>
      </c>
      <c r="K746" t="s">
        <v>377</v>
      </c>
      <c r="S746" t="b">
        <v>1</v>
      </c>
    </row>
    <row r="747" spans="1:19" x14ac:dyDescent="0.25">
      <c r="A747" t="s">
        <v>537</v>
      </c>
    </row>
    <row r="748" spans="1:19" x14ac:dyDescent="0.25">
      <c r="A748" t="s">
        <v>548</v>
      </c>
    </row>
    <row r="749" spans="1:19" x14ac:dyDescent="0.25">
      <c r="A749" s="80" t="s">
        <v>169</v>
      </c>
      <c r="B749" t="s">
        <v>170</v>
      </c>
      <c r="C749" s="80" t="s">
        <v>171</v>
      </c>
    </row>
    <row r="750" spans="1:19" x14ac:dyDescent="0.25">
      <c r="A750" s="80" t="s">
        <v>169</v>
      </c>
      <c r="B750" t="s">
        <v>172</v>
      </c>
      <c r="C750" t="b">
        <v>0</v>
      </c>
    </row>
    <row r="751" spans="1:19" x14ac:dyDescent="0.25">
      <c r="A751" s="80" t="s">
        <v>169</v>
      </c>
      <c r="B751" t="s">
        <v>549</v>
      </c>
      <c r="C751" s="80" t="s">
        <v>550</v>
      </c>
    </row>
    <row r="752" spans="1:19" x14ac:dyDescent="0.25">
      <c r="A752" s="80" t="s">
        <v>169</v>
      </c>
      <c r="B752" t="s">
        <v>551</v>
      </c>
      <c r="C752" t="b">
        <v>0</v>
      </c>
    </row>
    <row r="753" spans="1:3" x14ac:dyDescent="0.25">
      <c r="A753" s="80" t="s">
        <v>169</v>
      </c>
      <c r="B753" t="s">
        <v>552</v>
      </c>
      <c r="C753" t="b">
        <v>0</v>
      </c>
    </row>
    <row r="754" spans="1:3" x14ac:dyDescent="0.25">
      <c r="A754" s="80" t="s">
        <v>169</v>
      </c>
      <c r="B754" t="s">
        <v>553</v>
      </c>
      <c r="C754" t="b">
        <v>0</v>
      </c>
    </row>
    <row r="755" spans="1:3" x14ac:dyDescent="0.25">
      <c r="A755" s="80" t="s">
        <v>169</v>
      </c>
      <c r="B755" t="s">
        <v>554</v>
      </c>
      <c r="C755" t="b">
        <v>0</v>
      </c>
    </row>
    <row r="756" spans="1:3" x14ac:dyDescent="0.25">
      <c r="A756" s="80" t="s">
        <v>101</v>
      </c>
      <c r="B756" t="s">
        <v>173</v>
      </c>
      <c r="C756" t="b">
        <v>1</v>
      </c>
    </row>
    <row r="757" spans="1:3" x14ac:dyDescent="0.25">
      <c r="A757" s="80" t="s">
        <v>101</v>
      </c>
      <c r="B757" t="s">
        <v>555</v>
      </c>
      <c r="C757" s="80" t="s">
        <v>556</v>
      </c>
    </row>
    <row r="758" spans="1:3" x14ac:dyDescent="0.25">
      <c r="A758" s="80" t="s">
        <v>101</v>
      </c>
      <c r="B758" t="s">
        <v>557</v>
      </c>
      <c r="C758" s="80" t="s">
        <v>558</v>
      </c>
    </row>
    <row r="759" spans="1:3" x14ac:dyDescent="0.25">
      <c r="A759" s="80" t="s">
        <v>101</v>
      </c>
      <c r="B759" t="s">
        <v>559</v>
      </c>
      <c r="C759">
        <v>1</v>
      </c>
    </row>
    <row r="760" spans="1:3" x14ac:dyDescent="0.25">
      <c r="A760" s="80" t="s">
        <v>101</v>
      </c>
      <c r="B760" t="s">
        <v>560</v>
      </c>
      <c r="C760">
        <v>-4138</v>
      </c>
    </row>
    <row r="761" spans="1:3" x14ac:dyDescent="0.25">
      <c r="A761" s="80" t="s">
        <v>101</v>
      </c>
      <c r="B761" t="s">
        <v>561</v>
      </c>
      <c r="C761">
        <v>1</v>
      </c>
    </row>
    <row r="762" spans="1:3" x14ac:dyDescent="0.25">
      <c r="A762" s="80" t="s">
        <v>101</v>
      </c>
      <c r="B762" t="s">
        <v>562</v>
      </c>
      <c r="C762">
        <v>-4138</v>
      </c>
    </row>
    <row r="763" spans="1:3" x14ac:dyDescent="0.25">
      <c r="A763" s="80" t="s">
        <v>102</v>
      </c>
      <c r="B763" t="s">
        <v>173</v>
      </c>
      <c r="C763" t="b">
        <v>1</v>
      </c>
    </row>
    <row r="764" spans="1:3" x14ac:dyDescent="0.25">
      <c r="A764" s="80" t="s">
        <v>102</v>
      </c>
      <c r="B764" t="s">
        <v>555</v>
      </c>
      <c r="C764" s="80" t="s">
        <v>563</v>
      </c>
    </row>
    <row r="765" spans="1:3" x14ac:dyDescent="0.25">
      <c r="A765" s="80" t="s">
        <v>102</v>
      </c>
      <c r="B765" t="s">
        <v>557</v>
      </c>
      <c r="C765" s="80" t="s">
        <v>558</v>
      </c>
    </row>
    <row r="766" spans="1:3" x14ac:dyDescent="0.25">
      <c r="A766" s="80" t="s">
        <v>102</v>
      </c>
      <c r="B766" t="s">
        <v>559</v>
      </c>
      <c r="C766">
        <v>1</v>
      </c>
    </row>
    <row r="767" spans="1:3" x14ac:dyDescent="0.25">
      <c r="A767" s="80" t="s">
        <v>102</v>
      </c>
      <c r="B767" t="s">
        <v>560</v>
      </c>
      <c r="C767">
        <v>-4138</v>
      </c>
    </row>
    <row r="768" spans="1:3" x14ac:dyDescent="0.25">
      <c r="A768" s="80" t="s">
        <v>102</v>
      </c>
      <c r="B768" t="s">
        <v>561</v>
      </c>
      <c r="C768">
        <v>1</v>
      </c>
    </row>
    <row r="769" spans="1:3" x14ac:dyDescent="0.25">
      <c r="A769" s="80" t="s">
        <v>102</v>
      </c>
      <c r="B769" t="s">
        <v>562</v>
      </c>
      <c r="C769">
        <v>-4138</v>
      </c>
    </row>
    <row r="770" spans="1:3" x14ac:dyDescent="0.25">
      <c r="A770" s="80" t="s">
        <v>103</v>
      </c>
      <c r="B770" t="s">
        <v>173</v>
      </c>
      <c r="C770" t="b">
        <v>1</v>
      </c>
    </row>
    <row r="771" spans="1:3" x14ac:dyDescent="0.25">
      <c r="A771" s="80" t="s">
        <v>103</v>
      </c>
      <c r="B771" t="s">
        <v>555</v>
      </c>
      <c r="C771" s="80" t="s">
        <v>564</v>
      </c>
    </row>
    <row r="772" spans="1:3" x14ac:dyDescent="0.25">
      <c r="A772" s="80" t="s">
        <v>103</v>
      </c>
      <c r="B772" t="s">
        <v>557</v>
      </c>
      <c r="C772" s="80" t="s">
        <v>558</v>
      </c>
    </row>
    <row r="773" spans="1:3" x14ac:dyDescent="0.25">
      <c r="A773" s="80" t="s">
        <v>103</v>
      </c>
      <c r="B773" t="s">
        <v>559</v>
      </c>
      <c r="C773">
        <v>1</v>
      </c>
    </row>
    <row r="774" spans="1:3" x14ac:dyDescent="0.25">
      <c r="A774" s="80" t="s">
        <v>103</v>
      </c>
      <c r="B774" t="s">
        <v>560</v>
      </c>
      <c r="C774">
        <v>-4138</v>
      </c>
    </row>
    <row r="775" spans="1:3" x14ac:dyDescent="0.25">
      <c r="A775" s="80" t="s">
        <v>103</v>
      </c>
      <c r="B775" t="s">
        <v>561</v>
      </c>
      <c r="C775">
        <v>1</v>
      </c>
    </row>
    <row r="776" spans="1:3" x14ac:dyDescent="0.25">
      <c r="A776" s="80" t="s">
        <v>103</v>
      </c>
      <c r="B776" t="s">
        <v>562</v>
      </c>
      <c r="C776">
        <v>-4138</v>
      </c>
    </row>
    <row r="777" spans="1:3" x14ac:dyDescent="0.25">
      <c r="A777" s="80" t="s">
        <v>104</v>
      </c>
      <c r="B777" t="s">
        <v>173</v>
      </c>
      <c r="C777" t="b">
        <v>0</v>
      </c>
    </row>
    <row r="778" spans="1:3" x14ac:dyDescent="0.25">
      <c r="A778" s="80" t="s">
        <v>104</v>
      </c>
      <c r="B778" t="s">
        <v>555</v>
      </c>
      <c r="C778" s="80" t="s">
        <v>565</v>
      </c>
    </row>
    <row r="779" spans="1:3" x14ac:dyDescent="0.25">
      <c r="A779" s="80" t="s">
        <v>104</v>
      </c>
      <c r="B779" t="s">
        <v>566</v>
      </c>
      <c r="C779">
        <v>42.14</v>
      </c>
    </row>
    <row r="780" spans="1:3" x14ac:dyDescent="0.25">
      <c r="A780" s="80" t="s">
        <v>104</v>
      </c>
      <c r="B780" t="s">
        <v>557</v>
      </c>
      <c r="C780" s="80" t="s">
        <v>558</v>
      </c>
    </row>
    <row r="781" spans="1:3" x14ac:dyDescent="0.25">
      <c r="A781" s="80" t="s">
        <v>104</v>
      </c>
      <c r="B781" t="s">
        <v>559</v>
      </c>
      <c r="C781">
        <v>1</v>
      </c>
    </row>
    <row r="782" spans="1:3" x14ac:dyDescent="0.25">
      <c r="A782" s="80" t="s">
        <v>104</v>
      </c>
      <c r="B782" t="s">
        <v>560</v>
      </c>
      <c r="C782">
        <v>-4138</v>
      </c>
    </row>
    <row r="783" spans="1:3" x14ac:dyDescent="0.25">
      <c r="A783" s="80" t="s">
        <v>104</v>
      </c>
      <c r="B783" t="s">
        <v>561</v>
      </c>
      <c r="C783">
        <v>1</v>
      </c>
    </row>
    <row r="784" spans="1:3" x14ac:dyDescent="0.25">
      <c r="A784" s="80" t="s">
        <v>104</v>
      </c>
      <c r="B784" t="s">
        <v>562</v>
      </c>
      <c r="C784">
        <v>-4138</v>
      </c>
    </row>
    <row r="785" spans="1:3" x14ac:dyDescent="0.25">
      <c r="A785" s="80" t="s">
        <v>105</v>
      </c>
      <c r="B785" t="s">
        <v>173</v>
      </c>
      <c r="C785" t="b">
        <v>0</v>
      </c>
    </row>
    <row r="786" spans="1:3" x14ac:dyDescent="0.25">
      <c r="A786" s="80" t="s">
        <v>105</v>
      </c>
      <c r="B786" t="s">
        <v>555</v>
      </c>
      <c r="C786" s="80" t="s">
        <v>567</v>
      </c>
    </row>
    <row r="787" spans="1:3" x14ac:dyDescent="0.25">
      <c r="A787" s="80" t="s">
        <v>105</v>
      </c>
      <c r="B787" t="s">
        <v>566</v>
      </c>
      <c r="C787">
        <v>6.71</v>
      </c>
    </row>
    <row r="788" spans="1:3" x14ac:dyDescent="0.25">
      <c r="A788" s="80" t="s">
        <v>105</v>
      </c>
      <c r="B788" t="s">
        <v>557</v>
      </c>
      <c r="C788" s="80" t="s">
        <v>568</v>
      </c>
    </row>
    <row r="789" spans="1:3" x14ac:dyDescent="0.25">
      <c r="A789" s="80" t="s">
        <v>105</v>
      </c>
      <c r="B789" t="s">
        <v>559</v>
      </c>
      <c r="C789">
        <v>1</v>
      </c>
    </row>
    <row r="790" spans="1:3" x14ac:dyDescent="0.25">
      <c r="A790" s="80" t="s">
        <v>105</v>
      </c>
      <c r="B790" t="s">
        <v>560</v>
      </c>
      <c r="C790">
        <v>-4138</v>
      </c>
    </row>
    <row r="791" spans="1:3" x14ac:dyDescent="0.25">
      <c r="A791" s="80" t="s">
        <v>105</v>
      </c>
      <c r="B791" t="s">
        <v>561</v>
      </c>
      <c r="C791">
        <v>1</v>
      </c>
    </row>
    <row r="792" spans="1:3" x14ac:dyDescent="0.25">
      <c r="A792" s="80" t="s">
        <v>105</v>
      </c>
      <c r="B792" t="s">
        <v>562</v>
      </c>
      <c r="C792">
        <v>2</v>
      </c>
    </row>
    <row r="793" spans="1:3" x14ac:dyDescent="0.25">
      <c r="A793" s="80" t="s">
        <v>106</v>
      </c>
      <c r="B793" t="s">
        <v>173</v>
      </c>
      <c r="C793" t="b">
        <v>1</v>
      </c>
    </row>
    <row r="794" spans="1:3" x14ac:dyDescent="0.25">
      <c r="A794" s="80" t="s">
        <v>106</v>
      </c>
      <c r="B794" t="s">
        <v>555</v>
      </c>
      <c r="C794" s="80" t="s">
        <v>569</v>
      </c>
    </row>
    <row r="795" spans="1:3" x14ac:dyDescent="0.25">
      <c r="A795" s="80" t="s">
        <v>106</v>
      </c>
      <c r="B795" t="s">
        <v>557</v>
      </c>
      <c r="C795" s="80" t="s">
        <v>558</v>
      </c>
    </row>
    <row r="796" spans="1:3" x14ac:dyDescent="0.25">
      <c r="A796" s="80" t="s">
        <v>106</v>
      </c>
      <c r="B796" t="s">
        <v>559</v>
      </c>
      <c r="C796">
        <v>1</v>
      </c>
    </row>
    <row r="797" spans="1:3" x14ac:dyDescent="0.25">
      <c r="A797" s="80" t="s">
        <v>106</v>
      </c>
      <c r="B797" t="s">
        <v>560</v>
      </c>
      <c r="C797">
        <v>2</v>
      </c>
    </row>
    <row r="798" spans="1:3" x14ac:dyDescent="0.25">
      <c r="A798" s="80" t="s">
        <v>106</v>
      </c>
      <c r="B798" t="s">
        <v>561</v>
      </c>
      <c r="C798">
        <v>1</v>
      </c>
    </row>
    <row r="799" spans="1:3" x14ac:dyDescent="0.25">
      <c r="A799" s="80" t="s">
        <v>106</v>
      </c>
      <c r="B799" t="s">
        <v>562</v>
      </c>
      <c r="C799">
        <v>2</v>
      </c>
    </row>
    <row r="800" spans="1:3" x14ac:dyDescent="0.25">
      <c r="A800" s="80" t="s">
        <v>107</v>
      </c>
      <c r="B800" t="s">
        <v>173</v>
      </c>
      <c r="C800" t="b">
        <v>0</v>
      </c>
    </row>
    <row r="801" spans="1:3" x14ac:dyDescent="0.25">
      <c r="A801" s="80" t="s">
        <v>107</v>
      </c>
      <c r="B801" t="s">
        <v>555</v>
      </c>
      <c r="C801" s="80" t="s">
        <v>570</v>
      </c>
    </row>
    <row r="802" spans="1:3" x14ac:dyDescent="0.25">
      <c r="A802" s="80" t="s">
        <v>107</v>
      </c>
      <c r="B802" t="s">
        <v>566</v>
      </c>
      <c r="C802">
        <v>15</v>
      </c>
    </row>
    <row r="803" spans="1:3" x14ac:dyDescent="0.25">
      <c r="A803" s="80" t="s">
        <v>107</v>
      </c>
      <c r="B803" t="s">
        <v>557</v>
      </c>
      <c r="C803" s="80" t="s">
        <v>558</v>
      </c>
    </row>
    <row r="804" spans="1:3" x14ac:dyDescent="0.25">
      <c r="A804" s="80" t="s">
        <v>107</v>
      </c>
      <c r="B804" t="s">
        <v>559</v>
      </c>
      <c r="C804">
        <v>1</v>
      </c>
    </row>
    <row r="805" spans="1:3" x14ac:dyDescent="0.25">
      <c r="A805" s="80" t="s">
        <v>107</v>
      </c>
      <c r="B805" t="s">
        <v>560</v>
      </c>
      <c r="C805">
        <v>2</v>
      </c>
    </row>
    <row r="806" spans="1:3" x14ac:dyDescent="0.25">
      <c r="A806" s="80" t="s">
        <v>107</v>
      </c>
      <c r="B806" t="s">
        <v>561</v>
      </c>
      <c r="C806">
        <v>1</v>
      </c>
    </row>
    <row r="807" spans="1:3" x14ac:dyDescent="0.25">
      <c r="A807" s="80" t="s">
        <v>107</v>
      </c>
      <c r="B807" t="s">
        <v>562</v>
      </c>
      <c r="C807">
        <v>2</v>
      </c>
    </row>
    <row r="808" spans="1:3" x14ac:dyDescent="0.25">
      <c r="A808" s="80" t="s">
        <v>108</v>
      </c>
      <c r="B808" t="s">
        <v>173</v>
      </c>
      <c r="C808" t="b">
        <v>0</v>
      </c>
    </row>
    <row r="809" spans="1:3" x14ac:dyDescent="0.25">
      <c r="A809" s="80" t="s">
        <v>108</v>
      </c>
      <c r="B809" t="s">
        <v>555</v>
      </c>
      <c r="C809" s="80" t="s">
        <v>571</v>
      </c>
    </row>
    <row r="810" spans="1:3" x14ac:dyDescent="0.25">
      <c r="A810" s="80" t="s">
        <v>108</v>
      </c>
      <c r="B810" t="s">
        <v>566</v>
      </c>
      <c r="C810">
        <v>8.43</v>
      </c>
    </row>
    <row r="811" spans="1:3" x14ac:dyDescent="0.25">
      <c r="A811" s="80" t="s">
        <v>108</v>
      </c>
      <c r="B811" t="s">
        <v>557</v>
      </c>
      <c r="C811" s="80" t="s">
        <v>558</v>
      </c>
    </row>
    <row r="812" spans="1:3" x14ac:dyDescent="0.25">
      <c r="A812" s="80" t="s">
        <v>108</v>
      </c>
      <c r="B812" t="s">
        <v>559</v>
      </c>
      <c r="C812">
        <v>1</v>
      </c>
    </row>
    <row r="813" spans="1:3" x14ac:dyDescent="0.25">
      <c r="A813" s="80" t="s">
        <v>108</v>
      </c>
      <c r="B813" t="s">
        <v>560</v>
      </c>
      <c r="C813">
        <v>2</v>
      </c>
    </row>
    <row r="814" spans="1:3" x14ac:dyDescent="0.25">
      <c r="A814" s="80" t="s">
        <v>108</v>
      </c>
      <c r="B814" t="s">
        <v>561</v>
      </c>
      <c r="C814">
        <v>1</v>
      </c>
    </row>
    <row r="815" spans="1:3" x14ac:dyDescent="0.25">
      <c r="A815" s="80" t="s">
        <v>108</v>
      </c>
      <c r="B815" t="s">
        <v>562</v>
      </c>
      <c r="C815">
        <v>-4138</v>
      </c>
    </row>
    <row r="816" spans="1:3" x14ac:dyDescent="0.25">
      <c r="A816" s="80" t="s">
        <v>109</v>
      </c>
      <c r="B816" t="s">
        <v>173</v>
      </c>
      <c r="C816" t="b">
        <v>0</v>
      </c>
    </row>
    <row r="817" spans="1:3" x14ac:dyDescent="0.25">
      <c r="A817" s="80" t="s">
        <v>109</v>
      </c>
      <c r="B817" t="s">
        <v>555</v>
      </c>
      <c r="C817" s="80" t="s">
        <v>572</v>
      </c>
    </row>
    <row r="818" spans="1:3" x14ac:dyDescent="0.25">
      <c r="A818" s="80" t="s">
        <v>109</v>
      </c>
      <c r="B818" t="s">
        <v>566</v>
      </c>
      <c r="C818">
        <v>5</v>
      </c>
    </row>
    <row r="819" spans="1:3" x14ac:dyDescent="0.25">
      <c r="A819" s="80" t="s">
        <v>109</v>
      </c>
      <c r="B819" t="s">
        <v>557</v>
      </c>
      <c r="C819" s="80" t="s">
        <v>558</v>
      </c>
    </row>
    <row r="820" spans="1:3" x14ac:dyDescent="0.25">
      <c r="A820" s="80" t="s">
        <v>109</v>
      </c>
      <c r="B820" t="s">
        <v>559</v>
      </c>
      <c r="C820">
        <v>1</v>
      </c>
    </row>
    <row r="821" spans="1:3" x14ac:dyDescent="0.25">
      <c r="A821" s="80" t="s">
        <v>109</v>
      </c>
      <c r="B821" t="s">
        <v>560</v>
      </c>
      <c r="C821">
        <v>-4138</v>
      </c>
    </row>
    <row r="822" spans="1:3" x14ac:dyDescent="0.25">
      <c r="A822" s="80" t="s">
        <v>109</v>
      </c>
      <c r="B822" t="s">
        <v>561</v>
      </c>
      <c r="C822">
        <v>1</v>
      </c>
    </row>
    <row r="823" spans="1:3" x14ac:dyDescent="0.25">
      <c r="A823" s="80" t="s">
        <v>109</v>
      </c>
      <c r="B823" t="s">
        <v>562</v>
      </c>
      <c r="C823">
        <v>2</v>
      </c>
    </row>
    <row r="824" spans="1:3" x14ac:dyDescent="0.25">
      <c r="A824" s="80" t="s">
        <v>110</v>
      </c>
      <c r="B824" t="s">
        <v>173</v>
      </c>
      <c r="C824" t="b">
        <v>0</v>
      </c>
    </row>
    <row r="825" spans="1:3" x14ac:dyDescent="0.25">
      <c r="A825" s="80" t="s">
        <v>110</v>
      </c>
      <c r="B825" t="s">
        <v>555</v>
      </c>
      <c r="C825" s="80" t="s">
        <v>573</v>
      </c>
    </row>
    <row r="826" spans="1:3" x14ac:dyDescent="0.25">
      <c r="A826" s="80" t="s">
        <v>110</v>
      </c>
      <c r="B826" t="s">
        <v>566</v>
      </c>
      <c r="C826">
        <v>5</v>
      </c>
    </row>
    <row r="827" spans="1:3" x14ac:dyDescent="0.25">
      <c r="A827" s="80" t="s">
        <v>110</v>
      </c>
      <c r="B827" t="s">
        <v>557</v>
      </c>
      <c r="C827" s="80" t="s">
        <v>558</v>
      </c>
    </row>
    <row r="828" spans="1:3" x14ac:dyDescent="0.25">
      <c r="A828" s="80" t="s">
        <v>110</v>
      </c>
      <c r="B828" t="s">
        <v>559</v>
      </c>
      <c r="C828">
        <v>1</v>
      </c>
    </row>
    <row r="829" spans="1:3" x14ac:dyDescent="0.25">
      <c r="A829" s="80" t="s">
        <v>110</v>
      </c>
      <c r="B829" t="s">
        <v>560</v>
      </c>
      <c r="C829">
        <v>2</v>
      </c>
    </row>
    <row r="830" spans="1:3" x14ac:dyDescent="0.25">
      <c r="A830" s="80" t="s">
        <v>110</v>
      </c>
      <c r="B830" t="s">
        <v>561</v>
      </c>
      <c r="C830">
        <v>1</v>
      </c>
    </row>
    <row r="831" spans="1:3" x14ac:dyDescent="0.25">
      <c r="A831" s="80" t="s">
        <v>110</v>
      </c>
      <c r="B831" t="s">
        <v>562</v>
      </c>
      <c r="C831">
        <v>-4138</v>
      </c>
    </row>
    <row r="832" spans="1:3" x14ac:dyDescent="0.25">
      <c r="A832" s="80" t="s">
        <v>111</v>
      </c>
      <c r="B832" t="s">
        <v>173</v>
      </c>
      <c r="C832" t="b">
        <v>0</v>
      </c>
    </row>
    <row r="833" spans="1:3" x14ac:dyDescent="0.25">
      <c r="A833" s="80" t="s">
        <v>111</v>
      </c>
      <c r="B833" t="s">
        <v>555</v>
      </c>
      <c r="C833" s="80" t="s">
        <v>574</v>
      </c>
    </row>
    <row r="834" spans="1:3" x14ac:dyDescent="0.25">
      <c r="A834" s="80" t="s">
        <v>111</v>
      </c>
      <c r="B834" t="s">
        <v>566</v>
      </c>
      <c r="C834">
        <v>5</v>
      </c>
    </row>
    <row r="835" spans="1:3" x14ac:dyDescent="0.25">
      <c r="A835" s="80" t="s">
        <v>111</v>
      </c>
      <c r="B835" t="s">
        <v>557</v>
      </c>
      <c r="C835" s="80" t="s">
        <v>558</v>
      </c>
    </row>
    <row r="836" spans="1:3" x14ac:dyDescent="0.25">
      <c r="A836" s="80" t="s">
        <v>111</v>
      </c>
      <c r="B836" t="s">
        <v>559</v>
      </c>
      <c r="C836">
        <v>1</v>
      </c>
    </row>
    <row r="837" spans="1:3" x14ac:dyDescent="0.25">
      <c r="A837" s="80" t="s">
        <v>111</v>
      </c>
      <c r="B837" t="s">
        <v>560</v>
      </c>
      <c r="C837">
        <v>-4138</v>
      </c>
    </row>
    <row r="838" spans="1:3" x14ac:dyDescent="0.25">
      <c r="A838" s="80" t="s">
        <v>111</v>
      </c>
      <c r="B838" t="s">
        <v>561</v>
      </c>
      <c r="C838">
        <v>1</v>
      </c>
    </row>
    <row r="839" spans="1:3" x14ac:dyDescent="0.25">
      <c r="A839" s="80" t="s">
        <v>111</v>
      </c>
      <c r="B839" t="s">
        <v>562</v>
      </c>
      <c r="C839">
        <v>-4138</v>
      </c>
    </row>
    <row r="840" spans="1:3" x14ac:dyDescent="0.25">
      <c r="A840" s="80" t="s">
        <v>112</v>
      </c>
      <c r="B840" t="s">
        <v>173</v>
      </c>
      <c r="C840" t="b">
        <v>0</v>
      </c>
    </row>
    <row r="841" spans="1:3" x14ac:dyDescent="0.25">
      <c r="A841" s="80" t="s">
        <v>112</v>
      </c>
      <c r="B841" t="s">
        <v>555</v>
      </c>
      <c r="C841" s="80" t="s">
        <v>575</v>
      </c>
    </row>
    <row r="842" spans="1:3" x14ac:dyDescent="0.25">
      <c r="A842" s="80" t="s">
        <v>112</v>
      </c>
      <c r="B842" t="s">
        <v>576</v>
      </c>
      <c r="C842" s="80" t="s">
        <v>577</v>
      </c>
    </row>
    <row r="843" spans="1:3" x14ac:dyDescent="0.25">
      <c r="A843" s="80" t="s">
        <v>112</v>
      </c>
      <c r="B843" t="s">
        <v>566</v>
      </c>
      <c r="C843">
        <v>16.29</v>
      </c>
    </row>
    <row r="844" spans="1:3" x14ac:dyDescent="0.25">
      <c r="A844" s="80" t="s">
        <v>112</v>
      </c>
      <c r="B844" t="s">
        <v>557</v>
      </c>
      <c r="C844" s="80" t="s">
        <v>578</v>
      </c>
    </row>
    <row r="845" spans="1:3" x14ac:dyDescent="0.25">
      <c r="A845" s="80" t="s">
        <v>112</v>
      </c>
      <c r="B845" t="s">
        <v>559</v>
      </c>
      <c r="C845">
        <v>1</v>
      </c>
    </row>
    <row r="846" spans="1:3" x14ac:dyDescent="0.25">
      <c r="A846" s="80" t="s">
        <v>112</v>
      </c>
      <c r="B846" t="s">
        <v>560</v>
      </c>
      <c r="C846">
        <v>-4138</v>
      </c>
    </row>
    <row r="847" spans="1:3" x14ac:dyDescent="0.25">
      <c r="A847" s="80" t="s">
        <v>112</v>
      </c>
      <c r="B847" t="s">
        <v>561</v>
      </c>
      <c r="C847">
        <v>1</v>
      </c>
    </row>
    <row r="848" spans="1:3" x14ac:dyDescent="0.25">
      <c r="A848" s="80" t="s">
        <v>112</v>
      </c>
      <c r="B848" t="s">
        <v>562</v>
      </c>
      <c r="C848">
        <v>2</v>
      </c>
    </row>
    <row r="849" spans="1:3" x14ac:dyDescent="0.25">
      <c r="A849" s="80" t="s">
        <v>113</v>
      </c>
      <c r="B849" t="s">
        <v>173</v>
      </c>
      <c r="C849" t="b">
        <v>0</v>
      </c>
    </row>
    <row r="850" spans="1:3" x14ac:dyDescent="0.25">
      <c r="A850" s="80" t="s">
        <v>113</v>
      </c>
      <c r="B850" t="s">
        <v>555</v>
      </c>
      <c r="C850" s="80" t="s">
        <v>579</v>
      </c>
    </row>
    <row r="851" spans="1:3" x14ac:dyDescent="0.25">
      <c r="A851" s="80" t="s">
        <v>113</v>
      </c>
      <c r="B851" t="s">
        <v>576</v>
      </c>
      <c r="C851" s="80" t="s">
        <v>580</v>
      </c>
    </row>
    <row r="852" spans="1:3" x14ac:dyDescent="0.25">
      <c r="A852" s="80" t="s">
        <v>113</v>
      </c>
      <c r="B852" t="s">
        <v>566</v>
      </c>
      <c r="C852">
        <v>14.71</v>
      </c>
    </row>
    <row r="853" spans="1:3" x14ac:dyDescent="0.25">
      <c r="A853" s="80" t="s">
        <v>113</v>
      </c>
      <c r="B853" t="s">
        <v>557</v>
      </c>
      <c r="C853" s="80" t="s">
        <v>578</v>
      </c>
    </row>
    <row r="854" spans="1:3" x14ac:dyDescent="0.25">
      <c r="A854" s="80" t="s">
        <v>113</v>
      </c>
      <c r="B854" t="s">
        <v>559</v>
      </c>
      <c r="C854">
        <v>1</v>
      </c>
    </row>
    <row r="855" spans="1:3" x14ac:dyDescent="0.25">
      <c r="A855" s="80" t="s">
        <v>113</v>
      </c>
      <c r="B855" t="s">
        <v>560</v>
      </c>
      <c r="C855">
        <v>2</v>
      </c>
    </row>
    <row r="856" spans="1:3" x14ac:dyDescent="0.25">
      <c r="A856" s="80" t="s">
        <v>113</v>
      </c>
      <c r="B856" t="s">
        <v>561</v>
      </c>
      <c r="C856">
        <v>1</v>
      </c>
    </row>
    <row r="857" spans="1:3" x14ac:dyDescent="0.25">
      <c r="A857" s="80" t="s">
        <v>113</v>
      </c>
      <c r="B857" t="s">
        <v>562</v>
      </c>
      <c r="C857">
        <v>-4138</v>
      </c>
    </row>
    <row r="858" spans="1:3" x14ac:dyDescent="0.25">
      <c r="A858" s="80" t="s">
        <v>114</v>
      </c>
      <c r="B858" t="s">
        <v>173</v>
      </c>
      <c r="C858" t="b">
        <v>0</v>
      </c>
    </row>
    <row r="859" spans="1:3" x14ac:dyDescent="0.25">
      <c r="A859" s="80" t="s">
        <v>114</v>
      </c>
      <c r="B859" t="s">
        <v>555</v>
      </c>
      <c r="C859" s="80" t="s">
        <v>581</v>
      </c>
    </row>
    <row r="860" spans="1:3" x14ac:dyDescent="0.25">
      <c r="A860" s="80" t="s">
        <v>114</v>
      </c>
      <c r="B860" t="s">
        <v>566</v>
      </c>
      <c r="C860">
        <v>14.71</v>
      </c>
    </row>
    <row r="861" spans="1:3" x14ac:dyDescent="0.25">
      <c r="A861" s="80" t="s">
        <v>114</v>
      </c>
      <c r="B861" t="s">
        <v>557</v>
      </c>
      <c r="C861" s="80" t="s">
        <v>578</v>
      </c>
    </row>
    <row r="862" spans="1:3" x14ac:dyDescent="0.25">
      <c r="A862" s="80" t="s">
        <v>114</v>
      </c>
      <c r="B862" t="s">
        <v>559</v>
      </c>
      <c r="C862">
        <v>1</v>
      </c>
    </row>
    <row r="863" spans="1:3" x14ac:dyDescent="0.25">
      <c r="A863" s="80" t="s">
        <v>114</v>
      </c>
      <c r="B863" t="s">
        <v>560</v>
      </c>
      <c r="C863">
        <v>-4138</v>
      </c>
    </row>
    <row r="864" spans="1:3" x14ac:dyDescent="0.25">
      <c r="A864" s="80" t="s">
        <v>114</v>
      </c>
      <c r="B864" t="s">
        <v>561</v>
      </c>
      <c r="C864">
        <v>1</v>
      </c>
    </row>
    <row r="865" spans="1:3" x14ac:dyDescent="0.25">
      <c r="A865" s="80" t="s">
        <v>114</v>
      </c>
      <c r="B865" t="s">
        <v>562</v>
      </c>
      <c r="C865">
        <v>-4138</v>
      </c>
    </row>
    <row r="866" spans="1:3" x14ac:dyDescent="0.25">
      <c r="A866" s="80" t="s">
        <v>114</v>
      </c>
      <c r="B866" t="s">
        <v>582</v>
      </c>
      <c r="C866">
        <v>2</v>
      </c>
    </row>
    <row r="867" spans="1:3" x14ac:dyDescent="0.25">
      <c r="A867" s="80" t="s">
        <v>114</v>
      </c>
      <c r="B867" t="s">
        <v>583</v>
      </c>
      <c r="C867">
        <v>4</v>
      </c>
    </row>
    <row r="868" spans="1:3" x14ac:dyDescent="0.25">
      <c r="A868" s="80" t="s">
        <v>114</v>
      </c>
      <c r="B868" t="s">
        <v>584</v>
      </c>
      <c r="C868" s="80" t="s">
        <v>585</v>
      </c>
    </row>
    <row r="869" spans="1:3" x14ac:dyDescent="0.25">
      <c r="A869" s="80" t="s">
        <v>114</v>
      </c>
      <c r="B869" t="s">
        <v>586</v>
      </c>
      <c r="C869">
        <v>1</v>
      </c>
    </row>
    <row r="870" spans="1:3" x14ac:dyDescent="0.25">
      <c r="A870" s="80" t="s">
        <v>114</v>
      </c>
      <c r="B870" t="s">
        <v>587</v>
      </c>
      <c r="C870" t="b">
        <v>1</v>
      </c>
    </row>
    <row r="871" spans="1:3" x14ac:dyDescent="0.25">
      <c r="A871" s="80" t="s">
        <v>114</v>
      </c>
      <c r="B871" t="s">
        <v>588</v>
      </c>
      <c r="C871" t="b">
        <v>1</v>
      </c>
    </row>
    <row r="872" spans="1:3" x14ac:dyDescent="0.25">
      <c r="A872" s="80" t="s">
        <v>114</v>
      </c>
      <c r="B872" t="s">
        <v>589</v>
      </c>
      <c r="C872" t="b">
        <v>1</v>
      </c>
    </row>
    <row r="873" spans="1:3" x14ac:dyDescent="0.25">
      <c r="A873" s="80" t="s">
        <v>114</v>
      </c>
      <c r="B873" t="s">
        <v>590</v>
      </c>
      <c r="C873" t="b">
        <v>1</v>
      </c>
    </row>
    <row r="874" spans="1:3" x14ac:dyDescent="0.25">
      <c r="A874" s="80" t="s">
        <v>115</v>
      </c>
      <c r="B874" t="s">
        <v>173</v>
      </c>
      <c r="C874" t="b">
        <v>0</v>
      </c>
    </row>
    <row r="875" spans="1:3" x14ac:dyDescent="0.25">
      <c r="A875" s="80" t="s">
        <v>115</v>
      </c>
      <c r="B875" t="s">
        <v>555</v>
      </c>
      <c r="C875" s="80" t="s">
        <v>591</v>
      </c>
    </row>
    <row r="876" spans="1:3" x14ac:dyDescent="0.25">
      <c r="A876" s="80" t="s">
        <v>115</v>
      </c>
      <c r="B876" t="s">
        <v>566</v>
      </c>
      <c r="C876">
        <v>13.29</v>
      </c>
    </row>
    <row r="877" spans="1:3" x14ac:dyDescent="0.25">
      <c r="A877" s="80" t="s">
        <v>115</v>
      </c>
      <c r="B877" t="s">
        <v>557</v>
      </c>
      <c r="C877" s="80" t="s">
        <v>578</v>
      </c>
    </row>
    <row r="878" spans="1:3" x14ac:dyDescent="0.25">
      <c r="A878" s="80" t="s">
        <v>115</v>
      </c>
      <c r="B878" t="s">
        <v>559</v>
      </c>
      <c r="C878">
        <v>1</v>
      </c>
    </row>
    <row r="879" spans="1:3" x14ac:dyDescent="0.25">
      <c r="A879" s="80" t="s">
        <v>115</v>
      </c>
      <c r="B879" t="s">
        <v>560</v>
      </c>
      <c r="C879">
        <v>-4138</v>
      </c>
    </row>
    <row r="880" spans="1:3" x14ac:dyDescent="0.25">
      <c r="A880" s="80" t="s">
        <v>115</v>
      </c>
      <c r="B880" t="s">
        <v>561</v>
      </c>
      <c r="C880">
        <v>1</v>
      </c>
    </row>
    <row r="881" spans="1:3" x14ac:dyDescent="0.25">
      <c r="A881" s="80" t="s">
        <v>115</v>
      </c>
      <c r="B881" t="s">
        <v>562</v>
      </c>
      <c r="C881">
        <v>2</v>
      </c>
    </row>
    <row r="882" spans="1:3" x14ac:dyDescent="0.25">
      <c r="A882" s="80" t="s">
        <v>115</v>
      </c>
      <c r="B882" t="s">
        <v>582</v>
      </c>
      <c r="C882">
        <v>2</v>
      </c>
    </row>
    <row r="883" spans="1:3" x14ac:dyDescent="0.25">
      <c r="A883" s="80" t="s">
        <v>115</v>
      </c>
      <c r="B883" t="s">
        <v>583</v>
      </c>
      <c r="C883">
        <v>4</v>
      </c>
    </row>
    <row r="884" spans="1:3" x14ac:dyDescent="0.25">
      <c r="A884" s="80" t="s">
        <v>115</v>
      </c>
      <c r="B884" t="s">
        <v>584</v>
      </c>
      <c r="C884" s="80" t="s">
        <v>585</v>
      </c>
    </row>
    <row r="885" spans="1:3" x14ac:dyDescent="0.25">
      <c r="A885" s="80" t="s">
        <v>115</v>
      </c>
      <c r="B885" t="s">
        <v>586</v>
      </c>
      <c r="C885">
        <v>1</v>
      </c>
    </row>
    <row r="886" spans="1:3" x14ac:dyDescent="0.25">
      <c r="A886" s="80" t="s">
        <v>115</v>
      </c>
      <c r="B886" t="s">
        <v>587</v>
      </c>
      <c r="C886" t="b">
        <v>1</v>
      </c>
    </row>
    <row r="887" spans="1:3" x14ac:dyDescent="0.25">
      <c r="A887" s="80" t="s">
        <v>115</v>
      </c>
      <c r="B887" t="s">
        <v>588</v>
      </c>
      <c r="C887" t="b">
        <v>1</v>
      </c>
    </row>
    <row r="888" spans="1:3" x14ac:dyDescent="0.25">
      <c r="A888" s="80" t="s">
        <v>115</v>
      </c>
      <c r="B888" t="s">
        <v>589</v>
      </c>
      <c r="C888" t="b">
        <v>1</v>
      </c>
    </row>
    <row r="889" spans="1:3" x14ac:dyDescent="0.25">
      <c r="A889" s="80" t="s">
        <v>115</v>
      </c>
      <c r="B889" t="s">
        <v>590</v>
      </c>
      <c r="C889" t="b">
        <v>1</v>
      </c>
    </row>
    <row r="890" spans="1:3" x14ac:dyDescent="0.25">
      <c r="A890" s="80" t="s">
        <v>116</v>
      </c>
      <c r="B890" t="s">
        <v>173</v>
      </c>
      <c r="C890" t="b">
        <v>0</v>
      </c>
    </row>
    <row r="891" spans="1:3" x14ac:dyDescent="0.25">
      <c r="A891" s="80" t="s">
        <v>116</v>
      </c>
      <c r="B891" t="s">
        <v>555</v>
      </c>
      <c r="C891" s="80" t="s">
        <v>592</v>
      </c>
    </row>
    <row r="892" spans="1:3" x14ac:dyDescent="0.25">
      <c r="A892" s="80" t="s">
        <v>116</v>
      </c>
      <c r="B892" t="s">
        <v>566</v>
      </c>
      <c r="C892">
        <v>13.14</v>
      </c>
    </row>
    <row r="893" spans="1:3" x14ac:dyDescent="0.25">
      <c r="A893" s="80" t="s">
        <v>116</v>
      </c>
      <c r="B893" t="s">
        <v>557</v>
      </c>
      <c r="C893" s="80" t="s">
        <v>578</v>
      </c>
    </row>
    <row r="894" spans="1:3" x14ac:dyDescent="0.25">
      <c r="A894" s="80" t="s">
        <v>116</v>
      </c>
      <c r="B894" t="s">
        <v>559</v>
      </c>
      <c r="C894">
        <v>1</v>
      </c>
    </row>
    <row r="895" spans="1:3" x14ac:dyDescent="0.25">
      <c r="A895" s="80" t="s">
        <v>116</v>
      </c>
      <c r="B895" t="s">
        <v>560</v>
      </c>
      <c r="C895">
        <v>2</v>
      </c>
    </row>
    <row r="896" spans="1:3" x14ac:dyDescent="0.25">
      <c r="A896" s="80" t="s">
        <v>116</v>
      </c>
      <c r="B896" t="s">
        <v>561</v>
      </c>
      <c r="C896">
        <v>1</v>
      </c>
    </row>
    <row r="897" spans="1:3" x14ac:dyDescent="0.25">
      <c r="A897" s="80" t="s">
        <v>116</v>
      </c>
      <c r="B897" t="s">
        <v>562</v>
      </c>
      <c r="C897">
        <v>-4138</v>
      </c>
    </row>
    <row r="898" spans="1:3" x14ac:dyDescent="0.25">
      <c r="A898" s="80" t="s">
        <v>116</v>
      </c>
      <c r="B898" t="s">
        <v>582</v>
      </c>
      <c r="C898">
        <v>2</v>
      </c>
    </row>
    <row r="899" spans="1:3" x14ac:dyDescent="0.25">
      <c r="A899" s="80" t="s">
        <v>116</v>
      </c>
      <c r="B899" t="s">
        <v>583</v>
      </c>
      <c r="C899">
        <v>4</v>
      </c>
    </row>
    <row r="900" spans="1:3" x14ac:dyDescent="0.25">
      <c r="A900" s="80" t="s">
        <v>116</v>
      </c>
      <c r="B900" t="s">
        <v>584</v>
      </c>
      <c r="C900" s="80" t="s">
        <v>585</v>
      </c>
    </row>
    <row r="901" spans="1:3" x14ac:dyDescent="0.25">
      <c r="A901" s="80" t="s">
        <v>116</v>
      </c>
      <c r="B901" t="s">
        <v>586</v>
      </c>
      <c r="C901">
        <v>1</v>
      </c>
    </row>
    <row r="902" spans="1:3" x14ac:dyDescent="0.25">
      <c r="A902" s="80" t="s">
        <v>116</v>
      </c>
      <c r="B902" t="s">
        <v>587</v>
      </c>
      <c r="C902" t="b">
        <v>1</v>
      </c>
    </row>
    <row r="903" spans="1:3" x14ac:dyDescent="0.25">
      <c r="A903" s="80" t="s">
        <v>116</v>
      </c>
      <c r="B903" t="s">
        <v>588</v>
      </c>
      <c r="C903" t="b">
        <v>1</v>
      </c>
    </row>
    <row r="904" spans="1:3" x14ac:dyDescent="0.25">
      <c r="A904" s="80" t="s">
        <v>116</v>
      </c>
      <c r="B904" t="s">
        <v>589</v>
      </c>
      <c r="C904" t="b">
        <v>1</v>
      </c>
    </row>
    <row r="905" spans="1:3" x14ac:dyDescent="0.25">
      <c r="A905" s="80" t="s">
        <v>116</v>
      </c>
      <c r="B905" t="s">
        <v>590</v>
      </c>
      <c r="C905" t="b">
        <v>1</v>
      </c>
    </row>
    <row r="906" spans="1:3" x14ac:dyDescent="0.25">
      <c r="A906" s="80" t="s">
        <v>117</v>
      </c>
      <c r="B906" t="s">
        <v>173</v>
      </c>
      <c r="C906" t="b">
        <v>0</v>
      </c>
    </row>
    <row r="907" spans="1:3" x14ac:dyDescent="0.25">
      <c r="A907" s="80" t="s">
        <v>117</v>
      </c>
      <c r="B907" t="s">
        <v>555</v>
      </c>
      <c r="C907" s="80" t="s">
        <v>593</v>
      </c>
    </row>
    <row r="908" spans="1:3" x14ac:dyDescent="0.25">
      <c r="A908" s="80" t="s">
        <v>117</v>
      </c>
      <c r="B908" t="s">
        <v>576</v>
      </c>
      <c r="C908" s="80" t="s">
        <v>594</v>
      </c>
    </row>
    <row r="909" spans="1:3" x14ac:dyDescent="0.25">
      <c r="A909" s="80" t="s">
        <v>117</v>
      </c>
      <c r="B909" t="s">
        <v>566</v>
      </c>
      <c r="C909">
        <v>14.71</v>
      </c>
    </row>
    <row r="910" spans="1:3" x14ac:dyDescent="0.25">
      <c r="A910" s="80" t="s">
        <v>117</v>
      </c>
      <c r="B910" t="s">
        <v>557</v>
      </c>
      <c r="C910" s="80" t="s">
        <v>578</v>
      </c>
    </row>
    <row r="911" spans="1:3" x14ac:dyDescent="0.25">
      <c r="A911" s="80" t="s">
        <v>117</v>
      </c>
      <c r="B911" t="s">
        <v>559</v>
      </c>
      <c r="C911">
        <v>1</v>
      </c>
    </row>
    <row r="912" spans="1:3" x14ac:dyDescent="0.25">
      <c r="A912" s="80" t="s">
        <v>117</v>
      </c>
      <c r="B912" t="s">
        <v>560</v>
      </c>
      <c r="C912">
        <v>-4138</v>
      </c>
    </row>
    <row r="913" spans="1:3" x14ac:dyDescent="0.25">
      <c r="A913" s="80" t="s">
        <v>117</v>
      </c>
      <c r="B913" t="s">
        <v>561</v>
      </c>
      <c r="C913">
        <v>1</v>
      </c>
    </row>
    <row r="914" spans="1:3" x14ac:dyDescent="0.25">
      <c r="A914" s="80" t="s">
        <v>117</v>
      </c>
      <c r="B914" t="s">
        <v>562</v>
      </c>
      <c r="C914">
        <v>-4138</v>
      </c>
    </row>
    <row r="915" spans="1:3" x14ac:dyDescent="0.25">
      <c r="A915" s="80" t="s">
        <v>118</v>
      </c>
      <c r="B915" t="s">
        <v>173</v>
      </c>
      <c r="C915" t="b">
        <v>0</v>
      </c>
    </row>
    <row r="916" spans="1:3" x14ac:dyDescent="0.25">
      <c r="A916" s="80" t="s">
        <v>118</v>
      </c>
      <c r="B916" t="s">
        <v>555</v>
      </c>
      <c r="C916" s="80" t="s">
        <v>595</v>
      </c>
    </row>
    <row r="917" spans="1:3" x14ac:dyDescent="0.25">
      <c r="A917" s="80" t="s">
        <v>118</v>
      </c>
      <c r="B917" t="s">
        <v>566</v>
      </c>
      <c r="C917">
        <v>13.29</v>
      </c>
    </row>
    <row r="918" spans="1:3" x14ac:dyDescent="0.25">
      <c r="A918" s="80" t="s">
        <v>118</v>
      </c>
      <c r="B918" t="s">
        <v>557</v>
      </c>
      <c r="C918" s="80" t="s">
        <v>578</v>
      </c>
    </row>
    <row r="919" spans="1:3" x14ac:dyDescent="0.25">
      <c r="A919" s="80" t="s">
        <v>118</v>
      </c>
      <c r="B919" t="s">
        <v>559</v>
      </c>
      <c r="C919">
        <v>1</v>
      </c>
    </row>
    <row r="920" spans="1:3" x14ac:dyDescent="0.25">
      <c r="A920" s="80" t="s">
        <v>118</v>
      </c>
      <c r="B920" t="s">
        <v>560</v>
      </c>
      <c r="C920">
        <v>-4138</v>
      </c>
    </row>
    <row r="921" spans="1:3" x14ac:dyDescent="0.25">
      <c r="A921" s="80" t="s">
        <v>118</v>
      </c>
      <c r="B921" t="s">
        <v>561</v>
      </c>
      <c r="C921">
        <v>1</v>
      </c>
    </row>
    <row r="922" spans="1:3" x14ac:dyDescent="0.25">
      <c r="A922" s="80" t="s">
        <v>118</v>
      </c>
      <c r="B922" t="s">
        <v>562</v>
      </c>
      <c r="C922">
        <v>2</v>
      </c>
    </row>
    <row r="923" spans="1:3" x14ac:dyDescent="0.25">
      <c r="A923" s="80" t="s">
        <v>118</v>
      </c>
      <c r="B923" t="s">
        <v>582</v>
      </c>
      <c r="C923">
        <v>2</v>
      </c>
    </row>
    <row r="924" spans="1:3" x14ac:dyDescent="0.25">
      <c r="A924" s="80" t="s">
        <v>118</v>
      </c>
      <c r="B924" t="s">
        <v>583</v>
      </c>
      <c r="C924">
        <v>4</v>
      </c>
    </row>
    <row r="925" spans="1:3" x14ac:dyDescent="0.25">
      <c r="A925" s="80" t="s">
        <v>118</v>
      </c>
      <c r="B925" t="s">
        <v>584</v>
      </c>
      <c r="C925" s="80" t="s">
        <v>585</v>
      </c>
    </row>
    <row r="926" spans="1:3" x14ac:dyDescent="0.25">
      <c r="A926" s="80" t="s">
        <v>118</v>
      </c>
      <c r="B926" t="s">
        <v>586</v>
      </c>
      <c r="C926">
        <v>1</v>
      </c>
    </row>
    <row r="927" spans="1:3" x14ac:dyDescent="0.25">
      <c r="A927" s="80" t="s">
        <v>118</v>
      </c>
      <c r="B927" t="s">
        <v>587</v>
      </c>
      <c r="C927" t="b">
        <v>1</v>
      </c>
    </row>
    <row r="928" spans="1:3" x14ac:dyDescent="0.25">
      <c r="A928" s="80" t="s">
        <v>118</v>
      </c>
      <c r="B928" t="s">
        <v>588</v>
      </c>
      <c r="C928" t="b">
        <v>1</v>
      </c>
    </row>
    <row r="929" spans="1:3" x14ac:dyDescent="0.25">
      <c r="A929" s="80" t="s">
        <v>118</v>
      </c>
      <c r="B929" t="s">
        <v>589</v>
      </c>
      <c r="C929" t="b">
        <v>1</v>
      </c>
    </row>
    <row r="930" spans="1:3" x14ac:dyDescent="0.25">
      <c r="A930" s="80" t="s">
        <v>118</v>
      </c>
      <c r="B930" t="s">
        <v>590</v>
      </c>
      <c r="C930" t="b">
        <v>1</v>
      </c>
    </row>
    <row r="931" spans="1:3" x14ac:dyDescent="0.25">
      <c r="A931" s="80" t="s">
        <v>119</v>
      </c>
      <c r="B931" t="s">
        <v>173</v>
      </c>
      <c r="C931" t="b">
        <v>0</v>
      </c>
    </row>
    <row r="932" spans="1:3" x14ac:dyDescent="0.25">
      <c r="A932" s="80" t="s">
        <v>119</v>
      </c>
      <c r="B932" t="s">
        <v>555</v>
      </c>
      <c r="C932" s="80" t="s">
        <v>596</v>
      </c>
    </row>
    <row r="933" spans="1:3" x14ac:dyDescent="0.25">
      <c r="A933" s="80" t="s">
        <v>119</v>
      </c>
      <c r="B933" t="s">
        <v>566</v>
      </c>
      <c r="C933">
        <v>13.14</v>
      </c>
    </row>
    <row r="934" spans="1:3" x14ac:dyDescent="0.25">
      <c r="A934" s="80" t="s">
        <v>119</v>
      </c>
      <c r="B934" t="s">
        <v>557</v>
      </c>
      <c r="C934" s="80" t="s">
        <v>578</v>
      </c>
    </row>
    <row r="935" spans="1:3" x14ac:dyDescent="0.25">
      <c r="A935" s="80" t="s">
        <v>119</v>
      </c>
      <c r="B935" t="s">
        <v>559</v>
      </c>
      <c r="C935">
        <v>1</v>
      </c>
    </row>
    <row r="936" spans="1:3" x14ac:dyDescent="0.25">
      <c r="A936" s="80" t="s">
        <v>119</v>
      </c>
      <c r="B936" t="s">
        <v>560</v>
      </c>
      <c r="C936">
        <v>2</v>
      </c>
    </row>
    <row r="937" spans="1:3" x14ac:dyDescent="0.25">
      <c r="A937" s="80" t="s">
        <v>119</v>
      </c>
      <c r="B937" t="s">
        <v>561</v>
      </c>
      <c r="C937">
        <v>1</v>
      </c>
    </row>
    <row r="938" spans="1:3" x14ac:dyDescent="0.25">
      <c r="A938" s="80" t="s">
        <v>119</v>
      </c>
      <c r="B938" t="s">
        <v>562</v>
      </c>
      <c r="C938">
        <v>-4138</v>
      </c>
    </row>
    <row r="939" spans="1:3" x14ac:dyDescent="0.25">
      <c r="A939" s="80" t="s">
        <v>119</v>
      </c>
      <c r="B939" t="s">
        <v>582</v>
      </c>
      <c r="C939">
        <v>2</v>
      </c>
    </row>
    <row r="940" spans="1:3" x14ac:dyDescent="0.25">
      <c r="A940" s="80" t="s">
        <v>119</v>
      </c>
      <c r="B940" t="s">
        <v>583</v>
      </c>
      <c r="C940">
        <v>4</v>
      </c>
    </row>
    <row r="941" spans="1:3" x14ac:dyDescent="0.25">
      <c r="A941" s="80" t="s">
        <v>119</v>
      </c>
      <c r="B941" t="s">
        <v>584</v>
      </c>
      <c r="C941" s="80" t="s">
        <v>585</v>
      </c>
    </row>
    <row r="942" spans="1:3" x14ac:dyDescent="0.25">
      <c r="A942" s="80" t="s">
        <v>119</v>
      </c>
      <c r="B942" t="s">
        <v>586</v>
      </c>
      <c r="C942">
        <v>1</v>
      </c>
    </row>
    <row r="943" spans="1:3" x14ac:dyDescent="0.25">
      <c r="A943" s="80" t="s">
        <v>119</v>
      </c>
      <c r="B943" t="s">
        <v>587</v>
      </c>
      <c r="C943" t="b">
        <v>1</v>
      </c>
    </row>
    <row r="944" spans="1:3" x14ac:dyDescent="0.25">
      <c r="A944" s="80" t="s">
        <v>119</v>
      </c>
      <c r="B944" t="s">
        <v>588</v>
      </c>
      <c r="C944" t="b">
        <v>1</v>
      </c>
    </row>
    <row r="945" spans="1:3" x14ac:dyDescent="0.25">
      <c r="A945" s="80" t="s">
        <v>119</v>
      </c>
      <c r="B945" t="s">
        <v>589</v>
      </c>
      <c r="C945" t="b">
        <v>1</v>
      </c>
    </row>
    <row r="946" spans="1:3" x14ac:dyDescent="0.25">
      <c r="A946" s="80" t="s">
        <v>119</v>
      </c>
      <c r="B946" t="s">
        <v>590</v>
      </c>
      <c r="C946" t="b">
        <v>1</v>
      </c>
    </row>
    <row r="947" spans="1:3" x14ac:dyDescent="0.25">
      <c r="A947" s="80" t="s">
        <v>120</v>
      </c>
      <c r="B947" t="s">
        <v>173</v>
      </c>
      <c r="C947" t="b">
        <v>0</v>
      </c>
    </row>
    <row r="948" spans="1:3" x14ac:dyDescent="0.25">
      <c r="A948" s="80" t="s">
        <v>120</v>
      </c>
      <c r="B948" t="s">
        <v>555</v>
      </c>
      <c r="C948" s="80" t="s">
        <v>597</v>
      </c>
    </row>
    <row r="949" spans="1:3" x14ac:dyDescent="0.25">
      <c r="A949" s="80" t="s">
        <v>120</v>
      </c>
      <c r="B949" t="s">
        <v>576</v>
      </c>
      <c r="C949" s="80" t="s">
        <v>598</v>
      </c>
    </row>
    <row r="950" spans="1:3" x14ac:dyDescent="0.25">
      <c r="A950" s="80" t="s">
        <v>120</v>
      </c>
      <c r="B950" t="s">
        <v>566</v>
      </c>
      <c r="C950">
        <v>14.71</v>
      </c>
    </row>
    <row r="951" spans="1:3" x14ac:dyDescent="0.25">
      <c r="A951" s="80" t="s">
        <v>120</v>
      </c>
      <c r="B951" t="s">
        <v>557</v>
      </c>
      <c r="C951" s="80" t="s">
        <v>578</v>
      </c>
    </row>
    <row r="952" spans="1:3" x14ac:dyDescent="0.25">
      <c r="A952" s="80" t="s">
        <v>120</v>
      </c>
      <c r="B952" t="s">
        <v>559</v>
      </c>
      <c r="C952">
        <v>1</v>
      </c>
    </row>
    <row r="953" spans="1:3" x14ac:dyDescent="0.25">
      <c r="A953" s="80" t="s">
        <v>120</v>
      </c>
      <c r="B953" t="s">
        <v>560</v>
      </c>
      <c r="C953">
        <v>-4138</v>
      </c>
    </row>
    <row r="954" spans="1:3" x14ac:dyDescent="0.25">
      <c r="A954" s="80" t="s">
        <v>120</v>
      </c>
      <c r="B954" t="s">
        <v>561</v>
      </c>
      <c r="C954">
        <v>1</v>
      </c>
    </row>
    <row r="955" spans="1:3" x14ac:dyDescent="0.25">
      <c r="A955" s="80" t="s">
        <v>120</v>
      </c>
      <c r="B955" t="s">
        <v>562</v>
      </c>
      <c r="C955">
        <v>-4138</v>
      </c>
    </row>
    <row r="956" spans="1:3" x14ac:dyDescent="0.25">
      <c r="A956" s="80" t="s">
        <v>121</v>
      </c>
      <c r="B956" t="s">
        <v>173</v>
      </c>
      <c r="C956" t="b">
        <v>0</v>
      </c>
    </row>
    <row r="957" spans="1:3" x14ac:dyDescent="0.25">
      <c r="A957" s="80" t="s">
        <v>121</v>
      </c>
      <c r="B957" t="s">
        <v>555</v>
      </c>
      <c r="C957" s="80" t="s">
        <v>599</v>
      </c>
    </row>
    <row r="958" spans="1:3" x14ac:dyDescent="0.25">
      <c r="A958" s="80" t="s">
        <v>121</v>
      </c>
      <c r="B958" t="s">
        <v>566</v>
      </c>
      <c r="C958">
        <v>13.29</v>
      </c>
    </row>
    <row r="959" spans="1:3" x14ac:dyDescent="0.25">
      <c r="A959" s="80" t="s">
        <v>121</v>
      </c>
      <c r="B959" t="s">
        <v>557</v>
      </c>
      <c r="C959" s="80" t="s">
        <v>578</v>
      </c>
    </row>
    <row r="960" spans="1:3" x14ac:dyDescent="0.25">
      <c r="A960" s="80" t="s">
        <v>121</v>
      </c>
      <c r="B960" t="s">
        <v>559</v>
      </c>
      <c r="C960">
        <v>1</v>
      </c>
    </row>
    <row r="961" spans="1:3" x14ac:dyDescent="0.25">
      <c r="A961" s="80" t="s">
        <v>121</v>
      </c>
      <c r="B961" t="s">
        <v>560</v>
      </c>
      <c r="C961">
        <v>-4138</v>
      </c>
    </row>
    <row r="962" spans="1:3" x14ac:dyDescent="0.25">
      <c r="A962" s="80" t="s">
        <v>121</v>
      </c>
      <c r="B962" t="s">
        <v>561</v>
      </c>
      <c r="C962">
        <v>1</v>
      </c>
    </row>
    <row r="963" spans="1:3" x14ac:dyDescent="0.25">
      <c r="A963" s="80" t="s">
        <v>121</v>
      </c>
      <c r="B963" t="s">
        <v>562</v>
      </c>
      <c r="C963">
        <v>2</v>
      </c>
    </row>
    <row r="964" spans="1:3" x14ac:dyDescent="0.25">
      <c r="A964" s="80" t="s">
        <v>121</v>
      </c>
      <c r="B964" t="s">
        <v>582</v>
      </c>
      <c r="C964">
        <v>2</v>
      </c>
    </row>
    <row r="965" spans="1:3" x14ac:dyDescent="0.25">
      <c r="A965" s="80" t="s">
        <v>121</v>
      </c>
      <c r="B965" t="s">
        <v>583</v>
      </c>
      <c r="C965">
        <v>4</v>
      </c>
    </row>
    <row r="966" spans="1:3" x14ac:dyDescent="0.25">
      <c r="A966" s="80" t="s">
        <v>121</v>
      </c>
      <c r="B966" t="s">
        <v>584</v>
      </c>
      <c r="C966" s="80" t="s">
        <v>585</v>
      </c>
    </row>
    <row r="967" spans="1:3" x14ac:dyDescent="0.25">
      <c r="A967" s="80" t="s">
        <v>121</v>
      </c>
      <c r="B967" t="s">
        <v>586</v>
      </c>
      <c r="C967">
        <v>1</v>
      </c>
    </row>
    <row r="968" spans="1:3" x14ac:dyDescent="0.25">
      <c r="A968" s="80" t="s">
        <v>121</v>
      </c>
      <c r="B968" t="s">
        <v>587</v>
      </c>
      <c r="C968" t="b">
        <v>1</v>
      </c>
    </row>
    <row r="969" spans="1:3" x14ac:dyDescent="0.25">
      <c r="A969" s="80" t="s">
        <v>121</v>
      </c>
      <c r="B969" t="s">
        <v>588</v>
      </c>
      <c r="C969" t="b">
        <v>1</v>
      </c>
    </row>
    <row r="970" spans="1:3" x14ac:dyDescent="0.25">
      <c r="A970" s="80" t="s">
        <v>121</v>
      </c>
      <c r="B970" t="s">
        <v>589</v>
      </c>
      <c r="C970" t="b">
        <v>1</v>
      </c>
    </row>
    <row r="971" spans="1:3" x14ac:dyDescent="0.25">
      <c r="A971" s="80" t="s">
        <v>121</v>
      </c>
      <c r="B971" t="s">
        <v>590</v>
      </c>
      <c r="C971" t="b">
        <v>1</v>
      </c>
    </row>
    <row r="972" spans="1:3" x14ac:dyDescent="0.25">
      <c r="A972" s="80" t="s">
        <v>122</v>
      </c>
      <c r="B972" t="s">
        <v>173</v>
      </c>
      <c r="C972" t="b">
        <v>0</v>
      </c>
    </row>
    <row r="973" spans="1:3" x14ac:dyDescent="0.25">
      <c r="A973" s="80" t="s">
        <v>122</v>
      </c>
      <c r="B973" t="s">
        <v>555</v>
      </c>
      <c r="C973" s="80" t="s">
        <v>600</v>
      </c>
    </row>
    <row r="974" spans="1:3" x14ac:dyDescent="0.25">
      <c r="A974" s="80" t="s">
        <v>122</v>
      </c>
      <c r="B974" t="s">
        <v>566</v>
      </c>
      <c r="C974">
        <v>13.14</v>
      </c>
    </row>
    <row r="975" spans="1:3" x14ac:dyDescent="0.25">
      <c r="A975" s="80" t="s">
        <v>122</v>
      </c>
      <c r="B975" t="s">
        <v>557</v>
      </c>
      <c r="C975" s="80" t="s">
        <v>578</v>
      </c>
    </row>
    <row r="976" spans="1:3" x14ac:dyDescent="0.25">
      <c r="A976" s="80" t="s">
        <v>122</v>
      </c>
      <c r="B976" t="s">
        <v>559</v>
      </c>
      <c r="C976">
        <v>1</v>
      </c>
    </row>
    <row r="977" spans="1:3" x14ac:dyDescent="0.25">
      <c r="A977" s="80" t="s">
        <v>122</v>
      </c>
      <c r="B977" t="s">
        <v>560</v>
      </c>
      <c r="C977">
        <v>2</v>
      </c>
    </row>
    <row r="978" spans="1:3" x14ac:dyDescent="0.25">
      <c r="A978" s="80" t="s">
        <v>122</v>
      </c>
      <c r="B978" t="s">
        <v>561</v>
      </c>
      <c r="C978">
        <v>1</v>
      </c>
    </row>
    <row r="979" spans="1:3" x14ac:dyDescent="0.25">
      <c r="A979" s="80" t="s">
        <v>122</v>
      </c>
      <c r="B979" t="s">
        <v>562</v>
      </c>
      <c r="C979">
        <v>-4138</v>
      </c>
    </row>
    <row r="980" spans="1:3" x14ac:dyDescent="0.25">
      <c r="A980" s="80" t="s">
        <v>122</v>
      </c>
      <c r="B980" t="s">
        <v>582</v>
      </c>
      <c r="C980">
        <v>2</v>
      </c>
    </row>
    <row r="981" spans="1:3" x14ac:dyDescent="0.25">
      <c r="A981" s="80" t="s">
        <v>122</v>
      </c>
      <c r="B981" t="s">
        <v>583</v>
      </c>
      <c r="C981">
        <v>4</v>
      </c>
    </row>
    <row r="982" spans="1:3" x14ac:dyDescent="0.25">
      <c r="A982" s="80" t="s">
        <v>122</v>
      </c>
      <c r="B982" t="s">
        <v>584</v>
      </c>
      <c r="C982" s="80" t="s">
        <v>585</v>
      </c>
    </row>
    <row r="983" spans="1:3" x14ac:dyDescent="0.25">
      <c r="A983" s="80" t="s">
        <v>122</v>
      </c>
      <c r="B983" t="s">
        <v>586</v>
      </c>
      <c r="C983">
        <v>1</v>
      </c>
    </row>
    <row r="984" spans="1:3" x14ac:dyDescent="0.25">
      <c r="A984" s="80" t="s">
        <v>122</v>
      </c>
      <c r="B984" t="s">
        <v>587</v>
      </c>
      <c r="C984" t="b">
        <v>1</v>
      </c>
    </row>
    <row r="985" spans="1:3" x14ac:dyDescent="0.25">
      <c r="A985" s="80" t="s">
        <v>122</v>
      </c>
      <c r="B985" t="s">
        <v>588</v>
      </c>
      <c r="C985" t="b">
        <v>1</v>
      </c>
    </row>
    <row r="986" spans="1:3" x14ac:dyDescent="0.25">
      <c r="A986" s="80" t="s">
        <v>122</v>
      </c>
      <c r="B986" t="s">
        <v>589</v>
      </c>
      <c r="C986" t="b">
        <v>1</v>
      </c>
    </row>
    <row r="987" spans="1:3" x14ac:dyDescent="0.25">
      <c r="A987" s="80" t="s">
        <v>122</v>
      </c>
      <c r="B987" t="s">
        <v>590</v>
      </c>
      <c r="C987" t="b">
        <v>1</v>
      </c>
    </row>
    <row r="988" spans="1:3" x14ac:dyDescent="0.25">
      <c r="A988" s="80" t="s">
        <v>123</v>
      </c>
      <c r="B988" t="s">
        <v>173</v>
      </c>
      <c r="C988" t="b">
        <v>0</v>
      </c>
    </row>
    <row r="989" spans="1:3" x14ac:dyDescent="0.25">
      <c r="A989" s="80" t="s">
        <v>123</v>
      </c>
      <c r="B989" t="s">
        <v>555</v>
      </c>
      <c r="C989" s="80" t="s">
        <v>601</v>
      </c>
    </row>
    <row r="990" spans="1:3" x14ac:dyDescent="0.25">
      <c r="A990" s="80" t="s">
        <v>123</v>
      </c>
      <c r="B990" t="s">
        <v>576</v>
      </c>
      <c r="C990" s="80" t="s">
        <v>602</v>
      </c>
    </row>
    <row r="991" spans="1:3" x14ac:dyDescent="0.25">
      <c r="A991" s="80" t="s">
        <v>123</v>
      </c>
      <c r="B991" t="s">
        <v>566</v>
      </c>
      <c r="C991">
        <v>14.71</v>
      </c>
    </row>
    <row r="992" spans="1:3" x14ac:dyDescent="0.25">
      <c r="A992" s="80" t="s">
        <v>123</v>
      </c>
      <c r="B992" t="s">
        <v>557</v>
      </c>
      <c r="C992" s="80" t="s">
        <v>578</v>
      </c>
    </row>
    <row r="993" spans="1:3" x14ac:dyDescent="0.25">
      <c r="A993" s="80" t="s">
        <v>123</v>
      </c>
      <c r="B993" t="s">
        <v>559</v>
      </c>
      <c r="C993">
        <v>1</v>
      </c>
    </row>
    <row r="994" spans="1:3" x14ac:dyDescent="0.25">
      <c r="A994" s="80" t="s">
        <v>123</v>
      </c>
      <c r="B994" t="s">
        <v>560</v>
      </c>
      <c r="C994">
        <v>-4138</v>
      </c>
    </row>
    <row r="995" spans="1:3" x14ac:dyDescent="0.25">
      <c r="A995" s="80" t="s">
        <v>123</v>
      </c>
      <c r="B995" t="s">
        <v>561</v>
      </c>
      <c r="C995">
        <v>1</v>
      </c>
    </row>
    <row r="996" spans="1:3" x14ac:dyDescent="0.25">
      <c r="A996" s="80" t="s">
        <v>123</v>
      </c>
      <c r="B996" t="s">
        <v>562</v>
      </c>
      <c r="C996">
        <v>-4138</v>
      </c>
    </row>
    <row r="997" spans="1:3" x14ac:dyDescent="0.25">
      <c r="A997" s="80" t="s">
        <v>124</v>
      </c>
      <c r="B997" t="s">
        <v>173</v>
      </c>
      <c r="C997" t="b">
        <v>0</v>
      </c>
    </row>
    <row r="998" spans="1:3" x14ac:dyDescent="0.25">
      <c r="A998" s="80" t="s">
        <v>124</v>
      </c>
      <c r="B998" t="s">
        <v>555</v>
      </c>
      <c r="C998" s="80" t="s">
        <v>603</v>
      </c>
    </row>
    <row r="999" spans="1:3" x14ac:dyDescent="0.25">
      <c r="A999" s="80" t="s">
        <v>124</v>
      </c>
      <c r="B999" t="s">
        <v>566</v>
      </c>
      <c r="C999">
        <v>13.29</v>
      </c>
    </row>
    <row r="1000" spans="1:3" x14ac:dyDescent="0.25">
      <c r="A1000" s="80" t="s">
        <v>124</v>
      </c>
      <c r="B1000" t="s">
        <v>557</v>
      </c>
      <c r="C1000" s="80" t="s">
        <v>578</v>
      </c>
    </row>
    <row r="1001" spans="1:3" x14ac:dyDescent="0.25">
      <c r="A1001" s="80" t="s">
        <v>124</v>
      </c>
      <c r="B1001" t="s">
        <v>559</v>
      </c>
      <c r="C1001">
        <v>1</v>
      </c>
    </row>
    <row r="1002" spans="1:3" x14ac:dyDescent="0.25">
      <c r="A1002" s="80" t="s">
        <v>124</v>
      </c>
      <c r="B1002" t="s">
        <v>560</v>
      </c>
      <c r="C1002">
        <v>-4138</v>
      </c>
    </row>
    <row r="1003" spans="1:3" x14ac:dyDescent="0.25">
      <c r="A1003" s="80" t="s">
        <v>124</v>
      </c>
      <c r="B1003" t="s">
        <v>561</v>
      </c>
      <c r="C1003">
        <v>1</v>
      </c>
    </row>
    <row r="1004" spans="1:3" x14ac:dyDescent="0.25">
      <c r="A1004" s="80" t="s">
        <v>124</v>
      </c>
      <c r="B1004" t="s">
        <v>562</v>
      </c>
      <c r="C1004">
        <v>2</v>
      </c>
    </row>
    <row r="1005" spans="1:3" x14ac:dyDescent="0.25">
      <c r="A1005" s="80" t="s">
        <v>124</v>
      </c>
      <c r="B1005" t="s">
        <v>582</v>
      </c>
      <c r="C1005">
        <v>2</v>
      </c>
    </row>
    <row r="1006" spans="1:3" x14ac:dyDescent="0.25">
      <c r="A1006" s="80" t="s">
        <v>124</v>
      </c>
      <c r="B1006" t="s">
        <v>583</v>
      </c>
      <c r="C1006">
        <v>4</v>
      </c>
    </row>
    <row r="1007" spans="1:3" x14ac:dyDescent="0.25">
      <c r="A1007" s="80" t="s">
        <v>124</v>
      </c>
      <c r="B1007" t="s">
        <v>584</v>
      </c>
      <c r="C1007" s="80" t="s">
        <v>585</v>
      </c>
    </row>
    <row r="1008" spans="1:3" x14ac:dyDescent="0.25">
      <c r="A1008" s="80" t="s">
        <v>124</v>
      </c>
      <c r="B1008" t="s">
        <v>586</v>
      </c>
      <c r="C1008">
        <v>1</v>
      </c>
    </row>
    <row r="1009" spans="1:3" x14ac:dyDescent="0.25">
      <c r="A1009" s="80" t="s">
        <v>124</v>
      </c>
      <c r="B1009" t="s">
        <v>587</v>
      </c>
      <c r="C1009" t="b">
        <v>1</v>
      </c>
    </row>
    <row r="1010" spans="1:3" x14ac:dyDescent="0.25">
      <c r="A1010" s="80" t="s">
        <v>124</v>
      </c>
      <c r="B1010" t="s">
        <v>588</v>
      </c>
      <c r="C1010" t="b">
        <v>1</v>
      </c>
    </row>
    <row r="1011" spans="1:3" x14ac:dyDescent="0.25">
      <c r="A1011" s="80" t="s">
        <v>124</v>
      </c>
      <c r="B1011" t="s">
        <v>589</v>
      </c>
      <c r="C1011" t="b">
        <v>1</v>
      </c>
    </row>
    <row r="1012" spans="1:3" x14ac:dyDescent="0.25">
      <c r="A1012" s="80" t="s">
        <v>124</v>
      </c>
      <c r="B1012" t="s">
        <v>590</v>
      </c>
      <c r="C1012" t="b">
        <v>1</v>
      </c>
    </row>
    <row r="1013" spans="1:3" x14ac:dyDescent="0.25">
      <c r="A1013" s="80" t="s">
        <v>125</v>
      </c>
      <c r="B1013" t="s">
        <v>173</v>
      </c>
      <c r="C1013" t="b">
        <v>0</v>
      </c>
    </row>
    <row r="1014" spans="1:3" x14ac:dyDescent="0.25">
      <c r="A1014" s="80" t="s">
        <v>125</v>
      </c>
      <c r="B1014" t="s">
        <v>555</v>
      </c>
      <c r="C1014" s="80" t="s">
        <v>604</v>
      </c>
    </row>
    <row r="1015" spans="1:3" x14ac:dyDescent="0.25">
      <c r="A1015" s="80" t="s">
        <v>125</v>
      </c>
      <c r="B1015" t="s">
        <v>566</v>
      </c>
      <c r="C1015">
        <v>13.14</v>
      </c>
    </row>
    <row r="1016" spans="1:3" x14ac:dyDescent="0.25">
      <c r="A1016" s="80" t="s">
        <v>125</v>
      </c>
      <c r="B1016" t="s">
        <v>557</v>
      </c>
      <c r="C1016" s="80" t="s">
        <v>578</v>
      </c>
    </row>
    <row r="1017" spans="1:3" x14ac:dyDescent="0.25">
      <c r="A1017" s="80" t="s">
        <v>125</v>
      </c>
      <c r="B1017" t="s">
        <v>559</v>
      </c>
      <c r="C1017">
        <v>1</v>
      </c>
    </row>
    <row r="1018" spans="1:3" x14ac:dyDescent="0.25">
      <c r="A1018" s="80" t="s">
        <v>125</v>
      </c>
      <c r="B1018" t="s">
        <v>560</v>
      </c>
      <c r="C1018">
        <v>2</v>
      </c>
    </row>
    <row r="1019" spans="1:3" x14ac:dyDescent="0.25">
      <c r="A1019" s="80" t="s">
        <v>125</v>
      </c>
      <c r="B1019" t="s">
        <v>561</v>
      </c>
      <c r="C1019">
        <v>1</v>
      </c>
    </row>
    <row r="1020" spans="1:3" x14ac:dyDescent="0.25">
      <c r="A1020" s="80" t="s">
        <v>125</v>
      </c>
      <c r="B1020" t="s">
        <v>562</v>
      </c>
      <c r="C1020">
        <v>-4138</v>
      </c>
    </row>
    <row r="1021" spans="1:3" x14ac:dyDescent="0.25">
      <c r="A1021" s="80" t="s">
        <v>125</v>
      </c>
      <c r="B1021" t="s">
        <v>582</v>
      </c>
      <c r="C1021">
        <v>2</v>
      </c>
    </row>
    <row r="1022" spans="1:3" x14ac:dyDescent="0.25">
      <c r="A1022" s="80" t="s">
        <v>125</v>
      </c>
      <c r="B1022" t="s">
        <v>583</v>
      </c>
      <c r="C1022">
        <v>4</v>
      </c>
    </row>
    <row r="1023" spans="1:3" x14ac:dyDescent="0.25">
      <c r="A1023" s="80" t="s">
        <v>125</v>
      </c>
      <c r="B1023" t="s">
        <v>584</v>
      </c>
      <c r="C1023" s="80" t="s">
        <v>585</v>
      </c>
    </row>
    <row r="1024" spans="1:3" x14ac:dyDescent="0.25">
      <c r="A1024" s="80" t="s">
        <v>125</v>
      </c>
      <c r="B1024" t="s">
        <v>586</v>
      </c>
      <c r="C1024">
        <v>1</v>
      </c>
    </row>
    <row r="1025" spans="1:3" x14ac:dyDescent="0.25">
      <c r="A1025" s="80" t="s">
        <v>125</v>
      </c>
      <c r="B1025" t="s">
        <v>587</v>
      </c>
      <c r="C1025" t="b">
        <v>1</v>
      </c>
    </row>
    <row r="1026" spans="1:3" x14ac:dyDescent="0.25">
      <c r="A1026" s="80" t="s">
        <v>125</v>
      </c>
      <c r="B1026" t="s">
        <v>588</v>
      </c>
      <c r="C1026" t="b">
        <v>1</v>
      </c>
    </row>
    <row r="1027" spans="1:3" x14ac:dyDescent="0.25">
      <c r="A1027" s="80" t="s">
        <v>125</v>
      </c>
      <c r="B1027" t="s">
        <v>589</v>
      </c>
      <c r="C1027" t="b">
        <v>1</v>
      </c>
    </row>
    <row r="1028" spans="1:3" x14ac:dyDescent="0.25">
      <c r="A1028" s="80" t="s">
        <v>125</v>
      </c>
      <c r="B1028" t="s">
        <v>590</v>
      </c>
      <c r="C1028" t="b">
        <v>1</v>
      </c>
    </row>
    <row r="1029" spans="1:3" x14ac:dyDescent="0.25">
      <c r="A1029" s="80" t="s">
        <v>126</v>
      </c>
      <c r="B1029" t="s">
        <v>173</v>
      </c>
      <c r="C1029" t="b">
        <v>0</v>
      </c>
    </row>
    <row r="1030" spans="1:3" x14ac:dyDescent="0.25">
      <c r="A1030" s="80" t="s">
        <v>126</v>
      </c>
      <c r="B1030" t="s">
        <v>555</v>
      </c>
      <c r="C1030" s="80" t="s">
        <v>605</v>
      </c>
    </row>
    <row r="1031" spans="1:3" x14ac:dyDescent="0.25">
      <c r="A1031" s="80" t="s">
        <v>126</v>
      </c>
      <c r="B1031" t="s">
        <v>576</v>
      </c>
      <c r="C1031" s="80" t="s">
        <v>606</v>
      </c>
    </row>
    <row r="1032" spans="1:3" x14ac:dyDescent="0.25">
      <c r="A1032" s="80" t="s">
        <v>126</v>
      </c>
      <c r="B1032" t="s">
        <v>566</v>
      </c>
      <c r="C1032">
        <v>14.71</v>
      </c>
    </row>
    <row r="1033" spans="1:3" x14ac:dyDescent="0.25">
      <c r="A1033" s="80" t="s">
        <v>126</v>
      </c>
      <c r="B1033" t="s">
        <v>557</v>
      </c>
      <c r="C1033" s="80" t="s">
        <v>578</v>
      </c>
    </row>
    <row r="1034" spans="1:3" x14ac:dyDescent="0.25">
      <c r="A1034" s="80" t="s">
        <v>126</v>
      </c>
      <c r="B1034" t="s">
        <v>559</v>
      </c>
      <c r="C1034">
        <v>1</v>
      </c>
    </row>
    <row r="1035" spans="1:3" x14ac:dyDescent="0.25">
      <c r="A1035" s="80" t="s">
        <v>126</v>
      </c>
      <c r="B1035" t="s">
        <v>560</v>
      </c>
      <c r="C1035">
        <v>-4138</v>
      </c>
    </row>
    <row r="1036" spans="1:3" x14ac:dyDescent="0.25">
      <c r="A1036" s="80" t="s">
        <v>126</v>
      </c>
      <c r="B1036" t="s">
        <v>561</v>
      </c>
      <c r="C1036">
        <v>1</v>
      </c>
    </row>
    <row r="1037" spans="1:3" x14ac:dyDescent="0.25">
      <c r="A1037" s="80" t="s">
        <v>126</v>
      </c>
      <c r="B1037" t="s">
        <v>562</v>
      </c>
      <c r="C1037">
        <v>-4138</v>
      </c>
    </row>
    <row r="1038" spans="1:3" x14ac:dyDescent="0.25">
      <c r="A1038" s="80" t="s">
        <v>127</v>
      </c>
      <c r="B1038" t="s">
        <v>173</v>
      </c>
      <c r="C1038" t="b">
        <v>0</v>
      </c>
    </row>
    <row r="1039" spans="1:3" x14ac:dyDescent="0.25">
      <c r="A1039" s="80" t="s">
        <v>127</v>
      </c>
      <c r="B1039" t="s">
        <v>555</v>
      </c>
      <c r="C1039" s="80" t="s">
        <v>607</v>
      </c>
    </row>
    <row r="1040" spans="1:3" x14ac:dyDescent="0.25">
      <c r="A1040" s="80" t="s">
        <v>127</v>
      </c>
      <c r="B1040" t="s">
        <v>566</v>
      </c>
      <c r="C1040">
        <v>13.29</v>
      </c>
    </row>
    <row r="1041" spans="1:3" x14ac:dyDescent="0.25">
      <c r="A1041" s="80" t="s">
        <v>127</v>
      </c>
      <c r="B1041" t="s">
        <v>557</v>
      </c>
      <c r="C1041" s="80" t="s">
        <v>578</v>
      </c>
    </row>
    <row r="1042" spans="1:3" x14ac:dyDescent="0.25">
      <c r="A1042" s="80" t="s">
        <v>127</v>
      </c>
      <c r="B1042" t="s">
        <v>559</v>
      </c>
      <c r="C1042">
        <v>1</v>
      </c>
    </row>
    <row r="1043" spans="1:3" x14ac:dyDescent="0.25">
      <c r="A1043" s="80" t="s">
        <v>127</v>
      </c>
      <c r="B1043" t="s">
        <v>560</v>
      </c>
      <c r="C1043">
        <v>-4138</v>
      </c>
    </row>
    <row r="1044" spans="1:3" x14ac:dyDescent="0.25">
      <c r="A1044" s="80" t="s">
        <v>127</v>
      </c>
      <c r="B1044" t="s">
        <v>561</v>
      </c>
      <c r="C1044">
        <v>1</v>
      </c>
    </row>
    <row r="1045" spans="1:3" x14ac:dyDescent="0.25">
      <c r="A1045" s="80" t="s">
        <v>127</v>
      </c>
      <c r="B1045" t="s">
        <v>562</v>
      </c>
      <c r="C1045">
        <v>2</v>
      </c>
    </row>
    <row r="1046" spans="1:3" x14ac:dyDescent="0.25">
      <c r="A1046" s="80" t="s">
        <v>127</v>
      </c>
      <c r="B1046" t="s">
        <v>582</v>
      </c>
      <c r="C1046">
        <v>2</v>
      </c>
    </row>
    <row r="1047" spans="1:3" x14ac:dyDescent="0.25">
      <c r="A1047" s="80" t="s">
        <v>127</v>
      </c>
      <c r="B1047" t="s">
        <v>583</v>
      </c>
      <c r="C1047">
        <v>4</v>
      </c>
    </row>
    <row r="1048" spans="1:3" x14ac:dyDescent="0.25">
      <c r="A1048" s="80" t="s">
        <v>127</v>
      </c>
      <c r="B1048" t="s">
        <v>584</v>
      </c>
      <c r="C1048" s="80" t="s">
        <v>585</v>
      </c>
    </row>
    <row r="1049" spans="1:3" x14ac:dyDescent="0.25">
      <c r="A1049" s="80" t="s">
        <v>127</v>
      </c>
      <c r="B1049" t="s">
        <v>586</v>
      </c>
      <c r="C1049">
        <v>1</v>
      </c>
    </row>
    <row r="1050" spans="1:3" x14ac:dyDescent="0.25">
      <c r="A1050" s="80" t="s">
        <v>127</v>
      </c>
      <c r="B1050" t="s">
        <v>587</v>
      </c>
      <c r="C1050" t="b">
        <v>1</v>
      </c>
    </row>
    <row r="1051" spans="1:3" x14ac:dyDescent="0.25">
      <c r="A1051" s="80" t="s">
        <v>127</v>
      </c>
      <c r="B1051" t="s">
        <v>588</v>
      </c>
      <c r="C1051" t="b">
        <v>1</v>
      </c>
    </row>
    <row r="1052" spans="1:3" x14ac:dyDescent="0.25">
      <c r="A1052" s="80" t="s">
        <v>127</v>
      </c>
      <c r="B1052" t="s">
        <v>589</v>
      </c>
      <c r="C1052" t="b">
        <v>1</v>
      </c>
    </row>
    <row r="1053" spans="1:3" x14ac:dyDescent="0.25">
      <c r="A1053" s="80" t="s">
        <v>127</v>
      </c>
      <c r="B1053" t="s">
        <v>590</v>
      </c>
      <c r="C1053" t="b">
        <v>1</v>
      </c>
    </row>
    <row r="1054" spans="1:3" x14ac:dyDescent="0.25">
      <c r="A1054" s="80" t="s">
        <v>128</v>
      </c>
      <c r="B1054" t="s">
        <v>173</v>
      </c>
      <c r="C1054" t="b">
        <v>0</v>
      </c>
    </row>
    <row r="1055" spans="1:3" x14ac:dyDescent="0.25">
      <c r="A1055" s="80" t="s">
        <v>128</v>
      </c>
      <c r="B1055" t="s">
        <v>555</v>
      </c>
      <c r="C1055" s="80" t="s">
        <v>608</v>
      </c>
    </row>
    <row r="1056" spans="1:3" x14ac:dyDescent="0.25">
      <c r="A1056" s="80" t="s">
        <v>128</v>
      </c>
      <c r="B1056" t="s">
        <v>566</v>
      </c>
      <c r="C1056">
        <v>13.14</v>
      </c>
    </row>
    <row r="1057" spans="1:3" x14ac:dyDescent="0.25">
      <c r="A1057" s="80" t="s">
        <v>128</v>
      </c>
      <c r="B1057" t="s">
        <v>557</v>
      </c>
      <c r="C1057" s="80" t="s">
        <v>578</v>
      </c>
    </row>
    <row r="1058" spans="1:3" x14ac:dyDescent="0.25">
      <c r="A1058" s="80" t="s">
        <v>128</v>
      </c>
      <c r="B1058" t="s">
        <v>559</v>
      </c>
      <c r="C1058">
        <v>1</v>
      </c>
    </row>
    <row r="1059" spans="1:3" x14ac:dyDescent="0.25">
      <c r="A1059" s="80" t="s">
        <v>128</v>
      </c>
      <c r="B1059" t="s">
        <v>560</v>
      </c>
      <c r="C1059">
        <v>2</v>
      </c>
    </row>
    <row r="1060" spans="1:3" x14ac:dyDescent="0.25">
      <c r="A1060" s="80" t="s">
        <v>128</v>
      </c>
      <c r="B1060" t="s">
        <v>561</v>
      </c>
      <c r="C1060">
        <v>1</v>
      </c>
    </row>
    <row r="1061" spans="1:3" x14ac:dyDescent="0.25">
      <c r="A1061" s="80" t="s">
        <v>128</v>
      </c>
      <c r="B1061" t="s">
        <v>562</v>
      </c>
      <c r="C1061">
        <v>-4138</v>
      </c>
    </row>
    <row r="1062" spans="1:3" x14ac:dyDescent="0.25">
      <c r="A1062" s="80" t="s">
        <v>128</v>
      </c>
      <c r="B1062" t="s">
        <v>582</v>
      </c>
      <c r="C1062">
        <v>2</v>
      </c>
    </row>
    <row r="1063" spans="1:3" x14ac:dyDescent="0.25">
      <c r="A1063" s="80" t="s">
        <v>128</v>
      </c>
      <c r="B1063" t="s">
        <v>583</v>
      </c>
      <c r="C1063">
        <v>4</v>
      </c>
    </row>
    <row r="1064" spans="1:3" x14ac:dyDescent="0.25">
      <c r="A1064" s="80" t="s">
        <v>128</v>
      </c>
      <c r="B1064" t="s">
        <v>584</v>
      </c>
      <c r="C1064" s="80" t="s">
        <v>585</v>
      </c>
    </row>
    <row r="1065" spans="1:3" x14ac:dyDescent="0.25">
      <c r="A1065" s="80" t="s">
        <v>128</v>
      </c>
      <c r="B1065" t="s">
        <v>586</v>
      </c>
      <c r="C1065">
        <v>1</v>
      </c>
    </row>
    <row r="1066" spans="1:3" x14ac:dyDescent="0.25">
      <c r="A1066" s="80" t="s">
        <v>128</v>
      </c>
      <c r="B1066" t="s">
        <v>587</v>
      </c>
      <c r="C1066" t="b">
        <v>1</v>
      </c>
    </row>
    <row r="1067" spans="1:3" x14ac:dyDescent="0.25">
      <c r="A1067" s="80" t="s">
        <v>128</v>
      </c>
      <c r="B1067" t="s">
        <v>588</v>
      </c>
      <c r="C1067" t="b">
        <v>1</v>
      </c>
    </row>
    <row r="1068" spans="1:3" x14ac:dyDescent="0.25">
      <c r="A1068" s="80" t="s">
        <v>128</v>
      </c>
      <c r="B1068" t="s">
        <v>589</v>
      </c>
      <c r="C1068" t="b">
        <v>1</v>
      </c>
    </row>
    <row r="1069" spans="1:3" x14ac:dyDescent="0.25">
      <c r="A1069" s="80" t="s">
        <v>128</v>
      </c>
      <c r="B1069" t="s">
        <v>590</v>
      </c>
      <c r="C1069" t="b">
        <v>1</v>
      </c>
    </row>
    <row r="1070" spans="1:3" x14ac:dyDescent="0.25">
      <c r="A1070" s="80" t="s">
        <v>129</v>
      </c>
      <c r="B1070" t="s">
        <v>173</v>
      </c>
      <c r="C1070" t="b">
        <v>0</v>
      </c>
    </row>
    <row r="1071" spans="1:3" x14ac:dyDescent="0.25">
      <c r="A1071" s="80" t="s">
        <v>129</v>
      </c>
      <c r="B1071" t="s">
        <v>555</v>
      </c>
      <c r="C1071" s="80" t="s">
        <v>609</v>
      </c>
    </row>
    <row r="1072" spans="1:3" x14ac:dyDescent="0.25">
      <c r="A1072" s="80" t="s">
        <v>129</v>
      </c>
      <c r="B1072" t="s">
        <v>576</v>
      </c>
      <c r="C1072" s="80" t="s">
        <v>610</v>
      </c>
    </row>
    <row r="1073" spans="1:3" x14ac:dyDescent="0.25">
      <c r="A1073" s="80" t="s">
        <v>129</v>
      </c>
      <c r="B1073" t="s">
        <v>566</v>
      </c>
      <c r="C1073">
        <v>14.71</v>
      </c>
    </row>
    <row r="1074" spans="1:3" x14ac:dyDescent="0.25">
      <c r="A1074" s="80" t="s">
        <v>129</v>
      </c>
      <c r="B1074" t="s">
        <v>557</v>
      </c>
      <c r="C1074" s="80" t="s">
        <v>578</v>
      </c>
    </row>
    <row r="1075" spans="1:3" x14ac:dyDescent="0.25">
      <c r="A1075" s="80" t="s">
        <v>129</v>
      </c>
      <c r="B1075" t="s">
        <v>559</v>
      </c>
      <c r="C1075">
        <v>1</v>
      </c>
    </row>
    <row r="1076" spans="1:3" x14ac:dyDescent="0.25">
      <c r="A1076" s="80" t="s">
        <v>129</v>
      </c>
      <c r="B1076" t="s">
        <v>560</v>
      </c>
      <c r="C1076">
        <v>-4138</v>
      </c>
    </row>
    <row r="1077" spans="1:3" x14ac:dyDescent="0.25">
      <c r="A1077" s="80" t="s">
        <v>129</v>
      </c>
      <c r="B1077" t="s">
        <v>561</v>
      </c>
      <c r="C1077">
        <v>1</v>
      </c>
    </row>
    <row r="1078" spans="1:3" x14ac:dyDescent="0.25">
      <c r="A1078" s="80" t="s">
        <v>129</v>
      </c>
      <c r="B1078" t="s">
        <v>562</v>
      </c>
      <c r="C1078">
        <v>-4138</v>
      </c>
    </row>
    <row r="1079" spans="1:3" x14ac:dyDescent="0.25">
      <c r="A1079" s="80" t="s">
        <v>130</v>
      </c>
      <c r="B1079" t="s">
        <v>173</v>
      </c>
      <c r="C1079" t="b">
        <v>0</v>
      </c>
    </row>
    <row r="1080" spans="1:3" x14ac:dyDescent="0.25">
      <c r="A1080" s="80" t="s">
        <v>130</v>
      </c>
      <c r="B1080" t="s">
        <v>555</v>
      </c>
      <c r="C1080" s="80" t="s">
        <v>611</v>
      </c>
    </row>
    <row r="1081" spans="1:3" x14ac:dyDescent="0.25">
      <c r="A1081" s="80" t="s">
        <v>130</v>
      </c>
      <c r="B1081" t="s">
        <v>566</v>
      </c>
      <c r="C1081">
        <v>13.29</v>
      </c>
    </row>
    <row r="1082" spans="1:3" x14ac:dyDescent="0.25">
      <c r="A1082" s="80" t="s">
        <v>130</v>
      </c>
      <c r="B1082" t="s">
        <v>557</v>
      </c>
      <c r="C1082" s="80" t="s">
        <v>578</v>
      </c>
    </row>
    <row r="1083" spans="1:3" x14ac:dyDescent="0.25">
      <c r="A1083" s="80" t="s">
        <v>130</v>
      </c>
      <c r="B1083" t="s">
        <v>559</v>
      </c>
      <c r="C1083">
        <v>1</v>
      </c>
    </row>
    <row r="1084" spans="1:3" x14ac:dyDescent="0.25">
      <c r="A1084" s="80" t="s">
        <v>130</v>
      </c>
      <c r="B1084" t="s">
        <v>560</v>
      </c>
      <c r="C1084">
        <v>-4138</v>
      </c>
    </row>
    <row r="1085" spans="1:3" x14ac:dyDescent="0.25">
      <c r="A1085" s="80" t="s">
        <v>130</v>
      </c>
      <c r="B1085" t="s">
        <v>561</v>
      </c>
      <c r="C1085">
        <v>1</v>
      </c>
    </row>
    <row r="1086" spans="1:3" x14ac:dyDescent="0.25">
      <c r="A1086" s="80" t="s">
        <v>130</v>
      </c>
      <c r="B1086" t="s">
        <v>562</v>
      </c>
      <c r="C1086">
        <v>2</v>
      </c>
    </row>
    <row r="1087" spans="1:3" x14ac:dyDescent="0.25">
      <c r="A1087" s="80" t="s">
        <v>130</v>
      </c>
      <c r="B1087" t="s">
        <v>582</v>
      </c>
      <c r="C1087">
        <v>2</v>
      </c>
    </row>
    <row r="1088" spans="1:3" x14ac:dyDescent="0.25">
      <c r="A1088" s="80" t="s">
        <v>130</v>
      </c>
      <c r="B1088" t="s">
        <v>583</v>
      </c>
      <c r="C1088">
        <v>4</v>
      </c>
    </row>
    <row r="1089" spans="1:3" x14ac:dyDescent="0.25">
      <c r="A1089" s="80" t="s">
        <v>130</v>
      </c>
      <c r="B1089" t="s">
        <v>584</v>
      </c>
      <c r="C1089" s="80" t="s">
        <v>585</v>
      </c>
    </row>
    <row r="1090" spans="1:3" x14ac:dyDescent="0.25">
      <c r="A1090" s="80" t="s">
        <v>130</v>
      </c>
      <c r="B1090" t="s">
        <v>586</v>
      </c>
      <c r="C1090">
        <v>1</v>
      </c>
    </row>
    <row r="1091" spans="1:3" x14ac:dyDescent="0.25">
      <c r="A1091" s="80" t="s">
        <v>130</v>
      </c>
      <c r="B1091" t="s">
        <v>587</v>
      </c>
      <c r="C1091" t="b">
        <v>1</v>
      </c>
    </row>
    <row r="1092" spans="1:3" x14ac:dyDescent="0.25">
      <c r="A1092" s="80" t="s">
        <v>130</v>
      </c>
      <c r="B1092" t="s">
        <v>588</v>
      </c>
      <c r="C1092" t="b">
        <v>1</v>
      </c>
    </row>
    <row r="1093" spans="1:3" x14ac:dyDescent="0.25">
      <c r="A1093" s="80" t="s">
        <v>130</v>
      </c>
      <c r="B1093" t="s">
        <v>589</v>
      </c>
      <c r="C1093" t="b">
        <v>1</v>
      </c>
    </row>
    <row r="1094" spans="1:3" x14ac:dyDescent="0.25">
      <c r="A1094" s="80" t="s">
        <v>130</v>
      </c>
      <c r="B1094" t="s">
        <v>590</v>
      </c>
      <c r="C1094" t="b">
        <v>1</v>
      </c>
    </row>
    <row r="1095" spans="1:3" x14ac:dyDescent="0.25">
      <c r="A1095" s="80" t="s">
        <v>131</v>
      </c>
      <c r="B1095" t="s">
        <v>173</v>
      </c>
      <c r="C1095" t="b">
        <v>0</v>
      </c>
    </row>
    <row r="1096" spans="1:3" x14ac:dyDescent="0.25">
      <c r="A1096" s="80" t="s">
        <v>131</v>
      </c>
      <c r="B1096" t="s">
        <v>555</v>
      </c>
      <c r="C1096" s="80" t="s">
        <v>612</v>
      </c>
    </row>
    <row r="1097" spans="1:3" x14ac:dyDescent="0.25">
      <c r="A1097" s="80" t="s">
        <v>131</v>
      </c>
      <c r="B1097" t="s">
        <v>566</v>
      </c>
      <c r="C1097">
        <v>13.14</v>
      </c>
    </row>
    <row r="1098" spans="1:3" x14ac:dyDescent="0.25">
      <c r="A1098" s="80" t="s">
        <v>131</v>
      </c>
      <c r="B1098" t="s">
        <v>557</v>
      </c>
      <c r="C1098" s="80" t="s">
        <v>578</v>
      </c>
    </row>
    <row r="1099" spans="1:3" x14ac:dyDescent="0.25">
      <c r="A1099" s="80" t="s">
        <v>131</v>
      </c>
      <c r="B1099" t="s">
        <v>559</v>
      </c>
      <c r="C1099">
        <v>1</v>
      </c>
    </row>
    <row r="1100" spans="1:3" x14ac:dyDescent="0.25">
      <c r="A1100" s="80" t="s">
        <v>131</v>
      </c>
      <c r="B1100" t="s">
        <v>560</v>
      </c>
      <c r="C1100">
        <v>2</v>
      </c>
    </row>
    <row r="1101" spans="1:3" x14ac:dyDescent="0.25">
      <c r="A1101" s="80" t="s">
        <v>131</v>
      </c>
      <c r="B1101" t="s">
        <v>561</v>
      </c>
      <c r="C1101">
        <v>1</v>
      </c>
    </row>
    <row r="1102" spans="1:3" x14ac:dyDescent="0.25">
      <c r="A1102" s="80" t="s">
        <v>131</v>
      </c>
      <c r="B1102" t="s">
        <v>562</v>
      </c>
      <c r="C1102">
        <v>-4138</v>
      </c>
    </row>
    <row r="1103" spans="1:3" x14ac:dyDescent="0.25">
      <c r="A1103" s="80" t="s">
        <v>131</v>
      </c>
      <c r="B1103" t="s">
        <v>582</v>
      </c>
      <c r="C1103">
        <v>2</v>
      </c>
    </row>
    <row r="1104" spans="1:3" x14ac:dyDescent="0.25">
      <c r="A1104" s="80" t="s">
        <v>131</v>
      </c>
      <c r="B1104" t="s">
        <v>583</v>
      </c>
      <c r="C1104">
        <v>4</v>
      </c>
    </row>
    <row r="1105" spans="1:3" x14ac:dyDescent="0.25">
      <c r="A1105" s="80" t="s">
        <v>131</v>
      </c>
      <c r="B1105" t="s">
        <v>584</v>
      </c>
      <c r="C1105" s="80" t="s">
        <v>585</v>
      </c>
    </row>
    <row r="1106" spans="1:3" x14ac:dyDescent="0.25">
      <c r="A1106" s="80" t="s">
        <v>131</v>
      </c>
      <c r="B1106" t="s">
        <v>586</v>
      </c>
      <c r="C1106">
        <v>1</v>
      </c>
    </row>
    <row r="1107" spans="1:3" x14ac:dyDescent="0.25">
      <c r="A1107" s="80" t="s">
        <v>131</v>
      </c>
      <c r="B1107" t="s">
        <v>587</v>
      </c>
      <c r="C1107" t="b">
        <v>1</v>
      </c>
    </row>
    <row r="1108" spans="1:3" x14ac:dyDescent="0.25">
      <c r="A1108" s="80" t="s">
        <v>131</v>
      </c>
      <c r="B1108" t="s">
        <v>588</v>
      </c>
      <c r="C1108" t="b">
        <v>1</v>
      </c>
    </row>
    <row r="1109" spans="1:3" x14ac:dyDescent="0.25">
      <c r="A1109" s="80" t="s">
        <v>131</v>
      </c>
      <c r="B1109" t="s">
        <v>589</v>
      </c>
      <c r="C1109" t="b">
        <v>1</v>
      </c>
    </row>
    <row r="1110" spans="1:3" x14ac:dyDescent="0.25">
      <c r="A1110" s="80" t="s">
        <v>131</v>
      </c>
      <c r="B1110" t="s">
        <v>590</v>
      </c>
      <c r="C1110" t="b">
        <v>1</v>
      </c>
    </row>
    <row r="1111" spans="1:3" x14ac:dyDescent="0.25">
      <c r="A1111" s="80" t="s">
        <v>132</v>
      </c>
      <c r="B1111" t="s">
        <v>173</v>
      </c>
      <c r="C1111" t="b">
        <v>0</v>
      </c>
    </row>
    <row r="1112" spans="1:3" x14ac:dyDescent="0.25">
      <c r="A1112" s="80" t="s">
        <v>132</v>
      </c>
      <c r="B1112" t="s">
        <v>555</v>
      </c>
      <c r="C1112" s="80" t="s">
        <v>613</v>
      </c>
    </row>
    <row r="1113" spans="1:3" x14ac:dyDescent="0.25">
      <c r="A1113" s="80" t="s">
        <v>132</v>
      </c>
      <c r="B1113" t="s">
        <v>576</v>
      </c>
      <c r="C1113" s="80" t="s">
        <v>614</v>
      </c>
    </row>
    <row r="1114" spans="1:3" x14ac:dyDescent="0.25">
      <c r="A1114" s="80" t="s">
        <v>132</v>
      </c>
      <c r="B1114" t="s">
        <v>566</v>
      </c>
      <c r="C1114">
        <v>14.71</v>
      </c>
    </row>
    <row r="1115" spans="1:3" x14ac:dyDescent="0.25">
      <c r="A1115" s="80" t="s">
        <v>132</v>
      </c>
      <c r="B1115" t="s">
        <v>557</v>
      </c>
      <c r="C1115" s="80" t="s">
        <v>578</v>
      </c>
    </row>
    <row r="1116" spans="1:3" x14ac:dyDescent="0.25">
      <c r="A1116" s="80" t="s">
        <v>132</v>
      </c>
      <c r="B1116" t="s">
        <v>559</v>
      </c>
      <c r="C1116">
        <v>1</v>
      </c>
    </row>
    <row r="1117" spans="1:3" x14ac:dyDescent="0.25">
      <c r="A1117" s="80" t="s">
        <v>132</v>
      </c>
      <c r="B1117" t="s">
        <v>560</v>
      </c>
      <c r="C1117">
        <v>-4138</v>
      </c>
    </row>
    <row r="1118" spans="1:3" x14ac:dyDescent="0.25">
      <c r="A1118" s="80" t="s">
        <v>132</v>
      </c>
      <c r="B1118" t="s">
        <v>561</v>
      </c>
      <c r="C1118">
        <v>1</v>
      </c>
    </row>
    <row r="1119" spans="1:3" x14ac:dyDescent="0.25">
      <c r="A1119" s="80" t="s">
        <v>132</v>
      </c>
      <c r="B1119" t="s">
        <v>562</v>
      </c>
      <c r="C1119">
        <v>-4138</v>
      </c>
    </row>
    <row r="1120" spans="1:3" x14ac:dyDescent="0.25">
      <c r="A1120" s="80" t="s">
        <v>133</v>
      </c>
      <c r="B1120" t="s">
        <v>173</v>
      </c>
      <c r="C1120" t="b">
        <v>0</v>
      </c>
    </row>
    <row r="1121" spans="1:3" x14ac:dyDescent="0.25">
      <c r="A1121" s="80" t="s">
        <v>133</v>
      </c>
      <c r="B1121" t="s">
        <v>555</v>
      </c>
      <c r="C1121" s="80" t="s">
        <v>615</v>
      </c>
    </row>
    <row r="1122" spans="1:3" x14ac:dyDescent="0.25">
      <c r="A1122" s="80" t="s">
        <v>133</v>
      </c>
      <c r="B1122" t="s">
        <v>566</v>
      </c>
      <c r="C1122">
        <v>13.29</v>
      </c>
    </row>
    <row r="1123" spans="1:3" x14ac:dyDescent="0.25">
      <c r="A1123" s="80" t="s">
        <v>133</v>
      </c>
      <c r="B1123" t="s">
        <v>557</v>
      </c>
      <c r="C1123" s="80" t="s">
        <v>578</v>
      </c>
    </row>
    <row r="1124" spans="1:3" x14ac:dyDescent="0.25">
      <c r="A1124" s="80" t="s">
        <v>133</v>
      </c>
      <c r="B1124" t="s">
        <v>559</v>
      </c>
      <c r="C1124">
        <v>1</v>
      </c>
    </row>
    <row r="1125" spans="1:3" x14ac:dyDescent="0.25">
      <c r="A1125" s="80" t="s">
        <v>133</v>
      </c>
      <c r="B1125" t="s">
        <v>560</v>
      </c>
      <c r="C1125">
        <v>-4138</v>
      </c>
    </row>
    <row r="1126" spans="1:3" x14ac:dyDescent="0.25">
      <c r="A1126" s="80" t="s">
        <v>133</v>
      </c>
      <c r="B1126" t="s">
        <v>561</v>
      </c>
      <c r="C1126">
        <v>1</v>
      </c>
    </row>
    <row r="1127" spans="1:3" x14ac:dyDescent="0.25">
      <c r="A1127" s="80" t="s">
        <v>133</v>
      </c>
      <c r="B1127" t="s">
        <v>562</v>
      </c>
      <c r="C1127">
        <v>2</v>
      </c>
    </row>
    <row r="1128" spans="1:3" x14ac:dyDescent="0.25">
      <c r="A1128" s="80" t="s">
        <v>133</v>
      </c>
      <c r="B1128" t="s">
        <v>582</v>
      </c>
      <c r="C1128">
        <v>2</v>
      </c>
    </row>
    <row r="1129" spans="1:3" x14ac:dyDescent="0.25">
      <c r="A1129" s="80" t="s">
        <v>133</v>
      </c>
      <c r="B1129" t="s">
        <v>583</v>
      </c>
      <c r="C1129">
        <v>4</v>
      </c>
    </row>
    <row r="1130" spans="1:3" x14ac:dyDescent="0.25">
      <c r="A1130" s="80" t="s">
        <v>133</v>
      </c>
      <c r="B1130" t="s">
        <v>584</v>
      </c>
      <c r="C1130" s="80" t="s">
        <v>585</v>
      </c>
    </row>
    <row r="1131" spans="1:3" x14ac:dyDescent="0.25">
      <c r="A1131" s="80" t="s">
        <v>133</v>
      </c>
      <c r="B1131" t="s">
        <v>586</v>
      </c>
      <c r="C1131">
        <v>1</v>
      </c>
    </row>
    <row r="1132" spans="1:3" x14ac:dyDescent="0.25">
      <c r="A1132" s="80" t="s">
        <v>133</v>
      </c>
      <c r="B1132" t="s">
        <v>587</v>
      </c>
      <c r="C1132" t="b">
        <v>1</v>
      </c>
    </row>
    <row r="1133" spans="1:3" x14ac:dyDescent="0.25">
      <c r="A1133" s="80" t="s">
        <v>133</v>
      </c>
      <c r="B1133" t="s">
        <v>588</v>
      </c>
      <c r="C1133" t="b">
        <v>1</v>
      </c>
    </row>
    <row r="1134" spans="1:3" x14ac:dyDescent="0.25">
      <c r="A1134" s="80" t="s">
        <v>133</v>
      </c>
      <c r="B1134" t="s">
        <v>589</v>
      </c>
      <c r="C1134" t="b">
        <v>1</v>
      </c>
    </row>
    <row r="1135" spans="1:3" x14ac:dyDescent="0.25">
      <c r="A1135" s="80" t="s">
        <v>133</v>
      </c>
      <c r="B1135" t="s">
        <v>590</v>
      </c>
      <c r="C1135" t="b">
        <v>1</v>
      </c>
    </row>
    <row r="1136" spans="1:3" x14ac:dyDescent="0.25">
      <c r="A1136" s="80" t="s">
        <v>134</v>
      </c>
      <c r="B1136" t="s">
        <v>173</v>
      </c>
      <c r="C1136" t="b">
        <v>0</v>
      </c>
    </row>
    <row r="1137" spans="1:3" x14ac:dyDescent="0.25">
      <c r="A1137" s="80" t="s">
        <v>134</v>
      </c>
      <c r="B1137" t="s">
        <v>555</v>
      </c>
      <c r="C1137" s="80" t="s">
        <v>616</v>
      </c>
    </row>
    <row r="1138" spans="1:3" x14ac:dyDescent="0.25">
      <c r="A1138" s="80" t="s">
        <v>134</v>
      </c>
      <c r="B1138" t="s">
        <v>566</v>
      </c>
      <c r="C1138">
        <v>13.14</v>
      </c>
    </row>
    <row r="1139" spans="1:3" x14ac:dyDescent="0.25">
      <c r="A1139" s="80" t="s">
        <v>134</v>
      </c>
      <c r="B1139" t="s">
        <v>557</v>
      </c>
      <c r="C1139" s="80" t="s">
        <v>578</v>
      </c>
    </row>
    <row r="1140" spans="1:3" x14ac:dyDescent="0.25">
      <c r="A1140" s="80" t="s">
        <v>134</v>
      </c>
      <c r="B1140" t="s">
        <v>559</v>
      </c>
      <c r="C1140">
        <v>1</v>
      </c>
    </row>
    <row r="1141" spans="1:3" x14ac:dyDescent="0.25">
      <c r="A1141" s="80" t="s">
        <v>134</v>
      </c>
      <c r="B1141" t="s">
        <v>560</v>
      </c>
      <c r="C1141">
        <v>2</v>
      </c>
    </row>
    <row r="1142" spans="1:3" x14ac:dyDescent="0.25">
      <c r="A1142" s="80" t="s">
        <v>134</v>
      </c>
      <c r="B1142" t="s">
        <v>561</v>
      </c>
      <c r="C1142">
        <v>1</v>
      </c>
    </row>
    <row r="1143" spans="1:3" x14ac:dyDescent="0.25">
      <c r="A1143" s="80" t="s">
        <v>134</v>
      </c>
      <c r="B1143" t="s">
        <v>562</v>
      </c>
      <c r="C1143">
        <v>-4138</v>
      </c>
    </row>
    <row r="1144" spans="1:3" x14ac:dyDescent="0.25">
      <c r="A1144" s="80" t="s">
        <v>134</v>
      </c>
      <c r="B1144" t="s">
        <v>582</v>
      </c>
      <c r="C1144">
        <v>2</v>
      </c>
    </row>
    <row r="1145" spans="1:3" x14ac:dyDescent="0.25">
      <c r="A1145" s="80" t="s">
        <v>134</v>
      </c>
      <c r="B1145" t="s">
        <v>583</v>
      </c>
      <c r="C1145">
        <v>4</v>
      </c>
    </row>
    <row r="1146" spans="1:3" x14ac:dyDescent="0.25">
      <c r="A1146" s="80" t="s">
        <v>134</v>
      </c>
      <c r="B1146" t="s">
        <v>584</v>
      </c>
      <c r="C1146" s="80" t="s">
        <v>585</v>
      </c>
    </row>
    <row r="1147" spans="1:3" x14ac:dyDescent="0.25">
      <c r="A1147" s="80" t="s">
        <v>134</v>
      </c>
      <c r="B1147" t="s">
        <v>586</v>
      </c>
      <c r="C1147">
        <v>1</v>
      </c>
    </row>
    <row r="1148" spans="1:3" x14ac:dyDescent="0.25">
      <c r="A1148" s="80" t="s">
        <v>134</v>
      </c>
      <c r="B1148" t="s">
        <v>587</v>
      </c>
      <c r="C1148" t="b">
        <v>1</v>
      </c>
    </row>
    <row r="1149" spans="1:3" x14ac:dyDescent="0.25">
      <c r="A1149" s="80" t="s">
        <v>134</v>
      </c>
      <c r="B1149" t="s">
        <v>588</v>
      </c>
      <c r="C1149" t="b">
        <v>1</v>
      </c>
    </row>
    <row r="1150" spans="1:3" x14ac:dyDescent="0.25">
      <c r="A1150" s="80" t="s">
        <v>134</v>
      </c>
      <c r="B1150" t="s">
        <v>589</v>
      </c>
      <c r="C1150" t="b">
        <v>1</v>
      </c>
    </row>
    <row r="1151" spans="1:3" x14ac:dyDescent="0.25">
      <c r="A1151" s="80" t="s">
        <v>134</v>
      </c>
      <c r="B1151" t="s">
        <v>590</v>
      </c>
      <c r="C1151" t="b">
        <v>1</v>
      </c>
    </row>
    <row r="1152" spans="1:3" x14ac:dyDescent="0.25">
      <c r="A1152" s="80" t="s">
        <v>135</v>
      </c>
      <c r="B1152" t="s">
        <v>173</v>
      </c>
      <c r="C1152" t="b">
        <v>0</v>
      </c>
    </row>
    <row r="1153" spans="1:3" x14ac:dyDescent="0.25">
      <c r="A1153" s="80" t="s">
        <v>135</v>
      </c>
      <c r="B1153" t="s">
        <v>555</v>
      </c>
      <c r="C1153" s="80" t="s">
        <v>617</v>
      </c>
    </row>
    <row r="1154" spans="1:3" x14ac:dyDescent="0.25">
      <c r="A1154" s="80" t="s">
        <v>135</v>
      </c>
      <c r="B1154" t="s">
        <v>576</v>
      </c>
      <c r="C1154" s="80" t="s">
        <v>618</v>
      </c>
    </row>
    <row r="1155" spans="1:3" x14ac:dyDescent="0.25">
      <c r="A1155" s="80" t="s">
        <v>135</v>
      </c>
      <c r="B1155" t="s">
        <v>566</v>
      </c>
      <c r="C1155">
        <v>14.71</v>
      </c>
    </row>
    <row r="1156" spans="1:3" x14ac:dyDescent="0.25">
      <c r="A1156" s="80" t="s">
        <v>135</v>
      </c>
      <c r="B1156" t="s">
        <v>557</v>
      </c>
      <c r="C1156" s="80" t="s">
        <v>578</v>
      </c>
    </row>
    <row r="1157" spans="1:3" x14ac:dyDescent="0.25">
      <c r="A1157" s="80" t="s">
        <v>135</v>
      </c>
      <c r="B1157" t="s">
        <v>559</v>
      </c>
      <c r="C1157">
        <v>1</v>
      </c>
    </row>
    <row r="1158" spans="1:3" x14ac:dyDescent="0.25">
      <c r="A1158" s="80" t="s">
        <v>135</v>
      </c>
      <c r="B1158" t="s">
        <v>560</v>
      </c>
      <c r="C1158">
        <v>-4138</v>
      </c>
    </row>
    <row r="1159" spans="1:3" x14ac:dyDescent="0.25">
      <c r="A1159" s="80" t="s">
        <v>135</v>
      </c>
      <c r="B1159" t="s">
        <v>561</v>
      </c>
      <c r="C1159">
        <v>1</v>
      </c>
    </row>
    <row r="1160" spans="1:3" x14ac:dyDescent="0.25">
      <c r="A1160" s="80" t="s">
        <v>135</v>
      </c>
      <c r="B1160" t="s">
        <v>562</v>
      </c>
      <c r="C1160">
        <v>-4138</v>
      </c>
    </row>
    <row r="1161" spans="1:3" x14ac:dyDescent="0.25">
      <c r="A1161" s="80" t="s">
        <v>136</v>
      </c>
      <c r="B1161" t="s">
        <v>173</v>
      </c>
      <c r="C1161" t="b">
        <v>0</v>
      </c>
    </row>
    <row r="1162" spans="1:3" x14ac:dyDescent="0.25">
      <c r="A1162" s="80" t="s">
        <v>136</v>
      </c>
      <c r="B1162" t="s">
        <v>555</v>
      </c>
      <c r="C1162" s="80" t="s">
        <v>619</v>
      </c>
    </row>
    <row r="1163" spans="1:3" x14ac:dyDescent="0.25">
      <c r="A1163" s="80" t="s">
        <v>136</v>
      </c>
      <c r="B1163" t="s">
        <v>566</v>
      </c>
      <c r="C1163">
        <v>13.29</v>
      </c>
    </row>
    <row r="1164" spans="1:3" x14ac:dyDescent="0.25">
      <c r="A1164" s="80" t="s">
        <v>136</v>
      </c>
      <c r="B1164" t="s">
        <v>557</v>
      </c>
      <c r="C1164" s="80" t="s">
        <v>578</v>
      </c>
    </row>
    <row r="1165" spans="1:3" x14ac:dyDescent="0.25">
      <c r="A1165" s="80" t="s">
        <v>136</v>
      </c>
      <c r="B1165" t="s">
        <v>559</v>
      </c>
      <c r="C1165">
        <v>1</v>
      </c>
    </row>
    <row r="1166" spans="1:3" x14ac:dyDescent="0.25">
      <c r="A1166" s="80" t="s">
        <v>136</v>
      </c>
      <c r="B1166" t="s">
        <v>560</v>
      </c>
      <c r="C1166">
        <v>-4138</v>
      </c>
    </row>
    <row r="1167" spans="1:3" x14ac:dyDescent="0.25">
      <c r="A1167" s="80" t="s">
        <v>136</v>
      </c>
      <c r="B1167" t="s">
        <v>561</v>
      </c>
      <c r="C1167">
        <v>1</v>
      </c>
    </row>
    <row r="1168" spans="1:3" x14ac:dyDescent="0.25">
      <c r="A1168" s="80" t="s">
        <v>136</v>
      </c>
      <c r="B1168" t="s">
        <v>562</v>
      </c>
      <c r="C1168">
        <v>2</v>
      </c>
    </row>
    <row r="1169" spans="1:3" x14ac:dyDescent="0.25">
      <c r="A1169" s="80" t="s">
        <v>136</v>
      </c>
      <c r="B1169" t="s">
        <v>582</v>
      </c>
      <c r="C1169">
        <v>2</v>
      </c>
    </row>
    <row r="1170" spans="1:3" x14ac:dyDescent="0.25">
      <c r="A1170" s="80" t="s">
        <v>136</v>
      </c>
      <c r="B1170" t="s">
        <v>583</v>
      </c>
      <c r="C1170">
        <v>4</v>
      </c>
    </row>
    <row r="1171" spans="1:3" x14ac:dyDescent="0.25">
      <c r="A1171" s="80" t="s">
        <v>136</v>
      </c>
      <c r="B1171" t="s">
        <v>584</v>
      </c>
      <c r="C1171" s="80" t="s">
        <v>585</v>
      </c>
    </row>
    <row r="1172" spans="1:3" x14ac:dyDescent="0.25">
      <c r="A1172" s="80" t="s">
        <v>136</v>
      </c>
      <c r="B1172" t="s">
        <v>586</v>
      </c>
      <c r="C1172">
        <v>1</v>
      </c>
    </row>
    <row r="1173" spans="1:3" x14ac:dyDescent="0.25">
      <c r="A1173" s="80" t="s">
        <v>136</v>
      </c>
      <c r="B1173" t="s">
        <v>587</v>
      </c>
      <c r="C1173" t="b">
        <v>1</v>
      </c>
    </row>
    <row r="1174" spans="1:3" x14ac:dyDescent="0.25">
      <c r="A1174" s="80" t="s">
        <v>136</v>
      </c>
      <c r="B1174" t="s">
        <v>588</v>
      </c>
      <c r="C1174" t="b">
        <v>1</v>
      </c>
    </row>
    <row r="1175" spans="1:3" x14ac:dyDescent="0.25">
      <c r="A1175" s="80" t="s">
        <v>136</v>
      </c>
      <c r="B1175" t="s">
        <v>589</v>
      </c>
      <c r="C1175" t="b">
        <v>1</v>
      </c>
    </row>
    <row r="1176" spans="1:3" x14ac:dyDescent="0.25">
      <c r="A1176" s="80" t="s">
        <v>136</v>
      </c>
      <c r="B1176" t="s">
        <v>590</v>
      </c>
      <c r="C1176" t="b">
        <v>1</v>
      </c>
    </row>
    <row r="1177" spans="1:3" x14ac:dyDescent="0.25">
      <c r="A1177" s="80" t="s">
        <v>137</v>
      </c>
      <c r="B1177" t="s">
        <v>173</v>
      </c>
      <c r="C1177" t="b">
        <v>0</v>
      </c>
    </row>
    <row r="1178" spans="1:3" x14ac:dyDescent="0.25">
      <c r="A1178" s="80" t="s">
        <v>137</v>
      </c>
      <c r="B1178" t="s">
        <v>555</v>
      </c>
      <c r="C1178" s="80" t="s">
        <v>620</v>
      </c>
    </row>
    <row r="1179" spans="1:3" x14ac:dyDescent="0.25">
      <c r="A1179" s="80" t="s">
        <v>137</v>
      </c>
      <c r="B1179" t="s">
        <v>566</v>
      </c>
      <c r="C1179">
        <v>13.14</v>
      </c>
    </row>
    <row r="1180" spans="1:3" x14ac:dyDescent="0.25">
      <c r="A1180" s="80" t="s">
        <v>137</v>
      </c>
      <c r="B1180" t="s">
        <v>557</v>
      </c>
      <c r="C1180" s="80" t="s">
        <v>578</v>
      </c>
    </row>
    <row r="1181" spans="1:3" x14ac:dyDescent="0.25">
      <c r="A1181" s="80" t="s">
        <v>137</v>
      </c>
      <c r="B1181" t="s">
        <v>559</v>
      </c>
      <c r="C1181">
        <v>1</v>
      </c>
    </row>
    <row r="1182" spans="1:3" x14ac:dyDescent="0.25">
      <c r="A1182" s="80" t="s">
        <v>137</v>
      </c>
      <c r="B1182" t="s">
        <v>560</v>
      </c>
      <c r="C1182">
        <v>2</v>
      </c>
    </row>
    <row r="1183" spans="1:3" x14ac:dyDescent="0.25">
      <c r="A1183" s="80" t="s">
        <v>137</v>
      </c>
      <c r="B1183" t="s">
        <v>561</v>
      </c>
      <c r="C1183">
        <v>1</v>
      </c>
    </row>
    <row r="1184" spans="1:3" x14ac:dyDescent="0.25">
      <c r="A1184" s="80" t="s">
        <v>137</v>
      </c>
      <c r="B1184" t="s">
        <v>562</v>
      </c>
      <c r="C1184">
        <v>-4138</v>
      </c>
    </row>
    <row r="1185" spans="1:3" x14ac:dyDescent="0.25">
      <c r="A1185" s="80" t="s">
        <v>137</v>
      </c>
      <c r="B1185" t="s">
        <v>582</v>
      </c>
      <c r="C1185">
        <v>2</v>
      </c>
    </row>
    <row r="1186" spans="1:3" x14ac:dyDescent="0.25">
      <c r="A1186" s="80" t="s">
        <v>137</v>
      </c>
      <c r="B1186" t="s">
        <v>583</v>
      </c>
      <c r="C1186">
        <v>4</v>
      </c>
    </row>
    <row r="1187" spans="1:3" x14ac:dyDescent="0.25">
      <c r="A1187" s="80" t="s">
        <v>137</v>
      </c>
      <c r="B1187" t="s">
        <v>584</v>
      </c>
      <c r="C1187" s="80" t="s">
        <v>585</v>
      </c>
    </row>
    <row r="1188" spans="1:3" x14ac:dyDescent="0.25">
      <c r="A1188" s="80" t="s">
        <v>137</v>
      </c>
      <c r="B1188" t="s">
        <v>586</v>
      </c>
      <c r="C1188">
        <v>1</v>
      </c>
    </row>
    <row r="1189" spans="1:3" x14ac:dyDescent="0.25">
      <c r="A1189" s="80" t="s">
        <v>137</v>
      </c>
      <c r="B1189" t="s">
        <v>587</v>
      </c>
      <c r="C1189" t="b">
        <v>1</v>
      </c>
    </row>
    <row r="1190" spans="1:3" x14ac:dyDescent="0.25">
      <c r="A1190" s="80" t="s">
        <v>137</v>
      </c>
      <c r="B1190" t="s">
        <v>588</v>
      </c>
      <c r="C1190" t="b">
        <v>1</v>
      </c>
    </row>
    <row r="1191" spans="1:3" x14ac:dyDescent="0.25">
      <c r="A1191" s="80" t="s">
        <v>137</v>
      </c>
      <c r="B1191" t="s">
        <v>589</v>
      </c>
      <c r="C1191" t="b">
        <v>1</v>
      </c>
    </row>
    <row r="1192" spans="1:3" x14ac:dyDescent="0.25">
      <c r="A1192" s="80" t="s">
        <v>137</v>
      </c>
      <c r="B1192" t="s">
        <v>590</v>
      </c>
      <c r="C1192" t="b">
        <v>1</v>
      </c>
    </row>
    <row r="1193" spans="1:3" x14ac:dyDescent="0.25">
      <c r="A1193" s="80" t="s">
        <v>138</v>
      </c>
      <c r="B1193" t="s">
        <v>173</v>
      </c>
      <c r="C1193" t="b">
        <v>0</v>
      </c>
    </row>
    <row r="1194" spans="1:3" x14ac:dyDescent="0.25">
      <c r="A1194" s="80" t="s">
        <v>138</v>
      </c>
      <c r="B1194" t="s">
        <v>555</v>
      </c>
      <c r="C1194" s="80" t="s">
        <v>621</v>
      </c>
    </row>
    <row r="1195" spans="1:3" x14ac:dyDescent="0.25">
      <c r="A1195" s="80" t="s">
        <v>138</v>
      </c>
      <c r="B1195" t="s">
        <v>576</v>
      </c>
      <c r="C1195" s="80" t="s">
        <v>622</v>
      </c>
    </row>
    <row r="1196" spans="1:3" x14ac:dyDescent="0.25">
      <c r="A1196" s="80" t="s">
        <v>138</v>
      </c>
      <c r="B1196" t="s">
        <v>566</v>
      </c>
      <c r="C1196">
        <v>14.71</v>
      </c>
    </row>
    <row r="1197" spans="1:3" x14ac:dyDescent="0.25">
      <c r="A1197" s="80" t="s">
        <v>138</v>
      </c>
      <c r="B1197" t="s">
        <v>557</v>
      </c>
      <c r="C1197" s="80" t="s">
        <v>578</v>
      </c>
    </row>
    <row r="1198" spans="1:3" x14ac:dyDescent="0.25">
      <c r="A1198" s="80" t="s">
        <v>138</v>
      </c>
      <c r="B1198" t="s">
        <v>559</v>
      </c>
      <c r="C1198">
        <v>1</v>
      </c>
    </row>
    <row r="1199" spans="1:3" x14ac:dyDescent="0.25">
      <c r="A1199" s="80" t="s">
        <v>138</v>
      </c>
      <c r="B1199" t="s">
        <v>560</v>
      </c>
      <c r="C1199">
        <v>-4138</v>
      </c>
    </row>
    <row r="1200" spans="1:3" x14ac:dyDescent="0.25">
      <c r="A1200" s="80" t="s">
        <v>138</v>
      </c>
      <c r="B1200" t="s">
        <v>561</v>
      </c>
      <c r="C1200">
        <v>1</v>
      </c>
    </row>
    <row r="1201" spans="1:3" x14ac:dyDescent="0.25">
      <c r="A1201" s="80" t="s">
        <v>138</v>
      </c>
      <c r="B1201" t="s">
        <v>562</v>
      </c>
      <c r="C1201">
        <v>-4138</v>
      </c>
    </row>
    <row r="1202" spans="1:3" x14ac:dyDescent="0.25">
      <c r="A1202" s="80" t="s">
        <v>139</v>
      </c>
      <c r="B1202" t="s">
        <v>173</v>
      </c>
      <c r="C1202" t="b">
        <v>0</v>
      </c>
    </row>
    <row r="1203" spans="1:3" x14ac:dyDescent="0.25">
      <c r="A1203" s="80" t="s">
        <v>139</v>
      </c>
      <c r="B1203" t="s">
        <v>555</v>
      </c>
      <c r="C1203" s="80" t="s">
        <v>623</v>
      </c>
    </row>
    <row r="1204" spans="1:3" x14ac:dyDescent="0.25">
      <c r="A1204" s="80" t="s">
        <v>139</v>
      </c>
      <c r="B1204" t="s">
        <v>566</v>
      </c>
      <c r="C1204">
        <v>13.29</v>
      </c>
    </row>
    <row r="1205" spans="1:3" x14ac:dyDescent="0.25">
      <c r="A1205" s="80" t="s">
        <v>139</v>
      </c>
      <c r="B1205" t="s">
        <v>557</v>
      </c>
      <c r="C1205" s="80" t="s">
        <v>578</v>
      </c>
    </row>
    <row r="1206" spans="1:3" x14ac:dyDescent="0.25">
      <c r="A1206" s="80" t="s">
        <v>139</v>
      </c>
      <c r="B1206" t="s">
        <v>559</v>
      </c>
      <c r="C1206">
        <v>1</v>
      </c>
    </row>
    <row r="1207" spans="1:3" x14ac:dyDescent="0.25">
      <c r="A1207" s="80" t="s">
        <v>139</v>
      </c>
      <c r="B1207" t="s">
        <v>560</v>
      </c>
      <c r="C1207">
        <v>-4138</v>
      </c>
    </row>
    <row r="1208" spans="1:3" x14ac:dyDescent="0.25">
      <c r="A1208" s="80" t="s">
        <v>139</v>
      </c>
      <c r="B1208" t="s">
        <v>561</v>
      </c>
      <c r="C1208">
        <v>1</v>
      </c>
    </row>
    <row r="1209" spans="1:3" x14ac:dyDescent="0.25">
      <c r="A1209" s="80" t="s">
        <v>139</v>
      </c>
      <c r="B1209" t="s">
        <v>562</v>
      </c>
      <c r="C1209">
        <v>2</v>
      </c>
    </row>
    <row r="1210" spans="1:3" x14ac:dyDescent="0.25">
      <c r="A1210" s="80" t="s">
        <v>139</v>
      </c>
      <c r="B1210" t="s">
        <v>582</v>
      </c>
      <c r="C1210">
        <v>2</v>
      </c>
    </row>
    <row r="1211" spans="1:3" x14ac:dyDescent="0.25">
      <c r="A1211" s="80" t="s">
        <v>139</v>
      </c>
      <c r="B1211" t="s">
        <v>583</v>
      </c>
      <c r="C1211">
        <v>4</v>
      </c>
    </row>
    <row r="1212" spans="1:3" x14ac:dyDescent="0.25">
      <c r="A1212" s="80" t="s">
        <v>139</v>
      </c>
      <c r="B1212" t="s">
        <v>584</v>
      </c>
      <c r="C1212" s="80" t="s">
        <v>585</v>
      </c>
    </row>
    <row r="1213" spans="1:3" x14ac:dyDescent="0.25">
      <c r="A1213" s="80" t="s">
        <v>139</v>
      </c>
      <c r="B1213" t="s">
        <v>586</v>
      </c>
      <c r="C1213">
        <v>1</v>
      </c>
    </row>
    <row r="1214" spans="1:3" x14ac:dyDescent="0.25">
      <c r="A1214" s="80" t="s">
        <v>139</v>
      </c>
      <c r="B1214" t="s">
        <v>587</v>
      </c>
      <c r="C1214" t="b">
        <v>1</v>
      </c>
    </row>
    <row r="1215" spans="1:3" x14ac:dyDescent="0.25">
      <c r="A1215" s="80" t="s">
        <v>139</v>
      </c>
      <c r="B1215" t="s">
        <v>588</v>
      </c>
      <c r="C1215" t="b">
        <v>1</v>
      </c>
    </row>
    <row r="1216" spans="1:3" x14ac:dyDescent="0.25">
      <c r="A1216" s="80" t="s">
        <v>139</v>
      </c>
      <c r="B1216" t="s">
        <v>589</v>
      </c>
      <c r="C1216" t="b">
        <v>1</v>
      </c>
    </row>
    <row r="1217" spans="1:3" x14ac:dyDescent="0.25">
      <c r="A1217" s="80" t="s">
        <v>139</v>
      </c>
      <c r="B1217" t="s">
        <v>590</v>
      </c>
      <c r="C1217" t="b">
        <v>1</v>
      </c>
    </row>
    <row r="1218" spans="1:3" x14ac:dyDescent="0.25">
      <c r="A1218" s="80" t="s">
        <v>140</v>
      </c>
      <c r="B1218" t="s">
        <v>173</v>
      </c>
      <c r="C1218" t="b">
        <v>0</v>
      </c>
    </row>
    <row r="1219" spans="1:3" x14ac:dyDescent="0.25">
      <c r="A1219" s="80" t="s">
        <v>140</v>
      </c>
      <c r="B1219" t="s">
        <v>555</v>
      </c>
      <c r="C1219" s="80" t="s">
        <v>624</v>
      </c>
    </row>
    <row r="1220" spans="1:3" x14ac:dyDescent="0.25">
      <c r="A1220" s="80" t="s">
        <v>140</v>
      </c>
      <c r="B1220" t="s">
        <v>566</v>
      </c>
      <c r="C1220">
        <v>13.14</v>
      </c>
    </row>
    <row r="1221" spans="1:3" x14ac:dyDescent="0.25">
      <c r="A1221" s="80" t="s">
        <v>140</v>
      </c>
      <c r="B1221" t="s">
        <v>557</v>
      </c>
      <c r="C1221" s="80" t="s">
        <v>578</v>
      </c>
    </row>
    <row r="1222" spans="1:3" x14ac:dyDescent="0.25">
      <c r="A1222" s="80" t="s">
        <v>140</v>
      </c>
      <c r="B1222" t="s">
        <v>559</v>
      </c>
      <c r="C1222">
        <v>1</v>
      </c>
    </row>
    <row r="1223" spans="1:3" x14ac:dyDescent="0.25">
      <c r="A1223" s="80" t="s">
        <v>140</v>
      </c>
      <c r="B1223" t="s">
        <v>560</v>
      </c>
      <c r="C1223">
        <v>2</v>
      </c>
    </row>
    <row r="1224" spans="1:3" x14ac:dyDescent="0.25">
      <c r="A1224" s="80" t="s">
        <v>140</v>
      </c>
      <c r="B1224" t="s">
        <v>561</v>
      </c>
      <c r="C1224">
        <v>1</v>
      </c>
    </row>
    <row r="1225" spans="1:3" x14ac:dyDescent="0.25">
      <c r="A1225" s="80" t="s">
        <v>140</v>
      </c>
      <c r="B1225" t="s">
        <v>562</v>
      </c>
      <c r="C1225">
        <v>-4138</v>
      </c>
    </row>
    <row r="1226" spans="1:3" x14ac:dyDescent="0.25">
      <c r="A1226" s="80" t="s">
        <v>140</v>
      </c>
      <c r="B1226" t="s">
        <v>582</v>
      </c>
      <c r="C1226">
        <v>2</v>
      </c>
    </row>
    <row r="1227" spans="1:3" x14ac:dyDescent="0.25">
      <c r="A1227" s="80" t="s">
        <v>140</v>
      </c>
      <c r="B1227" t="s">
        <v>583</v>
      </c>
      <c r="C1227">
        <v>4</v>
      </c>
    </row>
    <row r="1228" spans="1:3" x14ac:dyDescent="0.25">
      <c r="A1228" s="80" t="s">
        <v>140</v>
      </c>
      <c r="B1228" t="s">
        <v>584</v>
      </c>
      <c r="C1228" s="80" t="s">
        <v>585</v>
      </c>
    </row>
    <row r="1229" spans="1:3" x14ac:dyDescent="0.25">
      <c r="A1229" s="80" t="s">
        <v>140</v>
      </c>
      <c r="B1229" t="s">
        <v>586</v>
      </c>
      <c r="C1229">
        <v>1</v>
      </c>
    </row>
    <row r="1230" spans="1:3" x14ac:dyDescent="0.25">
      <c r="A1230" s="80" t="s">
        <v>140</v>
      </c>
      <c r="B1230" t="s">
        <v>587</v>
      </c>
      <c r="C1230" t="b">
        <v>1</v>
      </c>
    </row>
    <row r="1231" spans="1:3" x14ac:dyDescent="0.25">
      <c r="A1231" s="80" t="s">
        <v>140</v>
      </c>
      <c r="B1231" t="s">
        <v>588</v>
      </c>
      <c r="C1231" t="b">
        <v>1</v>
      </c>
    </row>
    <row r="1232" spans="1:3" x14ac:dyDescent="0.25">
      <c r="A1232" s="80" t="s">
        <v>140</v>
      </c>
      <c r="B1232" t="s">
        <v>589</v>
      </c>
      <c r="C1232" t="b">
        <v>1</v>
      </c>
    </row>
    <row r="1233" spans="1:3" x14ac:dyDescent="0.25">
      <c r="A1233" s="80" t="s">
        <v>140</v>
      </c>
      <c r="B1233" t="s">
        <v>590</v>
      </c>
      <c r="C1233" t="b">
        <v>1</v>
      </c>
    </row>
    <row r="1234" spans="1:3" x14ac:dyDescent="0.25">
      <c r="A1234" s="80" t="s">
        <v>141</v>
      </c>
      <c r="B1234" t="s">
        <v>173</v>
      </c>
      <c r="C1234" t="b">
        <v>0</v>
      </c>
    </row>
    <row r="1235" spans="1:3" x14ac:dyDescent="0.25">
      <c r="A1235" s="80" t="s">
        <v>141</v>
      </c>
      <c r="B1235" t="s">
        <v>555</v>
      </c>
      <c r="C1235" s="80" t="s">
        <v>625</v>
      </c>
    </row>
    <row r="1236" spans="1:3" x14ac:dyDescent="0.25">
      <c r="A1236" s="80" t="s">
        <v>141</v>
      </c>
      <c r="B1236" t="s">
        <v>576</v>
      </c>
      <c r="C1236" s="80" t="s">
        <v>626</v>
      </c>
    </row>
    <row r="1237" spans="1:3" x14ac:dyDescent="0.25">
      <c r="A1237" s="80" t="s">
        <v>141</v>
      </c>
      <c r="B1237" t="s">
        <v>566</v>
      </c>
      <c r="C1237">
        <v>14.71</v>
      </c>
    </row>
    <row r="1238" spans="1:3" x14ac:dyDescent="0.25">
      <c r="A1238" s="80" t="s">
        <v>141</v>
      </c>
      <c r="B1238" t="s">
        <v>557</v>
      </c>
      <c r="C1238" s="80" t="s">
        <v>578</v>
      </c>
    </row>
    <row r="1239" spans="1:3" x14ac:dyDescent="0.25">
      <c r="A1239" s="80" t="s">
        <v>141</v>
      </c>
      <c r="B1239" t="s">
        <v>559</v>
      </c>
      <c r="C1239">
        <v>1</v>
      </c>
    </row>
    <row r="1240" spans="1:3" x14ac:dyDescent="0.25">
      <c r="A1240" s="80" t="s">
        <v>141</v>
      </c>
      <c r="B1240" t="s">
        <v>560</v>
      </c>
      <c r="C1240">
        <v>-4138</v>
      </c>
    </row>
    <row r="1241" spans="1:3" x14ac:dyDescent="0.25">
      <c r="A1241" s="80" t="s">
        <v>141</v>
      </c>
      <c r="B1241" t="s">
        <v>561</v>
      </c>
      <c r="C1241">
        <v>1</v>
      </c>
    </row>
    <row r="1242" spans="1:3" x14ac:dyDescent="0.25">
      <c r="A1242" s="80" t="s">
        <v>141</v>
      </c>
      <c r="B1242" t="s">
        <v>562</v>
      </c>
      <c r="C1242">
        <v>-4138</v>
      </c>
    </row>
    <row r="1243" spans="1:3" x14ac:dyDescent="0.25">
      <c r="A1243" s="80" t="s">
        <v>142</v>
      </c>
      <c r="B1243" t="s">
        <v>173</v>
      </c>
      <c r="C1243" t="b">
        <v>0</v>
      </c>
    </row>
    <row r="1244" spans="1:3" x14ac:dyDescent="0.25">
      <c r="A1244" s="80" t="s">
        <v>142</v>
      </c>
      <c r="B1244" t="s">
        <v>555</v>
      </c>
      <c r="C1244" s="80" t="s">
        <v>627</v>
      </c>
    </row>
    <row r="1245" spans="1:3" x14ac:dyDescent="0.25">
      <c r="A1245" s="80" t="s">
        <v>142</v>
      </c>
      <c r="B1245" t="s">
        <v>566</v>
      </c>
      <c r="C1245">
        <v>13.29</v>
      </c>
    </row>
    <row r="1246" spans="1:3" x14ac:dyDescent="0.25">
      <c r="A1246" s="80" t="s">
        <v>142</v>
      </c>
      <c r="B1246" t="s">
        <v>557</v>
      </c>
      <c r="C1246" s="80" t="s">
        <v>578</v>
      </c>
    </row>
    <row r="1247" spans="1:3" x14ac:dyDescent="0.25">
      <c r="A1247" s="80" t="s">
        <v>142</v>
      </c>
      <c r="B1247" t="s">
        <v>559</v>
      </c>
      <c r="C1247">
        <v>1</v>
      </c>
    </row>
    <row r="1248" spans="1:3" x14ac:dyDescent="0.25">
      <c r="A1248" s="80" t="s">
        <v>142</v>
      </c>
      <c r="B1248" t="s">
        <v>560</v>
      </c>
      <c r="C1248">
        <v>-4138</v>
      </c>
    </row>
    <row r="1249" spans="1:3" x14ac:dyDescent="0.25">
      <c r="A1249" s="80" t="s">
        <v>142</v>
      </c>
      <c r="B1249" t="s">
        <v>561</v>
      </c>
      <c r="C1249">
        <v>1</v>
      </c>
    </row>
    <row r="1250" spans="1:3" x14ac:dyDescent="0.25">
      <c r="A1250" s="80" t="s">
        <v>142</v>
      </c>
      <c r="B1250" t="s">
        <v>562</v>
      </c>
      <c r="C1250">
        <v>2</v>
      </c>
    </row>
    <row r="1251" spans="1:3" x14ac:dyDescent="0.25">
      <c r="A1251" s="80" t="s">
        <v>142</v>
      </c>
      <c r="B1251" t="s">
        <v>582</v>
      </c>
      <c r="C1251">
        <v>2</v>
      </c>
    </row>
    <row r="1252" spans="1:3" x14ac:dyDescent="0.25">
      <c r="A1252" s="80" t="s">
        <v>142</v>
      </c>
      <c r="B1252" t="s">
        <v>583</v>
      </c>
      <c r="C1252">
        <v>4</v>
      </c>
    </row>
    <row r="1253" spans="1:3" x14ac:dyDescent="0.25">
      <c r="A1253" s="80" t="s">
        <v>142</v>
      </c>
      <c r="B1253" t="s">
        <v>584</v>
      </c>
      <c r="C1253" s="80" t="s">
        <v>585</v>
      </c>
    </row>
    <row r="1254" spans="1:3" x14ac:dyDescent="0.25">
      <c r="A1254" s="80" t="s">
        <v>142</v>
      </c>
      <c r="B1254" t="s">
        <v>586</v>
      </c>
      <c r="C1254">
        <v>1</v>
      </c>
    </row>
    <row r="1255" spans="1:3" x14ac:dyDescent="0.25">
      <c r="A1255" s="80" t="s">
        <v>142</v>
      </c>
      <c r="B1255" t="s">
        <v>587</v>
      </c>
      <c r="C1255" t="b">
        <v>1</v>
      </c>
    </row>
    <row r="1256" spans="1:3" x14ac:dyDescent="0.25">
      <c r="A1256" s="80" t="s">
        <v>142</v>
      </c>
      <c r="B1256" t="s">
        <v>588</v>
      </c>
      <c r="C1256" t="b">
        <v>1</v>
      </c>
    </row>
    <row r="1257" spans="1:3" x14ac:dyDescent="0.25">
      <c r="A1257" s="80" t="s">
        <v>142</v>
      </c>
      <c r="B1257" t="s">
        <v>589</v>
      </c>
      <c r="C1257" t="b">
        <v>1</v>
      </c>
    </row>
    <row r="1258" spans="1:3" x14ac:dyDescent="0.25">
      <c r="A1258" s="80" t="s">
        <v>142</v>
      </c>
      <c r="B1258" t="s">
        <v>590</v>
      </c>
      <c r="C1258" t="b">
        <v>1</v>
      </c>
    </row>
    <row r="1259" spans="1:3" x14ac:dyDescent="0.25">
      <c r="A1259" s="80" t="s">
        <v>143</v>
      </c>
      <c r="B1259" t="s">
        <v>173</v>
      </c>
      <c r="C1259" t="b">
        <v>0</v>
      </c>
    </row>
    <row r="1260" spans="1:3" x14ac:dyDescent="0.25">
      <c r="A1260" s="80" t="s">
        <v>143</v>
      </c>
      <c r="B1260" t="s">
        <v>555</v>
      </c>
      <c r="C1260" s="80" t="s">
        <v>628</v>
      </c>
    </row>
    <row r="1261" spans="1:3" x14ac:dyDescent="0.25">
      <c r="A1261" s="80" t="s">
        <v>143</v>
      </c>
      <c r="B1261" t="s">
        <v>566</v>
      </c>
      <c r="C1261">
        <v>13.14</v>
      </c>
    </row>
    <row r="1262" spans="1:3" x14ac:dyDescent="0.25">
      <c r="A1262" s="80" t="s">
        <v>143</v>
      </c>
      <c r="B1262" t="s">
        <v>557</v>
      </c>
      <c r="C1262" s="80" t="s">
        <v>578</v>
      </c>
    </row>
    <row r="1263" spans="1:3" x14ac:dyDescent="0.25">
      <c r="A1263" s="80" t="s">
        <v>143</v>
      </c>
      <c r="B1263" t="s">
        <v>559</v>
      </c>
      <c r="C1263">
        <v>1</v>
      </c>
    </row>
    <row r="1264" spans="1:3" x14ac:dyDescent="0.25">
      <c r="A1264" s="80" t="s">
        <v>143</v>
      </c>
      <c r="B1264" t="s">
        <v>560</v>
      </c>
      <c r="C1264">
        <v>2</v>
      </c>
    </row>
    <row r="1265" spans="1:3" x14ac:dyDescent="0.25">
      <c r="A1265" s="80" t="s">
        <v>143</v>
      </c>
      <c r="B1265" t="s">
        <v>561</v>
      </c>
      <c r="C1265">
        <v>1</v>
      </c>
    </row>
    <row r="1266" spans="1:3" x14ac:dyDescent="0.25">
      <c r="A1266" s="80" t="s">
        <v>143</v>
      </c>
      <c r="B1266" t="s">
        <v>562</v>
      </c>
      <c r="C1266">
        <v>-4138</v>
      </c>
    </row>
    <row r="1267" spans="1:3" x14ac:dyDescent="0.25">
      <c r="A1267" s="80" t="s">
        <v>143</v>
      </c>
      <c r="B1267" t="s">
        <v>582</v>
      </c>
      <c r="C1267">
        <v>2</v>
      </c>
    </row>
    <row r="1268" spans="1:3" x14ac:dyDescent="0.25">
      <c r="A1268" s="80" t="s">
        <v>143</v>
      </c>
      <c r="B1268" t="s">
        <v>583</v>
      </c>
      <c r="C1268">
        <v>4</v>
      </c>
    </row>
    <row r="1269" spans="1:3" x14ac:dyDescent="0.25">
      <c r="A1269" s="80" t="s">
        <v>143</v>
      </c>
      <c r="B1269" t="s">
        <v>584</v>
      </c>
      <c r="C1269" s="80" t="s">
        <v>585</v>
      </c>
    </row>
    <row r="1270" spans="1:3" x14ac:dyDescent="0.25">
      <c r="A1270" s="80" t="s">
        <v>143</v>
      </c>
      <c r="B1270" t="s">
        <v>586</v>
      </c>
      <c r="C1270">
        <v>1</v>
      </c>
    </row>
    <row r="1271" spans="1:3" x14ac:dyDescent="0.25">
      <c r="A1271" s="80" t="s">
        <v>143</v>
      </c>
      <c r="B1271" t="s">
        <v>587</v>
      </c>
      <c r="C1271" t="b">
        <v>1</v>
      </c>
    </row>
    <row r="1272" spans="1:3" x14ac:dyDescent="0.25">
      <c r="A1272" s="80" t="s">
        <v>143</v>
      </c>
      <c r="B1272" t="s">
        <v>588</v>
      </c>
      <c r="C1272" t="b">
        <v>1</v>
      </c>
    </row>
    <row r="1273" spans="1:3" x14ac:dyDescent="0.25">
      <c r="A1273" s="80" t="s">
        <v>143</v>
      </c>
      <c r="B1273" t="s">
        <v>589</v>
      </c>
      <c r="C1273" t="b">
        <v>1</v>
      </c>
    </row>
    <row r="1274" spans="1:3" x14ac:dyDescent="0.25">
      <c r="A1274" s="80" t="s">
        <v>143</v>
      </c>
      <c r="B1274" t="s">
        <v>590</v>
      </c>
      <c r="C1274" t="b">
        <v>1</v>
      </c>
    </row>
    <row r="1275" spans="1:3" x14ac:dyDescent="0.25">
      <c r="A1275" s="80" t="s">
        <v>144</v>
      </c>
      <c r="B1275" t="s">
        <v>173</v>
      </c>
      <c r="C1275" t="b">
        <v>0</v>
      </c>
    </row>
    <row r="1276" spans="1:3" x14ac:dyDescent="0.25">
      <c r="A1276" s="80" t="s">
        <v>144</v>
      </c>
      <c r="B1276" t="s">
        <v>555</v>
      </c>
      <c r="C1276" s="80" t="s">
        <v>629</v>
      </c>
    </row>
    <row r="1277" spans="1:3" x14ac:dyDescent="0.25">
      <c r="A1277" s="80" t="s">
        <v>144</v>
      </c>
      <c r="B1277" t="s">
        <v>576</v>
      </c>
      <c r="C1277" s="80" t="s">
        <v>630</v>
      </c>
    </row>
    <row r="1278" spans="1:3" x14ac:dyDescent="0.25">
      <c r="A1278" s="80" t="s">
        <v>144</v>
      </c>
      <c r="B1278" t="s">
        <v>566</v>
      </c>
      <c r="C1278">
        <v>14.71</v>
      </c>
    </row>
    <row r="1279" spans="1:3" x14ac:dyDescent="0.25">
      <c r="A1279" s="80" t="s">
        <v>144</v>
      </c>
      <c r="B1279" t="s">
        <v>557</v>
      </c>
      <c r="C1279" s="80" t="s">
        <v>578</v>
      </c>
    </row>
    <row r="1280" spans="1:3" x14ac:dyDescent="0.25">
      <c r="A1280" s="80" t="s">
        <v>144</v>
      </c>
      <c r="B1280" t="s">
        <v>559</v>
      </c>
      <c r="C1280">
        <v>1</v>
      </c>
    </row>
    <row r="1281" spans="1:3" x14ac:dyDescent="0.25">
      <c r="A1281" s="80" t="s">
        <v>144</v>
      </c>
      <c r="B1281" t="s">
        <v>560</v>
      </c>
      <c r="C1281">
        <v>-4138</v>
      </c>
    </row>
    <row r="1282" spans="1:3" x14ac:dyDescent="0.25">
      <c r="A1282" s="80" t="s">
        <v>144</v>
      </c>
      <c r="B1282" t="s">
        <v>561</v>
      </c>
      <c r="C1282">
        <v>1</v>
      </c>
    </row>
    <row r="1283" spans="1:3" x14ac:dyDescent="0.25">
      <c r="A1283" s="80" t="s">
        <v>144</v>
      </c>
      <c r="B1283" t="s">
        <v>562</v>
      </c>
      <c r="C1283">
        <v>-4138</v>
      </c>
    </row>
    <row r="1284" spans="1:3" x14ac:dyDescent="0.25">
      <c r="A1284" s="80" t="s">
        <v>145</v>
      </c>
      <c r="B1284" t="s">
        <v>173</v>
      </c>
      <c r="C1284" t="b">
        <v>0</v>
      </c>
    </row>
    <row r="1285" spans="1:3" x14ac:dyDescent="0.25">
      <c r="A1285" s="80" t="s">
        <v>145</v>
      </c>
      <c r="B1285" t="s">
        <v>555</v>
      </c>
      <c r="C1285" s="80" t="s">
        <v>631</v>
      </c>
    </row>
    <row r="1286" spans="1:3" x14ac:dyDescent="0.25">
      <c r="A1286" s="80" t="s">
        <v>145</v>
      </c>
      <c r="B1286" t="s">
        <v>566</v>
      </c>
      <c r="C1286">
        <v>13.29</v>
      </c>
    </row>
    <row r="1287" spans="1:3" x14ac:dyDescent="0.25">
      <c r="A1287" s="80" t="s">
        <v>145</v>
      </c>
      <c r="B1287" t="s">
        <v>557</v>
      </c>
      <c r="C1287" s="80" t="s">
        <v>578</v>
      </c>
    </row>
    <row r="1288" spans="1:3" x14ac:dyDescent="0.25">
      <c r="A1288" s="80" t="s">
        <v>145</v>
      </c>
      <c r="B1288" t="s">
        <v>559</v>
      </c>
      <c r="C1288">
        <v>1</v>
      </c>
    </row>
    <row r="1289" spans="1:3" x14ac:dyDescent="0.25">
      <c r="A1289" s="80" t="s">
        <v>145</v>
      </c>
      <c r="B1289" t="s">
        <v>560</v>
      </c>
      <c r="C1289">
        <v>-4138</v>
      </c>
    </row>
    <row r="1290" spans="1:3" x14ac:dyDescent="0.25">
      <c r="A1290" s="80" t="s">
        <v>145</v>
      </c>
      <c r="B1290" t="s">
        <v>561</v>
      </c>
      <c r="C1290">
        <v>1</v>
      </c>
    </row>
    <row r="1291" spans="1:3" x14ac:dyDescent="0.25">
      <c r="A1291" s="80" t="s">
        <v>145</v>
      </c>
      <c r="B1291" t="s">
        <v>562</v>
      </c>
      <c r="C1291">
        <v>2</v>
      </c>
    </row>
    <row r="1292" spans="1:3" x14ac:dyDescent="0.25">
      <c r="A1292" s="80" t="s">
        <v>145</v>
      </c>
      <c r="B1292" t="s">
        <v>582</v>
      </c>
      <c r="C1292">
        <v>2</v>
      </c>
    </row>
    <row r="1293" spans="1:3" x14ac:dyDescent="0.25">
      <c r="A1293" s="80" t="s">
        <v>145</v>
      </c>
      <c r="B1293" t="s">
        <v>583</v>
      </c>
      <c r="C1293">
        <v>4</v>
      </c>
    </row>
    <row r="1294" spans="1:3" x14ac:dyDescent="0.25">
      <c r="A1294" s="80" t="s">
        <v>145</v>
      </c>
      <c r="B1294" t="s">
        <v>584</v>
      </c>
      <c r="C1294" s="80" t="s">
        <v>585</v>
      </c>
    </row>
    <row r="1295" spans="1:3" x14ac:dyDescent="0.25">
      <c r="A1295" s="80" t="s">
        <v>145</v>
      </c>
      <c r="B1295" t="s">
        <v>586</v>
      </c>
      <c r="C1295">
        <v>1</v>
      </c>
    </row>
    <row r="1296" spans="1:3" x14ac:dyDescent="0.25">
      <c r="A1296" s="80" t="s">
        <v>145</v>
      </c>
      <c r="B1296" t="s">
        <v>587</v>
      </c>
      <c r="C1296" t="b">
        <v>1</v>
      </c>
    </row>
    <row r="1297" spans="1:3" x14ac:dyDescent="0.25">
      <c r="A1297" s="80" t="s">
        <v>145</v>
      </c>
      <c r="B1297" t="s">
        <v>588</v>
      </c>
      <c r="C1297" t="b">
        <v>1</v>
      </c>
    </row>
    <row r="1298" spans="1:3" x14ac:dyDescent="0.25">
      <c r="A1298" s="80" t="s">
        <v>145</v>
      </c>
      <c r="B1298" t="s">
        <v>589</v>
      </c>
      <c r="C1298" t="b">
        <v>1</v>
      </c>
    </row>
    <row r="1299" spans="1:3" x14ac:dyDescent="0.25">
      <c r="A1299" s="80" t="s">
        <v>145</v>
      </c>
      <c r="B1299" t="s">
        <v>590</v>
      </c>
      <c r="C1299" t="b">
        <v>1</v>
      </c>
    </row>
    <row r="1300" spans="1:3" x14ac:dyDescent="0.25">
      <c r="A1300" s="80" t="s">
        <v>146</v>
      </c>
      <c r="B1300" t="s">
        <v>173</v>
      </c>
      <c r="C1300" t="b">
        <v>0</v>
      </c>
    </row>
    <row r="1301" spans="1:3" x14ac:dyDescent="0.25">
      <c r="A1301" s="80" t="s">
        <v>146</v>
      </c>
      <c r="B1301" t="s">
        <v>555</v>
      </c>
      <c r="C1301" s="80" t="s">
        <v>632</v>
      </c>
    </row>
    <row r="1302" spans="1:3" x14ac:dyDescent="0.25">
      <c r="A1302" s="80" t="s">
        <v>146</v>
      </c>
      <c r="B1302" t="s">
        <v>566</v>
      </c>
      <c r="C1302">
        <v>13.14</v>
      </c>
    </row>
    <row r="1303" spans="1:3" x14ac:dyDescent="0.25">
      <c r="A1303" s="80" t="s">
        <v>146</v>
      </c>
      <c r="B1303" t="s">
        <v>557</v>
      </c>
      <c r="C1303" s="80" t="s">
        <v>578</v>
      </c>
    </row>
    <row r="1304" spans="1:3" x14ac:dyDescent="0.25">
      <c r="A1304" s="80" t="s">
        <v>146</v>
      </c>
      <c r="B1304" t="s">
        <v>559</v>
      </c>
      <c r="C1304">
        <v>1</v>
      </c>
    </row>
    <row r="1305" spans="1:3" x14ac:dyDescent="0.25">
      <c r="A1305" s="80" t="s">
        <v>146</v>
      </c>
      <c r="B1305" t="s">
        <v>560</v>
      </c>
      <c r="C1305">
        <v>2</v>
      </c>
    </row>
    <row r="1306" spans="1:3" x14ac:dyDescent="0.25">
      <c r="A1306" s="80" t="s">
        <v>146</v>
      </c>
      <c r="B1306" t="s">
        <v>561</v>
      </c>
      <c r="C1306">
        <v>1</v>
      </c>
    </row>
    <row r="1307" spans="1:3" x14ac:dyDescent="0.25">
      <c r="A1307" s="80" t="s">
        <v>146</v>
      </c>
      <c r="B1307" t="s">
        <v>562</v>
      </c>
      <c r="C1307">
        <v>-4138</v>
      </c>
    </row>
    <row r="1308" spans="1:3" x14ac:dyDescent="0.25">
      <c r="A1308" s="80" t="s">
        <v>146</v>
      </c>
      <c r="B1308" t="s">
        <v>582</v>
      </c>
      <c r="C1308">
        <v>2</v>
      </c>
    </row>
    <row r="1309" spans="1:3" x14ac:dyDescent="0.25">
      <c r="A1309" s="80" t="s">
        <v>146</v>
      </c>
      <c r="B1309" t="s">
        <v>583</v>
      </c>
      <c r="C1309">
        <v>4</v>
      </c>
    </row>
    <row r="1310" spans="1:3" x14ac:dyDescent="0.25">
      <c r="A1310" s="80" t="s">
        <v>146</v>
      </c>
      <c r="B1310" t="s">
        <v>584</v>
      </c>
      <c r="C1310" s="80" t="s">
        <v>585</v>
      </c>
    </row>
    <row r="1311" spans="1:3" x14ac:dyDescent="0.25">
      <c r="A1311" s="80" t="s">
        <v>146</v>
      </c>
      <c r="B1311" t="s">
        <v>586</v>
      </c>
      <c r="C1311">
        <v>1</v>
      </c>
    </row>
    <row r="1312" spans="1:3" x14ac:dyDescent="0.25">
      <c r="A1312" s="80" t="s">
        <v>146</v>
      </c>
      <c r="B1312" t="s">
        <v>587</v>
      </c>
      <c r="C1312" t="b">
        <v>1</v>
      </c>
    </row>
    <row r="1313" spans="1:3" x14ac:dyDescent="0.25">
      <c r="A1313" s="80" t="s">
        <v>146</v>
      </c>
      <c r="B1313" t="s">
        <v>588</v>
      </c>
      <c r="C1313" t="b">
        <v>1</v>
      </c>
    </row>
    <row r="1314" spans="1:3" x14ac:dyDescent="0.25">
      <c r="A1314" s="80" t="s">
        <v>146</v>
      </c>
      <c r="B1314" t="s">
        <v>589</v>
      </c>
      <c r="C1314" t="b">
        <v>1</v>
      </c>
    </row>
    <row r="1315" spans="1:3" x14ac:dyDescent="0.25">
      <c r="A1315" s="80" t="s">
        <v>146</v>
      </c>
      <c r="B1315" t="s">
        <v>590</v>
      </c>
      <c r="C1315" t="b">
        <v>1</v>
      </c>
    </row>
    <row r="1316" spans="1:3" x14ac:dyDescent="0.25">
      <c r="A1316" s="80" t="s">
        <v>147</v>
      </c>
      <c r="B1316" t="s">
        <v>173</v>
      </c>
      <c r="C1316" t="b">
        <v>0</v>
      </c>
    </row>
    <row r="1317" spans="1:3" x14ac:dyDescent="0.25">
      <c r="A1317" s="80" t="s">
        <v>147</v>
      </c>
      <c r="B1317" t="s">
        <v>555</v>
      </c>
      <c r="C1317" s="80" t="s">
        <v>633</v>
      </c>
    </row>
    <row r="1318" spans="1:3" x14ac:dyDescent="0.25">
      <c r="A1318" s="80" t="s">
        <v>147</v>
      </c>
      <c r="B1318" t="s">
        <v>576</v>
      </c>
      <c r="C1318" s="80" t="s">
        <v>634</v>
      </c>
    </row>
    <row r="1319" spans="1:3" x14ac:dyDescent="0.25">
      <c r="A1319" s="80" t="s">
        <v>147</v>
      </c>
      <c r="B1319" t="s">
        <v>566</v>
      </c>
      <c r="C1319">
        <v>14.71</v>
      </c>
    </row>
    <row r="1320" spans="1:3" x14ac:dyDescent="0.25">
      <c r="A1320" s="80" t="s">
        <v>147</v>
      </c>
      <c r="B1320" t="s">
        <v>557</v>
      </c>
      <c r="C1320" s="80" t="s">
        <v>578</v>
      </c>
    </row>
    <row r="1321" spans="1:3" x14ac:dyDescent="0.25">
      <c r="A1321" s="80" t="s">
        <v>147</v>
      </c>
      <c r="B1321" t="s">
        <v>559</v>
      </c>
      <c r="C1321">
        <v>1</v>
      </c>
    </row>
    <row r="1322" spans="1:3" x14ac:dyDescent="0.25">
      <c r="A1322" s="80" t="s">
        <v>147</v>
      </c>
      <c r="B1322" t="s">
        <v>560</v>
      </c>
      <c r="C1322">
        <v>-4138</v>
      </c>
    </row>
    <row r="1323" spans="1:3" x14ac:dyDescent="0.25">
      <c r="A1323" s="80" t="s">
        <v>147</v>
      </c>
      <c r="B1323" t="s">
        <v>561</v>
      </c>
      <c r="C1323">
        <v>1</v>
      </c>
    </row>
    <row r="1324" spans="1:3" x14ac:dyDescent="0.25">
      <c r="A1324" s="80" t="s">
        <v>147</v>
      </c>
      <c r="B1324" t="s">
        <v>562</v>
      </c>
      <c r="C1324">
        <v>-4138</v>
      </c>
    </row>
    <row r="1325" spans="1:3" x14ac:dyDescent="0.25">
      <c r="A1325" s="80" t="s">
        <v>148</v>
      </c>
      <c r="B1325" t="s">
        <v>173</v>
      </c>
      <c r="C1325" t="b">
        <v>0</v>
      </c>
    </row>
    <row r="1326" spans="1:3" x14ac:dyDescent="0.25">
      <c r="A1326" s="80" t="s">
        <v>148</v>
      </c>
      <c r="B1326" t="s">
        <v>555</v>
      </c>
      <c r="C1326" s="80" t="s">
        <v>635</v>
      </c>
    </row>
    <row r="1327" spans="1:3" x14ac:dyDescent="0.25">
      <c r="A1327" s="80" t="s">
        <v>148</v>
      </c>
      <c r="B1327" t="s">
        <v>566</v>
      </c>
      <c r="C1327">
        <v>13.29</v>
      </c>
    </row>
    <row r="1328" spans="1:3" x14ac:dyDescent="0.25">
      <c r="A1328" s="80" t="s">
        <v>148</v>
      </c>
      <c r="B1328" t="s">
        <v>557</v>
      </c>
      <c r="C1328" s="80" t="s">
        <v>578</v>
      </c>
    </row>
    <row r="1329" spans="1:3" x14ac:dyDescent="0.25">
      <c r="A1329" s="80" t="s">
        <v>148</v>
      </c>
      <c r="B1329" t="s">
        <v>559</v>
      </c>
      <c r="C1329">
        <v>1</v>
      </c>
    </row>
    <row r="1330" spans="1:3" x14ac:dyDescent="0.25">
      <c r="A1330" s="80" t="s">
        <v>148</v>
      </c>
      <c r="B1330" t="s">
        <v>560</v>
      </c>
      <c r="C1330">
        <v>-4138</v>
      </c>
    </row>
    <row r="1331" spans="1:3" x14ac:dyDescent="0.25">
      <c r="A1331" s="80" t="s">
        <v>148</v>
      </c>
      <c r="B1331" t="s">
        <v>561</v>
      </c>
      <c r="C1331">
        <v>1</v>
      </c>
    </row>
    <row r="1332" spans="1:3" x14ac:dyDescent="0.25">
      <c r="A1332" s="80" t="s">
        <v>148</v>
      </c>
      <c r="B1332" t="s">
        <v>562</v>
      </c>
      <c r="C1332">
        <v>2</v>
      </c>
    </row>
    <row r="1333" spans="1:3" x14ac:dyDescent="0.25">
      <c r="A1333" s="80" t="s">
        <v>148</v>
      </c>
      <c r="B1333" t="s">
        <v>582</v>
      </c>
      <c r="C1333">
        <v>2</v>
      </c>
    </row>
    <row r="1334" spans="1:3" x14ac:dyDescent="0.25">
      <c r="A1334" s="80" t="s">
        <v>148</v>
      </c>
      <c r="B1334" t="s">
        <v>583</v>
      </c>
      <c r="C1334">
        <v>4</v>
      </c>
    </row>
    <row r="1335" spans="1:3" x14ac:dyDescent="0.25">
      <c r="A1335" s="80" t="s">
        <v>148</v>
      </c>
      <c r="B1335" t="s">
        <v>584</v>
      </c>
      <c r="C1335" s="80" t="s">
        <v>585</v>
      </c>
    </row>
    <row r="1336" spans="1:3" x14ac:dyDescent="0.25">
      <c r="A1336" s="80" t="s">
        <v>148</v>
      </c>
      <c r="B1336" t="s">
        <v>586</v>
      </c>
      <c r="C1336">
        <v>1</v>
      </c>
    </row>
    <row r="1337" spans="1:3" x14ac:dyDescent="0.25">
      <c r="A1337" s="80" t="s">
        <v>148</v>
      </c>
      <c r="B1337" t="s">
        <v>587</v>
      </c>
      <c r="C1337" t="b">
        <v>1</v>
      </c>
    </row>
    <row r="1338" spans="1:3" x14ac:dyDescent="0.25">
      <c r="A1338" s="80" t="s">
        <v>148</v>
      </c>
      <c r="B1338" t="s">
        <v>588</v>
      </c>
      <c r="C1338" t="b">
        <v>1</v>
      </c>
    </row>
    <row r="1339" spans="1:3" x14ac:dyDescent="0.25">
      <c r="A1339" s="80" t="s">
        <v>148</v>
      </c>
      <c r="B1339" t="s">
        <v>589</v>
      </c>
      <c r="C1339" t="b">
        <v>1</v>
      </c>
    </row>
    <row r="1340" spans="1:3" x14ac:dyDescent="0.25">
      <c r="A1340" s="80" t="s">
        <v>148</v>
      </c>
      <c r="B1340" t="s">
        <v>590</v>
      </c>
      <c r="C1340" t="b">
        <v>1</v>
      </c>
    </row>
    <row r="1341" spans="1:3" x14ac:dyDescent="0.25">
      <c r="A1341" s="80" t="s">
        <v>149</v>
      </c>
      <c r="B1341" t="s">
        <v>173</v>
      </c>
      <c r="C1341" t="b">
        <v>0</v>
      </c>
    </row>
    <row r="1342" spans="1:3" x14ac:dyDescent="0.25">
      <c r="A1342" s="80" t="s">
        <v>149</v>
      </c>
      <c r="B1342" t="s">
        <v>555</v>
      </c>
      <c r="C1342" s="80" t="s">
        <v>636</v>
      </c>
    </row>
    <row r="1343" spans="1:3" x14ac:dyDescent="0.25">
      <c r="A1343" s="80" t="s">
        <v>149</v>
      </c>
      <c r="B1343" t="s">
        <v>566</v>
      </c>
      <c r="C1343">
        <v>13.14</v>
      </c>
    </row>
    <row r="1344" spans="1:3" x14ac:dyDescent="0.25">
      <c r="A1344" s="80" t="s">
        <v>149</v>
      </c>
      <c r="B1344" t="s">
        <v>557</v>
      </c>
      <c r="C1344" s="80" t="s">
        <v>578</v>
      </c>
    </row>
    <row r="1345" spans="1:3" x14ac:dyDescent="0.25">
      <c r="A1345" s="80" t="s">
        <v>149</v>
      </c>
      <c r="B1345" t="s">
        <v>559</v>
      </c>
      <c r="C1345">
        <v>1</v>
      </c>
    </row>
    <row r="1346" spans="1:3" x14ac:dyDescent="0.25">
      <c r="A1346" s="80" t="s">
        <v>149</v>
      </c>
      <c r="B1346" t="s">
        <v>560</v>
      </c>
      <c r="C1346">
        <v>2</v>
      </c>
    </row>
    <row r="1347" spans="1:3" x14ac:dyDescent="0.25">
      <c r="A1347" s="80" t="s">
        <v>149</v>
      </c>
      <c r="B1347" t="s">
        <v>561</v>
      </c>
      <c r="C1347">
        <v>1</v>
      </c>
    </row>
    <row r="1348" spans="1:3" x14ac:dyDescent="0.25">
      <c r="A1348" s="80" t="s">
        <v>149</v>
      </c>
      <c r="B1348" t="s">
        <v>562</v>
      </c>
      <c r="C1348">
        <v>-4138</v>
      </c>
    </row>
    <row r="1349" spans="1:3" x14ac:dyDescent="0.25">
      <c r="A1349" s="80" t="s">
        <v>149</v>
      </c>
      <c r="B1349" t="s">
        <v>582</v>
      </c>
      <c r="C1349">
        <v>2</v>
      </c>
    </row>
    <row r="1350" spans="1:3" x14ac:dyDescent="0.25">
      <c r="A1350" s="80" t="s">
        <v>149</v>
      </c>
      <c r="B1350" t="s">
        <v>583</v>
      </c>
      <c r="C1350">
        <v>4</v>
      </c>
    </row>
    <row r="1351" spans="1:3" x14ac:dyDescent="0.25">
      <c r="A1351" s="80" t="s">
        <v>149</v>
      </c>
      <c r="B1351" t="s">
        <v>584</v>
      </c>
      <c r="C1351" s="80" t="s">
        <v>585</v>
      </c>
    </row>
    <row r="1352" spans="1:3" x14ac:dyDescent="0.25">
      <c r="A1352" s="80" t="s">
        <v>149</v>
      </c>
      <c r="B1352" t="s">
        <v>586</v>
      </c>
      <c r="C1352">
        <v>1</v>
      </c>
    </row>
    <row r="1353" spans="1:3" x14ac:dyDescent="0.25">
      <c r="A1353" s="80" t="s">
        <v>149</v>
      </c>
      <c r="B1353" t="s">
        <v>587</v>
      </c>
      <c r="C1353" t="b">
        <v>1</v>
      </c>
    </row>
    <row r="1354" spans="1:3" x14ac:dyDescent="0.25">
      <c r="A1354" s="80" t="s">
        <v>149</v>
      </c>
      <c r="B1354" t="s">
        <v>588</v>
      </c>
      <c r="C1354" t="b">
        <v>1</v>
      </c>
    </row>
    <row r="1355" spans="1:3" x14ac:dyDescent="0.25">
      <c r="A1355" s="80" t="s">
        <v>149</v>
      </c>
      <c r="B1355" t="s">
        <v>589</v>
      </c>
      <c r="C1355" t="b">
        <v>1</v>
      </c>
    </row>
    <row r="1356" spans="1:3" x14ac:dyDescent="0.25">
      <c r="A1356" s="80" t="s">
        <v>149</v>
      </c>
      <c r="B1356" t="s">
        <v>590</v>
      </c>
      <c r="C1356" t="b">
        <v>1</v>
      </c>
    </row>
    <row r="1357" spans="1:3" x14ac:dyDescent="0.25">
      <c r="A1357" s="80" t="s">
        <v>150</v>
      </c>
      <c r="B1357" t="s">
        <v>173</v>
      </c>
      <c r="C1357" t="b">
        <v>0</v>
      </c>
    </row>
    <row r="1358" spans="1:3" x14ac:dyDescent="0.25">
      <c r="A1358" s="80" t="s">
        <v>150</v>
      </c>
      <c r="B1358" t="s">
        <v>555</v>
      </c>
      <c r="C1358" s="80" t="s">
        <v>637</v>
      </c>
    </row>
    <row r="1359" spans="1:3" x14ac:dyDescent="0.25">
      <c r="A1359" s="80" t="s">
        <v>150</v>
      </c>
      <c r="B1359" t="s">
        <v>576</v>
      </c>
      <c r="C1359" s="80" t="s">
        <v>638</v>
      </c>
    </row>
    <row r="1360" spans="1:3" x14ac:dyDescent="0.25">
      <c r="A1360" s="80" t="s">
        <v>150</v>
      </c>
      <c r="B1360" t="s">
        <v>566</v>
      </c>
      <c r="C1360">
        <v>14.71</v>
      </c>
    </row>
    <row r="1361" spans="1:3" x14ac:dyDescent="0.25">
      <c r="A1361" s="80" t="s">
        <v>150</v>
      </c>
      <c r="B1361" t="s">
        <v>557</v>
      </c>
      <c r="C1361" s="80" t="s">
        <v>578</v>
      </c>
    </row>
    <row r="1362" spans="1:3" x14ac:dyDescent="0.25">
      <c r="A1362" s="80" t="s">
        <v>150</v>
      </c>
      <c r="B1362" t="s">
        <v>559</v>
      </c>
      <c r="C1362">
        <v>1</v>
      </c>
    </row>
    <row r="1363" spans="1:3" x14ac:dyDescent="0.25">
      <c r="A1363" s="80" t="s">
        <v>150</v>
      </c>
      <c r="B1363" t="s">
        <v>560</v>
      </c>
      <c r="C1363">
        <v>-4138</v>
      </c>
    </row>
    <row r="1364" spans="1:3" x14ac:dyDescent="0.25">
      <c r="A1364" s="80" t="s">
        <v>150</v>
      </c>
      <c r="B1364" t="s">
        <v>561</v>
      </c>
      <c r="C1364">
        <v>1</v>
      </c>
    </row>
    <row r="1365" spans="1:3" x14ac:dyDescent="0.25">
      <c r="A1365" s="80" t="s">
        <v>150</v>
      </c>
      <c r="B1365" t="s">
        <v>562</v>
      </c>
      <c r="C1365">
        <v>-4138</v>
      </c>
    </row>
    <row r="1366" spans="1:3" x14ac:dyDescent="0.25">
      <c r="A1366" s="80" t="s">
        <v>151</v>
      </c>
      <c r="B1366" t="s">
        <v>173</v>
      </c>
      <c r="C1366" t="b">
        <v>1</v>
      </c>
    </row>
    <row r="1367" spans="1:3" x14ac:dyDescent="0.25">
      <c r="A1367" s="80" t="s">
        <v>151</v>
      </c>
      <c r="B1367" t="s">
        <v>555</v>
      </c>
      <c r="C1367" s="80" t="s">
        <v>639</v>
      </c>
    </row>
    <row r="1368" spans="1:3" x14ac:dyDescent="0.25">
      <c r="A1368" s="80" t="s">
        <v>151</v>
      </c>
      <c r="B1368" t="s">
        <v>557</v>
      </c>
      <c r="C1368" s="80" t="s">
        <v>558</v>
      </c>
    </row>
    <row r="1369" spans="1:3" x14ac:dyDescent="0.25">
      <c r="A1369" s="80" t="s">
        <v>151</v>
      </c>
      <c r="B1369" t="s">
        <v>559</v>
      </c>
      <c r="C1369">
        <v>1</v>
      </c>
    </row>
    <row r="1370" spans="1:3" x14ac:dyDescent="0.25">
      <c r="A1370" s="80" t="s">
        <v>151</v>
      </c>
      <c r="B1370" t="s">
        <v>560</v>
      </c>
      <c r="C1370">
        <v>-4138</v>
      </c>
    </row>
    <row r="1371" spans="1:3" x14ac:dyDescent="0.25">
      <c r="A1371" s="80" t="s">
        <v>151</v>
      </c>
      <c r="B1371" t="s">
        <v>561</v>
      </c>
      <c r="C1371">
        <v>1</v>
      </c>
    </row>
    <row r="1372" spans="1:3" x14ac:dyDescent="0.25">
      <c r="A1372" s="80" t="s">
        <v>151</v>
      </c>
      <c r="B1372" t="s">
        <v>562</v>
      </c>
      <c r="C1372">
        <v>-4138</v>
      </c>
    </row>
    <row r="1373" spans="1:3" x14ac:dyDescent="0.25">
      <c r="A1373" s="80" t="s">
        <v>545</v>
      </c>
      <c r="B1373" t="s">
        <v>173</v>
      </c>
      <c r="C1373" t="b">
        <v>1</v>
      </c>
    </row>
    <row r="1374" spans="1:3" x14ac:dyDescent="0.25">
      <c r="A1374" s="80" t="s">
        <v>545</v>
      </c>
      <c r="B1374" t="s">
        <v>555</v>
      </c>
      <c r="C1374" s="80" t="s">
        <v>640</v>
      </c>
    </row>
    <row r="1375" spans="1:3" x14ac:dyDescent="0.25">
      <c r="A1375" s="80" t="s">
        <v>545</v>
      </c>
      <c r="B1375" t="s">
        <v>557</v>
      </c>
      <c r="C1375" s="80" t="s">
        <v>642</v>
      </c>
    </row>
    <row r="1376" spans="1:3" x14ac:dyDescent="0.25">
      <c r="A1376" s="80" t="s">
        <v>545</v>
      </c>
      <c r="B1376" t="s">
        <v>559</v>
      </c>
      <c r="C1376">
        <v>1</v>
      </c>
    </row>
    <row r="1377" spans="1:3" x14ac:dyDescent="0.25">
      <c r="A1377" s="80" t="s">
        <v>545</v>
      </c>
      <c r="B1377" t="s">
        <v>560</v>
      </c>
      <c r="C1377">
        <v>-4138</v>
      </c>
    </row>
    <row r="1378" spans="1:3" x14ac:dyDescent="0.25">
      <c r="A1378" s="80" t="s">
        <v>545</v>
      </c>
      <c r="B1378" t="s">
        <v>561</v>
      </c>
      <c r="C1378">
        <v>1</v>
      </c>
    </row>
    <row r="1379" spans="1:3" x14ac:dyDescent="0.25">
      <c r="A1379" s="80" t="s">
        <v>545</v>
      </c>
      <c r="B1379" t="s">
        <v>562</v>
      </c>
      <c r="C1379">
        <v>-4138</v>
      </c>
    </row>
    <row r="1380" spans="1:3" x14ac:dyDescent="0.25">
      <c r="A1380" s="80" t="s">
        <v>152</v>
      </c>
      <c r="B1380" t="s">
        <v>173</v>
      </c>
      <c r="C1380" t="b">
        <v>1</v>
      </c>
    </row>
    <row r="1381" spans="1:3" x14ac:dyDescent="0.25">
      <c r="A1381" s="80" t="s">
        <v>152</v>
      </c>
      <c r="B1381" t="s">
        <v>555</v>
      </c>
      <c r="C1381" s="80" t="s">
        <v>641</v>
      </c>
    </row>
    <row r="1382" spans="1:3" x14ac:dyDescent="0.25">
      <c r="A1382" s="80" t="s">
        <v>152</v>
      </c>
      <c r="B1382" t="s">
        <v>557</v>
      </c>
      <c r="C1382" s="80" t="s">
        <v>568</v>
      </c>
    </row>
    <row r="1383" spans="1:3" x14ac:dyDescent="0.25">
      <c r="A1383" s="80" t="s">
        <v>152</v>
      </c>
      <c r="B1383" t="s">
        <v>559</v>
      </c>
      <c r="C1383">
        <v>1</v>
      </c>
    </row>
    <row r="1384" spans="1:3" x14ac:dyDescent="0.25">
      <c r="A1384" s="80" t="s">
        <v>152</v>
      </c>
      <c r="B1384" t="s">
        <v>560</v>
      </c>
      <c r="C1384">
        <v>-4138</v>
      </c>
    </row>
    <row r="1385" spans="1:3" x14ac:dyDescent="0.25">
      <c r="A1385" s="80" t="s">
        <v>153</v>
      </c>
      <c r="B1385" t="s">
        <v>173</v>
      </c>
      <c r="C1385" t="b">
        <v>1</v>
      </c>
    </row>
    <row r="1386" spans="1:3" x14ac:dyDescent="0.25">
      <c r="A1386" s="80" t="s">
        <v>153</v>
      </c>
      <c r="B1386" t="s">
        <v>555</v>
      </c>
      <c r="C1386" s="80" t="s">
        <v>670</v>
      </c>
    </row>
    <row r="1387" spans="1:3" x14ac:dyDescent="0.25">
      <c r="A1387" s="80" t="s">
        <v>153</v>
      </c>
      <c r="B1387" t="s">
        <v>557</v>
      </c>
      <c r="C1387" s="80" t="s">
        <v>642</v>
      </c>
    </row>
    <row r="1388" spans="1:3" x14ac:dyDescent="0.25">
      <c r="A1388" s="80" t="s">
        <v>153</v>
      </c>
      <c r="B1388" t="s">
        <v>561</v>
      </c>
      <c r="C1388">
        <v>1</v>
      </c>
    </row>
    <row r="1389" spans="1:3" x14ac:dyDescent="0.25">
      <c r="A1389" s="80" t="s">
        <v>153</v>
      </c>
      <c r="B1389" t="s">
        <v>562</v>
      </c>
      <c r="C1389">
        <v>-4138</v>
      </c>
    </row>
    <row r="1390" spans="1:3" x14ac:dyDescent="0.25">
      <c r="A1390" s="80" t="s">
        <v>101</v>
      </c>
      <c r="B1390" t="s">
        <v>643</v>
      </c>
      <c r="C1390" t="b">
        <v>1</v>
      </c>
    </row>
    <row r="1391" spans="1:3" x14ac:dyDescent="0.25">
      <c r="A1391" s="80" t="s">
        <v>101</v>
      </c>
      <c r="B1391" t="s">
        <v>644</v>
      </c>
      <c r="C1391" s="80" t="s">
        <v>671</v>
      </c>
    </row>
    <row r="1392" spans="1:3" x14ac:dyDescent="0.25">
      <c r="A1392" s="80" t="s">
        <v>101</v>
      </c>
      <c r="B1392" t="s">
        <v>645</v>
      </c>
      <c r="C1392">
        <v>2</v>
      </c>
    </row>
    <row r="1393" spans="1:3" x14ac:dyDescent="0.25">
      <c r="A1393" s="80" t="s">
        <v>101</v>
      </c>
      <c r="B1393" t="s">
        <v>646</v>
      </c>
      <c r="C1393">
        <v>1</v>
      </c>
    </row>
    <row r="1394" spans="1:3" x14ac:dyDescent="0.25">
      <c r="A1394" s="80" t="s">
        <v>101</v>
      </c>
      <c r="B1394" t="s">
        <v>647</v>
      </c>
      <c r="C1394" s="80" t="s">
        <v>648</v>
      </c>
    </row>
    <row r="1395" spans="1:3" x14ac:dyDescent="0.25">
      <c r="A1395" s="80" t="s">
        <v>101</v>
      </c>
      <c r="B1395" t="s">
        <v>649</v>
      </c>
      <c r="C1395" t="b">
        <v>1</v>
      </c>
    </row>
    <row r="1396" spans="1:3" x14ac:dyDescent="0.25">
      <c r="A1396" s="80" t="s">
        <v>169</v>
      </c>
      <c r="B1396" t="s">
        <v>650</v>
      </c>
      <c r="C1396">
        <v>10498160</v>
      </c>
    </row>
    <row r="1397" spans="1:3" x14ac:dyDescent="0.25">
      <c r="A1397" s="80" t="s">
        <v>169</v>
      </c>
      <c r="B1397" t="s">
        <v>651</v>
      </c>
      <c r="C1397" t="b">
        <v>0</v>
      </c>
    </row>
    <row r="1398" spans="1:3" x14ac:dyDescent="0.25">
      <c r="A1398" s="80" t="s">
        <v>169</v>
      </c>
      <c r="B1398" t="s">
        <v>652</v>
      </c>
      <c r="C1398" t="b">
        <v>1</v>
      </c>
    </row>
    <row r="1399" spans="1:3" x14ac:dyDescent="0.25">
      <c r="A1399" s="80" t="s">
        <v>169</v>
      </c>
      <c r="B1399" t="s">
        <v>653</v>
      </c>
      <c r="C1399" t="b">
        <v>1</v>
      </c>
    </row>
    <row r="1400" spans="1:3" x14ac:dyDescent="0.25">
      <c r="A1400" s="80" t="s">
        <v>169</v>
      </c>
      <c r="B1400" t="s">
        <v>654</v>
      </c>
      <c r="C1400">
        <v>-1</v>
      </c>
    </row>
    <row r="1401" spans="1:3" x14ac:dyDescent="0.25">
      <c r="A1401" s="80" t="s">
        <v>169</v>
      </c>
      <c r="B1401" t="s">
        <v>655</v>
      </c>
      <c r="C1401">
        <v>10</v>
      </c>
    </row>
    <row r="1402" spans="1:3" x14ac:dyDescent="0.25">
      <c r="A1402" s="80" t="s">
        <v>169</v>
      </c>
      <c r="B1402" t="s">
        <v>656</v>
      </c>
      <c r="C1402">
        <v>2</v>
      </c>
    </row>
    <row r="1403" spans="1:3" x14ac:dyDescent="0.25">
      <c r="A1403" s="80" t="s">
        <v>169</v>
      </c>
      <c r="B1403" t="s">
        <v>657</v>
      </c>
      <c r="C1403">
        <v>1</v>
      </c>
    </row>
    <row r="1404" spans="1:3" x14ac:dyDescent="0.25">
      <c r="A1404" s="80" t="s">
        <v>169</v>
      </c>
      <c r="B1404" t="s">
        <v>658</v>
      </c>
      <c r="C1404">
        <v>1</v>
      </c>
    </row>
    <row r="1405" spans="1:3" x14ac:dyDescent="0.25">
      <c r="A1405" s="80" t="s">
        <v>169</v>
      </c>
      <c r="B1405" t="s">
        <v>659</v>
      </c>
      <c r="C1405">
        <v>1</v>
      </c>
    </row>
    <row r="1406" spans="1:3" x14ac:dyDescent="0.25">
      <c r="A1406" t="s">
        <v>660</v>
      </c>
    </row>
    <row r="1407" spans="1:3" x14ac:dyDescent="0.25">
      <c r="A1407" t="s">
        <v>662</v>
      </c>
    </row>
    <row r="1410" spans="1:3" x14ac:dyDescent="0.25">
      <c r="A1410">
        <v>26</v>
      </c>
    </row>
    <row r="1411" spans="1:3" x14ac:dyDescent="0.25">
      <c r="A1411" t="s">
        <v>663</v>
      </c>
    </row>
    <row r="1412" spans="1:3" x14ac:dyDescent="0.25">
      <c r="A1412" t="s">
        <v>667</v>
      </c>
    </row>
    <row r="1413" spans="1:3" x14ac:dyDescent="0.25">
      <c r="A1413" s="80" t="s">
        <v>169</v>
      </c>
      <c r="B1413" t="s">
        <v>170</v>
      </c>
      <c r="C1413" s="80" t="s">
        <v>202</v>
      </c>
    </row>
    <row r="1414" spans="1:3" x14ac:dyDescent="0.25">
      <c r="A1414" s="80" t="s">
        <v>169</v>
      </c>
      <c r="B1414" t="s">
        <v>172</v>
      </c>
      <c r="C1414" t="b">
        <v>0</v>
      </c>
    </row>
    <row r="1415" spans="1:3" x14ac:dyDescent="0.25">
      <c r="A1415" s="80" t="s">
        <v>169</v>
      </c>
      <c r="B1415" t="s">
        <v>549</v>
      </c>
      <c r="C1415" s="80" t="s">
        <v>550</v>
      </c>
    </row>
    <row r="1416" spans="1:3" x14ac:dyDescent="0.25">
      <c r="A1416" s="80" t="s">
        <v>169</v>
      </c>
      <c r="B1416" t="s">
        <v>551</v>
      </c>
      <c r="C1416" t="b">
        <v>0</v>
      </c>
    </row>
    <row r="1417" spans="1:3" x14ac:dyDescent="0.25">
      <c r="A1417" s="80" t="s">
        <v>169</v>
      </c>
      <c r="B1417" t="s">
        <v>552</v>
      </c>
      <c r="C1417" t="b">
        <v>0</v>
      </c>
    </row>
    <row r="1418" spans="1:3" x14ac:dyDescent="0.25">
      <c r="A1418" s="80" t="s">
        <v>169</v>
      </c>
      <c r="B1418" t="s">
        <v>553</v>
      </c>
      <c r="C1418" t="b">
        <v>0</v>
      </c>
    </row>
    <row r="1419" spans="1:3" x14ac:dyDescent="0.25">
      <c r="A1419" s="80" t="s">
        <v>169</v>
      </c>
      <c r="B1419" t="s">
        <v>554</v>
      </c>
      <c r="C1419" t="b">
        <v>0</v>
      </c>
    </row>
    <row r="1420" spans="1:3" x14ac:dyDescent="0.25">
      <c r="A1420" s="80" t="s">
        <v>101</v>
      </c>
      <c r="B1420" t="s">
        <v>173</v>
      </c>
      <c r="C1420" t="b">
        <v>1</v>
      </c>
    </row>
    <row r="1421" spans="1:3" x14ac:dyDescent="0.25">
      <c r="A1421" s="80" t="s">
        <v>101</v>
      </c>
      <c r="B1421" t="s">
        <v>555</v>
      </c>
      <c r="C1421" s="80" t="s">
        <v>556</v>
      </c>
    </row>
    <row r="1422" spans="1:3" x14ac:dyDescent="0.25">
      <c r="A1422" s="80" t="s">
        <v>101</v>
      </c>
      <c r="B1422" t="s">
        <v>557</v>
      </c>
      <c r="C1422" s="80" t="s">
        <v>558</v>
      </c>
    </row>
    <row r="1423" spans="1:3" x14ac:dyDescent="0.25">
      <c r="A1423" s="80" t="s">
        <v>101</v>
      </c>
      <c r="B1423" t="s">
        <v>559</v>
      </c>
      <c r="C1423">
        <v>1</v>
      </c>
    </row>
    <row r="1424" spans="1:3" x14ac:dyDescent="0.25">
      <c r="A1424" s="80" t="s">
        <v>101</v>
      </c>
      <c r="B1424" t="s">
        <v>560</v>
      </c>
      <c r="C1424">
        <v>-4138</v>
      </c>
    </row>
    <row r="1425" spans="1:3" x14ac:dyDescent="0.25">
      <c r="A1425" s="80" t="s">
        <v>101</v>
      </c>
      <c r="B1425" t="s">
        <v>561</v>
      </c>
      <c r="C1425">
        <v>1</v>
      </c>
    </row>
    <row r="1426" spans="1:3" x14ac:dyDescent="0.25">
      <c r="A1426" s="80" t="s">
        <v>101</v>
      </c>
      <c r="B1426" t="s">
        <v>562</v>
      </c>
      <c r="C1426">
        <v>-4138</v>
      </c>
    </row>
    <row r="1427" spans="1:3" x14ac:dyDescent="0.25">
      <c r="A1427" s="80" t="s">
        <v>102</v>
      </c>
      <c r="B1427" t="s">
        <v>173</v>
      </c>
      <c r="C1427" t="b">
        <v>1</v>
      </c>
    </row>
    <row r="1428" spans="1:3" x14ac:dyDescent="0.25">
      <c r="A1428" s="80" t="s">
        <v>102</v>
      </c>
      <c r="B1428" t="s">
        <v>555</v>
      </c>
      <c r="C1428" s="80" t="s">
        <v>563</v>
      </c>
    </row>
    <row r="1429" spans="1:3" x14ac:dyDescent="0.25">
      <c r="A1429" s="80" t="s">
        <v>102</v>
      </c>
      <c r="B1429" t="s">
        <v>557</v>
      </c>
      <c r="C1429" s="80" t="s">
        <v>558</v>
      </c>
    </row>
    <row r="1430" spans="1:3" x14ac:dyDescent="0.25">
      <c r="A1430" s="80" t="s">
        <v>102</v>
      </c>
      <c r="B1430" t="s">
        <v>559</v>
      </c>
      <c r="C1430">
        <v>1</v>
      </c>
    </row>
    <row r="1431" spans="1:3" x14ac:dyDescent="0.25">
      <c r="A1431" s="80" t="s">
        <v>102</v>
      </c>
      <c r="B1431" t="s">
        <v>560</v>
      </c>
      <c r="C1431">
        <v>-4138</v>
      </c>
    </row>
    <row r="1432" spans="1:3" x14ac:dyDescent="0.25">
      <c r="A1432" s="80" t="s">
        <v>103</v>
      </c>
      <c r="B1432" t="s">
        <v>173</v>
      </c>
      <c r="C1432" t="b">
        <v>1</v>
      </c>
    </row>
    <row r="1433" spans="1:3" x14ac:dyDescent="0.25">
      <c r="A1433" s="80" t="s">
        <v>103</v>
      </c>
      <c r="B1433" t="s">
        <v>555</v>
      </c>
      <c r="C1433" s="80" t="s">
        <v>564</v>
      </c>
    </row>
    <row r="1434" spans="1:3" x14ac:dyDescent="0.25">
      <c r="A1434" s="80" t="s">
        <v>103</v>
      </c>
      <c r="B1434" t="s">
        <v>557</v>
      </c>
      <c r="C1434" s="80" t="s">
        <v>558</v>
      </c>
    </row>
    <row r="1435" spans="1:3" x14ac:dyDescent="0.25">
      <c r="A1435" s="80" t="s">
        <v>103</v>
      </c>
      <c r="B1435" t="s">
        <v>561</v>
      </c>
      <c r="C1435">
        <v>1</v>
      </c>
    </row>
    <row r="1436" spans="1:3" x14ac:dyDescent="0.25">
      <c r="A1436" s="80" t="s">
        <v>103</v>
      </c>
      <c r="B1436" t="s">
        <v>562</v>
      </c>
      <c r="C1436">
        <v>-4138</v>
      </c>
    </row>
    <row r="1437" spans="1:3" x14ac:dyDescent="0.25">
      <c r="A1437" s="80" t="s">
        <v>104</v>
      </c>
      <c r="B1437" t="s">
        <v>173</v>
      </c>
      <c r="C1437" t="b">
        <v>0</v>
      </c>
    </row>
    <row r="1438" spans="1:3" x14ac:dyDescent="0.25">
      <c r="A1438" s="80" t="s">
        <v>104</v>
      </c>
      <c r="B1438" t="s">
        <v>555</v>
      </c>
      <c r="C1438" s="80" t="s">
        <v>565</v>
      </c>
    </row>
    <row r="1439" spans="1:3" x14ac:dyDescent="0.25">
      <c r="A1439" s="80" t="s">
        <v>104</v>
      </c>
      <c r="B1439" t="s">
        <v>566</v>
      </c>
      <c r="C1439">
        <v>42.14</v>
      </c>
    </row>
    <row r="1440" spans="1:3" x14ac:dyDescent="0.25">
      <c r="A1440" s="80" t="s">
        <v>104</v>
      </c>
      <c r="B1440" t="s">
        <v>557</v>
      </c>
      <c r="C1440" s="80" t="s">
        <v>558</v>
      </c>
    </row>
    <row r="1441" spans="1:3" x14ac:dyDescent="0.25">
      <c r="A1441" s="80" t="s">
        <v>104</v>
      </c>
      <c r="B1441" t="s">
        <v>559</v>
      </c>
      <c r="C1441">
        <v>1</v>
      </c>
    </row>
    <row r="1442" spans="1:3" x14ac:dyDescent="0.25">
      <c r="A1442" s="80" t="s">
        <v>104</v>
      </c>
      <c r="B1442" t="s">
        <v>560</v>
      </c>
      <c r="C1442">
        <v>-4138</v>
      </c>
    </row>
    <row r="1443" spans="1:3" x14ac:dyDescent="0.25">
      <c r="A1443" s="80" t="s">
        <v>104</v>
      </c>
      <c r="B1443" t="s">
        <v>561</v>
      </c>
      <c r="C1443">
        <v>1</v>
      </c>
    </row>
    <row r="1444" spans="1:3" x14ac:dyDescent="0.25">
      <c r="A1444" s="80" t="s">
        <v>104</v>
      </c>
      <c r="B1444" t="s">
        <v>562</v>
      </c>
      <c r="C1444">
        <v>-4138</v>
      </c>
    </row>
    <row r="1445" spans="1:3" x14ac:dyDescent="0.25">
      <c r="A1445" s="80" t="s">
        <v>105</v>
      </c>
      <c r="B1445" t="s">
        <v>173</v>
      </c>
      <c r="C1445" t="b">
        <v>0</v>
      </c>
    </row>
    <row r="1446" spans="1:3" x14ac:dyDescent="0.25">
      <c r="A1446" s="80" t="s">
        <v>105</v>
      </c>
      <c r="B1446" t="s">
        <v>555</v>
      </c>
      <c r="C1446" s="80" t="s">
        <v>567</v>
      </c>
    </row>
    <row r="1447" spans="1:3" x14ac:dyDescent="0.25">
      <c r="A1447" s="80" t="s">
        <v>105</v>
      </c>
      <c r="B1447" t="s">
        <v>566</v>
      </c>
      <c r="C1447">
        <v>6.71</v>
      </c>
    </row>
    <row r="1448" spans="1:3" x14ac:dyDescent="0.25">
      <c r="A1448" s="80" t="s">
        <v>105</v>
      </c>
      <c r="B1448" t="s">
        <v>557</v>
      </c>
      <c r="C1448" s="80" t="s">
        <v>568</v>
      </c>
    </row>
    <row r="1449" spans="1:3" x14ac:dyDescent="0.25">
      <c r="A1449" s="80" t="s">
        <v>105</v>
      </c>
      <c r="B1449" t="s">
        <v>559</v>
      </c>
      <c r="C1449">
        <v>1</v>
      </c>
    </row>
    <row r="1450" spans="1:3" x14ac:dyDescent="0.25">
      <c r="A1450" s="80" t="s">
        <v>105</v>
      </c>
      <c r="B1450" t="s">
        <v>560</v>
      </c>
      <c r="C1450">
        <v>-4138</v>
      </c>
    </row>
    <row r="1451" spans="1:3" x14ac:dyDescent="0.25">
      <c r="A1451" s="80" t="s">
        <v>105</v>
      </c>
      <c r="B1451" t="s">
        <v>561</v>
      </c>
      <c r="C1451">
        <v>1</v>
      </c>
    </row>
    <row r="1452" spans="1:3" x14ac:dyDescent="0.25">
      <c r="A1452" s="80" t="s">
        <v>105</v>
      </c>
      <c r="B1452" t="s">
        <v>562</v>
      </c>
      <c r="C1452">
        <v>2</v>
      </c>
    </row>
    <row r="1453" spans="1:3" x14ac:dyDescent="0.25">
      <c r="A1453" s="80" t="s">
        <v>106</v>
      </c>
      <c r="B1453" t="s">
        <v>173</v>
      </c>
      <c r="C1453" t="b">
        <v>1</v>
      </c>
    </row>
    <row r="1454" spans="1:3" x14ac:dyDescent="0.25">
      <c r="A1454" s="80" t="s">
        <v>106</v>
      </c>
      <c r="B1454" t="s">
        <v>555</v>
      </c>
      <c r="C1454" s="80" t="s">
        <v>569</v>
      </c>
    </row>
    <row r="1455" spans="1:3" x14ac:dyDescent="0.25">
      <c r="A1455" s="80" t="s">
        <v>106</v>
      </c>
      <c r="B1455" t="s">
        <v>557</v>
      </c>
      <c r="C1455" s="80" t="s">
        <v>558</v>
      </c>
    </row>
    <row r="1456" spans="1:3" x14ac:dyDescent="0.25">
      <c r="A1456" s="80" t="s">
        <v>106</v>
      </c>
      <c r="B1456" t="s">
        <v>559</v>
      </c>
      <c r="C1456">
        <v>1</v>
      </c>
    </row>
    <row r="1457" spans="1:3" x14ac:dyDescent="0.25">
      <c r="A1457" s="80" t="s">
        <v>106</v>
      </c>
      <c r="B1457" t="s">
        <v>560</v>
      </c>
      <c r="C1457">
        <v>2</v>
      </c>
    </row>
    <row r="1458" spans="1:3" x14ac:dyDescent="0.25">
      <c r="A1458" s="80" t="s">
        <v>106</v>
      </c>
      <c r="B1458" t="s">
        <v>561</v>
      </c>
      <c r="C1458">
        <v>1</v>
      </c>
    </row>
    <row r="1459" spans="1:3" x14ac:dyDescent="0.25">
      <c r="A1459" s="80" t="s">
        <v>106</v>
      </c>
      <c r="B1459" t="s">
        <v>562</v>
      </c>
      <c r="C1459">
        <v>2</v>
      </c>
    </row>
    <row r="1460" spans="1:3" x14ac:dyDescent="0.25">
      <c r="A1460" s="80" t="s">
        <v>107</v>
      </c>
      <c r="B1460" t="s">
        <v>173</v>
      </c>
      <c r="C1460" t="b">
        <v>0</v>
      </c>
    </row>
    <row r="1461" spans="1:3" x14ac:dyDescent="0.25">
      <c r="A1461" s="80" t="s">
        <v>107</v>
      </c>
      <c r="B1461" t="s">
        <v>555</v>
      </c>
      <c r="C1461" s="80" t="s">
        <v>570</v>
      </c>
    </row>
    <row r="1462" spans="1:3" x14ac:dyDescent="0.25">
      <c r="A1462" s="80" t="s">
        <v>107</v>
      </c>
      <c r="B1462" t="s">
        <v>566</v>
      </c>
      <c r="C1462">
        <v>15</v>
      </c>
    </row>
    <row r="1463" spans="1:3" x14ac:dyDescent="0.25">
      <c r="A1463" s="80" t="s">
        <v>107</v>
      </c>
      <c r="B1463" t="s">
        <v>557</v>
      </c>
      <c r="C1463" s="80" t="s">
        <v>558</v>
      </c>
    </row>
    <row r="1464" spans="1:3" x14ac:dyDescent="0.25">
      <c r="A1464" s="80" t="s">
        <v>107</v>
      </c>
      <c r="B1464" t="s">
        <v>559</v>
      </c>
      <c r="C1464">
        <v>1</v>
      </c>
    </row>
    <row r="1465" spans="1:3" x14ac:dyDescent="0.25">
      <c r="A1465" s="80" t="s">
        <v>107</v>
      </c>
      <c r="B1465" t="s">
        <v>560</v>
      </c>
      <c r="C1465">
        <v>2</v>
      </c>
    </row>
    <row r="1466" spans="1:3" x14ac:dyDescent="0.25">
      <c r="A1466" s="80" t="s">
        <v>107</v>
      </c>
      <c r="B1466" t="s">
        <v>561</v>
      </c>
      <c r="C1466">
        <v>1</v>
      </c>
    </row>
    <row r="1467" spans="1:3" x14ac:dyDescent="0.25">
      <c r="A1467" s="80" t="s">
        <v>107</v>
      </c>
      <c r="B1467" t="s">
        <v>562</v>
      </c>
      <c r="C1467">
        <v>2</v>
      </c>
    </row>
    <row r="1468" spans="1:3" x14ac:dyDescent="0.25">
      <c r="A1468" s="80" t="s">
        <v>108</v>
      </c>
      <c r="B1468" t="s">
        <v>173</v>
      </c>
      <c r="C1468" t="b">
        <v>0</v>
      </c>
    </row>
    <row r="1469" spans="1:3" x14ac:dyDescent="0.25">
      <c r="A1469" s="80" t="s">
        <v>108</v>
      </c>
      <c r="B1469" t="s">
        <v>555</v>
      </c>
      <c r="C1469" s="80" t="s">
        <v>571</v>
      </c>
    </row>
    <row r="1470" spans="1:3" x14ac:dyDescent="0.25">
      <c r="A1470" s="80" t="s">
        <v>108</v>
      </c>
      <c r="B1470" t="s">
        <v>566</v>
      </c>
      <c r="C1470">
        <v>8.43</v>
      </c>
    </row>
    <row r="1471" spans="1:3" x14ac:dyDescent="0.25">
      <c r="A1471" s="80" t="s">
        <v>108</v>
      </c>
      <c r="B1471" t="s">
        <v>557</v>
      </c>
      <c r="C1471" s="80" t="s">
        <v>558</v>
      </c>
    </row>
    <row r="1472" spans="1:3" x14ac:dyDescent="0.25">
      <c r="A1472" s="80" t="s">
        <v>108</v>
      </c>
      <c r="B1472" t="s">
        <v>559</v>
      </c>
      <c r="C1472">
        <v>1</v>
      </c>
    </row>
    <row r="1473" spans="1:3" x14ac:dyDescent="0.25">
      <c r="A1473" s="80" t="s">
        <v>108</v>
      </c>
      <c r="B1473" t="s">
        <v>560</v>
      </c>
      <c r="C1473">
        <v>2</v>
      </c>
    </row>
    <row r="1474" spans="1:3" x14ac:dyDescent="0.25">
      <c r="A1474" s="80" t="s">
        <v>108</v>
      </c>
      <c r="B1474" t="s">
        <v>561</v>
      </c>
      <c r="C1474">
        <v>1</v>
      </c>
    </row>
    <row r="1475" spans="1:3" x14ac:dyDescent="0.25">
      <c r="A1475" s="80" t="s">
        <v>108</v>
      </c>
      <c r="B1475" t="s">
        <v>562</v>
      </c>
      <c r="C1475">
        <v>-4138</v>
      </c>
    </row>
    <row r="1476" spans="1:3" x14ac:dyDescent="0.25">
      <c r="A1476" s="80" t="s">
        <v>109</v>
      </c>
      <c r="B1476" t="s">
        <v>173</v>
      </c>
      <c r="C1476" t="b">
        <v>0</v>
      </c>
    </row>
    <row r="1477" spans="1:3" x14ac:dyDescent="0.25">
      <c r="A1477" s="80" t="s">
        <v>109</v>
      </c>
      <c r="B1477" t="s">
        <v>555</v>
      </c>
      <c r="C1477" s="80" t="s">
        <v>572</v>
      </c>
    </row>
    <row r="1478" spans="1:3" x14ac:dyDescent="0.25">
      <c r="A1478" s="80" t="s">
        <v>109</v>
      </c>
      <c r="B1478" t="s">
        <v>566</v>
      </c>
      <c r="C1478">
        <v>5</v>
      </c>
    </row>
    <row r="1479" spans="1:3" x14ac:dyDescent="0.25">
      <c r="A1479" s="80" t="s">
        <v>109</v>
      </c>
      <c r="B1479" t="s">
        <v>557</v>
      </c>
      <c r="C1479" s="80" t="s">
        <v>558</v>
      </c>
    </row>
    <row r="1480" spans="1:3" x14ac:dyDescent="0.25">
      <c r="A1480" s="80" t="s">
        <v>109</v>
      </c>
      <c r="B1480" t="s">
        <v>559</v>
      </c>
      <c r="C1480">
        <v>1</v>
      </c>
    </row>
    <row r="1481" spans="1:3" x14ac:dyDescent="0.25">
      <c r="A1481" s="80" t="s">
        <v>109</v>
      </c>
      <c r="B1481" t="s">
        <v>560</v>
      </c>
      <c r="C1481">
        <v>-4138</v>
      </c>
    </row>
    <row r="1482" spans="1:3" x14ac:dyDescent="0.25">
      <c r="A1482" s="80" t="s">
        <v>109</v>
      </c>
      <c r="B1482" t="s">
        <v>561</v>
      </c>
      <c r="C1482">
        <v>1</v>
      </c>
    </row>
    <row r="1483" spans="1:3" x14ac:dyDescent="0.25">
      <c r="A1483" s="80" t="s">
        <v>109</v>
      </c>
      <c r="B1483" t="s">
        <v>562</v>
      </c>
      <c r="C1483">
        <v>2</v>
      </c>
    </row>
    <row r="1484" spans="1:3" x14ac:dyDescent="0.25">
      <c r="A1484" s="80" t="s">
        <v>110</v>
      </c>
      <c r="B1484" t="s">
        <v>173</v>
      </c>
      <c r="C1484" t="b">
        <v>0</v>
      </c>
    </row>
    <row r="1485" spans="1:3" x14ac:dyDescent="0.25">
      <c r="A1485" s="80" t="s">
        <v>110</v>
      </c>
      <c r="B1485" t="s">
        <v>555</v>
      </c>
      <c r="C1485" s="80" t="s">
        <v>573</v>
      </c>
    </row>
    <row r="1486" spans="1:3" x14ac:dyDescent="0.25">
      <c r="A1486" s="80" t="s">
        <v>110</v>
      </c>
      <c r="B1486" t="s">
        <v>566</v>
      </c>
      <c r="C1486">
        <v>5</v>
      </c>
    </row>
    <row r="1487" spans="1:3" x14ac:dyDescent="0.25">
      <c r="A1487" s="80" t="s">
        <v>110</v>
      </c>
      <c r="B1487" t="s">
        <v>557</v>
      </c>
      <c r="C1487" s="80" t="s">
        <v>558</v>
      </c>
    </row>
    <row r="1488" spans="1:3" x14ac:dyDescent="0.25">
      <c r="A1488" s="80" t="s">
        <v>110</v>
      </c>
      <c r="B1488" t="s">
        <v>559</v>
      </c>
      <c r="C1488">
        <v>1</v>
      </c>
    </row>
    <row r="1489" spans="1:3" x14ac:dyDescent="0.25">
      <c r="A1489" s="80" t="s">
        <v>110</v>
      </c>
      <c r="B1489" t="s">
        <v>560</v>
      </c>
      <c r="C1489">
        <v>2</v>
      </c>
    </row>
    <row r="1490" spans="1:3" x14ac:dyDescent="0.25">
      <c r="A1490" s="80" t="s">
        <v>110</v>
      </c>
      <c r="B1490" t="s">
        <v>561</v>
      </c>
      <c r="C1490">
        <v>1</v>
      </c>
    </row>
    <row r="1491" spans="1:3" x14ac:dyDescent="0.25">
      <c r="A1491" s="80" t="s">
        <v>110</v>
      </c>
      <c r="B1491" t="s">
        <v>562</v>
      </c>
      <c r="C1491">
        <v>-4138</v>
      </c>
    </row>
    <row r="1492" spans="1:3" x14ac:dyDescent="0.25">
      <c r="A1492" s="80" t="s">
        <v>111</v>
      </c>
      <c r="B1492" t="s">
        <v>173</v>
      </c>
      <c r="C1492" t="b">
        <v>0</v>
      </c>
    </row>
    <row r="1493" spans="1:3" x14ac:dyDescent="0.25">
      <c r="A1493" s="80" t="s">
        <v>111</v>
      </c>
      <c r="B1493" t="s">
        <v>555</v>
      </c>
      <c r="C1493" s="80" t="s">
        <v>574</v>
      </c>
    </row>
    <row r="1494" spans="1:3" x14ac:dyDescent="0.25">
      <c r="A1494" s="80" t="s">
        <v>111</v>
      </c>
      <c r="B1494" t="s">
        <v>566</v>
      </c>
      <c r="C1494">
        <v>5</v>
      </c>
    </row>
    <row r="1495" spans="1:3" x14ac:dyDescent="0.25">
      <c r="A1495" s="80" t="s">
        <v>111</v>
      </c>
      <c r="B1495" t="s">
        <v>557</v>
      </c>
      <c r="C1495" s="80" t="s">
        <v>558</v>
      </c>
    </row>
    <row r="1496" spans="1:3" x14ac:dyDescent="0.25">
      <c r="A1496" s="80" t="s">
        <v>111</v>
      </c>
      <c r="B1496" t="s">
        <v>559</v>
      </c>
      <c r="C1496">
        <v>1</v>
      </c>
    </row>
    <row r="1497" spans="1:3" x14ac:dyDescent="0.25">
      <c r="A1497" s="80" t="s">
        <v>111</v>
      </c>
      <c r="B1497" t="s">
        <v>560</v>
      </c>
      <c r="C1497">
        <v>-4138</v>
      </c>
    </row>
    <row r="1498" spans="1:3" x14ac:dyDescent="0.25">
      <c r="A1498" s="80" t="s">
        <v>111</v>
      </c>
      <c r="B1498" t="s">
        <v>561</v>
      </c>
      <c r="C1498">
        <v>1</v>
      </c>
    </row>
    <row r="1499" spans="1:3" x14ac:dyDescent="0.25">
      <c r="A1499" s="80" t="s">
        <v>111</v>
      </c>
      <c r="B1499" t="s">
        <v>562</v>
      </c>
      <c r="C1499">
        <v>-4138</v>
      </c>
    </row>
    <row r="1500" spans="1:3" x14ac:dyDescent="0.25">
      <c r="A1500" s="80" t="s">
        <v>112</v>
      </c>
      <c r="B1500" t="s">
        <v>173</v>
      </c>
      <c r="C1500" t="b">
        <v>0</v>
      </c>
    </row>
    <row r="1501" spans="1:3" x14ac:dyDescent="0.25">
      <c r="A1501" s="80" t="s">
        <v>112</v>
      </c>
      <c r="B1501" t="s">
        <v>555</v>
      </c>
      <c r="C1501" s="80" t="s">
        <v>575</v>
      </c>
    </row>
    <row r="1502" spans="1:3" x14ac:dyDescent="0.25">
      <c r="A1502" s="80" t="s">
        <v>112</v>
      </c>
      <c r="B1502" t="s">
        <v>576</v>
      </c>
      <c r="C1502" s="80" t="s">
        <v>577</v>
      </c>
    </row>
    <row r="1503" spans="1:3" x14ac:dyDescent="0.25">
      <c r="A1503" s="80" t="s">
        <v>112</v>
      </c>
      <c r="B1503" t="s">
        <v>566</v>
      </c>
      <c r="C1503">
        <v>16.29</v>
      </c>
    </row>
    <row r="1504" spans="1:3" x14ac:dyDescent="0.25">
      <c r="A1504" s="80" t="s">
        <v>112</v>
      </c>
      <c r="B1504" t="s">
        <v>557</v>
      </c>
      <c r="C1504" s="80" t="s">
        <v>578</v>
      </c>
    </row>
    <row r="1505" spans="1:3" x14ac:dyDescent="0.25">
      <c r="A1505" s="80" t="s">
        <v>112</v>
      </c>
      <c r="B1505" t="s">
        <v>559</v>
      </c>
      <c r="C1505">
        <v>1</v>
      </c>
    </row>
    <row r="1506" spans="1:3" x14ac:dyDescent="0.25">
      <c r="A1506" s="80" t="s">
        <v>112</v>
      </c>
      <c r="B1506" t="s">
        <v>560</v>
      </c>
      <c r="C1506">
        <v>-4138</v>
      </c>
    </row>
    <row r="1507" spans="1:3" x14ac:dyDescent="0.25">
      <c r="A1507" s="80" t="s">
        <v>112</v>
      </c>
      <c r="B1507" t="s">
        <v>561</v>
      </c>
      <c r="C1507">
        <v>1</v>
      </c>
    </row>
    <row r="1508" spans="1:3" x14ac:dyDescent="0.25">
      <c r="A1508" s="80" t="s">
        <v>112</v>
      </c>
      <c r="B1508" t="s">
        <v>562</v>
      </c>
      <c r="C1508">
        <v>2</v>
      </c>
    </row>
    <row r="1509" spans="1:3" x14ac:dyDescent="0.25">
      <c r="A1509" s="80" t="s">
        <v>113</v>
      </c>
      <c r="B1509" t="s">
        <v>173</v>
      </c>
      <c r="C1509" t="b">
        <v>0</v>
      </c>
    </row>
    <row r="1510" spans="1:3" x14ac:dyDescent="0.25">
      <c r="A1510" s="80" t="s">
        <v>113</v>
      </c>
      <c r="B1510" t="s">
        <v>555</v>
      </c>
      <c r="C1510" s="80" t="s">
        <v>579</v>
      </c>
    </row>
    <row r="1511" spans="1:3" x14ac:dyDescent="0.25">
      <c r="A1511" s="80" t="s">
        <v>113</v>
      </c>
      <c r="B1511" t="s">
        <v>576</v>
      </c>
      <c r="C1511" s="80" t="s">
        <v>580</v>
      </c>
    </row>
    <row r="1512" spans="1:3" x14ac:dyDescent="0.25">
      <c r="A1512" s="80" t="s">
        <v>113</v>
      </c>
      <c r="B1512" t="s">
        <v>566</v>
      </c>
      <c r="C1512">
        <v>14.71</v>
      </c>
    </row>
    <row r="1513" spans="1:3" x14ac:dyDescent="0.25">
      <c r="A1513" s="80" t="s">
        <v>113</v>
      </c>
      <c r="B1513" t="s">
        <v>557</v>
      </c>
      <c r="C1513" s="80" t="s">
        <v>578</v>
      </c>
    </row>
    <row r="1514" spans="1:3" x14ac:dyDescent="0.25">
      <c r="A1514" s="80" t="s">
        <v>113</v>
      </c>
      <c r="B1514" t="s">
        <v>559</v>
      </c>
      <c r="C1514">
        <v>1</v>
      </c>
    </row>
    <row r="1515" spans="1:3" x14ac:dyDescent="0.25">
      <c r="A1515" s="80" t="s">
        <v>113</v>
      </c>
      <c r="B1515" t="s">
        <v>560</v>
      </c>
      <c r="C1515">
        <v>2</v>
      </c>
    </row>
    <row r="1516" spans="1:3" x14ac:dyDescent="0.25">
      <c r="A1516" s="80" t="s">
        <v>113</v>
      </c>
      <c r="B1516" t="s">
        <v>561</v>
      </c>
      <c r="C1516">
        <v>1</v>
      </c>
    </row>
    <row r="1517" spans="1:3" x14ac:dyDescent="0.25">
      <c r="A1517" s="80" t="s">
        <v>113</v>
      </c>
      <c r="B1517" t="s">
        <v>562</v>
      </c>
      <c r="C1517">
        <v>-4138</v>
      </c>
    </row>
    <row r="1518" spans="1:3" x14ac:dyDescent="0.25">
      <c r="A1518" s="80" t="s">
        <v>114</v>
      </c>
      <c r="B1518" t="s">
        <v>173</v>
      </c>
      <c r="C1518" t="b">
        <v>0</v>
      </c>
    </row>
    <row r="1519" spans="1:3" x14ac:dyDescent="0.25">
      <c r="A1519" s="80" t="s">
        <v>114</v>
      </c>
      <c r="B1519" t="s">
        <v>555</v>
      </c>
      <c r="C1519" s="80" t="s">
        <v>581</v>
      </c>
    </row>
    <row r="1520" spans="1:3" x14ac:dyDescent="0.25">
      <c r="A1520" s="80" t="s">
        <v>114</v>
      </c>
      <c r="B1520" t="s">
        <v>566</v>
      </c>
      <c r="C1520">
        <v>14.71</v>
      </c>
    </row>
    <row r="1521" spans="1:3" x14ac:dyDescent="0.25">
      <c r="A1521" s="80" t="s">
        <v>114</v>
      </c>
      <c r="B1521" t="s">
        <v>557</v>
      </c>
      <c r="C1521" s="80" t="s">
        <v>578</v>
      </c>
    </row>
    <row r="1522" spans="1:3" x14ac:dyDescent="0.25">
      <c r="A1522" s="80" t="s">
        <v>114</v>
      </c>
      <c r="B1522" t="s">
        <v>559</v>
      </c>
      <c r="C1522">
        <v>1</v>
      </c>
    </row>
    <row r="1523" spans="1:3" x14ac:dyDescent="0.25">
      <c r="A1523" s="80" t="s">
        <v>114</v>
      </c>
      <c r="B1523" t="s">
        <v>560</v>
      </c>
      <c r="C1523">
        <v>-4138</v>
      </c>
    </row>
    <row r="1524" spans="1:3" x14ac:dyDescent="0.25">
      <c r="A1524" s="80" t="s">
        <v>114</v>
      </c>
      <c r="B1524" t="s">
        <v>561</v>
      </c>
      <c r="C1524">
        <v>1</v>
      </c>
    </row>
    <row r="1525" spans="1:3" x14ac:dyDescent="0.25">
      <c r="A1525" s="80" t="s">
        <v>114</v>
      </c>
      <c r="B1525" t="s">
        <v>562</v>
      </c>
      <c r="C1525">
        <v>-4138</v>
      </c>
    </row>
    <row r="1526" spans="1:3" x14ac:dyDescent="0.25">
      <c r="A1526" s="80" t="s">
        <v>116</v>
      </c>
      <c r="B1526" t="s">
        <v>173</v>
      </c>
      <c r="C1526" t="b">
        <v>0</v>
      </c>
    </row>
    <row r="1527" spans="1:3" x14ac:dyDescent="0.25">
      <c r="A1527" s="80" t="s">
        <v>116</v>
      </c>
      <c r="B1527" t="s">
        <v>555</v>
      </c>
      <c r="C1527" s="80" t="s">
        <v>591</v>
      </c>
    </row>
    <row r="1528" spans="1:3" x14ac:dyDescent="0.25">
      <c r="A1528" s="80" t="s">
        <v>116</v>
      </c>
      <c r="B1528" t="s">
        <v>566</v>
      </c>
      <c r="C1528">
        <v>13.14</v>
      </c>
    </row>
    <row r="1529" spans="1:3" x14ac:dyDescent="0.25">
      <c r="A1529" s="80" t="s">
        <v>116</v>
      </c>
      <c r="B1529" t="s">
        <v>557</v>
      </c>
      <c r="C1529" s="80" t="s">
        <v>578</v>
      </c>
    </row>
    <row r="1530" spans="1:3" x14ac:dyDescent="0.25">
      <c r="A1530" s="80" t="s">
        <v>116</v>
      </c>
      <c r="B1530" t="s">
        <v>559</v>
      </c>
      <c r="C1530">
        <v>1</v>
      </c>
    </row>
    <row r="1531" spans="1:3" x14ac:dyDescent="0.25">
      <c r="A1531" s="80" t="s">
        <v>116</v>
      </c>
      <c r="B1531" t="s">
        <v>560</v>
      </c>
      <c r="C1531">
        <v>-4138</v>
      </c>
    </row>
    <row r="1532" spans="1:3" x14ac:dyDescent="0.25">
      <c r="A1532" s="80" t="s">
        <v>116</v>
      </c>
      <c r="B1532" t="s">
        <v>561</v>
      </c>
      <c r="C1532">
        <v>1</v>
      </c>
    </row>
    <row r="1533" spans="1:3" x14ac:dyDescent="0.25">
      <c r="A1533" s="80" t="s">
        <v>116</v>
      </c>
      <c r="B1533" t="s">
        <v>562</v>
      </c>
      <c r="C1533">
        <v>2</v>
      </c>
    </row>
    <row r="1534" spans="1:3" x14ac:dyDescent="0.25">
      <c r="A1534" s="80" t="s">
        <v>119</v>
      </c>
      <c r="B1534" t="s">
        <v>173</v>
      </c>
      <c r="C1534" t="b">
        <v>0</v>
      </c>
    </row>
    <row r="1535" spans="1:3" x14ac:dyDescent="0.25">
      <c r="A1535" s="80" t="s">
        <v>119</v>
      </c>
      <c r="B1535" t="s">
        <v>555</v>
      </c>
      <c r="C1535" s="80" t="s">
        <v>592</v>
      </c>
    </row>
    <row r="1536" spans="1:3" x14ac:dyDescent="0.25">
      <c r="A1536" s="80" t="s">
        <v>119</v>
      </c>
      <c r="B1536" t="s">
        <v>566</v>
      </c>
      <c r="C1536">
        <v>13.14</v>
      </c>
    </row>
    <row r="1537" spans="1:3" x14ac:dyDescent="0.25">
      <c r="A1537" s="80" t="s">
        <v>119</v>
      </c>
      <c r="B1537" t="s">
        <v>557</v>
      </c>
      <c r="C1537" s="80" t="s">
        <v>578</v>
      </c>
    </row>
    <row r="1538" spans="1:3" x14ac:dyDescent="0.25">
      <c r="A1538" s="80" t="s">
        <v>119</v>
      </c>
      <c r="B1538" t="s">
        <v>559</v>
      </c>
      <c r="C1538">
        <v>1</v>
      </c>
    </row>
    <row r="1539" spans="1:3" x14ac:dyDescent="0.25">
      <c r="A1539" s="80" t="s">
        <v>119</v>
      </c>
      <c r="B1539" t="s">
        <v>560</v>
      </c>
      <c r="C1539">
        <v>2</v>
      </c>
    </row>
    <row r="1540" spans="1:3" x14ac:dyDescent="0.25">
      <c r="A1540" s="80" t="s">
        <v>119</v>
      </c>
      <c r="B1540" t="s">
        <v>561</v>
      </c>
      <c r="C1540">
        <v>1</v>
      </c>
    </row>
    <row r="1541" spans="1:3" x14ac:dyDescent="0.25">
      <c r="A1541" s="80" t="s">
        <v>119</v>
      </c>
      <c r="B1541" t="s">
        <v>562</v>
      </c>
      <c r="C1541">
        <v>2</v>
      </c>
    </row>
    <row r="1542" spans="1:3" x14ac:dyDescent="0.25">
      <c r="A1542" s="80" t="s">
        <v>122</v>
      </c>
      <c r="B1542" t="s">
        <v>173</v>
      </c>
      <c r="C1542" t="b">
        <v>0</v>
      </c>
    </row>
    <row r="1543" spans="1:3" x14ac:dyDescent="0.25">
      <c r="A1543" s="80" t="s">
        <v>122</v>
      </c>
      <c r="B1543" t="s">
        <v>555</v>
      </c>
      <c r="C1543" s="80" t="s">
        <v>593</v>
      </c>
    </row>
    <row r="1544" spans="1:3" x14ac:dyDescent="0.25">
      <c r="A1544" s="80" t="s">
        <v>122</v>
      </c>
      <c r="B1544" t="s">
        <v>566</v>
      </c>
      <c r="C1544">
        <v>13.14</v>
      </c>
    </row>
    <row r="1545" spans="1:3" x14ac:dyDescent="0.25">
      <c r="A1545" s="80" t="s">
        <v>122</v>
      </c>
      <c r="B1545" t="s">
        <v>557</v>
      </c>
      <c r="C1545" s="80" t="s">
        <v>578</v>
      </c>
    </row>
    <row r="1546" spans="1:3" x14ac:dyDescent="0.25">
      <c r="A1546" s="80" t="s">
        <v>122</v>
      </c>
      <c r="B1546" t="s">
        <v>559</v>
      </c>
      <c r="C1546">
        <v>1</v>
      </c>
    </row>
    <row r="1547" spans="1:3" x14ac:dyDescent="0.25">
      <c r="A1547" s="80" t="s">
        <v>122</v>
      </c>
      <c r="B1547" t="s">
        <v>560</v>
      </c>
      <c r="C1547">
        <v>2</v>
      </c>
    </row>
    <row r="1548" spans="1:3" x14ac:dyDescent="0.25">
      <c r="A1548" s="80" t="s">
        <v>122</v>
      </c>
      <c r="B1548" t="s">
        <v>561</v>
      </c>
      <c r="C1548">
        <v>1</v>
      </c>
    </row>
    <row r="1549" spans="1:3" x14ac:dyDescent="0.25">
      <c r="A1549" s="80" t="s">
        <v>122</v>
      </c>
      <c r="B1549" t="s">
        <v>562</v>
      </c>
      <c r="C1549">
        <v>2</v>
      </c>
    </row>
    <row r="1550" spans="1:3" x14ac:dyDescent="0.25">
      <c r="A1550" s="80" t="s">
        <v>125</v>
      </c>
      <c r="B1550" t="s">
        <v>173</v>
      </c>
      <c r="C1550" t="b">
        <v>0</v>
      </c>
    </row>
    <row r="1551" spans="1:3" x14ac:dyDescent="0.25">
      <c r="A1551" s="80" t="s">
        <v>125</v>
      </c>
      <c r="B1551" t="s">
        <v>555</v>
      </c>
      <c r="C1551" s="80" t="s">
        <v>595</v>
      </c>
    </row>
    <row r="1552" spans="1:3" x14ac:dyDescent="0.25">
      <c r="A1552" s="80" t="s">
        <v>125</v>
      </c>
      <c r="B1552" t="s">
        <v>566</v>
      </c>
      <c r="C1552">
        <v>13.14</v>
      </c>
    </row>
    <row r="1553" spans="1:3" x14ac:dyDescent="0.25">
      <c r="A1553" s="80" t="s">
        <v>125</v>
      </c>
      <c r="B1553" t="s">
        <v>557</v>
      </c>
      <c r="C1553" s="80" t="s">
        <v>578</v>
      </c>
    </row>
    <row r="1554" spans="1:3" x14ac:dyDescent="0.25">
      <c r="A1554" s="80" t="s">
        <v>125</v>
      </c>
      <c r="B1554" t="s">
        <v>559</v>
      </c>
      <c r="C1554">
        <v>1</v>
      </c>
    </row>
    <row r="1555" spans="1:3" x14ac:dyDescent="0.25">
      <c r="A1555" s="80" t="s">
        <v>125</v>
      </c>
      <c r="B1555" t="s">
        <v>560</v>
      </c>
      <c r="C1555">
        <v>2</v>
      </c>
    </row>
    <row r="1556" spans="1:3" x14ac:dyDescent="0.25">
      <c r="A1556" s="80" t="s">
        <v>125</v>
      </c>
      <c r="B1556" t="s">
        <v>561</v>
      </c>
      <c r="C1556">
        <v>1</v>
      </c>
    </row>
    <row r="1557" spans="1:3" x14ac:dyDescent="0.25">
      <c r="A1557" s="80" t="s">
        <v>125</v>
      </c>
      <c r="B1557" t="s">
        <v>562</v>
      </c>
      <c r="C1557">
        <v>2</v>
      </c>
    </row>
    <row r="1558" spans="1:3" x14ac:dyDescent="0.25">
      <c r="A1558" s="80" t="s">
        <v>128</v>
      </c>
      <c r="B1558" t="s">
        <v>173</v>
      </c>
      <c r="C1558" t="b">
        <v>0</v>
      </c>
    </row>
    <row r="1559" spans="1:3" x14ac:dyDescent="0.25">
      <c r="A1559" s="80" t="s">
        <v>128</v>
      </c>
      <c r="B1559" t="s">
        <v>555</v>
      </c>
      <c r="C1559" s="80" t="s">
        <v>596</v>
      </c>
    </row>
    <row r="1560" spans="1:3" x14ac:dyDescent="0.25">
      <c r="A1560" s="80" t="s">
        <v>128</v>
      </c>
      <c r="B1560" t="s">
        <v>566</v>
      </c>
      <c r="C1560">
        <v>13.14</v>
      </c>
    </row>
    <row r="1561" spans="1:3" x14ac:dyDescent="0.25">
      <c r="A1561" s="80" t="s">
        <v>128</v>
      </c>
      <c r="B1561" t="s">
        <v>557</v>
      </c>
      <c r="C1561" s="80" t="s">
        <v>578</v>
      </c>
    </row>
    <row r="1562" spans="1:3" x14ac:dyDescent="0.25">
      <c r="A1562" s="80" t="s">
        <v>128</v>
      </c>
      <c r="B1562" t="s">
        <v>559</v>
      </c>
      <c r="C1562">
        <v>1</v>
      </c>
    </row>
    <row r="1563" spans="1:3" x14ac:dyDescent="0.25">
      <c r="A1563" s="80" t="s">
        <v>128</v>
      </c>
      <c r="B1563" t="s">
        <v>560</v>
      </c>
      <c r="C1563">
        <v>2</v>
      </c>
    </row>
    <row r="1564" spans="1:3" x14ac:dyDescent="0.25">
      <c r="A1564" s="80" t="s">
        <v>128</v>
      </c>
      <c r="B1564" t="s">
        <v>561</v>
      </c>
      <c r="C1564">
        <v>1</v>
      </c>
    </row>
    <row r="1565" spans="1:3" x14ac:dyDescent="0.25">
      <c r="A1565" s="80" t="s">
        <v>128</v>
      </c>
      <c r="B1565" t="s">
        <v>562</v>
      </c>
      <c r="C1565">
        <v>2</v>
      </c>
    </row>
    <row r="1566" spans="1:3" x14ac:dyDescent="0.25">
      <c r="A1566" s="80" t="s">
        <v>131</v>
      </c>
      <c r="B1566" t="s">
        <v>173</v>
      </c>
      <c r="C1566" t="b">
        <v>0</v>
      </c>
    </row>
    <row r="1567" spans="1:3" x14ac:dyDescent="0.25">
      <c r="A1567" s="80" t="s">
        <v>131</v>
      </c>
      <c r="B1567" t="s">
        <v>555</v>
      </c>
      <c r="C1567" s="80" t="s">
        <v>597</v>
      </c>
    </row>
    <row r="1568" spans="1:3" x14ac:dyDescent="0.25">
      <c r="A1568" s="80" t="s">
        <v>131</v>
      </c>
      <c r="B1568" t="s">
        <v>566</v>
      </c>
      <c r="C1568">
        <v>13.14</v>
      </c>
    </row>
    <row r="1569" spans="1:3" x14ac:dyDescent="0.25">
      <c r="A1569" s="80" t="s">
        <v>131</v>
      </c>
      <c r="B1569" t="s">
        <v>557</v>
      </c>
      <c r="C1569" s="80" t="s">
        <v>578</v>
      </c>
    </row>
    <row r="1570" spans="1:3" x14ac:dyDescent="0.25">
      <c r="A1570" s="80" t="s">
        <v>131</v>
      </c>
      <c r="B1570" t="s">
        <v>559</v>
      </c>
      <c r="C1570">
        <v>1</v>
      </c>
    </row>
    <row r="1571" spans="1:3" x14ac:dyDescent="0.25">
      <c r="A1571" s="80" t="s">
        <v>131</v>
      </c>
      <c r="B1571" t="s">
        <v>560</v>
      </c>
      <c r="C1571">
        <v>2</v>
      </c>
    </row>
    <row r="1572" spans="1:3" x14ac:dyDescent="0.25">
      <c r="A1572" s="80" t="s">
        <v>131</v>
      </c>
      <c r="B1572" t="s">
        <v>561</v>
      </c>
      <c r="C1572">
        <v>1</v>
      </c>
    </row>
    <row r="1573" spans="1:3" x14ac:dyDescent="0.25">
      <c r="A1573" s="80" t="s">
        <v>131</v>
      </c>
      <c r="B1573" t="s">
        <v>562</v>
      </c>
      <c r="C1573">
        <v>2</v>
      </c>
    </row>
    <row r="1574" spans="1:3" x14ac:dyDescent="0.25">
      <c r="A1574" s="80" t="s">
        <v>134</v>
      </c>
      <c r="B1574" t="s">
        <v>173</v>
      </c>
      <c r="C1574" t="b">
        <v>0</v>
      </c>
    </row>
    <row r="1575" spans="1:3" x14ac:dyDescent="0.25">
      <c r="A1575" s="80" t="s">
        <v>134</v>
      </c>
      <c r="B1575" t="s">
        <v>555</v>
      </c>
      <c r="C1575" s="80" t="s">
        <v>599</v>
      </c>
    </row>
    <row r="1576" spans="1:3" x14ac:dyDescent="0.25">
      <c r="A1576" s="80" t="s">
        <v>134</v>
      </c>
      <c r="B1576" t="s">
        <v>566</v>
      </c>
      <c r="C1576">
        <v>13.14</v>
      </c>
    </row>
    <row r="1577" spans="1:3" x14ac:dyDescent="0.25">
      <c r="A1577" s="80" t="s">
        <v>134</v>
      </c>
      <c r="B1577" t="s">
        <v>557</v>
      </c>
      <c r="C1577" s="80" t="s">
        <v>578</v>
      </c>
    </row>
    <row r="1578" spans="1:3" x14ac:dyDescent="0.25">
      <c r="A1578" s="80" t="s">
        <v>134</v>
      </c>
      <c r="B1578" t="s">
        <v>559</v>
      </c>
      <c r="C1578">
        <v>1</v>
      </c>
    </row>
    <row r="1579" spans="1:3" x14ac:dyDescent="0.25">
      <c r="A1579" s="80" t="s">
        <v>134</v>
      </c>
      <c r="B1579" t="s">
        <v>560</v>
      </c>
      <c r="C1579">
        <v>2</v>
      </c>
    </row>
    <row r="1580" spans="1:3" x14ac:dyDescent="0.25">
      <c r="A1580" s="80" t="s">
        <v>134</v>
      </c>
      <c r="B1580" t="s">
        <v>561</v>
      </c>
      <c r="C1580">
        <v>1</v>
      </c>
    </row>
    <row r="1581" spans="1:3" x14ac:dyDescent="0.25">
      <c r="A1581" s="80" t="s">
        <v>134</v>
      </c>
      <c r="B1581" t="s">
        <v>562</v>
      </c>
      <c r="C1581">
        <v>2</v>
      </c>
    </row>
    <row r="1582" spans="1:3" x14ac:dyDescent="0.25">
      <c r="A1582" s="80" t="s">
        <v>137</v>
      </c>
      <c r="B1582" t="s">
        <v>173</v>
      </c>
      <c r="C1582" t="b">
        <v>0</v>
      </c>
    </row>
    <row r="1583" spans="1:3" x14ac:dyDescent="0.25">
      <c r="A1583" s="80" t="s">
        <v>137</v>
      </c>
      <c r="B1583" t="s">
        <v>555</v>
      </c>
      <c r="C1583" s="80" t="s">
        <v>600</v>
      </c>
    </row>
    <row r="1584" spans="1:3" x14ac:dyDescent="0.25">
      <c r="A1584" s="80" t="s">
        <v>137</v>
      </c>
      <c r="B1584" t="s">
        <v>566</v>
      </c>
      <c r="C1584">
        <v>13.14</v>
      </c>
    </row>
    <row r="1585" spans="1:3" x14ac:dyDescent="0.25">
      <c r="A1585" s="80" t="s">
        <v>137</v>
      </c>
      <c r="B1585" t="s">
        <v>557</v>
      </c>
      <c r="C1585" s="80" t="s">
        <v>578</v>
      </c>
    </row>
    <row r="1586" spans="1:3" x14ac:dyDescent="0.25">
      <c r="A1586" s="80" t="s">
        <v>137</v>
      </c>
      <c r="B1586" t="s">
        <v>559</v>
      </c>
      <c r="C1586">
        <v>1</v>
      </c>
    </row>
    <row r="1587" spans="1:3" x14ac:dyDescent="0.25">
      <c r="A1587" s="80" t="s">
        <v>137</v>
      </c>
      <c r="B1587" t="s">
        <v>560</v>
      </c>
      <c r="C1587">
        <v>2</v>
      </c>
    </row>
    <row r="1588" spans="1:3" x14ac:dyDescent="0.25">
      <c r="A1588" s="80" t="s">
        <v>137</v>
      </c>
      <c r="B1588" t="s">
        <v>561</v>
      </c>
      <c r="C1588">
        <v>1</v>
      </c>
    </row>
    <row r="1589" spans="1:3" x14ac:dyDescent="0.25">
      <c r="A1589" s="80" t="s">
        <v>137</v>
      </c>
      <c r="B1589" t="s">
        <v>562</v>
      </c>
      <c r="C1589">
        <v>2</v>
      </c>
    </row>
    <row r="1590" spans="1:3" x14ac:dyDescent="0.25">
      <c r="A1590" s="80" t="s">
        <v>140</v>
      </c>
      <c r="B1590" t="s">
        <v>173</v>
      </c>
      <c r="C1590" t="b">
        <v>0</v>
      </c>
    </row>
    <row r="1591" spans="1:3" x14ac:dyDescent="0.25">
      <c r="A1591" s="80" t="s">
        <v>140</v>
      </c>
      <c r="B1591" t="s">
        <v>555</v>
      </c>
      <c r="C1591" s="80" t="s">
        <v>601</v>
      </c>
    </row>
    <row r="1592" spans="1:3" x14ac:dyDescent="0.25">
      <c r="A1592" s="80" t="s">
        <v>140</v>
      </c>
      <c r="B1592" t="s">
        <v>566</v>
      </c>
      <c r="C1592">
        <v>13.14</v>
      </c>
    </row>
    <row r="1593" spans="1:3" x14ac:dyDescent="0.25">
      <c r="A1593" s="80" t="s">
        <v>140</v>
      </c>
      <c r="B1593" t="s">
        <v>557</v>
      </c>
      <c r="C1593" s="80" t="s">
        <v>578</v>
      </c>
    </row>
    <row r="1594" spans="1:3" x14ac:dyDescent="0.25">
      <c r="A1594" s="80" t="s">
        <v>140</v>
      </c>
      <c r="B1594" t="s">
        <v>559</v>
      </c>
      <c r="C1594">
        <v>1</v>
      </c>
    </row>
    <row r="1595" spans="1:3" x14ac:dyDescent="0.25">
      <c r="A1595" s="80" t="s">
        <v>140</v>
      </c>
      <c r="B1595" t="s">
        <v>560</v>
      </c>
      <c r="C1595">
        <v>2</v>
      </c>
    </row>
    <row r="1596" spans="1:3" x14ac:dyDescent="0.25">
      <c r="A1596" s="80" t="s">
        <v>140</v>
      </c>
      <c r="B1596" t="s">
        <v>561</v>
      </c>
      <c r="C1596">
        <v>1</v>
      </c>
    </row>
    <row r="1597" spans="1:3" x14ac:dyDescent="0.25">
      <c r="A1597" s="80" t="s">
        <v>140</v>
      </c>
      <c r="B1597" t="s">
        <v>562</v>
      </c>
      <c r="C1597">
        <v>2</v>
      </c>
    </row>
    <row r="1598" spans="1:3" x14ac:dyDescent="0.25">
      <c r="A1598" s="80" t="s">
        <v>143</v>
      </c>
      <c r="B1598" t="s">
        <v>173</v>
      </c>
      <c r="C1598" t="b">
        <v>0</v>
      </c>
    </row>
    <row r="1599" spans="1:3" x14ac:dyDescent="0.25">
      <c r="A1599" s="80" t="s">
        <v>143</v>
      </c>
      <c r="B1599" t="s">
        <v>555</v>
      </c>
      <c r="C1599" s="80" t="s">
        <v>603</v>
      </c>
    </row>
    <row r="1600" spans="1:3" x14ac:dyDescent="0.25">
      <c r="A1600" s="80" t="s">
        <v>143</v>
      </c>
      <c r="B1600" t="s">
        <v>566</v>
      </c>
      <c r="C1600">
        <v>13.14</v>
      </c>
    </row>
    <row r="1601" spans="1:3" x14ac:dyDescent="0.25">
      <c r="A1601" s="80" t="s">
        <v>143</v>
      </c>
      <c r="B1601" t="s">
        <v>557</v>
      </c>
      <c r="C1601" s="80" t="s">
        <v>578</v>
      </c>
    </row>
    <row r="1602" spans="1:3" x14ac:dyDescent="0.25">
      <c r="A1602" s="80" t="s">
        <v>143</v>
      </c>
      <c r="B1602" t="s">
        <v>559</v>
      </c>
      <c r="C1602">
        <v>1</v>
      </c>
    </row>
    <row r="1603" spans="1:3" x14ac:dyDescent="0.25">
      <c r="A1603" s="80" t="s">
        <v>143</v>
      </c>
      <c r="B1603" t="s">
        <v>560</v>
      </c>
      <c r="C1603">
        <v>2</v>
      </c>
    </row>
    <row r="1604" spans="1:3" x14ac:dyDescent="0.25">
      <c r="A1604" s="80" t="s">
        <v>143</v>
      </c>
      <c r="B1604" t="s">
        <v>561</v>
      </c>
      <c r="C1604">
        <v>1</v>
      </c>
    </row>
    <row r="1605" spans="1:3" x14ac:dyDescent="0.25">
      <c r="A1605" s="80" t="s">
        <v>143</v>
      </c>
      <c r="B1605" t="s">
        <v>562</v>
      </c>
      <c r="C1605">
        <v>2</v>
      </c>
    </row>
    <row r="1606" spans="1:3" x14ac:dyDescent="0.25">
      <c r="A1606" s="80" t="s">
        <v>146</v>
      </c>
      <c r="B1606" t="s">
        <v>173</v>
      </c>
      <c r="C1606" t="b">
        <v>0</v>
      </c>
    </row>
    <row r="1607" spans="1:3" x14ac:dyDescent="0.25">
      <c r="A1607" s="80" t="s">
        <v>146</v>
      </c>
      <c r="B1607" t="s">
        <v>555</v>
      </c>
      <c r="C1607" s="80" t="s">
        <v>604</v>
      </c>
    </row>
    <row r="1608" spans="1:3" x14ac:dyDescent="0.25">
      <c r="A1608" s="80" t="s">
        <v>146</v>
      </c>
      <c r="B1608" t="s">
        <v>566</v>
      </c>
      <c r="C1608">
        <v>13.14</v>
      </c>
    </row>
    <row r="1609" spans="1:3" x14ac:dyDescent="0.25">
      <c r="A1609" s="80" t="s">
        <v>146</v>
      </c>
      <c r="B1609" t="s">
        <v>557</v>
      </c>
      <c r="C1609" s="80" t="s">
        <v>578</v>
      </c>
    </row>
    <row r="1610" spans="1:3" x14ac:dyDescent="0.25">
      <c r="A1610" s="80" t="s">
        <v>146</v>
      </c>
      <c r="B1610" t="s">
        <v>559</v>
      </c>
      <c r="C1610">
        <v>1</v>
      </c>
    </row>
    <row r="1611" spans="1:3" x14ac:dyDescent="0.25">
      <c r="A1611" s="80" t="s">
        <v>146</v>
      </c>
      <c r="B1611" t="s">
        <v>560</v>
      </c>
      <c r="C1611">
        <v>2</v>
      </c>
    </row>
    <row r="1612" spans="1:3" x14ac:dyDescent="0.25">
      <c r="A1612" s="80" t="s">
        <v>146</v>
      </c>
      <c r="B1612" t="s">
        <v>561</v>
      </c>
      <c r="C1612">
        <v>1</v>
      </c>
    </row>
    <row r="1613" spans="1:3" x14ac:dyDescent="0.25">
      <c r="A1613" s="80" t="s">
        <v>146</v>
      </c>
      <c r="B1613" t="s">
        <v>562</v>
      </c>
      <c r="C1613">
        <v>2</v>
      </c>
    </row>
    <row r="1614" spans="1:3" x14ac:dyDescent="0.25">
      <c r="A1614" s="80" t="s">
        <v>149</v>
      </c>
      <c r="B1614" t="s">
        <v>173</v>
      </c>
      <c r="C1614" t="b">
        <v>0</v>
      </c>
    </row>
    <row r="1615" spans="1:3" x14ac:dyDescent="0.25">
      <c r="A1615" s="80" t="s">
        <v>149</v>
      </c>
      <c r="B1615" t="s">
        <v>555</v>
      </c>
      <c r="C1615" s="80" t="s">
        <v>605</v>
      </c>
    </row>
    <row r="1616" spans="1:3" x14ac:dyDescent="0.25">
      <c r="A1616" s="80" t="s">
        <v>149</v>
      </c>
      <c r="B1616" t="s">
        <v>566</v>
      </c>
      <c r="C1616">
        <v>13.14</v>
      </c>
    </row>
    <row r="1617" spans="1:3" x14ac:dyDescent="0.25">
      <c r="A1617" s="80" t="s">
        <v>149</v>
      </c>
      <c r="B1617" t="s">
        <v>557</v>
      </c>
      <c r="C1617" s="80" t="s">
        <v>578</v>
      </c>
    </row>
    <row r="1618" spans="1:3" x14ac:dyDescent="0.25">
      <c r="A1618" s="80" t="s">
        <v>149</v>
      </c>
      <c r="B1618" t="s">
        <v>559</v>
      </c>
      <c r="C1618">
        <v>1</v>
      </c>
    </row>
    <row r="1619" spans="1:3" x14ac:dyDescent="0.25">
      <c r="A1619" s="80" t="s">
        <v>149</v>
      </c>
      <c r="B1619" t="s">
        <v>560</v>
      </c>
      <c r="C1619">
        <v>2</v>
      </c>
    </row>
    <row r="1620" spans="1:3" x14ac:dyDescent="0.25">
      <c r="A1620" s="80" t="s">
        <v>149</v>
      </c>
      <c r="B1620" t="s">
        <v>561</v>
      </c>
      <c r="C1620">
        <v>1</v>
      </c>
    </row>
    <row r="1621" spans="1:3" x14ac:dyDescent="0.25">
      <c r="A1621" s="80" t="s">
        <v>149</v>
      </c>
      <c r="B1621" t="s">
        <v>562</v>
      </c>
      <c r="C1621">
        <v>-4138</v>
      </c>
    </row>
    <row r="1622" spans="1:3" x14ac:dyDescent="0.25">
      <c r="A1622" s="80" t="s">
        <v>115</v>
      </c>
      <c r="B1622" t="s">
        <v>173</v>
      </c>
      <c r="C1622" t="b">
        <v>0</v>
      </c>
    </row>
    <row r="1623" spans="1:3" x14ac:dyDescent="0.25">
      <c r="A1623" s="80" t="s">
        <v>115</v>
      </c>
      <c r="B1623" t="s">
        <v>555</v>
      </c>
      <c r="C1623" s="80" t="s">
        <v>607</v>
      </c>
    </row>
    <row r="1624" spans="1:3" x14ac:dyDescent="0.25">
      <c r="A1624" s="80" t="s">
        <v>115</v>
      </c>
      <c r="B1624" t="s">
        <v>566</v>
      </c>
      <c r="C1624">
        <v>13.29</v>
      </c>
    </row>
    <row r="1625" spans="1:3" x14ac:dyDescent="0.25">
      <c r="A1625" s="80" t="s">
        <v>115</v>
      </c>
      <c r="B1625" t="s">
        <v>557</v>
      </c>
      <c r="C1625" s="80" t="s">
        <v>578</v>
      </c>
    </row>
    <row r="1626" spans="1:3" x14ac:dyDescent="0.25">
      <c r="A1626" s="80" t="s">
        <v>115</v>
      </c>
      <c r="B1626" t="s">
        <v>559</v>
      </c>
      <c r="C1626">
        <v>1</v>
      </c>
    </row>
    <row r="1627" spans="1:3" x14ac:dyDescent="0.25">
      <c r="A1627" s="80" t="s">
        <v>115</v>
      </c>
      <c r="B1627" t="s">
        <v>560</v>
      </c>
      <c r="C1627">
        <v>-4138</v>
      </c>
    </row>
    <row r="1628" spans="1:3" x14ac:dyDescent="0.25">
      <c r="A1628" s="80" t="s">
        <v>115</v>
      </c>
      <c r="B1628" t="s">
        <v>561</v>
      </c>
      <c r="C1628">
        <v>1</v>
      </c>
    </row>
    <row r="1629" spans="1:3" x14ac:dyDescent="0.25">
      <c r="A1629" s="80" t="s">
        <v>115</v>
      </c>
      <c r="B1629" t="s">
        <v>562</v>
      </c>
      <c r="C1629">
        <v>2</v>
      </c>
    </row>
    <row r="1630" spans="1:3" x14ac:dyDescent="0.25">
      <c r="A1630" s="80" t="s">
        <v>118</v>
      </c>
      <c r="B1630" t="s">
        <v>173</v>
      </c>
      <c r="C1630" t="b">
        <v>0</v>
      </c>
    </row>
    <row r="1631" spans="1:3" x14ac:dyDescent="0.25">
      <c r="A1631" s="80" t="s">
        <v>118</v>
      </c>
      <c r="B1631" t="s">
        <v>555</v>
      </c>
      <c r="C1631" s="80" t="s">
        <v>608</v>
      </c>
    </row>
    <row r="1632" spans="1:3" x14ac:dyDescent="0.25">
      <c r="A1632" s="80" t="s">
        <v>118</v>
      </c>
      <c r="B1632" t="s">
        <v>566</v>
      </c>
      <c r="C1632">
        <v>13.29</v>
      </c>
    </row>
    <row r="1633" spans="1:3" x14ac:dyDescent="0.25">
      <c r="A1633" s="80" t="s">
        <v>118</v>
      </c>
      <c r="B1633" t="s">
        <v>557</v>
      </c>
      <c r="C1633" s="80" t="s">
        <v>578</v>
      </c>
    </row>
    <row r="1634" spans="1:3" x14ac:dyDescent="0.25">
      <c r="A1634" s="80" t="s">
        <v>118</v>
      </c>
      <c r="B1634" t="s">
        <v>559</v>
      </c>
      <c r="C1634">
        <v>1</v>
      </c>
    </row>
    <row r="1635" spans="1:3" x14ac:dyDescent="0.25">
      <c r="A1635" s="80" t="s">
        <v>118</v>
      </c>
      <c r="B1635" t="s">
        <v>560</v>
      </c>
      <c r="C1635">
        <v>2</v>
      </c>
    </row>
    <row r="1636" spans="1:3" x14ac:dyDescent="0.25">
      <c r="A1636" s="80" t="s">
        <v>118</v>
      </c>
      <c r="B1636" t="s">
        <v>561</v>
      </c>
      <c r="C1636">
        <v>1</v>
      </c>
    </row>
    <row r="1637" spans="1:3" x14ac:dyDescent="0.25">
      <c r="A1637" s="80" t="s">
        <v>118</v>
      </c>
      <c r="B1637" t="s">
        <v>562</v>
      </c>
      <c r="C1637">
        <v>2</v>
      </c>
    </row>
    <row r="1638" spans="1:3" x14ac:dyDescent="0.25">
      <c r="A1638" s="80" t="s">
        <v>121</v>
      </c>
      <c r="B1638" t="s">
        <v>173</v>
      </c>
      <c r="C1638" t="b">
        <v>0</v>
      </c>
    </row>
    <row r="1639" spans="1:3" x14ac:dyDescent="0.25">
      <c r="A1639" s="80" t="s">
        <v>121</v>
      </c>
      <c r="B1639" t="s">
        <v>555</v>
      </c>
      <c r="C1639" s="80" t="s">
        <v>609</v>
      </c>
    </row>
    <row r="1640" spans="1:3" x14ac:dyDescent="0.25">
      <c r="A1640" s="80" t="s">
        <v>121</v>
      </c>
      <c r="B1640" t="s">
        <v>566</v>
      </c>
      <c r="C1640">
        <v>13.29</v>
      </c>
    </row>
    <row r="1641" spans="1:3" x14ac:dyDescent="0.25">
      <c r="A1641" s="80" t="s">
        <v>121</v>
      </c>
      <c r="B1641" t="s">
        <v>557</v>
      </c>
      <c r="C1641" s="80" t="s">
        <v>578</v>
      </c>
    </row>
    <row r="1642" spans="1:3" x14ac:dyDescent="0.25">
      <c r="A1642" s="80" t="s">
        <v>121</v>
      </c>
      <c r="B1642" t="s">
        <v>559</v>
      </c>
      <c r="C1642">
        <v>1</v>
      </c>
    </row>
    <row r="1643" spans="1:3" x14ac:dyDescent="0.25">
      <c r="A1643" s="80" t="s">
        <v>121</v>
      </c>
      <c r="B1643" t="s">
        <v>560</v>
      </c>
      <c r="C1643">
        <v>2</v>
      </c>
    </row>
    <row r="1644" spans="1:3" x14ac:dyDescent="0.25">
      <c r="A1644" s="80" t="s">
        <v>121</v>
      </c>
      <c r="B1644" t="s">
        <v>561</v>
      </c>
      <c r="C1644">
        <v>1</v>
      </c>
    </row>
    <row r="1645" spans="1:3" x14ac:dyDescent="0.25">
      <c r="A1645" s="80" t="s">
        <v>121</v>
      </c>
      <c r="B1645" t="s">
        <v>562</v>
      </c>
      <c r="C1645">
        <v>2</v>
      </c>
    </row>
    <row r="1646" spans="1:3" x14ac:dyDescent="0.25">
      <c r="A1646" s="80" t="s">
        <v>124</v>
      </c>
      <c r="B1646" t="s">
        <v>173</v>
      </c>
      <c r="C1646" t="b">
        <v>0</v>
      </c>
    </row>
    <row r="1647" spans="1:3" x14ac:dyDescent="0.25">
      <c r="A1647" s="80" t="s">
        <v>124</v>
      </c>
      <c r="B1647" t="s">
        <v>555</v>
      </c>
      <c r="C1647" s="80" t="s">
        <v>611</v>
      </c>
    </row>
    <row r="1648" spans="1:3" x14ac:dyDescent="0.25">
      <c r="A1648" s="80" t="s">
        <v>124</v>
      </c>
      <c r="B1648" t="s">
        <v>566</v>
      </c>
      <c r="C1648">
        <v>13.29</v>
      </c>
    </row>
    <row r="1649" spans="1:3" x14ac:dyDescent="0.25">
      <c r="A1649" s="80" t="s">
        <v>124</v>
      </c>
      <c r="B1649" t="s">
        <v>557</v>
      </c>
      <c r="C1649" s="80" t="s">
        <v>578</v>
      </c>
    </row>
    <row r="1650" spans="1:3" x14ac:dyDescent="0.25">
      <c r="A1650" s="80" t="s">
        <v>124</v>
      </c>
      <c r="B1650" t="s">
        <v>559</v>
      </c>
      <c r="C1650">
        <v>1</v>
      </c>
    </row>
    <row r="1651" spans="1:3" x14ac:dyDescent="0.25">
      <c r="A1651" s="80" t="s">
        <v>124</v>
      </c>
      <c r="B1651" t="s">
        <v>560</v>
      </c>
      <c r="C1651">
        <v>2</v>
      </c>
    </row>
    <row r="1652" spans="1:3" x14ac:dyDescent="0.25">
      <c r="A1652" s="80" t="s">
        <v>124</v>
      </c>
      <c r="B1652" t="s">
        <v>561</v>
      </c>
      <c r="C1652">
        <v>1</v>
      </c>
    </row>
    <row r="1653" spans="1:3" x14ac:dyDescent="0.25">
      <c r="A1653" s="80" t="s">
        <v>124</v>
      </c>
      <c r="B1653" t="s">
        <v>562</v>
      </c>
      <c r="C1653">
        <v>2</v>
      </c>
    </row>
    <row r="1654" spans="1:3" x14ac:dyDescent="0.25">
      <c r="A1654" s="80" t="s">
        <v>127</v>
      </c>
      <c r="B1654" t="s">
        <v>173</v>
      </c>
      <c r="C1654" t="b">
        <v>0</v>
      </c>
    </row>
    <row r="1655" spans="1:3" x14ac:dyDescent="0.25">
      <c r="A1655" s="80" t="s">
        <v>127</v>
      </c>
      <c r="B1655" t="s">
        <v>555</v>
      </c>
      <c r="C1655" s="80" t="s">
        <v>612</v>
      </c>
    </row>
    <row r="1656" spans="1:3" x14ac:dyDescent="0.25">
      <c r="A1656" s="80" t="s">
        <v>127</v>
      </c>
      <c r="B1656" t="s">
        <v>566</v>
      </c>
      <c r="C1656">
        <v>13.29</v>
      </c>
    </row>
    <row r="1657" spans="1:3" x14ac:dyDescent="0.25">
      <c r="A1657" s="80" t="s">
        <v>127</v>
      </c>
      <c r="B1657" t="s">
        <v>557</v>
      </c>
      <c r="C1657" s="80" t="s">
        <v>578</v>
      </c>
    </row>
    <row r="1658" spans="1:3" x14ac:dyDescent="0.25">
      <c r="A1658" s="80" t="s">
        <v>127</v>
      </c>
      <c r="B1658" t="s">
        <v>559</v>
      </c>
      <c r="C1658">
        <v>1</v>
      </c>
    </row>
    <row r="1659" spans="1:3" x14ac:dyDescent="0.25">
      <c r="A1659" s="80" t="s">
        <v>127</v>
      </c>
      <c r="B1659" t="s">
        <v>560</v>
      </c>
      <c r="C1659">
        <v>2</v>
      </c>
    </row>
    <row r="1660" spans="1:3" x14ac:dyDescent="0.25">
      <c r="A1660" s="80" t="s">
        <v>127</v>
      </c>
      <c r="B1660" t="s">
        <v>561</v>
      </c>
      <c r="C1660">
        <v>1</v>
      </c>
    </row>
    <row r="1661" spans="1:3" x14ac:dyDescent="0.25">
      <c r="A1661" s="80" t="s">
        <v>127</v>
      </c>
      <c r="B1661" t="s">
        <v>562</v>
      </c>
      <c r="C1661">
        <v>2</v>
      </c>
    </row>
    <row r="1662" spans="1:3" x14ac:dyDescent="0.25">
      <c r="A1662" s="80" t="s">
        <v>130</v>
      </c>
      <c r="B1662" t="s">
        <v>173</v>
      </c>
      <c r="C1662" t="b">
        <v>0</v>
      </c>
    </row>
    <row r="1663" spans="1:3" x14ac:dyDescent="0.25">
      <c r="A1663" s="80" t="s">
        <v>130</v>
      </c>
      <c r="B1663" t="s">
        <v>555</v>
      </c>
      <c r="C1663" s="80" t="s">
        <v>613</v>
      </c>
    </row>
    <row r="1664" spans="1:3" x14ac:dyDescent="0.25">
      <c r="A1664" s="80" t="s">
        <v>130</v>
      </c>
      <c r="B1664" t="s">
        <v>566</v>
      </c>
      <c r="C1664">
        <v>13.29</v>
      </c>
    </row>
    <row r="1665" spans="1:3" x14ac:dyDescent="0.25">
      <c r="A1665" s="80" t="s">
        <v>130</v>
      </c>
      <c r="B1665" t="s">
        <v>557</v>
      </c>
      <c r="C1665" s="80" t="s">
        <v>578</v>
      </c>
    </row>
    <row r="1666" spans="1:3" x14ac:dyDescent="0.25">
      <c r="A1666" s="80" t="s">
        <v>130</v>
      </c>
      <c r="B1666" t="s">
        <v>559</v>
      </c>
      <c r="C1666">
        <v>1</v>
      </c>
    </row>
    <row r="1667" spans="1:3" x14ac:dyDescent="0.25">
      <c r="A1667" s="80" t="s">
        <v>130</v>
      </c>
      <c r="B1667" t="s">
        <v>560</v>
      </c>
      <c r="C1667">
        <v>2</v>
      </c>
    </row>
    <row r="1668" spans="1:3" x14ac:dyDescent="0.25">
      <c r="A1668" s="80" t="s">
        <v>130</v>
      </c>
      <c r="B1668" t="s">
        <v>561</v>
      </c>
      <c r="C1668">
        <v>1</v>
      </c>
    </row>
    <row r="1669" spans="1:3" x14ac:dyDescent="0.25">
      <c r="A1669" s="80" t="s">
        <v>130</v>
      </c>
      <c r="B1669" t="s">
        <v>562</v>
      </c>
      <c r="C1669">
        <v>2</v>
      </c>
    </row>
    <row r="1670" spans="1:3" x14ac:dyDescent="0.25">
      <c r="A1670" s="80" t="s">
        <v>133</v>
      </c>
      <c r="B1670" t="s">
        <v>173</v>
      </c>
      <c r="C1670" t="b">
        <v>0</v>
      </c>
    </row>
    <row r="1671" spans="1:3" x14ac:dyDescent="0.25">
      <c r="A1671" s="80" t="s">
        <v>133</v>
      </c>
      <c r="B1671" t="s">
        <v>555</v>
      </c>
      <c r="C1671" s="80" t="s">
        <v>615</v>
      </c>
    </row>
    <row r="1672" spans="1:3" x14ac:dyDescent="0.25">
      <c r="A1672" s="80" t="s">
        <v>133</v>
      </c>
      <c r="B1672" t="s">
        <v>566</v>
      </c>
      <c r="C1672">
        <v>13.29</v>
      </c>
    </row>
    <row r="1673" spans="1:3" x14ac:dyDescent="0.25">
      <c r="A1673" s="80" t="s">
        <v>133</v>
      </c>
      <c r="B1673" t="s">
        <v>557</v>
      </c>
      <c r="C1673" s="80" t="s">
        <v>578</v>
      </c>
    </row>
    <row r="1674" spans="1:3" x14ac:dyDescent="0.25">
      <c r="A1674" s="80" t="s">
        <v>133</v>
      </c>
      <c r="B1674" t="s">
        <v>559</v>
      </c>
      <c r="C1674">
        <v>1</v>
      </c>
    </row>
    <row r="1675" spans="1:3" x14ac:dyDescent="0.25">
      <c r="A1675" s="80" t="s">
        <v>133</v>
      </c>
      <c r="B1675" t="s">
        <v>560</v>
      </c>
      <c r="C1675">
        <v>2</v>
      </c>
    </row>
    <row r="1676" spans="1:3" x14ac:dyDescent="0.25">
      <c r="A1676" s="80" t="s">
        <v>133</v>
      </c>
      <c r="B1676" t="s">
        <v>561</v>
      </c>
      <c r="C1676">
        <v>1</v>
      </c>
    </row>
    <row r="1677" spans="1:3" x14ac:dyDescent="0.25">
      <c r="A1677" s="80" t="s">
        <v>133</v>
      </c>
      <c r="B1677" t="s">
        <v>562</v>
      </c>
      <c r="C1677">
        <v>2</v>
      </c>
    </row>
    <row r="1678" spans="1:3" x14ac:dyDescent="0.25">
      <c r="A1678" s="80" t="s">
        <v>136</v>
      </c>
      <c r="B1678" t="s">
        <v>173</v>
      </c>
      <c r="C1678" t="b">
        <v>0</v>
      </c>
    </row>
    <row r="1679" spans="1:3" x14ac:dyDescent="0.25">
      <c r="A1679" s="80" t="s">
        <v>136</v>
      </c>
      <c r="B1679" t="s">
        <v>555</v>
      </c>
      <c r="C1679" s="80" t="s">
        <v>616</v>
      </c>
    </row>
    <row r="1680" spans="1:3" x14ac:dyDescent="0.25">
      <c r="A1680" s="80" t="s">
        <v>136</v>
      </c>
      <c r="B1680" t="s">
        <v>566</v>
      </c>
      <c r="C1680">
        <v>13.29</v>
      </c>
    </row>
    <row r="1681" spans="1:3" x14ac:dyDescent="0.25">
      <c r="A1681" s="80" t="s">
        <v>136</v>
      </c>
      <c r="B1681" t="s">
        <v>557</v>
      </c>
      <c r="C1681" s="80" t="s">
        <v>578</v>
      </c>
    </row>
    <row r="1682" spans="1:3" x14ac:dyDescent="0.25">
      <c r="A1682" s="80" t="s">
        <v>136</v>
      </c>
      <c r="B1682" t="s">
        <v>559</v>
      </c>
      <c r="C1682">
        <v>1</v>
      </c>
    </row>
    <row r="1683" spans="1:3" x14ac:dyDescent="0.25">
      <c r="A1683" s="80" t="s">
        <v>136</v>
      </c>
      <c r="B1683" t="s">
        <v>560</v>
      </c>
      <c r="C1683">
        <v>2</v>
      </c>
    </row>
    <row r="1684" spans="1:3" x14ac:dyDescent="0.25">
      <c r="A1684" s="80" t="s">
        <v>136</v>
      </c>
      <c r="B1684" t="s">
        <v>561</v>
      </c>
      <c r="C1684">
        <v>1</v>
      </c>
    </row>
    <row r="1685" spans="1:3" x14ac:dyDescent="0.25">
      <c r="A1685" s="80" t="s">
        <v>136</v>
      </c>
      <c r="B1685" t="s">
        <v>562</v>
      </c>
      <c r="C1685">
        <v>2</v>
      </c>
    </row>
    <row r="1686" spans="1:3" x14ac:dyDescent="0.25">
      <c r="A1686" s="80" t="s">
        <v>139</v>
      </c>
      <c r="B1686" t="s">
        <v>173</v>
      </c>
      <c r="C1686" t="b">
        <v>0</v>
      </c>
    </row>
    <row r="1687" spans="1:3" x14ac:dyDescent="0.25">
      <c r="A1687" s="80" t="s">
        <v>139</v>
      </c>
      <c r="B1687" t="s">
        <v>555</v>
      </c>
      <c r="C1687" s="80" t="s">
        <v>617</v>
      </c>
    </row>
    <row r="1688" spans="1:3" x14ac:dyDescent="0.25">
      <c r="A1688" s="80" t="s">
        <v>139</v>
      </c>
      <c r="B1688" t="s">
        <v>566</v>
      </c>
      <c r="C1688">
        <v>13.29</v>
      </c>
    </row>
    <row r="1689" spans="1:3" x14ac:dyDescent="0.25">
      <c r="A1689" s="80" t="s">
        <v>139</v>
      </c>
      <c r="B1689" t="s">
        <v>557</v>
      </c>
      <c r="C1689" s="80" t="s">
        <v>578</v>
      </c>
    </row>
    <row r="1690" spans="1:3" x14ac:dyDescent="0.25">
      <c r="A1690" s="80" t="s">
        <v>139</v>
      </c>
      <c r="B1690" t="s">
        <v>559</v>
      </c>
      <c r="C1690">
        <v>1</v>
      </c>
    </row>
    <row r="1691" spans="1:3" x14ac:dyDescent="0.25">
      <c r="A1691" s="80" t="s">
        <v>139</v>
      </c>
      <c r="B1691" t="s">
        <v>560</v>
      </c>
      <c r="C1691">
        <v>2</v>
      </c>
    </row>
    <row r="1692" spans="1:3" x14ac:dyDescent="0.25">
      <c r="A1692" s="80" t="s">
        <v>139</v>
      </c>
      <c r="B1692" t="s">
        <v>561</v>
      </c>
      <c r="C1692">
        <v>1</v>
      </c>
    </row>
    <row r="1693" spans="1:3" x14ac:dyDescent="0.25">
      <c r="A1693" s="80" t="s">
        <v>139</v>
      </c>
      <c r="B1693" t="s">
        <v>562</v>
      </c>
      <c r="C1693">
        <v>2</v>
      </c>
    </row>
    <row r="1694" spans="1:3" x14ac:dyDescent="0.25">
      <c r="A1694" s="80" t="s">
        <v>142</v>
      </c>
      <c r="B1694" t="s">
        <v>173</v>
      </c>
      <c r="C1694" t="b">
        <v>0</v>
      </c>
    </row>
    <row r="1695" spans="1:3" x14ac:dyDescent="0.25">
      <c r="A1695" s="80" t="s">
        <v>142</v>
      </c>
      <c r="B1695" t="s">
        <v>555</v>
      </c>
      <c r="C1695" s="80" t="s">
        <v>619</v>
      </c>
    </row>
    <row r="1696" spans="1:3" x14ac:dyDescent="0.25">
      <c r="A1696" s="80" t="s">
        <v>142</v>
      </c>
      <c r="B1696" t="s">
        <v>566</v>
      </c>
      <c r="C1696">
        <v>13.29</v>
      </c>
    </row>
    <row r="1697" spans="1:3" x14ac:dyDescent="0.25">
      <c r="A1697" s="80" t="s">
        <v>142</v>
      </c>
      <c r="B1697" t="s">
        <v>557</v>
      </c>
      <c r="C1697" s="80" t="s">
        <v>578</v>
      </c>
    </row>
    <row r="1698" spans="1:3" x14ac:dyDescent="0.25">
      <c r="A1698" s="80" t="s">
        <v>142</v>
      </c>
      <c r="B1698" t="s">
        <v>559</v>
      </c>
      <c r="C1698">
        <v>1</v>
      </c>
    </row>
    <row r="1699" spans="1:3" x14ac:dyDescent="0.25">
      <c r="A1699" s="80" t="s">
        <v>142</v>
      </c>
      <c r="B1699" t="s">
        <v>560</v>
      </c>
      <c r="C1699">
        <v>2</v>
      </c>
    </row>
    <row r="1700" spans="1:3" x14ac:dyDescent="0.25">
      <c r="A1700" s="80" t="s">
        <v>142</v>
      </c>
      <c r="B1700" t="s">
        <v>561</v>
      </c>
      <c r="C1700">
        <v>1</v>
      </c>
    </row>
    <row r="1701" spans="1:3" x14ac:dyDescent="0.25">
      <c r="A1701" s="80" t="s">
        <v>142</v>
      </c>
      <c r="B1701" t="s">
        <v>562</v>
      </c>
      <c r="C1701">
        <v>2</v>
      </c>
    </row>
    <row r="1702" spans="1:3" x14ac:dyDescent="0.25">
      <c r="A1702" s="80" t="s">
        <v>145</v>
      </c>
      <c r="B1702" t="s">
        <v>173</v>
      </c>
      <c r="C1702" t="b">
        <v>0</v>
      </c>
    </row>
    <row r="1703" spans="1:3" x14ac:dyDescent="0.25">
      <c r="A1703" s="80" t="s">
        <v>145</v>
      </c>
      <c r="B1703" t="s">
        <v>555</v>
      </c>
      <c r="C1703" s="80" t="s">
        <v>620</v>
      </c>
    </row>
    <row r="1704" spans="1:3" x14ac:dyDescent="0.25">
      <c r="A1704" s="80" t="s">
        <v>145</v>
      </c>
      <c r="B1704" t="s">
        <v>566</v>
      </c>
      <c r="C1704">
        <v>13.29</v>
      </c>
    </row>
    <row r="1705" spans="1:3" x14ac:dyDescent="0.25">
      <c r="A1705" s="80" t="s">
        <v>145</v>
      </c>
      <c r="B1705" t="s">
        <v>557</v>
      </c>
      <c r="C1705" s="80" t="s">
        <v>578</v>
      </c>
    </row>
    <row r="1706" spans="1:3" x14ac:dyDescent="0.25">
      <c r="A1706" s="80" t="s">
        <v>145</v>
      </c>
      <c r="B1706" t="s">
        <v>559</v>
      </c>
      <c r="C1706">
        <v>1</v>
      </c>
    </row>
    <row r="1707" spans="1:3" x14ac:dyDescent="0.25">
      <c r="A1707" s="80" t="s">
        <v>145</v>
      </c>
      <c r="B1707" t="s">
        <v>560</v>
      </c>
      <c r="C1707">
        <v>2</v>
      </c>
    </row>
    <row r="1708" spans="1:3" x14ac:dyDescent="0.25">
      <c r="A1708" s="80" t="s">
        <v>145</v>
      </c>
      <c r="B1708" t="s">
        <v>561</v>
      </c>
      <c r="C1708">
        <v>1</v>
      </c>
    </row>
    <row r="1709" spans="1:3" x14ac:dyDescent="0.25">
      <c r="A1709" s="80" t="s">
        <v>145</v>
      </c>
      <c r="B1709" t="s">
        <v>562</v>
      </c>
      <c r="C1709">
        <v>2</v>
      </c>
    </row>
    <row r="1710" spans="1:3" x14ac:dyDescent="0.25">
      <c r="A1710" s="80" t="s">
        <v>148</v>
      </c>
      <c r="B1710" t="s">
        <v>173</v>
      </c>
      <c r="C1710" t="b">
        <v>0</v>
      </c>
    </row>
    <row r="1711" spans="1:3" x14ac:dyDescent="0.25">
      <c r="A1711" s="80" t="s">
        <v>148</v>
      </c>
      <c r="B1711" t="s">
        <v>555</v>
      </c>
      <c r="C1711" s="80" t="s">
        <v>621</v>
      </c>
    </row>
    <row r="1712" spans="1:3" x14ac:dyDescent="0.25">
      <c r="A1712" s="80" t="s">
        <v>148</v>
      </c>
      <c r="B1712" t="s">
        <v>566</v>
      </c>
      <c r="C1712">
        <v>13.29</v>
      </c>
    </row>
    <row r="1713" spans="1:3" x14ac:dyDescent="0.25">
      <c r="A1713" s="80" t="s">
        <v>148</v>
      </c>
      <c r="B1713" t="s">
        <v>557</v>
      </c>
      <c r="C1713" s="80" t="s">
        <v>578</v>
      </c>
    </row>
    <row r="1714" spans="1:3" x14ac:dyDescent="0.25">
      <c r="A1714" s="80" t="s">
        <v>148</v>
      </c>
      <c r="B1714" t="s">
        <v>559</v>
      </c>
      <c r="C1714">
        <v>1</v>
      </c>
    </row>
    <row r="1715" spans="1:3" x14ac:dyDescent="0.25">
      <c r="A1715" s="80" t="s">
        <v>148</v>
      </c>
      <c r="B1715" t="s">
        <v>560</v>
      </c>
      <c r="C1715">
        <v>2</v>
      </c>
    </row>
    <row r="1716" spans="1:3" x14ac:dyDescent="0.25">
      <c r="A1716" s="80" t="s">
        <v>148</v>
      </c>
      <c r="B1716" t="s">
        <v>561</v>
      </c>
      <c r="C1716">
        <v>1</v>
      </c>
    </row>
    <row r="1717" spans="1:3" x14ac:dyDescent="0.25">
      <c r="A1717" s="80" t="s">
        <v>148</v>
      </c>
      <c r="B1717" t="s">
        <v>562</v>
      </c>
      <c r="C1717">
        <v>-4138</v>
      </c>
    </row>
    <row r="1718" spans="1:3" x14ac:dyDescent="0.25">
      <c r="A1718" s="80" t="s">
        <v>117</v>
      </c>
      <c r="B1718" t="s">
        <v>173</v>
      </c>
      <c r="C1718" t="b">
        <v>0</v>
      </c>
    </row>
    <row r="1719" spans="1:3" x14ac:dyDescent="0.25">
      <c r="A1719" s="80" t="s">
        <v>117</v>
      </c>
      <c r="B1719" t="s">
        <v>555</v>
      </c>
      <c r="C1719" s="80" t="s">
        <v>623</v>
      </c>
    </row>
    <row r="1720" spans="1:3" x14ac:dyDescent="0.25">
      <c r="A1720" s="80" t="s">
        <v>117</v>
      </c>
      <c r="B1720" t="s">
        <v>576</v>
      </c>
      <c r="C1720" s="80" t="s">
        <v>594</v>
      </c>
    </row>
    <row r="1721" spans="1:3" x14ac:dyDescent="0.25">
      <c r="A1721" s="80" t="s">
        <v>117</v>
      </c>
      <c r="B1721" t="s">
        <v>566</v>
      </c>
      <c r="C1721">
        <v>14.71</v>
      </c>
    </row>
    <row r="1722" spans="1:3" x14ac:dyDescent="0.25">
      <c r="A1722" s="80" t="s">
        <v>117</v>
      </c>
      <c r="B1722" t="s">
        <v>557</v>
      </c>
      <c r="C1722" s="80" t="s">
        <v>578</v>
      </c>
    </row>
    <row r="1723" spans="1:3" x14ac:dyDescent="0.25">
      <c r="A1723" s="80" t="s">
        <v>117</v>
      </c>
      <c r="B1723" t="s">
        <v>559</v>
      </c>
      <c r="C1723">
        <v>1</v>
      </c>
    </row>
    <row r="1724" spans="1:3" x14ac:dyDescent="0.25">
      <c r="A1724" s="80" t="s">
        <v>117</v>
      </c>
      <c r="B1724" t="s">
        <v>560</v>
      </c>
      <c r="C1724">
        <v>-4138</v>
      </c>
    </row>
    <row r="1725" spans="1:3" x14ac:dyDescent="0.25">
      <c r="A1725" s="80" t="s">
        <v>117</v>
      </c>
      <c r="B1725" t="s">
        <v>561</v>
      </c>
      <c r="C1725">
        <v>1</v>
      </c>
    </row>
    <row r="1726" spans="1:3" x14ac:dyDescent="0.25">
      <c r="A1726" s="80" t="s">
        <v>117</v>
      </c>
      <c r="B1726" t="s">
        <v>562</v>
      </c>
      <c r="C1726">
        <v>2</v>
      </c>
    </row>
    <row r="1727" spans="1:3" x14ac:dyDescent="0.25">
      <c r="A1727" s="80" t="s">
        <v>120</v>
      </c>
      <c r="B1727" t="s">
        <v>173</v>
      </c>
      <c r="C1727" t="b">
        <v>0</v>
      </c>
    </row>
    <row r="1728" spans="1:3" x14ac:dyDescent="0.25">
      <c r="A1728" s="80" t="s">
        <v>120</v>
      </c>
      <c r="B1728" t="s">
        <v>555</v>
      </c>
      <c r="C1728" s="80" t="s">
        <v>624</v>
      </c>
    </row>
    <row r="1729" spans="1:3" x14ac:dyDescent="0.25">
      <c r="A1729" s="80" t="s">
        <v>120</v>
      </c>
      <c r="B1729" t="s">
        <v>576</v>
      </c>
      <c r="C1729" s="80" t="s">
        <v>598</v>
      </c>
    </row>
    <row r="1730" spans="1:3" x14ac:dyDescent="0.25">
      <c r="A1730" s="80" t="s">
        <v>120</v>
      </c>
      <c r="B1730" t="s">
        <v>566</v>
      </c>
      <c r="C1730">
        <v>14.71</v>
      </c>
    </row>
    <row r="1731" spans="1:3" x14ac:dyDescent="0.25">
      <c r="A1731" s="80" t="s">
        <v>120</v>
      </c>
      <c r="B1731" t="s">
        <v>557</v>
      </c>
      <c r="C1731" s="80" t="s">
        <v>578</v>
      </c>
    </row>
    <row r="1732" spans="1:3" x14ac:dyDescent="0.25">
      <c r="A1732" s="80" t="s">
        <v>120</v>
      </c>
      <c r="B1732" t="s">
        <v>559</v>
      </c>
      <c r="C1732">
        <v>1</v>
      </c>
    </row>
    <row r="1733" spans="1:3" x14ac:dyDescent="0.25">
      <c r="A1733" s="80" t="s">
        <v>120</v>
      </c>
      <c r="B1733" t="s">
        <v>560</v>
      </c>
      <c r="C1733">
        <v>2</v>
      </c>
    </row>
    <row r="1734" spans="1:3" x14ac:dyDescent="0.25">
      <c r="A1734" s="80" t="s">
        <v>120</v>
      </c>
      <c r="B1734" t="s">
        <v>561</v>
      </c>
      <c r="C1734">
        <v>1</v>
      </c>
    </row>
    <row r="1735" spans="1:3" x14ac:dyDescent="0.25">
      <c r="A1735" s="80" t="s">
        <v>120</v>
      </c>
      <c r="B1735" t="s">
        <v>562</v>
      </c>
      <c r="C1735">
        <v>2</v>
      </c>
    </row>
    <row r="1736" spans="1:3" x14ac:dyDescent="0.25">
      <c r="A1736" s="80" t="s">
        <v>123</v>
      </c>
      <c r="B1736" t="s">
        <v>173</v>
      </c>
      <c r="C1736" t="b">
        <v>0</v>
      </c>
    </row>
    <row r="1737" spans="1:3" x14ac:dyDescent="0.25">
      <c r="A1737" s="80" t="s">
        <v>123</v>
      </c>
      <c r="B1737" t="s">
        <v>555</v>
      </c>
      <c r="C1737" s="80" t="s">
        <v>625</v>
      </c>
    </row>
    <row r="1738" spans="1:3" x14ac:dyDescent="0.25">
      <c r="A1738" s="80" t="s">
        <v>123</v>
      </c>
      <c r="B1738" t="s">
        <v>576</v>
      </c>
      <c r="C1738" s="80" t="s">
        <v>602</v>
      </c>
    </row>
    <row r="1739" spans="1:3" x14ac:dyDescent="0.25">
      <c r="A1739" s="80" t="s">
        <v>123</v>
      </c>
      <c r="B1739" t="s">
        <v>566</v>
      </c>
      <c r="C1739">
        <v>14.71</v>
      </c>
    </row>
    <row r="1740" spans="1:3" x14ac:dyDescent="0.25">
      <c r="A1740" s="80" t="s">
        <v>123</v>
      </c>
      <c r="B1740" t="s">
        <v>557</v>
      </c>
      <c r="C1740" s="80" t="s">
        <v>578</v>
      </c>
    </row>
    <row r="1741" spans="1:3" x14ac:dyDescent="0.25">
      <c r="A1741" s="80" t="s">
        <v>123</v>
      </c>
      <c r="B1741" t="s">
        <v>559</v>
      </c>
      <c r="C1741">
        <v>1</v>
      </c>
    </row>
    <row r="1742" spans="1:3" x14ac:dyDescent="0.25">
      <c r="A1742" s="80" t="s">
        <v>123</v>
      </c>
      <c r="B1742" t="s">
        <v>560</v>
      </c>
      <c r="C1742">
        <v>2</v>
      </c>
    </row>
    <row r="1743" spans="1:3" x14ac:dyDescent="0.25">
      <c r="A1743" s="80" t="s">
        <v>123</v>
      </c>
      <c r="B1743" t="s">
        <v>561</v>
      </c>
      <c r="C1743">
        <v>1</v>
      </c>
    </row>
    <row r="1744" spans="1:3" x14ac:dyDescent="0.25">
      <c r="A1744" s="80" t="s">
        <v>123</v>
      </c>
      <c r="B1744" t="s">
        <v>562</v>
      </c>
      <c r="C1744">
        <v>2</v>
      </c>
    </row>
    <row r="1745" spans="1:3" x14ac:dyDescent="0.25">
      <c r="A1745" s="80" t="s">
        <v>126</v>
      </c>
      <c r="B1745" t="s">
        <v>173</v>
      </c>
      <c r="C1745" t="b">
        <v>0</v>
      </c>
    </row>
    <row r="1746" spans="1:3" x14ac:dyDescent="0.25">
      <c r="A1746" s="80" t="s">
        <v>126</v>
      </c>
      <c r="B1746" t="s">
        <v>555</v>
      </c>
      <c r="C1746" s="80" t="s">
        <v>627</v>
      </c>
    </row>
    <row r="1747" spans="1:3" x14ac:dyDescent="0.25">
      <c r="A1747" s="80" t="s">
        <v>126</v>
      </c>
      <c r="B1747" t="s">
        <v>576</v>
      </c>
      <c r="C1747" s="80" t="s">
        <v>606</v>
      </c>
    </row>
    <row r="1748" spans="1:3" x14ac:dyDescent="0.25">
      <c r="A1748" s="80" t="s">
        <v>126</v>
      </c>
      <c r="B1748" t="s">
        <v>566</v>
      </c>
      <c r="C1748">
        <v>14.71</v>
      </c>
    </row>
    <row r="1749" spans="1:3" x14ac:dyDescent="0.25">
      <c r="A1749" s="80" t="s">
        <v>126</v>
      </c>
      <c r="B1749" t="s">
        <v>557</v>
      </c>
      <c r="C1749" s="80" t="s">
        <v>578</v>
      </c>
    </row>
    <row r="1750" spans="1:3" x14ac:dyDescent="0.25">
      <c r="A1750" s="80" t="s">
        <v>126</v>
      </c>
      <c r="B1750" t="s">
        <v>559</v>
      </c>
      <c r="C1750">
        <v>1</v>
      </c>
    </row>
    <row r="1751" spans="1:3" x14ac:dyDescent="0.25">
      <c r="A1751" s="80" t="s">
        <v>126</v>
      </c>
      <c r="B1751" t="s">
        <v>560</v>
      </c>
      <c r="C1751">
        <v>2</v>
      </c>
    </row>
    <row r="1752" spans="1:3" x14ac:dyDescent="0.25">
      <c r="A1752" s="80" t="s">
        <v>126</v>
      </c>
      <c r="B1752" t="s">
        <v>561</v>
      </c>
      <c r="C1752">
        <v>1</v>
      </c>
    </row>
    <row r="1753" spans="1:3" x14ac:dyDescent="0.25">
      <c r="A1753" s="80" t="s">
        <v>126</v>
      </c>
      <c r="B1753" t="s">
        <v>562</v>
      </c>
      <c r="C1753">
        <v>2</v>
      </c>
    </row>
    <row r="1754" spans="1:3" x14ac:dyDescent="0.25">
      <c r="A1754" s="80" t="s">
        <v>129</v>
      </c>
      <c r="B1754" t="s">
        <v>173</v>
      </c>
      <c r="C1754" t="b">
        <v>0</v>
      </c>
    </row>
    <row r="1755" spans="1:3" x14ac:dyDescent="0.25">
      <c r="A1755" s="80" t="s">
        <v>129</v>
      </c>
      <c r="B1755" t="s">
        <v>555</v>
      </c>
      <c r="C1755" s="80" t="s">
        <v>628</v>
      </c>
    </row>
    <row r="1756" spans="1:3" x14ac:dyDescent="0.25">
      <c r="A1756" s="80" t="s">
        <v>129</v>
      </c>
      <c r="B1756" t="s">
        <v>576</v>
      </c>
      <c r="C1756" s="80" t="s">
        <v>610</v>
      </c>
    </row>
    <row r="1757" spans="1:3" x14ac:dyDescent="0.25">
      <c r="A1757" s="80" t="s">
        <v>129</v>
      </c>
      <c r="B1757" t="s">
        <v>566</v>
      </c>
      <c r="C1757">
        <v>14.71</v>
      </c>
    </row>
    <row r="1758" spans="1:3" x14ac:dyDescent="0.25">
      <c r="A1758" s="80" t="s">
        <v>129</v>
      </c>
      <c r="B1758" t="s">
        <v>557</v>
      </c>
      <c r="C1758" s="80" t="s">
        <v>578</v>
      </c>
    </row>
    <row r="1759" spans="1:3" x14ac:dyDescent="0.25">
      <c r="A1759" s="80" t="s">
        <v>129</v>
      </c>
      <c r="B1759" t="s">
        <v>559</v>
      </c>
      <c r="C1759">
        <v>1</v>
      </c>
    </row>
    <row r="1760" spans="1:3" x14ac:dyDescent="0.25">
      <c r="A1760" s="80" t="s">
        <v>129</v>
      </c>
      <c r="B1760" t="s">
        <v>560</v>
      </c>
      <c r="C1760">
        <v>2</v>
      </c>
    </row>
    <row r="1761" spans="1:3" x14ac:dyDescent="0.25">
      <c r="A1761" s="80" t="s">
        <v>129</v>
      </c>
      <c r="B1761" t="s">
        <v>561</v>
      </c>
      <c r="C1761">
        <v>1</v>
      </c>
    </row>
    <row r="1762" spans="1:3" x14ac:dyDescent="0.25">
      <c r="A1762" s="80" t="s">
        <v>129</v>
      </c>
      <c r="B1762" t="s">
        <v>562</v>
      </c>
      <c r="C1762">
        <v>2</v>
      </c>
    </row>
    <row r="1763" spans="1:3" x14ac:dyDescent="0.25">
      <c r="A1763" s="80" t="s">
        <v>132</v>
      </c>
      <c r="B1763" t="s">
        <v>173</v>
      </c>
      <c r="C1763" t="b">
        <v>0</v>
      </c>
    </row>
    <row r="1764" spans="1:3" x14ac:dyDescent="0.25">
      <c r="A1764" s="80" t="s">
        <v>132</v>
      </c>
      <c r="B1764" t="s">
        <v>555</v>
      </c>
      <c r="C1764" s="80" t="s">
        <v>629</v>
      </c>
    </row>
    <row r="1765" spans="1:3" x14ac:dyDescent="0.25">
      <c r="A1765" s="80" t="s">
        <v>132</v>
      </c>
      <c r="B1765" t="s">
        <v>576</v>
      </c>
      <c r="C1765" s="80" t="s">
        <v>614</v>
      </c>
    </row>
    <row r="1766" spans="1:3" x14ac:dyDescent="0.25">
      <c r="A1766" s="80" t="s">
        <v>132</v>
      </c>
      <c r="B1766" t="s">
        <v>566</v>
      </c>
      <c r="C1766">
        <v>14.71</v>
      </c>
    </row>
    <row r="1767" spans="1:3" x14ac:dyDescent="0.25">
      <c r="A1767" s="80" t="s">
        <v>132</v>
      </c>
      <c r="B1767" t="s">
        <v>557</v>
      </c>
      <c r="C1767" s="80" t="s">
        <v>578</v>
      </c>
    </row>
    <row r="1768" spans="1:3" x14ac:dyDescent="0.25">
      <c r="A1768" s="80" t="s">
        <v>132</v>
      </c>
      <c r="B1768" t="s">
        <v>559</v>
      </c>
      <c r="C1768">
        <v>1</v>
      </c>
    </row>
    <row r="1769" spans="1:3" x14ac:dyDescent="0.25">
      <c r="A1769" s="80" t="s">
        <v>132</v>
      </c>
      <c r="B1769" t="s">
        <v>560</v>
      </c>
      <c r="C1769">
        <v>2</v>
      </c>
    </row>
    <row r="1770" spans="1:3" x14ac:dyDescent="0.25">
      <c r="A1770" s="80" t="s">
        <v>132</v>
      </c>
      <c r="B1770" t="s">
        <v>561</v>
      </c>
      <c r="C1770">
        <v>1</v>
      </c>
    </row>
    <row r="1771" spans="1:3" x14ac:dyDescent="0.25">
      <c r="A1771" s="80" t="s">
        <v>132</v>
      </c>
      <c r="B1771" t="s">
        <v>562</v>
      </c>
      <c r="C1771">
        <v>2</v>
      </c>
    </row>
    <row r="1772" spans="1:3" x14ac:dyDescent="0.25">
      <c r="A1772" s="80" t="s">
        <v>135</v>
      </c>
      <c r="B1772" t="s">
        <v>173</v>
      </c>
      <c r="C1772" t="b">
        <v>0</v>
      </c>
    </row>
    <row r="1773" spans="1:3" x14ac:dyDescent="0.25">
      <c r="A1773" s="80" t="s">
        <v>135</v>
      </c>
      <c r="B1773" t="s">
        <v>555</v>
      </c>
      <c r="C1773" s="80" t="s">
        <v>631</v>
      </c>
    </row>
    <row r="1774" spans="1:3" x14ac:dyDescent="0.25">
      <c r="A1774" s="80" t="s">
        <v>135</v>
      </c>
      <c r="B1774" t="s">
        <v>576</v>
      </c>
      <c r="C1774" s="80" t="s">
        <v>618</v>
      </c>
    </row>
    <row r="1775" spans="1:3" x14ac:dyDescent="0.25">
      <c r="A1775" s="80" t="s">
        <v>135</v>
      </c>
      <c r="B1775" t="s">
        <v>566</v>
      </c>
      <c r="C1775">
        <v>14.71</v>
      </c>
    </row>
    <row r="1776" spans="1:3" x14ac:dyDescent="0.25">
      <c r="A1776" s="80" t="s">
        <v>135</v>
      </c>
      <c r="B1776" t="s">
        <v>557</v>
      </c>
      <c r="C1776" s="80" t="s">
        <v>578</v>
      </c>
    </row>
    <row r="1777" spans="1:3" x14ac:dyDescent="0.25">
      <c r="A1777" s="80" t="s">
        <v>135</v>
      </c>
      <c r="B1777" t="s">
        <v>559</v>
      </c>
      <c r="C1777">
        <v>1</v>
      </c>
    </row>
    <row r="1778" spans="1:3" x14ac:dyDescent="0.25">
      <c r="A1778" s="80" t="s">
        <v>135</v>
      </c>
      <c r="B1778" t="s">
        <v>560</v>
      </c>
      <c r="C1778">
        <v>2</v>
      </c>
    </row>
    <row r="1779" spans="1:3" x14ac:dyDescent="0.25">
      <c r="A1779" s="80" t="s">
        <v>135</v>
      </c>
      <c r="B1779" t="s">
        <v>561</v>
      </c>
      <c r="C1779">
        <v>1</v>
      </c>
    </row>
    <row r="1780" spans="1:3" x14ac:dyDescent="0.25">
      <c r="A1780" s="80" t="s">
        <v>135</v>
      </c>
      <c r="B1780" t="s">
        <v>562</v>
      </c>
      <c r="C1780">
        <v>2</v>
      </c>
    </row>
    <row r="1781" spans="1:3" x14ac:dyDescent="0.25">
      <c r="A1781" s="80" t="s">
        <v>138</v>
      </c>
      <c r="B1781" t="s">
        <v>173</v>
      </c>
      <c r="C1781" t="b">
        <v>0</v>
      </c>
    </row>
    <row r="1782" spans="1:3" x14ac:dyDescent="0.25">
      <c r="A1782" s="80" t="s">
        <v>138</v>
      </c>
      <c r="B1782" t="s">
        <v>555</v>
      </c>
      <c r="C1782" s="80" t="s">
        <v>632</v>
      </c>
    </row>
    <row r="1783" spans="1:3" x14ac:dyDescent="0.25">
      <c r="A1783" s="80" t="s">
        <v>138</v>
      </c>
      <c r="B1783" t="s">
        <v>576</v>
      </c>
      <c r="C1783" s="80" t="s">
        <v>622</v>
      </c>
    </row>
    <row r="1784" spans="1:3" x14ac:dyDescent="0.25">
      <c r="A1784" s="80" t="s">
        <v>138</v>
      </c>
      <c r="B1784" t="s">
        <v>566</v>
      </c>
      <c r="C1784">
        <v>14.71</v>
      </c>
    </row>
    <row r="1785" spans="1:3" x14ac:dyDescent="0.25">
      <c r="A1785" s="80" t="s">
        <v>138</v>
      </c>
      <c r="B1785" t="s">
        <v>557</v>
      </c>
      <c r="C1785" s="80" t="s">
        <v>578</v>
      </c>
    </row>
    <row r="1786" spans="1:3" x14ac:dyDescent="0.25">
      <c r="A1786" s="80" t="s">
        <v>138</v>
      </c>
      <c r="B1786" t="s">
        <v>559</v>
      </c>
      <c r="C1786">
        <v>1</v>
      </c>
    </row>
    <row r="1787" spans="1:3" x14ac:dyDescent="0.25">
      <c r="A1787" s="80" t="s">
        <v>138</v>
      </c>
      <c r="B1787" t="s">
        <v>560</v>
      </c>
      <c r="C1787">
        <v>2</v>
      </c>
    </row>
    <row r="1788" spans="1:3" x14ac:dyDescent="0.25">
      <c r="A1788" s="80" t="s">
        <v>138</v>
      </c>
      <c r="B1788" t="s">
        <v>561</v>
      </c>
      <c r="C1788">
        <v>1</v>
      </c>
    </row>
    <row r="1789" spans="1:3" x14ac:dyDescent="0.25">
      <c r="A1789" s="80" t="s">
        <v>138</v>
      </c>
      <c r="B1789" t="s">
        <v>562</v>
      </c>
      <c r="C1789">
        <v>2</v>
      </c>
    </row>
    <row r="1790" spans="1:3" x14ac:dyDescent="0.25">
      <c r="A1790" s="80" t="s">
        <v>141</v>
      </c>
      <c r="B1790" t="s">
        <v>173</v>
      </c>
      <c r="C1790" t="b">
        <v>0</v>
      </c>
    </row>
    <row r="1791" spans="1:3" x14ac:dyDescent="0.25">
      <c r="A1791" s="80" t="s">
        <v>141</v>
      </c>
      <c r="B1791" t="s">
        <v>555</v>
      </c>
      <c r="C1791" s="80" t="s">
        <v>633</v>
      </c>
    </row>
    <row r="1792" spans="1:3" x14ac:dyDescent="0.25">
      <c r="A1792" s="80" t="s">
        <v>141</v>
      </c>
      <c r="B1792" t="s">
        <v>576</v>
      </c>
      <c r="C1792" s="80" t="s">
        <v>626</v>
      </c>
    </row>
    <row r="1793" spans="1:3" x14ac:dyDescent="0.25">
      <c r="A1793" s="80" t="s">
        <v>141</v>
      </c>
      <c r="B1793" t="s">
        <v>566</v>
      </c>
      <c r="C1793">
        <v>14.71</v>
      </c>
    </row>
    <row r="1794" spans="1:3" x14ac:dyDescent="0.25">
      <c r="A1794" s="80" t="s">
        <v>141</v>
      </c>
      <c r="B1794" t="s">
        <v>557</v>
      </c>
      <c r="C1794" s="80" t="s">
        <v>578</v>
      </c>
    </row>
    <row r="1795" spans="1:3" x14ac:dyDescent="0.25">
      <c r="A1795" s="80" t="s">
        <v>141</v>
      </c>
      <c r="B1795" t="s">
        <v>559</v>
      </c>
      <c r="C1795">
        <v>1</v>
      </c>
    </row>
    <row r="1796" spans="1:3" x14ac:dyDescent="0.25">
      <c r="A1796" s="80" t="s">
        <v>141</v>
      </c>
      <c r="B1796" t="s">
        <v>560</v>
      </c>
      <c r="C1796">
        <v>2</v>
      </c>
    </row>
    <row r="1797" spans="1:3" x14ac:dyDescent="0.25">
      <c r="A1797" s="80" t="s">
        <v>141</v>
      </c>
      <c r="B1797" t="s">
        <v>561</v>
      </c>
      <c r="C1797">
        <v>1</v>
      </c>
    </row>
    <row r="1798" spans="1:3" x14ac:dyDescent="0.25">
      <c r="A1798" s="80" t="s">
        <v>141</v>
      </c>
      <c r="B1798" t="s">
        <v>562</v>
      </c>
      <c r="C1798">
        <v>2</v>
      </c>
    </row>
    <row r="1799" spans="1:3" x14ac:dyDescent="0.25">
      <c r="A1799" s="80" t="s">
        <v>144</v>
      </c>
      <c r="B1799" t="s">
        <v>173</v>
      </c>
      <c r="C1799" t="b">
        <v>0</v>
      </c>
    </row>
    <row r="1800" spans="1:3" x14ac:dyDescent="0.25">
      <c r="A1800" s="80" t="s">
        <v>144</v>
      </c>
      <c r="B1800" t="s">
        <v>555</v>
      </c>
      <c r="C1800" s="80" t="s">
        <v>635</v>
      </c>
    </row>
    <row r="1801" spans="1:3" x14ac:dyDescent="0.25">
      <c r="A1801" s="80" t="s">
        <v>144</v>
      </c>
      <c r="B1801" t="s">
        <v>576</v>
      </c>
      <c r="C1801" s="80" t="s">
        <v>630</v>
      </c>
    </row>
    <row r="1802" spans="1:3" x14ac:dyDescent="0.25">
      <c r="A1802" s="80" t="s">
        <v>144</v>
      </c>
      <c r="B1802" t="s">
        <v>566</v>
      </c>
      <c r="C1802">
        <v>14.71</v>
      </c>
    </row>
    <row r="1803" spans="1:3" x14ac:dyDescent="0.25">
      <c r="A1803" s="80" t="s">
        <v>144</v>
      </c>
      <c r="B1803" t="s">
        <v>557</v>
      </c>
      <c r="C1803" s="80" t="s">
        <v>578</v>
      </c>
    </row>
    <row r="1804" spans="1:3" x14ac:dyDescent="0.25">
      <c r="A1804" s="80" t="s">
        <v>144</v>
      </c>
      <c r="B1804" t="s">
        <v>559</v>
      </c>
      <c r="C1804">
        <v>1</v>
      </c>
    </row>
    <row r="1805" spans="1:3" x14ac:dyDescent="0.25">
      <c r="A1805" s="80" t="s">
        <v>144</v>
      </c>
      <c r="B1805" t="s">
        <v>560</v>
      </c>
      <c r="C1805">
        <v>2</v>
      </c>
    </row>
    <row r="1806" spans="1:3" x14ac:dyDescent="0.25">
      <c r="A1806" s="80" t="s">
        <v>144</v>
      </c>
      <c r="B1806" t="s">
        <v>561</v>
      </c>
      <c r="C1806">
        <v>1</v>
      </c>
    </row>
    <row r="1807" spans="1:3" x14ac:dyDescent="0.25">
      <c r="A1807" s="80" t="s">
        <v>144</v>
      </c>
      <c r="B1807" t="s">
        <v>562</v>
      </c>
      <c r="C1807">
        <v>2</v>
      </c>
    </row>
    <row r="1808" spans="1:3" x14ac:dyDescent="0.25">
      <c r="A1808" s="80" t="s">
        <v>147</v>
      </c>
      <c r="B1808" t="s">
        <v>173</v>
      </c>
      <c r="C1808" t="b">
        <v>0</v>
      </c>
    </row>
    <row r="1809" spans="1:3" x14ac:dyDescent="0.25">
      <c r="A1809" s="80" t="s">
        <v>147</v>
      </c>
      <c r="B1809" t="s">
        <v>555</v>
      </c>
      <c r="C1809" s="80" t="s">
        <v>636</v>
      </c>
    </row>
    <row r="1810" spans="1:3" x14ac:dyDescent="0.25">
      <c r="A1810" s="80" t="s">
        <v>147</v>
      </c>
      <c r="B1810" t="s">
        <v>576</v>
      </c>
      <c r="C1810" s="80" t="s">
        <v>634</v>
      </c>
    </row>
    <row r="1811" spans="1:3" x14ac:dyDescent="0.25">
      <c r="A1811" s="80" t="s">
        <v>147</v>
      </c>
      <c r="B1811" t="s">
        <v>566</v>
      </c>
      <c r="C1811">
        <v>14.71</v>
      </c>
    </row>
    <row r="1812" spans="1:3" x14ac:dyDescent="0.25">
      <c r="A1812" s="80" t="s">
        <v>147</v>
      </c>
      <c r="B1812" t="s">
        <v>557</v>
      </c>
      <c r="C1812" s="80" t="s">
        <v>578</v>
      </c>
    </row>
    <row r="1813" spans="1:3" x14ac:dyDescent="0.25">
      <c r="A1813" s="80" t="s">
        <v>147</v>
      </c>
      <c r="B1813" t="s">
        <v>559</v>
      </c>
      <c r="C1813">
        <v>1</v>
      </c>
    </row>
    <row r="1814" spans="1:3" x14ac:dyDescent="0.25">
      <c r="A1814" s="80" t="s">
        <v>147</v>
      </c>
      <c r="B1814" t="s">
        <v>560</v>
      </c>
      <c r="C1814">
        <v>2</v>
      </c>
    </row>
    <row r="1815" spans="1:3" x14ac:dyDescent="0.25">
      <c r="A1815" s="80" t="s">
        <v>147</v>
      </c>
      <c r="B1815" t="s">
        <v>561</v>
      </c>
      <c r="C1815">
        <v>1</v>
      </c>
    </row>
    <row r="1816" spans="1:3" x14ac:dyDescent="0.25">
      <c r="A1816" s="80" t="s">
        <v>147</v>
      </c>
      <c r="B1816" t="s">
        <v>562</v>
      </c>
      <c r="C1816">
        <v>2</v>
      </c>
    </row>
    <row r="1817" spans="1:3" x14ac:dyDescent="0.25">
      <c r="A1817" s="80" t="s">
        <v>150</v>
      </c>
      <c r="B1817" t="s">
        <v>173</v>
      </c>
      <c r="C1817" t="b">
        <v>0</v>
      </c>
    </row>
    <row r="1818" spans="1:3" x14ac:dyDescent="0.25">
      <c r="A1818" s="80" t="s">
        <v>150</v>
      </c>
      <c r="B1818" t="s">
        <v>555</v>
      </c>
      <c r="C1818" s="80" t="s">
        <v>637</v>
      </c>
    </row>
    <row r="1819" spans="1:3" x14ac:dyDescent="0.25">
      <c r="A1819" s="80" t="s">
        <v>150</v>
      </c>
      <c r="B1819" t="s">
        <v>576</v>
      </c>
      <c r="C1819" s="80" t="s">
        <v>638</v>
      </c>
    </row>
    <row r="1820" spans="1:3" x14ac:dyDescent="0.25">
      <c r="A1820" s="80" t="s">
        <v>150</v>
      </c>
      <c r="B1820" t="s">
        <v>566</v>
      </c>
      <c r="C1820">
        <v>14.71</v>
      </c>
    </row>
    <row r="1821" spans="1:3" x14ac:dyDescent="0.25">
      <c r="A1821" s="80" t="s">
        <v>150</v>
      </c>
      <c r="B1821" t="s">
        <v>557</v>
      </c>
      <c r="C1821" s="80" t="s">
        <v>578</v>
      </c>
    </row>
    <row r="1822" spans="1:3" x14ac:dyDescent="0.25">
      <c r="A1822" s="80" t="s">
        <v>150</v>
      </c>
      <c r="B1822" t="s">
        <v>559</v>
      </c>
      <c r="C1822">
        <v>1</v>
      </c>
    </row>
    <row r="1823" spans="1:3" x14ac:dyDescent="0.25">
      <c r="A1823" s="80" t="s">
        <v>150</v>
      </c>
      <c r="B1823" t="s">
        <v>560</v>
      </c>
      <c r="C1823">
        <v>2</v>
      </c>
    </row>
    <row r="1824" spans="1:3" x14ac:dyDescent="0.25">
      <c r="A1824" s="80" t="s">
        <v>150</v>
      </c>
      <c r="B1824" t="s">
        <v>561</v>
      </c>
      <c r="C1824">
        <v>1</v>
      </c>
    </row>
    <row r="1825" spans="1:3" x14ac:dyDescent="0.25">
      <c r="A1825" s="80" t="s">
        <v>150</v>
      </c>
      <c r="B1825" t="s">
        <v>562</v>
      </c>
      <c r="C1825">
        <v>-4138</v>
      </c>
    </row>
    <row r="1826" spans="1:3" x14ac:dyDescent="0.25">
      <c r="A1826" s="80" t="s">
        <v>151</v>
      </c>
      <c r="B1826" t="s">
        <v>173</v>
      </c>
      <c r="C1826" t="b">
        <v>1</v>
      </c>
    </row>
    <row r="1827" spans="1:3" x14ac:dyDescent="0.25">
      <c r="A1827" s="80" t="s">
        <v>151</v>
      </c>
      <c r="B1827" t="s">
        <v>555</v>
      </c>
      <c r="C1827" s="80" t="s">
        <v>639</v>
      </c>
    </row>
    <row r="1828" spans="1:3" x14ac:dyDescent="0.25">
      <c r="A1828" s="80" t="s">
        <v>151</v>
      </c>
      <c r="B1828" t="s">
        <v>557</v>
      </c>
      <c r="C1828" s="80" t="s">
        <v>558</v>
      </c>
    </row>
    <row r="1829" spans="1:3" x14ac:dyDescent="0.25">
      <c r="A1829" s="80" t="s">
        <v>151</v>
      </c>
      <c r="B1829" t="s">
        <v>559</v>
      </c>
      <c r="C1829">
        <v>1</v>
      </c>
    </row>
    <row r="1830" spans="1:3" x14ac:dyDescent="0.25">
      <c r="A1830" s="80" t="s">
        <v>151</v>
      </c>
      <c r="B1830" t="s">
        <v>560</v>
      </c>
      <c r="C1830">
        <v>-4138</v>
      </c>
    </row>
    <row r="1831" spans="1:3" x14ac:dyDescent="0.25">
      <c r="A1831" s="80" t="s">
        <v>151</v>
      </c>
      <c r="B1831" t="s">
        <v>561</v>
      </c>
      <c r="C1831">
        <v>1</v>
      </c>
    </row>
    <row r="1832" spans="1:3" x14ac:dyDescent="0.25">
      <c r="A1832" s="80" t="s">
        <v>151</v>
      </c>
      <c r="B1832" t="s">
        <v>562</v>
      </c>
      <c r="C1832">
        <v>-4138</v>
      </c>
    </row>
    <row r="1833" spans="1:3" x14ac:dyDescent="0.25">
      <c r="A1833" s="80" t="s">
        <v>545</v>
      </c>
      <c r="B1833" t="s">
        <v>173</v>
      </c>
      <c r="C1833" t="b">
        <v>1</v>
      </c>
    </row>
    <row r="1834" spans="1:3" x14ac:dyDescent="0.25">
      <c r="A1834" s="80" t="s">
        <v>545</v>
      </c>
      <c r="B1834" t="s">
        <v>555</v>
      </c>
      <c r="C1834" s="80" t="s">
        <v>640</v>
      </c>
    </row>
    <row r="1835" spans="1:3" x14ac:dyDescent="0.25">
      <c r="A1835" s="80" t="s">
        <v>545</v>
      </c>
      <c r="B1835" t="s">
        <v>557</v>
      </c>
      <c r="C1835" s="80" t="s">
        <v>642</v>
      </c>
    </row>
    <row r="1836" spans="1:3" x14ac:dyDescent="0.25">
      <c r="A1836" s="80" t="s">
        <v>545</v>
      </c>
      <c r="B1836" t="s">
        <v>559</v>
      </c>
      <c r="C1836">
        <v>1</v>
      </c>
    </row>
    <row r="1837" spans="1:3" x14ac:dyDescent="0.25">
      <c r="A1837" s="80" t="s">
        <v>545</v>
      </c>
      <c r="B1837" t="s">
        <v>560</v>
      </c>
      <c r="C1837">
        <v>-4138</v>
      </c>
    </row>
    <row r="1838" spans="1:3" x14ac:dyDescent="0.25">
      <c r="A1838" s="80" t="s">
        <v>545</v>
      </c>
      <c r="B1838" t="s">
        <v>561</v>
      </c>
      <c r="C1838">
        <v>1</v>
      </c>
    </row>
    <row r="1839" spans="1:3" x14ac:dyDescent="0.25">
      <c r="A1839" s="80" t="s">
        <v>545</v>
      </c>
      <c r="B1839" t="s">
        <v>562</v>
      </c>
      <c r="C1839">
        <v>-4138</v>
      </c>
    </row>
    <row r="1840" spans="1:3" x14ac:dyDescent="0.25">
      <c r="A1840" s="80" t="s">
        <v>152</v>
      </c>
      <c r="B1840" t="s">
        <v>173</v>
      </c>
      <c r="C1840" t="b">
        <v>1</v>
      </c>
    </row>
    <row r="1841" spans="1:3" x14ac:dyDescent="0.25">
      <c r="A1841" s="80" t="s">
        <v>152</v>
      </c>
      <c r="B1841" t="s">
        <v>555</v>
      </c>
      <c r="C1841" s="80" t="s">
        <v>641</v>
      </c>
    </row>
    <row r="1842" spans="1:3" x14ac:dyDescent="0.25">
      <c r="A1842" s="80" t="s">
        <v>152</v>
      </c>
      <c r="B1842" t="s">
        <v>557</v>
      </c>
      <c r="C1842" s="80" t="s">
        <v>568</v>
      </c>
    </row>
    <row r="1843" spans="1:3" x14ac:dyDescent="0.25">
      <c r="A1843" s="80" t="s">
        <v>152</v>
      </c>
      <c r="B1843" t="s">
        <v>559</v>
      </c>
      <c r="C1843">
        <v>1</v>
      </c>
    </row>
    <row r="1844" spans="1:3" x14ac:dyDescent="0.25">
      <c r="A1844" s="80" t="s">
        <v>152</v>
      </c>
      <c r="B1844" t="s">
        <v>560</v>
      </c>
      <c r="C1844">
        <v>-4138</v>
      </c>
    </row>
    <row r="1845" spans="1:3" x14ac:dyDescent="0.25">
      <c r="A1845" s="80" t="s">
        <v>152</v>
      </c>
      <c r="B1845" t="s">
        <v>561</v>
      </c>
      <c r="C1845">
        <v>1</v>
      </c>
    </row>
    <row r="1846" spans="1:3" x14ac:dyDescent="0.25">
      <c r="A1846" s="80" t="s">
        <v>152</v>
      </c>
      <c r="B1846" t="s">
        <v>562</v>
      </c>
      <c r="C1846">
        <v>2</v>
      </c>
    </row>
    <row r="1847" spans="1:3" x14ac:dyDescent="0.25">
      <c r="A1847" s="80" t="s">
        <v>153</v>
      </c>
      <c r="B1847" t="s">
        <v>173</v>
      </c>
      <c r="C1847" t="b">
        <v>1</v>
      </c>
    </row>
    <row r="1848" spans="1:3" x14ac:dyDescent="0.25">
      <c r="A1848" s="80" t="s">
        <v>153</v>
      </c>
      <c r="B1848" t="s">
        <v>555</v>
      </c>
      <c r="C1848" s="80" t="s">
        <v>670</v>
      </c>
    </row>
    <row r="1849" spans="1:3" x14ac:dyDescent="0.25">
      <c r="A1849" s="80" t="s">
        <v>153</v>
      </c>
      <c r="B1849" t="s">
        <v>557</v>
      </c>
      <c r="C1849" s="80" t="s">
        <v>642</v>
      </c>
    </row>
    <row r="1850" spans="1:3" x14ac:dyDescent="0.25">
      <c r="A1850" s="80" t="s">
        <v>153</v>
      </c>
      <c r="B1850" t="s">
        <v>559</v>
      </c>
      <c r="C1850">
        <v>1</v>
      </c>
    </row>
    <row r="1851" spans="1:3" x14ac:dyDescent="0.25">
      <c r="A1851" s="80" t="s">
        <v>153</v>
      </c>
      <c r="B1851" t="s">
        <v>560</v>
      </c>
      <c r="C1851">
        <v>2</v>
      </c>
    </row>
    <row r="1852" spans="1:3" x14ac:dyDescent="0.25">
      <c r="A1852" s="80" t="s">
        <v>153</v>
      </c>
      <c r="B1852" t="s">
        <v>561</v>
      </c>
      <c r="C1852">
        <v>1</v>
      </c>
    </row>
    <row r="1853" spans="1:3" x14ac:dyDescent="0.25">
      <c r="A1853" s="80" t="s">
        <v>153</v>
      </c>
      <c r="B1853" t="s">
        <v>562</v>
      </c>
      <c r="C1853">
        <v>-4138</v>
      </c>
    </row>
    <row r="1854" spans="1:3" x14ac:dyDescent="0.25">
      <c r="A1854" s="80" t="s">
        <v>101</v>
      </c>
      <c r="B1854" t="s">
        <v>643</v>
      </c>
      <c r="C1854" t="b">
        <v>1</v>
      </c>
    </row>
    <row r="1855" spans="1:3" x14ac:dyDescent="0.25">
      <c r="A1855" s="80" t="s">
        <v>101</v>
      </c>
      <c r="B1855" t="s">
        <v>644</v>
      </c>
      <c r="C1855" s="80" t="s">
        <v>671</v>
      </c>
    </row>
    <row r="1856" spans="1:3" x14ac:dyDescent="0.25">
      <c r="A1856" s="80" t="s">
        <v>101</v>
      </c>
      <c r="B1856" t="s">
        <v>645</v>
      </c>
      <c r="C1856">
        <v>2</v>
      </c>
    </row>
    <row r="1857" spans="1:3" x14ac:dyDescent="0.25">
      <c r="A1857" s="80" t="s">
        <v>101</v>
      </c>
      <c r="B1857" t="s">
        <v>646</v>
      </c>
      <c r="C1857">
        <v>1</v>
      </c>
    </row>
    <row r="1858" spans="1:3" x14ac:dyDescent="0.25">
      <c r="A1858" s="80" t="s">
        <v>101</v>
      </c>
      <c r="B1858" t="s">
        <v>647</v>
      </c>
      <c r="C1858" s="80" t="s">
        <v>648</v>
      </c>
    </row>
    <row r="1859" spans="1:3" x14ac:dyDescent="0.25">
      <c r="A1859" s="80" t="s">
        <v>101</v>
      </c>
      <c r="B1859" t="s">
        <v>649</v>
      </c>
      <c r="C1859" t="b">
        <v>1</v>
      </c>
    </row>
    <row r="1860" spans="1:3" x14ac:dyDescent="0.25">
      <c r="A1860" s="80" t="s">
        <v>169</v>
      </c>
      <c r="B1860" t="s">
        <v>650</v>
      </c>
      <c r="C1860">
        <v>10498160</v>
      </c>
    </row>
    <row r="1861" spans="1:3" x14ac:dyDescent="0.25">
      <c r="A1861" s="80" t="s">
        <v>169</v>
      </c>
      <c r="B1861" t="s">
        <v>651</v>
      </c>
      <c r="C1861" t="b">
        <v>0</v>
      </c>
    </row>
    <row r="1862" spans="1:3" x14ac:dyDescent="0.25">
      <c r="A1862" s="80" t="s">
        <v>169</v>
      </c>
      <c r="B1862" t="s">
        <v>652</v>
      </c>
      <c r="C1862" t="b">
        <v>1</v>
      </c>
    </row>
    <row r="1863" spans="1:3" x14ac:dyDescent="0.25">
      <c r="A1863" s="80" t="s">
        <v>169</v>
      </c>
      <c r="B1863" t="s">
        <v>653</v>
      </c>
      <c r="C1863" t="b">
        <v>1</v>
      </c>
    </row>
    <row r="1864" spans="1:3" x14ac:dyDescent="0.25">
      <c r="A1864" s="80" t="s">
        <v>169</v>
      </c>
      <c r="B1864" t="s">
        <v>654</v>
      </c>
      <c r="C1864">
        <v>-1</v>
      </c>
    </row>
    <row r="1865" spans="1:3" x14ac:dyDescent="0.25">
      <c r="A1865" s="80" t="s">
        <v>169</v>
      </c>
      <c r="B1865" t="s">
        <v>655</v>
      </c>
      <c r="C1865">
        <v>10</v>
      </c>
    </row>
    <row r="1866" spans="1:3" x14ac:dyDescent="0.25">
      <c r="A1866" s="80" t="s">
        <v>169</v>
      </c>
      <c r="B1866" t="s">
        <v>656</v>
      </c>
      <c r="C1866">
        <v>2</v>
      </c>
    </row>
    <row r="1867" spans="1:3" x14ac:dyDescent="0.25">
      <c r="A1867" s="80" t="s">
        <v>169</v>
      </c>
      <c r="B1867" t="s">
        <v>657</v>
      </c>
      <c r="C1867">
        <v>1</v>
      </c>
    </row>
    <row r="1868" spans="1:3" x14ac:dyDescent="0.25">
      <c r="A1868" s="80" t="s">
        <v>169</v>
      </c>
      <c r="B1868" t="s">
        <v>658</v>
      </c>
      <c r="C1868">
        <v>1</v>
      </c>
    </row>
    <row r="1869" spans="1:3" x14ac:dyDescent="0.25">
      <c r="A1869" s="80" t="s">
        <v>169</v>
      </c>
      <c r="B1869" t="s">
        <v>659</v>
      </c>
      <c r="C1869">
        <v>1</v>
      </c>
    </row>
    <row r="1870" spans="1:3" x14ac:dyDescent="0.25">
      <c r="A1870" t="s">
        <v>668</v>
      </c>
    </row>
    <row r="1871" spans="1:3" x14ac:dyDescent="0.25">
      <c r="A1871" t="s">
        <v>466</v>
      </c>
    </row>
    <row r="1872" spans="1:3" x14ac:dyDescent="0.25">
      <c r="A1872">
        <v>70</v>
      </c>
    </row>
    <row r="1873" spans="1:23" x14ac:dyDescent="0.25">
      <c r="A1873">
        <v>70</v>
      </c>
      <c r="B1873" s="80" t="s">
        <v>0</v>
      </c>
    </row>
    <row r="1874" spans="1:23" x14ac:dyDescent="0.25">
      <c r="A1874" t="s">
        <v>467</v>
      </c>
    </row>
    <row r="1875" spans="1:23" x14ac:dyDescent="0.25">
      <c r="A1875" t="s">
        <v>468</v>
      </c>
    </row>
    <row r="1876" spans="1:23" x14ac:dyDescent="0.25">
      <c r="A1876">
        <v>68</v>
      </c>
    </row>
    <row r="1877" spans="1:23" x14ac:dyDescent="0.25">
      <c r="B1877" s="80" t="s">
        <v>169</v>
      </c>
    </row>
    <row r="1878" spans="1:23" x14ac:dyDescent="0.25">
      <c r="A1878">
        <v>68</v>
      </c>
      <c r="B1878" s="80" t="s">
        <v>673</v>
      </c>
    </row>
    <row r="1879" spans="1:23" x14ac:dyDescent="0.25">
      <c r="A1879" t="s">
        <v>469</v>
      </c>
    </row>
    <row r="1880" spans="1:23" x14ac:dyDescent="0.25">
      <c r="A1880" t="s">
        <v>472</v>
      </c>
    </row>
    <row r="1881" spans="1:23" x14ac:dyDescent="0.25">
      <c r="A1881">
        <v>75</v>
      </c>
    </row>
    <row r="1882" spans="1:23" x14ac:dyDescent="0.25">
      <c r="B1882" s="80" t="s">
        <v>169</v>
      </c>
    </row>
    <row r="1883" spans="1:23" x14ac:dyDescent="0.25">
      <c r="A1883">
        <v>72</v>
      </c>
      <c r="B1883" s="80" t="s">
        <v>1</v>
      </c>
    </row>
    <row r="1884" spans="1:23" x14ac:dyDescent="0.25">
      <c r="A1884">
        <v>73</v>
      </c>
      <c r="B1884" s="80" t="s">
        <v>388</v>
      </c>
    </row>
    <row r="1885" spans="1:23" x14ac:dyDescent="0.25">
      <c r="A1885">
        <v>75</v>
      </c>
      <c r="B1885" s="80" t="s">
        <v>389</v>
      </c>
    </row>
    <row r="1886" spans="1:23" x14ac:dyDescent="0.25">
      <c r="A1886" t="s">
        <v>473</v>
      </c>
    </row>
    <row r="1887" spans="1:23" x14ac:dyDescent="0.25">
      <c r="A1887" t="s">
        <v>470</v>
      </c>
    </row>
    <row r="1888" spans="1:23" x14ac:dyDescent="0.25">
      <c r="D1888" s="80" t="s">
        <v>102</v>
      </c>
      <c r="E1888">
        <v>1</v>
      </c>
      <c r="G1888" t="b">
        <v>1</v>
      </c>
      <c r="H1888" t="b">
        <v>0</v>
      </c>
      <c r="I1888" t="b">
        <v>0</v>
      </c>
      <c r="J1888" t="s">
        <v>237</v>
      </c>
      <c r="L1888">
        <v>10</v>
      </c>
      <c r="M1888">
        <v>0</v>
      </c>
      <c r="N1888" t="b">
        <v>0</v>
      </c>
      <c r="O1888" t="s">
        <v>332</v>
      </c>
      <c r="T1888" t="b">
        <v>0</v>
      </c>
      <c r="V1888" t="b">
        <v>0</v>
      </c>
      <c r="W1888" t="b">
        <v>1</v>
      </c>
    </row>
    <row r="1889" spans="4:23" x14ac:dyDescent="0.25">
      <c r="D1889" s="80" t="s">
        <v>103</v>
      </c>
      <c r="E1889">
        <v>2</v>
      </c>
      <c r="G1889" t="b">
        <v>1</v>
      </c>
      <c r="H1889" t="b">
        <v>0</v>
      </c>
      <c r="I1889" t="b">
        <v>0</v>
      </c>
      <c r="J1889" t="s">
        <v>237</v>
      </c>
      <c r="L1889">
        <v>10</v>
      </c>
      <c r="M1889">
        <v>0</v>
      </c>
      <c r="N1889" t="b">
        <v>0</v>
      </c>
      <c r="O1889" t="s">
        <v>333</v>
      </c>
      <c r="T1889" t="b">
        <v>0</v>
      </c>
      <c r="V1889" t="b">
        <v>0</v>
      </c>
      <c r="W1889" t="b">
        <v>1</v>
      </c>
    </row>
    <row r="1890" spans="4:23" x14ac:dyDescent="0.25">
      <c r="D1890" s="80" t="s">
        <v>104</v>
      </c>
      <c r="E1890">
        <v>3</v>
      </c>
      <c r="G1890" t="b">
        <v>1</v>
      </c>
      <c r="H1890" t="b">
        <v>0</v>
      </c>
      <c r="I1890" t="b">
        <v>0</v>
      </c>
      <c r="J1890" t="s">
        <v>269</v>
      </c>
      <c r="K1890">
        <v>255</v>
      </c>
      <c r="N1890" t="b">
        <v>0</v>
      </c>
      <c r="O1890" t="s">
        <v>3</v>
      </c>
      <c r="T1890" t="b">
        <v>0</v>
      </c>
      <c r="V1890" t="b">
        <v>0</v>
      </c>
      <c r="W1890" t="b">
        <v>1</v>
      </c>
    </row>
    <row r="1891" spans="4:23" x14ac:dyDescent="0.25">
      <c r="D1891" s="80" t="s">
        <v>105</v>
      </c>
      <c r="E1891">
        <v>4</v>
      </c>
      <c r="G1891" t="b">
        <v>1</v>
      </c>
      <c r="H1891" t="b">
        <v>0</v>
      </c>
      <c r="I1891" t="b">
        <v>0</v>
      </c>
      <c r="J1891" t="s">
        <v>237</v>
      </c>
      <c r="L1891">
        <v>10</v>
      </c>
      <c r="M1891">
        <v>0</v>
      </c>
      <c r="N1891" t="b">
        <v>0</v>
      </c>
      <c r="O1891" t="s">
        <v>32</v>
      </c>
      <c r="T1891" t="b">
        <v>0</v>
      </c>
      <c r="V1891" t="b">
        <v>0</v>
      </c>
      <c r="W1891" t="b">
        <v>1</v>
      </c>
    </row>
    <row r="1892" spans="4:23" x14ac:dyDescent="0.25">
      <c r="D1892" s="80" t="s">
        <v>106</v>
      </c>
      <c r="E1892">
        <v>5</v>
      </c>
      <c r="G1892" t="b">
        <v>1</v>
      </c>
      <c r="H1892" t="b">
        <v>0</v>
      </c>
      <c r="I1892" t="b">
        <v>0</v>
      </c>
      <c r="N1892" t="b">
        <v>0</v>
      </c>
      <c r="O1892" t="s">
        <v>379</v>
      </c>
      <c r="T1892" t="b">
        <v>0</v>
      </c>
      <c r="V1892" t="b">
        <v>0</v>
      </c>
      <c r="W1892" t="b">
        <v>1</v>
      </c>
    </row>
    <row r="1893" spans="4:23" x14ac:dyDescent="0.25">
      <c r="D1893" s="80" t="s">
        <v>107</v>
      </c>
      <c r="E1893">
        <v>6</v>
      </c>
      <c r="G1893" t="b">
        <v>1</v>
      </c>
      <c r="H1893" t="b">
        <v>0</v>
      </c>
      <c r="I1893" t="b">
        <v>0</v>
      </c>
      <c r="J1893" t="s">
        <v>237</v>
      </c>
      <c r="L1893">
        <v>10</v>
      </c>
      <c r="M1893">
        <v>0</v>
      </c>
      <c r="N1893" t="b">
        <v>0</v>
      </c>
      <c r="O1893" t="s">
        <v>380</v>
      </c>
      <c r="T1893" t="b">
        <v>0</v>
      </c>
      <c r="V1893" t="b">
        <v>0</v>
      </c>
      <c r="W1893" t="b">
        <v>1</v>
      </c>
    </row>
    <row r="1894" spans="4:23" x14ac:dyDescent="0.25">
      <c r="D1894" s="80" t="s">
        <v>108</v>
      </c>
      <c r="E1894">
        <v>7</v>
      </c>
      <c r="G1894" t="b">
        <v>1</v>
      </c>
      <c r="H1894" t="b">
        <v>0</v>
      </c>
      <c r="I1894" t="b">
        <v>0</v>
      </c>
      <c r="J1894" t="s">
        <v>237</v>
      </c>
      <c r="L1894">
        <v>10</v>
      </c>
      <c r="M1894">
        <v>0</v>
      </c>
      <c r="N1894" t="b">
        <v>0</v>
      </c>
      <c r="O1894" t="s">
        <v>7</v>
      </c>
      <c r="T1894" t="b">
        <v>0</v>
      </c>
      <c r="V1894" t="b">
        <v>0</v>
      </c>
      <c r="W1894" t="b">
        <v>1</v>
      </c>
    </row>
    <row r="1895" spans="4:23" x14ac:dyDescent="0.25">
      <c r="D1895" s="80" t="s">
        <v>109</v>
      </c>
      <c r="E1895">
        <v>8</v>
      </c>
      <c r="G1895" t="b">
        <v>1</v>
      </c>
      <c r="H1895" t="b">
        <v>0</v>
      </c>
      <c r="I1895" t="b">
        <v>0</v>
      </c>
      <c r="J1895" t="s">
        <v>237</v>
      </c>
      <c r="L1895">
        <v>10</v>
      </c>
      <c r="M1895">
        <v>0</v>
      </c>
      <c r="N1895" t="b">
        <v>0</v>
      </c>
      <c r="O1895" t="s">
        <v>335</v>
      </c>
      <c r="T1895" t="b">
        <v>0</v>
      </c>
      <c r="V1895" t="b">
        <v>0</v>
      </c>
      <c r="W1895" t="b">
        <v>1</v>
      </c>
    </row>
    <row r="1896" spans="4:23" x14ac:dyDescent="0.25">
      <c r="D1896" s="80" t="s">
        <v>110</v>
      </c>
      <c r="E1896">
        <v>9</v>
      </c>
      <c r="G1896" t="b">
        <v>1</v>
      </c>
      <c r="H1896" t="b">
        <v>0</v>
      </c>
      <c r="I1896" t="b">
        <v>0</v>
      </c>
      <c r="J1896" t="s">
        <v>237</v>
      </c>
      <c r="L1896">
        <v>10</v>
      </c>
      <c r="M1896">
        <v>0</v>
      </c>
      <c r="N1896" t="b">
        <v>0</v>
      </c>
      <c r="O1896" t="s">
        <v>336</v>
      </c>
      <c r="T1896" t="b">
        <v>0</v>
      </c>
      <c r="V1896" t="b">
        <v>0</v>
      </c>
      <c r="W1896" t="b">
        <v>1</v>
      </c>
    </row>
    <row r="1897" spans="4:23" x14ac:dyDescent="0.25">
      <c r="D1897" s="80" t="s">
        <v>111</v>
      </c>
      <c r="E1897">
        <v>10</v>
      </c>
      <c r="G1897" t="b">
        <v>1</v>
      </c>
      <c r="H1897" t="b">
        <v>0</v>
      </c>
      <c r="I1897" t="b">
        <v>0</v>
      </c>
      <c r="J1897" t="s">
        <v>237</v>
      </c>
      <c r="L1897">
        <v>10</v>
      </c>
      <c r="M1897">
        <v>0</v>
      </c>
      <c r="N1897" t="b">
        <v>0</v>
      </c>
      <c r="O1897" t="s">
        <v>337</v>
      </c>
      <c r="T1897" t="b">
        <v>0</v>
      </c>
      <c r="V1897" t="b">
        <v>0</v>
      </c>
      <c r="W1897" t="b">
        <v>1</v>
      </c>
    </row>
    <row r="1898" spans="4:23" x14ac:dyDescent="0.25">
      <c r="D1898" s="80" t="s">
        <v>112</v>
      </c>
      <c r="E1898">
        <v>11</v>
      </c>
      <c r="G1898" t="b">
        <v>1</v>
      </c>
      <c r="H1898" t="b">
        <v>0</v>
      </c>
      <c r="I1898" t="b">
        <v>0</v>
      </c>
      <c r="J1898" t="s">
        <v>270</v>
      </c>
      <c r="L1898">
        <v>19</v>
      </c>
      <c r="M1898">
        <v>4</v>
      </c>
      <c r="N1898" t="b">
        <v>0</v>
      </c>
      <c r="O1898" t="s">
        <v>338</v>
      </c>
      <c r="T1898" t="b">
        <v>1</v>
      </c>
      <c r="V1898" t="b">
        <v>0</v>
      </c>
      <c r="W1898" t="b">
        <v>1</v>
      </c>
    </row>
    <row r="1899" spans="4:23" x14ac:dyDescent="0.25">
      <c r="D1899" s="80" t="s">
        <v>113</v>
      </c>
      <c r="E1899">
        <v>12</v>
      </c>
      <c r="G1899" t="b">
        <v>1</v>
      </c>
      <c r="H1899" t="b">
        <v>0</v>
      </c>
      <c r="I1899" t="b">
        <v>0</v>
      </c>
      <c r="J1899" t="s">
        <v>270</v>
      </c>
      <c r="L1899">
        <v>19</v>
      </c>
      <c r="M1899">
        <v>4</v>
      </c>
      <c r="N1899" t="b">
        <v>0</v>
      </c>
      <c r="O1899" t="s">
        <v>339</v>
      </c>
      <c r="T1899" t="b">
        <v>1</v>
      </c>
      <c r="V1899" t="b">
        <v>0</v>
      </c>
      <c r="W1899" t="b">
        <v>1</v>
      </c>
    </row>
    <row r="1900" spans="4:23" x14ac:dyDescent="0.25">
      <c r="D1900" s="80" t="s">
        <v>114</v>
      </c>
      <c r="E1900">
        <v>13</v>
      </c>
      <c r="G1900" t="b">
        <v>1</v>
      </c>
      <c r="H1900" t="b">
        <v>0</v>
      </c>
      <c r="I1900" t="b">
        <v>0</v>
      </c>
      <c r="J1900" t="s">
        <v>270</v>
      </c>
      <c r="L1900">
        <v>19</v>
      </c>
      <c r="M1900">
        <v>4</v>
      </c>
      <c r="N1900" t="b">
        <v>0</v>
      </c>
      <c r="O1900" t="s">
        <v>340</v>
      </c>
      <c r="T1900" t="b">
        <v>0</v>
      </c>
      <c r="V1900" t="b">
        <v>0</v>
      </c>
      <c r="W1900" t="b">
        <v>1</v>
      </c>
    </row>
    <row r="1901" spans="4:23" x14ac:dyDescent="0.25">
      <c r="D1901" s="80" t="s">
        <v>115</v>
      </c>
      <c r="E1901">
        <v>14</v>
      </c>
      <c r="G1901" t="b">
        <v>1</v>
      </c>
      <c r="H1901" t="b">
        <v>0</v>
      </c>
      <c r="I1901" t="b">
        <v>0</v>
      </c>
      <c r="J1901" t="s">
        <v>270</v>
      </c>
      <c r="L1901">
        <v>19</v>
      </c>
      <c r="M1901">
        <v>4</v>
      </c>
      <c r="N1901" t="b">
        <v>0</v>
      </c>
      <c r="O1901" t="s">
        <v>341</v>
      </c>
      <c r="T1901" t="b">
        <v>0</v>
      </c>
      <c r="V1901" t="b">
        <v>0</v>
      </c>
      <c r="W1901" t="b">
        <v>1</v>
      </c>
    </row>
    <row r="1902" spans="4:23" x14ac:dyDescent="0.25">
      <c r="D1902" s="80" t="s">
        <v>116</v>
      </c>
      <c r="E1902">
        <v>15</v>
      </c>
      <c r="G1902" t="b">
        <v>1</v>
      </c>
      <c r="H1902" t="b">
        <v>0</v>
      </c>
      <c r="I1902" t="b">
        <v>0</v>
      </c>
      <c r="J1902" t="s">
        <v>270</v>
      </c>
      <c r="L1902">
        <v>19</v>
      </c>
      <c r="M1902">
        <v>4</v>
      </c>
      <c r="N1902" t="b">
        <v>0</v>
      </c>
      <c r="O1902" t="s">
        <v>342</v>
      </c>
      <c r="T1902" t="b">
        <v>0</v>
      </c>
      <c r="V1902" t="b">
        <v>0</v>
      </c>
      <c r="W1902" t="b">
        <v>1</v>
      </c>
    </row>
    <row r="1903" spans="4:23" x14ac:dyDescent="0.25">
      <c r="D1903" s="80" t="s">
        <v>117</v>
      </c>
      <c r="E1903">
        <v>16</v>
      </c>
      <c r="G1903" t="b">
        <v>1</v>
      </c>
      <c r="H1903" t="b">
        <v>0</v>
      </c>
      <c r="I1903" t="b">
        <v>0</v>
      </c>
      <c r="J1903" t="s">
        <v>270</v>
      </c>
      <c r="L1903">
        <v>19</v>
      </c>
      <c r="M1903">
        <v>4</v>
      </c>
      <c r="N1903" t="b">
        <v>0</v>
      </c>
      <c r="O1903" t="s">
        <v>343</v>
      </c>
      <c r="T1903" t="b">
        <v>1</v>
      </c>
      <c r="V1903" t="b">
        <v>0</v>
      </c>
      <c r="W1903" t="b">
        <v>1</v>
      </c>
    </row>
    <row r="1904" spans="4:23" x14ac:dyDescent="0.25">
      <c r="D1904" s="80" t="s">
        <v>118</v>
      </c>
      <c r="E1904">
        <v>17</v>
      </c>
      <c r="G1904" t="b">
        <v>1</v>
      </c>
      <c r="H1904" t="b">
        <v>0</v>
      </c>
      <c r="I1904" t="b">
        <v>0</v>
      </c>
      <c r="J1904" t="s">
        <v>270</v>
      </c>
      <c r="L1904">
        <v>19</v>
      </c>
      <c r="M1904">
        <v>4</v>
      </c>
      <c r="N1904" t="b">
        <v>0</v>
      </c>
      <c r="O1904" t="s">
        <v>344</v>
      </c>
      <c r="T1904" t="b">
        <v>0</v>
      </c>
      <c r="V1904" t="b">
        <v>0</v>
      </c>
      <c r="W1904" t="b">
        <v>1</v>
      </c>
    </row>
    <row r="1905" spans="4:23" x14ac:dyDescent="0.25">
      <c r="D1905" s="80" t="s">
        <v>119</v>
      </c>
      <c r="E1905">
        <v>18</v>
      </c>
      <c r="G1905" t="b">
        <v>1</v>
      </c>
      <c r="H1905" t="b">
        <v>0</v>
      </c>
      <c r="I1905" t="b">
        <v>0</v>
      </c>
      <c r="J1905" t="s">
        <v>270</v>
      </c>
      <c r="L1905">
        <v>19</v>
      </c>
      <c r="M1905">
        <v>4</v>
      </c>
      <c r="N1905" t="b">
        <v>0</v>
      </c>
      <c r="O1905" t="s">
        <v>345</v>
      </c>
      <c r="T1905" t="b">
        <v>0</v>
      </c>
      <c r="V1905" t="b">
        <v>0</v>
      </c>
      <c r="W1905" t="b">
        <v>1</v>
      </c>
    </row>
    <row r="1906" spans="4:23" x14ac:dyDescent="0.25">
      <c r="D1906" s="80" t="s">
        <v>120</v>
      </c>
      <c r="E1906">
        <v>19</v>
      </c>
      <c r="G1906" t="b">
        <v>1</v>
      </c>
      <c r="H1906" t="b">
        <v>0</v>
      </c>
      <c r="I1906" t="b">
        <v>0</v>
      </c>
      <c r="J1906" t="s">
        <v>270</v>
      </c>
      <c r="L1906">
        <v>19</v>
      </c>
      <c r="M1906">
        <v>4</v>
      </c>
      <c r="N1906" t="b">
        <v>0</v>
      </c>
      <c r="O1906" t="s">
        <v>346</v>
      </c>
      <c r="T1906" t="b">
        <v>1</v>
      </c>
      <c r="V1906" t="b">
        <v>0</v>
      </c>
      <c r="W1906" t="b">
        <v>1</v>
      </c>
    </row>
    <row r="1907" spans="4:23" x14ac:dyDescent="0.25">
      <c r="D1907" s="80" t="s">
        <v>121</v>
      </c>
      <c r="E1907">
        <v>20</v>
      </c>
      <c r="G1907" t="b">
        <v>1</v>
      </c>
      <c r="H1907" t="b">
        <v>0</v>
      </c>
      <c r="I1907" t="b">
        <v>0</v>
      </c>
      <c r="J1907" t="s">
        <v>270</v>
      </c>
      <c r="L1907">
        <v>19</v>
      </c>
      <c r="M1907">
        <v>4</v>
      </c>
      <c r="N1907" t="b">
        <v>0</v>
      </c>
      <c r="O1907" t="s">
        <v>347</v>
      </c>
      <c r="T1907" t="b">
        <v>0</v>
      </c>
      <c r="V1907" t="b">
        <v>0</v>
      </c>
      <c r="W1907" t="b">
        <v>1</v>
      </c>
    </row>
    <row r="1908" spans="4:23" x14ac:dyDescent="0.25">
      <c r="D1908" s="80" t="s">
        <v>122</v>
      </c>
      <c r="E1908">
        <v>21</v>
      </c>
      <c r="G1908" t="b">
        <v>1</v>
      </c>
      <c r="H1908" t="b">
        <v>0</v>
      </c>
      <c r="I1908" t="b">
        <v>0</v>
      </c>
      <c r="J1908" t="s">
        <v>270</v>
      </c>
      <c r="L1908">
        <v>19</v>
      </c>
      <c r="M1908">
        <v>4</v>
      </c>
      <c r="N1908" t="b">
        <v>0</v>
      </c>
      <c r="O1908" t="s">
        <v>348</v>
      </c>
      <c r="T1908" t="b">
        <v>0</v>
      </c>
      <c r="V1908" t="b">
        <v>0</v>
      </c>
      <c r="W1908" t="b">
        <v>1</v>
      </c>
    </row>
    <row r="1909" spans="4:23" x14ac:dyDescent="0.25">
      <c r="D1909" s="80" t="s">
        <v>123</v>
      </c>
      <c r="E1909">
        <v>22</v>
      </c>
      <c r="G1909" t="b">
        <v>1</v>
      </c>
      <c r="H1909" t="b">
        <v>0</v>
      </c>
      <c r="I1909" t="b">
        <v>0</v>
      </c>
      <c r="J1909" t="s">
        <v>270</v>
      </c>
      <c r="L1909">
        <v>19</v>
      </c>
      <c r="M1909">
        <v>4</v>
      </c>
      <c r="N1909" t="b">
        <v>0</v>
      </c>
      <c r="O1909" t="s">
        <v>349</v>
      </c>
      <c r="T1909" t="b">
        <v>1</v>
      </c>
      <c r="V1909" t="b">
        <v>0</v>
      </c>
      <c r="W1909" t="b">
        <v>1</v>
      </c>
    </row>
    <row r="1910" spans="4:23" x14ac:dyDescent="0.25">
      <c r="D1910" s="80" t="s">
        <v>124</v>
      </c>
      <c r="E1910">
        <v>23</v>
      </c>
      <c r="G1910" t="b">
        <v>1</v>
      </c>
      <c r="H1910" t="b">
        <v>0</v>
      </c>
      <c r="I1910" t="b">
        <v>0</v>
      </c>
      <c r="J1910" t="s">
        <v>270</v>
      </c>
      <c r="L1910">
        <v>19</v>
      </c>
      <c r="M1910">
        <v>4</v>
      </c>
      <c r="N1910" t="b">
        <v>0</v>
      </c>
      <c r="O1910" t="s">
        <v>350</v>
      </c>
      <c r="T1910" t="b">
        <v>0</v>
      </c>
      <c r="V1910" t="b">
        <v>0</v>
      </c>
      <c r="W1910" t="b">
        <v>1</v>
      </c>
    </row>
    <row r="1911" spans="4:23" x14ac:dyDescent="0.25">
      <c r="D1911" s="80" t="s">
        <v>125</v>
      </c>
      <c r="E1911">
        <v>24</v>
      </c>
      <c r="G1911" t="b">
        <v>1</v>
      </c>
      <c r="H1911" t="b">
        <v>0</v>
      </c>
      <c r="I1911" t="b">
        <v>0</v>
      </c>
      <c r="J1911" t="s">
        <v>270</v>
      </c>
      <c r="L1911">
        <v>19</v>
      </c>
      <c r="M1911">
        <v>4</v>
      </c>
      <c r="N1911" t="b">
        <v>0</v>
      </c>
      <c r="O1911" t="s">
        <v>351</v>
      </c>
      <c r="T1911" t="b">
        <v>0</v>
      </c>
      <c r="V1911" t="b">
        <v>0</v>
      </c>
      <c r="W1911" t="b">
        <v>1</v>
      </c>
    </row>
    <row r="1912" spans="4:23" x14ac:dyDescent="0.25">
      <c r="D1912" s="80" t="s">
        <v>126</v>
      </c>
      <c r="E1912">
        <v>25</v>
      </c>
      <c r="G1912" t="b">
        <v>1</v>
      </c>
      <c r="H1912" t="b">
        <v>0</v>
      </c>
      <c r="I1912" t="b">
        <v>0</v>
      </c>
      <c r="J1912" t="s">
        <v>270</v>
      </c>
      <c r="L1912">
        <v>19</v>
      </c>
      <c r="M1912">
        <v>4</v>
      </c>
      <c r="N1912" t="b">
        <v>0</v>
      </c>
      <c r="O1912" t="s">
        <v>352</v>
      </c>
      <c r="T1912" t="b">
        <v>1</v>
      </c>
      <c r="V1912" t="b">
        <v>0</v>
      </c>
      <c r="W1912" t="b">
        <v>1</v>
      </c>
    </row>
    <row r="1913" spans="4:23" x14ac:dyDescent="0.25">
      <c r="D1913" s="80" t="s">
        <v>127</v>
      </c>
      <c r="E1913">
        <v>26</v>
      </c>
      <c r="G1913" t="b">
        <v>1</v>
      </c>
      <c r="H1913" t="b">
        <v>0</v>
      </c>
      <c r="I1913" t="b">
        <v>0</v>
      </c>
      <c r="J1913" t="s">
        <v>270</v>
      </c>
      <c r="L1913">
        <v>19</v>
      </c>
      <c r="M1913">
        <v>4</v>
      </c>
      <c r="N1913" t="b">
        <v>0</v>
      </c>
      <c r="O1913" t="s">
        <v>353</v>
      </c>
      <c r="T1913" t="b">
        <v>0</v>
      </c>
      <c r="V1913" t="b">
        <v>0</v>
      </c>
      <c r="W1913" t="b">
        <v>1</v>
      </c>
    </row>
    <row r="1914" spans="4:23" x14ac:dyDescent="0.25">
      <c r="D1914" s="80" t="s">
        <v>128</v>
      </c>
      <c r="E1914">
        <v>27</v>
      </c>
      <c r="G1914" t="b">
        <v>1</v>
      </c>
      <c r="H1914" t="b">
        <v>0</v>
      </c>
      <c r="I1914" t="b">
        <v>0</v>
      </c>
      <c r="J1914" t="s">
        <v>270</v>
      </c>
      <c r="L1914">
        <v>19</v>
      </c>
      <c r="M1914">
        <v>4</v>
      </c>
      <c r="N1914" t="b">
        <v>0</v>
      </c>
      <c r="O1914" t="s">
        <v>354</v>
      </c>
      <c r="T1914" t="b">
        <v>0</v>
      </c>
      <c r="V1914" t="b">
        <v>0</v>
      </c>
      <c r="W1914" t="b">
        <v>1</v>
      </c>
    </row>
    <row r="1915" spans="4:23" x14ac:dyDescent="0.25">
      <c r="D1915" s="80" t="s">
        <v>129</v>
      </c>
      <c r="E1915">
        <v>28</v>
      </c>
      <c r="G1915" t="b">
        <v>1</v>
      </c>
      <c r="H1915" t="b">
        <v>0</v>
      </c>
      <c r="I1915" t="b">
        <v>0</v>
      </c>
      <c r="J1915" t="s">
        <v>270</v>
      </c>
      <c r="L1915">
        <v>19</v>
      </c>
      <c r="M1915">
        <v>4</v>
      </c>
      <c r="N1915" t="b">
        <v>0</v>
      </c>
      <c r="O1915" t="s">
        <v>355</v>
      </c>
      <c r="T1915" t="b">
        <v>1</v>
      </c>
      <c r="V1915" t="b">
        <v>0</v>
      </c>
      <c r="W1915" t="b">
        <v>1</v>
      </c>
    </row>
    <row r="1916" spans="4:23" x14ac:dyDescent="0.25">
      <c r="D1916" s="80" t="s">
        <v>130</v>
      </c>
      <c r="E1916">
        <v>29</v>
      </c>
      <c r="G1916" t="b">
        <v>1</v>
      </c>
      <c r="H1916" t="b">
        <v>0</v>
      </c>
      <c r="I1916" t="b">
        <v>0</v>
      </c>
      <c r="J1916" t="s">
        <v>270</v>
      </c>
      <c r="L1916">
        <v>19</v>
      </c>
      <c r="M1916">
        <v>4</v>
      </c>
      <c r="N1916" t="b">
        <v>0</v>
      </c>
      <c r="O1916" t="s">
        <v>356</v>
      </c>
      <c r="T1916" t="b">
        <v>0</v>
      </c>
      <c r="V1916" t="b">
        <v>0</v>
      </c>
      <c r="W1916" t="b">
        <v>1</v>
      </c>
    </row>
    <row r="1917" spans="4:23" x14ac:dyDescent="0.25">
      <c r="D1917" s="80" t="s">
        <v>131</v>
      </c>
      <c r="E1917">
        <v>30</v>
      </c>
      <c r="G1917" t="b">
        <v>1</v>
      </c>
      <c r="H1917" t="b">
        <v>0</v>
      </c>
      <c r="I1917" t="b">
        <v>0</v>
      </c>
      <c r="J1917" t="s">
        <v>270</v>
      </c>
      <c r="L1917">
        <v>19</v>
      </c>
      <c r="M1917">
        <v>4</v>
      </c>
      <c r="N1917" t="b">
        <v>0</v>
      </c>
      <c r="O1917" t="s">
        <v>357</v>
      </c>
      <c r="T1917" t="b">
        <v>0</v>
      </c>
      <c r="V1917" t="b">
        <v>0</v>
      </c>
      <c r="W1917" t="b">
        <v>1</v>
      </c>
    </row>
    <row r="1918" spans="4:23" x14ac:dyDescent="0.25">
      <c r="D1918" s="80" t="s">
        <v>132</v>
      </c>
      <c r="E1918">
        <v>31</v>
      </c>
      <c r="G1918" t="b">
        <v>1</v>
      </c>
      <c r="H1918" t="b">
        <v>0</v>
      </c>
      <c r="I1918" t="b">
        <v>0</v>
      </c>
      <c r="J1918" t="s">
        <v>270</v>
      </c>
      <c r="L1918">
        <v>19</v>
      </c>
      <c r="M1918">
        <v>4</v>
      </c>
      <c r="N1918" t="b">
        <v>0</v>
      </c>
      <c r="O1918" t="s">
        <v>358</v>
      </c>
      <c r="T1918" t="b">
        <v>1</v>
      </c>
      <c r="V1918" t="b">
        <v>0</v>
      </c>
      <c r="W1918" t="b">
        <v>1</v>
      </c>
    </row>
    <row r="1919" spans="4:23" x14ac:dyDescent="0.25">
      <c r="D1919" s="80" t="s">
        <v>133</v>
      </c>
      <c r="E1919">
        <v>32</v>
      </c>
      <c r="G1919" t="b">
        <v>1</v>
      </c>
      <c r="H1919" t="b">
        <v>0</v>
      </c>
      <c r="I1919" t="b">
        <v>0</v>
      </c>
      <c r="J1919" t="s">
        <v>270</v>
      </c>
      <c r="L1919">
        <v>19</v>
      </c>
      <c r="M1919">
        <v>4</v>
      </c>
      <c r="N1919" t="b">
        <v>0</v>
      </c>
      <c r="O1919" t="s">
        <v>359</v>
      </c>
      <c r="T1919" t="b">
        <v>0</v>
      </c>
      <c r="V1919" t="b">
        <v>0</v>
      </c>
      <c r="W1919" t="b">
        <v>1</v>
      </c>
    </row>
    <row r="1920" spans="4:23" x14ac:dyDescent="0.25">
      <c r="D1920" s="80" t="s">
        <v>134</v>
      </c>
      <c r="E1920">
        <v>33</v>
      </c>
      <c r="G1920" t="b">
        <v>1</v>
      </c>
      <c r="H1920" t="b">
        <v>0</v>
      </c>
      <c r="I1920" t="b">
        <v>0</v>
      </c>
      <c r="J1920" t="s">
        <v>270</v>
      </c>
      <c r="L1920">
        <v>19</v>
      </c>
      <c r="M1920">
        <v>4</v>
      </c>
      <c r="N1920" t="b">
        <v>0</v>
      </c>
      <c r="O1920" t="s">
        <v>360</v>
      </c>
      <c r="T1920" t="b">
        <v>0</v>
      </c>
      <c r="V1920" t="b">
        <v>0</v>
      </c>
      <c r="W1920" t="b">
        <v>1</v>
      </c>
    </row>
    <row r="1921" spans="4:23" x14ac:dyDescent="0.25">
      <c r="D1921" s="80" t="s">
        <v>135</v>
      </c>
      <c r="E1921">
        <v>34</v>
      </c>
      <c r="G1921" t="b">
        <v>1</v>
      </c>
      <c r="H1921" t="b">
        <v>0</v>
      </c>
      <c r="I1921" t="b">
        <v>0</v>
      </c>
      <c r="J1921" t="s">
        <v>270</v>
      </c>
      <c r="L1921">
        <v>19</v>
      </c>
      <c r="M1921">
        <v>4</v>
      </c>
      <c r="N1921" t="b">
        <v>0</v>
      </c>
      <c r="O1921" t="s">
        <v>361</v>
      </c>
      <c r="T1921" t="b">
        <v>1</v>
      </c>
      <c r="V1921" t="b">
        <v>0</v>
      </c>
      <c r="W1921" t="b">
        <v>1</v>
      </c>
    </row>
    <row r="1922" spans="4:23" x14ac:dyDescent="0.25">
      <c r="D1922" s="80" t="s">
        <v>136</v>
      </c>
      <c r="E1922">
        <v>35</v>
      </c>
      <c r="G1922" t="b">
        <v>1</v>
      </c>
      <c r="H1922" t="b">
        <v>0</v>
      </c>
      <c r="I1922" t="b">
        <v>0</v>
      </c>
      <c r="J1922" t="s">
        <v>270</v>
      </c>
      <c r="L1922">
        <v>19</v>
      </c>
      <c r="M1922">
        <v>4</v>
      </c>
      <c r="N1922" t="b">
        <v>0</v>
      </c>
      <c r="O1922" t="s">
        <v>362</v>
      </c>
      <c r="T1922" t="b">
        <v>0</v>
      </c>
      <c r="V1922" t="b">
        <v>0</v>
      </c>
      <c r="W1922" t="b">
        <v>1</v>
      </c>
    </row>
    <row r="1923" spans="4:23" x14ac:dyDescent="0.25">
      <c r="D1923" s="80" t="s">
        <v>137</v>
      </c>
      <c r="E1923">
        <v>36</v>
      </c>
      <c r="G1923" t="b">
        <v>1</v>
      </c>
      <c r="H1923" t="b">
        <v>0</v>
      </c>
      <c r="I1923" t="b">
        <v>0</v>
      </c>
      <c r="J1923" t="s">
        <v>270</v>
      </c>
      <c r="L1923">
        <v>19</v>
      </c>
      <c r="M1923">
        <v>4</v>
      </c>
      <c r="N1923" t="b">
        <v>0</v>
      </c>
      <c r="O1923" t="s">
        <v>363</v>
      </c>
      <c r="T1923" t="b">
        <v>0</v>
      </c>
      <c r="V1923" t="b">
        <v>0</v>
      </c>
      <c r="W1923" t="b">
        <v>1</v>
      </c>
    </row>
    <row r="1924" spans="4:23" x14ac:dyDescent="0.25">
      <c r="D1924" s="80" t="s">
        <v>138</v>
      </c>
      <c r="E1924">
        <v>37</v>
      </c>
      <c r="G1924" t="b">
        <v>1</v>
      </c>
      <c r="H1924" t="b">
        <v>0</v>
      </c>
      <c r="I1924" t="b">
        <v>0</v>
      </c>
      <c r="J1924" t="s">
        <v>270</v>
      </c>
      <c r="L1924">
        <v>19</v>
      </c>
      <c r="M1924">
        <v>4</v>
      </c>
      <c r="N1924" t="b">
        <v>0</v>
      </c>
      <c r="O1924" t="s">
        <v>364</v>
      </c>
      <c r="T1924" t="b">
        <v>1</v>
      </c>
      <c r="V1924" t="b">
        <v>0</v>
      </c>
      <c r="W1924" t="b">
        <v>1</v>
      </c>
    </row>
    <row r="1925" spans="4:23" x14ac:dyDescent="0.25">
      <c r="D1925" s="80" t="s">
        <v>139</v>
      </c>
      <c r="E1925">
        <v>38</v>
      </c>
      <c r="G1925" t="b">
        <v>1</v>
      </c>
      <c r="H1925" t="b">
        <v>0</v>
      </c>
      <c r="I1925" t="b">
        <v>0</v>
      </c>
      <c r="J1925" t="s">
        <v>270</v>
      </c>
      <c r="L1925">
        <v>19</v>
      </c>
      <c r="M1925">
        <v>4</v>
      </c>
      <c r="N1925" t="b">
        <v>0</v>
      </c>
      <c r="O1925" t="s">
        <v>365</v>
      </c>
      <c r="T1925" t="b">
        <v>0</v>
      </c>
      <c r="V1925" t="b">
        <v>0</v>
      </c>
      <c r="W1925" t="b">
        <v>1</v>
      </c>
    </row>
    <row r="1926" spans="4:23" x14ac:dyDescent="0.25">
      <c r="D1926" s="80" t="s">
        <v>140</v>
      </c>
      <c r="E1926">
        <v>39</v>
      </c>
      <c r="G1926" t="b">
        <v>1</v>
      </c>
      <c r="H1926" t="b">
        <v>0</v>
      </c>
      <c r="I1926" t="b">
        <v>0</v>
      </c>
      <c r="J1926" t="s">
        <v>270</v>
      </c>
      <c r="L1926">
        <v>19</v>
      </c>
      <c r="M1926">
        <v>4</v>
      </c>
      <c r="N1926" t="b">
        <v>0</v>
      </c>
      <c r="O1926" t="s">
        <v>366</v>
      </c>
      <c r="T1926" t="b">
        <v>0</v>
      </c>
      <c r="V1926" t="b">
        <v>0</v>
      </c>
      <c r="W1926" t="b">
        <v>1</v>
      </c>
    </row>
    <row r="1927" spans="4:23" x14ac:dyDescent="0.25">
      <c r="D1927" s="80" t="s">
        <v>141</v>
      </c>
      <c r="E1927">
        <v>40</v>
      </c>
      <c r="G1927" t="b">
        <v>1</v>
      </c>
      <c r="H1927" t="b">
        <v>0</v>
      </c>
      <c r="I1927" t="b">
        <v>0</v>
      </c>
      <c r="J1927" t="s">
        <v>270</v>
      </c>
      <c r="L1927">
        <v>19</v>
      </c>
      <c r="M1927">
        <v>4</v>
      </c>
      <c r="N1927" t="b">
        <v>0</v>
      </c>
      <c r="O1927" t="s">
        <v>367</v>
      </c>
      <c r="T1927" t="b">
        <v>1</v>
      </c>
      <c r="V1927" t="b">
        <v>0</v>
      </c>
      <c r="W1927" t="b">
        <v>1</v>
      </c>
    </row>
    <row r="1928" spans="4:23" x14ac:dyDescent="0.25">
      <c r="D1928" s="80" t="s">
        <v>142</v>
      </c>
      <c r="E1928">
        <v>41</v>
      </c>
      <c r="G1928" t="b">
        <v>1</v>
      </c>
      <c r="H1928" t="b">
        <v>0</v>
      </c>
      <c r="I1928" t="b">
        <v>0</v>
      </c>
      <c r="J1928" t="s">
        <v>270</v>
      </c>
      <c r="L1928">
        <v>19</v>
      </c>
      <c r="M1928">
        <v>4</v>
      </c>
      <c r="N1928" t="b">
        <v>0</v>
      </c>
      <c r="O1928" t="s">
        <v>368</v>
      </c>
      <c r="T1928" t="b">
        <v>0</v>
      </c>
      <c r="V1928" t="b">
        <v>0</v>
      </c>
      <c r="W1928" t="b">
        <v>1</v>
      </c>
    </row>
    <row r="1929" spans="4:23" x14ac:dyDescent="0.25">
      <c r="D1929" s="80" t="s">
        <v>143</v>
      </c>
      <c r="E1929">
        <v>42</v>
      </c>
      <c r="G1929" t="b">
        <v>1</v>
      </c>
      <c r="H1929" t="b">
        <v>0</v>
      </c>
      <c r="I1929" t="b">
        <v>0</v>
      </c>
      <c r="J1929" t="s">
        <v>270</v>
      </c>
      <c r="L1929">
        <v>19</v>
      </c>
      <c r="M1929">
        <v>4</v>
      </c>
      <c r="N1929" t="b">
        <v>0</v>
      </c>
      <c r="O1929" t="s">
        <v>369</v>
      </c>
      <c r="T1929" t="b">
        <v>0</v>
      </c>
      <c r="V1929" t="b">
        <v>0</v>
      </c>
      <c r="W1929" t="b">
        <v>1</v>
      </c>
    </row>
    <row r="1930" spans="4:23" x14ac:dyDescent="0.25">
      <c r="D1930" s="80" t="s">
        <v>144</v>
      </c>
      <c r="E1930">
        <v>43</v>
      </c>
      <c r="G1930" t="b">
        <v>1</v>
      </c>
      <c r="H1930" t="b">
        <v>0</v>
      </c>
      <c r="I1930" t="b">
        <v>0</v>
      </c>
      <c r="J1930" t="s">
        <v>270</v>
      </c>
      <c r="L1930">
        <v>19</v>
      </c>
      <c r="M1930">
        <v>4</v>
      </c>
      <c r="N1930" t="b">
        <v>0</v>
      </c>
      <c r="O1930" t="s">
        <v>370</v>
      </c>
      <c r="T1930" t="b">
        <v>1</v>
      </c>
      <c r="V1930" t="b">
        <v>0</v>
      </c>
      <c r="W1930" t="b">
        <v>1</v>
      </c>
    </row>
    <row r="1931" spans="4:23" x14ac:dyDescent="0.25">
      <c r="D1931" s="80" t="s">
        <v>145</v>
      </c>
      <c r="E1931">
        <v>44</v>
      </c>
      <c r="G1931" t="b">
        <v>1</v>
      </c>
      <c r="H1931" t="b">
        <v>0</v>
      </c>
      <c r="I1931" t="b">
        <v>0</v>
      </c>
      <c r="J1931" t="s">
        <v>270</v>
      </c>
      <c r="L1931">
        <v>19</v>
      </c>
      <c r="M1931">
        <v>4</v>
      </c>
      <c r="N1931" t="b">
        <v>0</v>
      </c>
      <c r="O1931" t="s">
        <v>371</v>
      </c>
      <c r="T1931" t="b">
        <v>0</v>
      </c>
      <c r="V1931" t="b">
        <v>0</v>
      </c>
      <c r="W1931" t="b">
        <v>1</v>
      </c>
    </row>
    <row r="1932" spans="4:23" x14ac:dyDescent="0.25">
      <c r="D1932" s="80" t="s">
        <v>146</v>
      </c>
      <c r="E1932">
        <v>45</v>
      </c>
      <c r="G1932" t="b">
        <v>1</v>
      </c>
      <c r="H1932" t="b">
        <v>0</v>
      </c>
      <c r="I1932" t="b">
        <v>0</v>
      </c>
      <c r="J1932" t="s">
        <v>270</v>
      </c>
      <c r="L1932">
        <v>19</v>
      </c>
      <c r="M1932">
        <v>4</v>
      </c>
      <c r="N1932" t="b">
        <v>0</v>
      </c>
      <c r="O1932" t="s">
        <v>372</v>
      </c>
      <c r="T1932" t="b">
        <v>0</v>
      </c>
      <c r="V1932" t="b">
        <v>0</v>
      </c>
      <c r="W1932" t="b">
        <v>1</v>
      </c>
    </row>
    <row r="1933" spans="4:23" x14ac:dyDescent="0.25">
      <c r="D1933" s="80" t="s">
        <v>147</v>
      </c>
      <c r="E1933">
        <v>46</v>
      </c>
      <c r="G1933" t="b">
        <v>1</v>
      </c>
      <c r="H1933" t="b">
        <v>0</v>
      </c>
      <c r="I1933" t="b">
        <v>0</v>
      </c>
      <c r="J1933" t="s">
        <v>270</v>
      </c>
      <c r="L1933">
        <v>19</v>
      </c>
      <c r="M1933">
        <v>4</v>
      </c>
      <c r="N1933" t="b">
        <v>0</v>
      </c>
      <c r="O1933" t="s">
        <v>373</v>
      </c>
      <c r="T1933" t="b">
        <v>1</v>
      </c>
      <c r="V1933" t="b">
        <v>0</v>
      </c>
      <c r="W1933" t="b">
        <v>1</v>
      </c>
    </row>
    <row r="1934" spans="4:23" x14ac:dyDescent="0.25">
      <c r="D1934" s="80" t="s">
        <v>148</v>
      </c>
      <c r="E1934">
        <v>47</v>
      </c>
      <c r="G1934" t="b">
        <v>1</v>
      </c>
      <c r="H1934" t="b">
        <v>0</v>
      </c>
      <c r="I1934" t="b">
        <v>0</v>
      </c>
      <c r="J1934" t="s">
        <v>270</v>
      </c>
      <c r="L1934">
        <v>19</v>
      </c>
      <c r="M1934">
        <v>4</v>
      </c>
      <c r="N1934" t="b">
        <v>0</v>
      </c>
      <c r="O1934" t="s">
        <v>374</v>
      </c>
      <c r="T1934" t="b">
        <v>0</v>
      </c>
      <c r="V1934" t="b">
        <v>0</v>
      </c>
      <c r="W1934" t="b">
        <v>1</v>
      </c>
    </row>
    <row r="1935" spans="4:23" x14ac:dyDescent="0.25">
      <c r="D1935" s="80" t="s">
        <v>149</v>
      </c>
      <c r="E1935">
        <v>48</v>
      </c>
      <c r="G1935" t="b">
        <v>1</v>
      </c>
      <c r="H1935" t="b">
        <v>0</v>
      </c>
      <c r="I1935" t="b">
        <v>0</v>
      </c>
      <c r="J1935" t="s">
        <v>270</v>
      </c>
      <c r="L1935">
        <v>19</v>
      </c>
      <c r="M1935">
        <v>4</v>
      </c>
      <c r="N1935" t="b">
        <v>0</v>
      </c>
      <c r="O1935" t="s">
        <v>375</v>
      </c>
      <c r="T1935" t="b">
        <v>0</v>
      </c>
      <c r="V1935" t="b">
        <v>0</v>
      </c>
      <c r="W1935" t="b">
        <v>1</v>
      </c>
    </row>
    <row r="1936" spans="4:23" x14ac:dyDescent="0.25">
      <c r="D1936" s="80" t="s">
        <v>150</v>
      </c>
      <c r="E1936">
        <v>49</v>
      </c>
      <c r="G1936" t="b">
        <v>1</v>
      </c>
      <c r="H1936" t="b">
        <v>0</v>
      </c>
      <c r="I1936" t="b">
        <v>0</v>
      </c>
      <c r="J1936" t="s">
        <v>270</v>
      </c>
      <c r="L1936">
        <v>19</v>
      </c>
      <c r="M1936">
        <v>4</v>
      </c>
      <c r="N1936" t="b">
        <v>0</v>
      </c>
      <c r="O1936" t="s">
        <v>376</v>
      </c>
      <c r="T1936" t="b">
        <v>1</v>
      </c>
      <c r="V1936" t="b">
        <v>0</v>
      </c>
      <c r="W1936" t="b">
        <v>1</v>
      </c>
    </row>
    <row r="1937" spans="1:23" x14ac:dyDescent="0.25">
      <c r="D1937" s="80" t="s">
        <v>151</v>
      </c>
      <c r="E1937">
        <v>50</v>
      </c>
      <c r="G1937" t="b">
        <v>1</v>
      </c>
      <c r="H1937" t="b">
        <v>0</v>
      </c>
      <c r="I1937" t="b">
        <v>0</v>
      </c>
      <c r="J1937" t="s">
        <v>269</v>
      </c>
      <c r="K1937">
        <v>-1</v>
      </c>
      <c r="N1937" t="b">
        <v>0</v>
      </c>
      <c r="O1937" t="s">
        <v>26</v>
      </c>
      <c r="T1937" t="b">
        <v>0</v>
      </c>
      <c r="V1937" t="b">
        <v>0</v>
      </c>
      <c r="W1937" t="b">
        <v>1</v>
      </c>
    </row>
    <row r="1938" spans="1:23" x14ac:dyDescent="0.25">
      <c r="D1938" s="80" t="s">
        <v>545</v>
      </c>
      <c r="E1938">
        <v>51</v>
      </c>
      <c r="G1938" t="b">
        <v>1</v>
      </c>
      <c r="H1938" t="b">
        <v>0</v>
      </c>
      <c r="I1938" t="b">
        <v>0</v>
      </c>
      <c r="J1938" t="s">
        <v>269</v>
      </c>
      <c r="K1938">
        <v>-1</v>
      </c>
      <c r="N1938" t="b">
        <v>0</v>
      </c>
      <c r="O1938" t="s">
        <v>547</v>
      </c>
      <c r="T1938" t="b">
        <v>0</v>
      </c>
      <c r="V1938" t="b">
        <v>0</v>
      </c>
      <c r="W1938" t="b">
        <v>1</v>
      </c>
    </row>
    <row r="1939" spans="1:23" x14ac:dyDescent="0.25">
      <c r="D1939" s="80" t="s">
        <v>152</v>
      </c>
      <c r="E1939">
        <v>52</v>
      </c>
      <c r="G1939" t="b">
        <v>1</v>
      </c>
      <c r="H1939" t="b">
        <v>0</v>
      </c>
      <c r="I1939" t="b">
        <v>0</v>
      </c>
      <c r="N1939" t="b">
        <v>0</v>
      </c>
      <c r="O1939" t="s">
        <v>27</v>
      </c>
      <c r="T1939" t="b">
        <v>0</v>
      </c>
      <c r="V1939" t="b">
        <v>0</v>
      </c>
      <c r="W1939" t="b">
        <v>1</v>
      </c>
    </row>
    <row r="1940" spans="1:23" x14ac:dyDescent="0.25">
      <c r="D1940" s="80" t="s">
        <v>153</v>
      </c>
      <c r="E1940">
        <v>53</v>
      </c>
      <c r="G1940" t="b">
        <v>1</v>
      </c>
      <c r="H1940" t="b">
        <v>0</v>
      </c>
      <c r="I1940" t="b">
        <v>0</v>
      </c>
      <c r="N1940" t="b">
        <v>0</v>
      </c>
      <c r="O1940" t="s">
        <v>28</v>
      </c>
      <c r="T1940" t="b">
        <v>0</v>
      </c>
      <c r="V1940" t="b">
        <v>0</v>
      </c>
      <c r="W1940" t="b">
        <v>1</v>
      </c>
    </row>
    <row r="1941" spans="1:23" x14ac:dyDescent="0.25">
      <c r="A1941" t="s">
        <v>471</v>
      </c>
    </row>
    <row r="1942" spans="1:23" x14ac:dyDescent="0.25">
      <c r="A1942" t="s">
        <v>482</v>
      </c>
    </row>
    <row r="1943" spans="1:23" x14ac:dyDescent="0.25">
      <c r="A1943">
        <v>70</v>
      </c>
    </row>
    <row r="1944" spans="1:23" x14ac:dyDescent="0.25">
      <c r="A1944">
        <v>70</v>
      </c>
      <c r="B1944" s="80" t="s">
        <v>0</v>
      </c>
    </row>
    <row r="1945" spans="1:23" x14ac:dyDescent="0.25">
      <c r="A1945" t="s">
        <v>483</v>
      </c>
    </row>
    <row r="1946" spans="1:23" x14ac:dyDescent="0.25">
      <c r="A1946" t="s">
        <v>484</v>
      </c>
    </row>
    <row r="1947" spans="1:23" x14ac:dyDescent="0.25">
      <c r="A1947">
        <v>68</v>
      </c>
    </row>
    <row r="1948" spans="1:23" x14ac:dyDescent="0.25">
      <c r="B1948" s="80" t="s">
        <v>169</v>
      </c>
    </row>
    <row r="1949" spans="1:23" x14ac:dyDescent="0.25">
      <c r="A1949">
        <v>68</v>
      </c>
      <c r="B1949" s="80" t="s">
        <v>673</v>
      </c>
    </row>
    <row r="1950" spans="1:23" x14ac:dyDescent="0.25">
      <c r="A1950" t="s">
        <v>485</v>
      </c>
    </row>
    <row r="1951" spans="1:23" x14ac:dyDescent="0.25">
      <c r="A1951" t="s">
        <v>488</v>
      </c>
    </row>
    <row r="1952" spans="1:23" x14ac:dyDescent="0.25">
      <c r="A1952">
        <v>75</v>
      </c>
    </row>
    <row r="1953" spans="1:23" x14ac:dyDescent="0.25">
      <c r="B1953" s="80" t="s">
        <v>169</v>
      </c>
    </row>
    <row r="1954" spans="1:23" x14ac:dyDescent="0.25">
      <c r="A1954">
        <v>72</v>
      </c>
      <c r="B1954" s="80" t="s">
        <v>1</v>
      </c>
    </row>
    <row r="1955" spans="1:23" x14ac:dyDescent="0.25">
      <c r="A1955">
        <v>73</v>
      </c>
      <c r="B1955" s="80" t="s">
        <v>388</v>
      </c>
    </row>
    <row r="1956" spans="1:23" x14ac:dyDescent="0.25">
      <c r="A1956">
        <v>75</v>
      </c>
      <c r="B1956" s="80" t="s">
        <v>389</v>
      </c>
    </row>
    <row r="1957" spans="1:23" x14ac:dyDescent="0.25">
      <c r="A1957" t="s">
        <v>489</v>
      </c>
    </row>
    <row r="1958" spans="1:23" x14ac:dyDescent="0.25">
      <c r="A1958" t="s">
        <v>486</v>
      </c>
    </row>
    <row r="1959" spans="1:23" x14ac:dyDescent="0.25">
      <c r="D1959" s="80" t="s">
        <v>102</v>
      </c>
      <c r="E1959">
        <v>1</v>
      </c>
      <c r="G1959" t="b">
        <v>1</v>
      </c>
      <c r="H1959" t="b">
        <v>0</v>
      </c>
      <c r="I1959" t="b">
        <v>0</v>
      </c>
      <c r="J1959" t="s">
        <v>237</v>
      </c>
      <c r="L1959">
        <v>10</v>
      </c>
      <c r="M1959">
        <v>0</v>
      </c>
      <c r="N1959" t="b">
        <v>0</v>
      </c>
      <c r="O1959" t="s">
        <v>332</v>
      </c>
      <c r="T1959" t="b">
        <v>0</v>
      </c>
      <c r="V1959" t="b">
        <v>0</v>
      </c>
      <c r="W1959" t="b">
        <v>1</v>
      </c>
    </row>
    <row r="1960" spans="1:23" x14ac:dyDescent="0.25">
      <c r="D1960" s="80" t="s">
        <v>103</v>
      </c>
      <c r="E1960">
        <v>2</v>
      </c>
      <c r="G1960" t="b">
        <v>1</v>
      </c>
      <c r="H1960" t="b">
        <v>0</v>
      </c>
      <c r="I1960" t="b">
        <v>0</v>
      </c>
      <c r="J1960" t="s">
        <v>237</v>
      </c>
      <c r="L1960">
        <v>10</v>
      </c>
      <c r="M1960">
        <v>0</v>
      </c>
      <c r="N1960" t="b">
        <v>0</v>
      </c>
      <c r="O1960" t="s">
        <v>333</v>
      </c>
      <c r="T1960" t="b">
        <v>0</v>
      </c>
      <c r="V1960" t="b">
        <v>0</v>
      </c>
      <c r="W1960" t="b">
        <v>1</v>
      </c>
    </row>
    <row r="1961" spans="1:23" x14ac:dyDescent="0.25">
      <c r="D1961" s="80" t="s">
        <v>104</v>
      </c>
      <c r="E1961">
        <v>3</v>
      </c>
      <c r="G1961" t="b">
        <v>1</v>
      </c>
      <c r="H1961" t="b">
        <v>0</v>
      </c>
      <c r="I1961" t="b">
        <v>0</v>
      </c>
      <c r="J1961" t="s">
        <v>269</v>
      </c>
      <c r="K1961">
        <v>255</v>
      </c>
      <c r="N1961" t="b">
        <v>0</v>
      </c>
      <c r="O1961" t="s">
        <v>3</v>
      </c>
      <c r="T1961" t="b">
        <v>0</v>
      </c>
      <c r="V1961" t="b">
        <v>0</v>
      </c>
      <c r="W1961" t="b">
        <v>1</v>
      </c>
    </row>
    <row r="1962" spans="1:23" x14ac:dyDescent="0.25">
      <c r="D1962" s="80" t="s">
        <v>105</v>
      </c>
      <c r="E1962">
        <v>4</v>
      </c>
      <c r="G1962" t="b">
        <v>1</v>
      </c>
      <c r="H1962" t="b">
        <v>0</v>
      </c>
      <c r="I1962" t="b">
        <v>0</v>
      </c>
      <c r="J1962" t="s">
        <v>237</v>
      </c>
      <c r="L1962">
        <v>10</v>
      </c>
      <c r="M1962">
        <v>0</v>
      </c>
      <c r="N1962" t="b">
        <v>0</v>
      </c>
      <c r="O1962" t="s">
        <v>32</v>
      </c>
      <c r="T1962" t="b">
        <v>0</v>
      </c>
      <c r="V1962" t="b">
        <v>0</v>
      </c>
      <c r="W1962" t="b">
        <v>1</v>
      </c>
    </row>
    <row r="1963" spans="1:23" x14ac:dyDescent="0.25">
      <c r="D1963" s="80" t="s">
        <v>106</v>
      </c>
      <c r="E1963">
        <v>5</v>
      </c>
      <c r="G1963" t="b">
        <v>1</v>
      </c>
      <c r="H1963" t="b">
        <v>0</v>
      </c>
      <c r="I1963" t="b">
        <v>0</v>
      </c>
      <c r="N1963" t="b">
        <v>0</v>
      </c>
      <c r="O1963" t="s">
        <v>379</v>
      </c>
      <c r="T1963" t="b">
        <v>0</v>
      </c>
      <c r="V1963" t="b">
        <v>0</v>
      </c>
      <c r="W1963" t="b">
        <v>1</v>
      </c>
    </row>
    <row r="1964" spans="1:23" x14ac:dyDescent="0.25">
      <c r="D1964" s="80" t="s">
        <v>107</v>
      </c>
      <c r="E1964">
        <v>6</v>
      </c>
      <c r="G1964" t="b">
        <v>1</v>
      </c>
      <c r="H1964" t="b">
        <v>0</v>
      </c>
      <c r="I1964" t="b">
        <v>0</v>
      </c>
      <c r="J1964" t="s">
        <v>237</v>
      </c>
      <c r="L1964">
        <v>10</v>
      </c>
      <c r="M1964">
        <v>0</v>
      </c>
      <c r="N1964" t="b">
        <v>0</v>
      </c>
      <c r="O1964" t="s">
        <v>380</v>
      </c>
      <c r="T1964" t="b">
        <v>0</v>
      </c>
      <c r="V1964" t="b">
        <v>0</v>
      </c>
      <c r="W1964" t="b">
        <v>1</v>
      </c>
    </row>
    <row r="1965" spans="1:23" x14ac:dyDescent="0.25">
      <c r="D1965" s="80" t="s">
        <v>108</v>
      </c>
      <c r="E1965">
        <v>7</v>
      </c>
      <c r="G1965" t="b">
        <v>1</v>
      </c>
      <c r="H1965" t="b">
        <v>0</v>
      </c>
      <c r="I1965" t="b">
        <v>0</v>
      </c>
      <c r="J1965" t="s">
        <v>237</v>
      </c>
      <c r="L1965">
        <v>10</v>
      </c>
      <c r="M1965">
        <v>0</v>
      </c>
      <c r="N1965" t="b">
        <v>0</v>
      </c>
      <c r="O1965" t="s">
        <v>7</v>
      </c>
      <c r="T1965" t="b">
        <v>0</v>
      </c>
      <c r="V1965" t="b">
        <v>0</v>
      </c>
      <c r="W1965" t="b">
        <v>1</v>
      </c>
    </row>
    <row r="1966" spans="1:23" x14ac:dyDescent="0.25">
      <c r="D1966" s="80" t="s">
        <v>109</v>
      </c>
      <c r="E1966">
        <v>8</v>
      </c>
      <c r="G1966" t="b">
        <v>1</v>
      </c>
      <c r="H1966" t="b">
        <v>0</v>
      </c>
      <c r="I1966" t="b">
        <v>0</v>
      </c>
      <c r="J1966" t="s">
        <v>237</v>
      </c>
      <c r="L1966">
        <v>10</v>
      </c>
      <c r="M1966">
        <v>0</v>
      </c>
      <c r="N1966" t="b">
        <v>0</v>
      </c>
      <c r="O1966" t="s">
        <v>335</v>
      </c>
      <c r="T1966" t="b">
        <v>0</v>
      </c>
      <c r="V1966" t="b">
        <v>0</v>
      </c>
      <c r="W1966" t="b">
        <v>1</v>
      </c>
    </row>
    <row r="1967" spans="1:23" x14ac:dyDescent="0.25">
      <c r="D1967" s="80" t="s">
        <v>110</v>
      </c>
      <c r="E1967">
        <v>9</v>
      </c>
      <c r="G1967" t="b">
        <v>1</v>
      </c>
      <c r="H1967" t="b">
        <v>0</v>
      </c>
      <c r="I1967" t="b">
        <v>0</v>
      </c>
      <c r="J1967" t="s">
        <v>237</v>
      </c>
      <c r="L1967">
        <v>10</v>
      </c>
      <c r="M1967">
        <v>0</v>
      </c>
      <c r="N1967" t="b">
        <v>0</v>
      </c>
      <c r="O1967" t="s">
        <v>336</v>
      </c>
      <c r="T1967" t="b">
        <v>0</v>
      </c>
      <c r="V1967" t="b">
        <v>0</v>
      </c>
      <c r="W1967" t="b">
        <v>1</v>
      </c>
    </row>
    <row r="1968" spans="1:23" x14ac:dyDescent="0.25">
      <c r="D1968" s="80" t="s">
        <v>111</v>
      </c>
      <c r="E1968">
        <v>10</v>
      </c>
      <c r="G1968" t="b">
        <v>1</v>
      </c>
      <c r="H1968" t="b">
        <v>0</v>
      </c>
      <c r="I1968" t="b">
        <v>0</v>
      </c>
      <c r="J1968" t="s">
        <v>237</v>
      </c>
      <c r="L1968">
        <v>10</v>
      </c>
      <c r="M1968">
        <v>0</v>
      </c>
      <c r="N1968" t="b">
        <v>0</v>
      </c>
      <c r="O1968" t="s">
        <v>337</v>
      </c>
      <c r="T1968" t="b">
        <v>0</v>
      </c>
      <c r="V1968" t="b">
        <v>0</v>
      </c>
      <c r="W1968" t="b">
        <v>1</v>
      </c>
    </row>
    <row r="1969" spans="4:23" x14ac:dyDescent="0.25">
      <c r="D1969" s="80" t="s">
        <v>112</v>
      </c>
      <c r="E1969">
        <v>11</v>
      </c>
      <c r="G1969" t="b">
        <v>1</v>
      </c>
      <c r="H1969" t="b">
        <v>0</v>
      </c>
      <c r="I1969" t="b">
        <v>0</v>
      </c>
      <c r="J1969" t="s">
        <v>270</v>
      </c>
      <c r="L1969">
        <v>19</v>
      </c>
      <c r="M1969">
        <v>4</v>
      </c>
      <c r="N1969" t="b">
        <v>0</v>
      </c>
      <c r="O1969" t="s">
        <v>338</v>
      </c>
      <c r="T1969" t="b">
        <v>1</v>
      </c>
      <c r="V1969" t="b">
        <v>0</v>
      </c>
      <c r="W1969" t="b">
        <v>1</v>
      </c>
    </row>
    <row r="1970" spans="4:23" x14ac:dyDescent="0.25">
      <c r="D1970" s="80" t="s">
        <v>113</v>
      </c>
      <c r="E1970">
        <v>12</v>
      </c>
      <c r="G1970" t="b">
        <v>1</v>
      </c>
      <c r="H1970" t="b">
        <v>0</v>
      </c>
      <c r="I1970" t="b">
        <v>0</v>
      </c>
      <c r="J1970" t="s">
        <v>270</v>
      </c>
      <c r="L1970">
        <v>19</v>
      </c>
      <c r="M1970">
        <v>4</v>
      </c>
      <c r="N1970" t="b">
        <v>0</v>
      </c>
      <c r="O1970" t="s">
        <v>339</v>
      </c>
      <c r="T1970" t="b">
        <v>1</v>
      </c>
      <c r="V1970" t="b">
        <v>0</v>
      </c>
      <c r="W1970" t="b">
        <v>1</v>
      </c>
    </row>
    <row r="1971" spans="4:23" x14ac:dyDescent="0.25">
      <c r="D1971" s="80" t="s">
        <v>114</v>
      </c>
      <c r="E1971">
        <v>13</v>
      </c>
      <c r="G1971" t="b">
        <v>1</v>
      </c>
      <c r="H1971" t="b">
        <v>0</v>
      </c>
      <c r="I1971" t="b">
        <v>0</v>
      </c>
      <c r="J1971" t="s">
        <v>270</v>
      </c>
      <c r="L1971">
        <v>19</v>
      </c>
      <c r="M1971">
        <v>4</v>
      </c>
      <c r="N1971" t="b">
        <v>0</v>
      </c>
      <c r="O1971" t="s">
        <v>340</v>
      </c>
      <c r="T1971" t="b">
        <v>0</v>
      </c>
      <c r="V1971" t="b">
        <v>0</v>
      </c>
      <c r="W1971" t="b">
        <v>1</v>
      </c>
    </row>
    <row r="1972" spans="4:23" x14ac:dyDescent="0.25">
      <c r="D1972" s="80" t="s">
        <v>116</v>
      </c>
      <c r="E1972">
        <v>14</v>
      </c>
      <c r="G1972" t="b">
        <v>1</v>
      </c>
      <c r="H1972" t="b">
        <v>0</v>
      </c>
      <c r="I1972" t="b">
        <v>0</v>
      </c>
      <c r="J1972" t="s">
        <v>270</v>
      </c>
      <c r="L1972">
        <v>19</v>
      </c>
      <c r="M1972">
        <v>4</v>
      </c>
      <c r="N1972" t="b">
        <v>0</v>
      </c>
      <c r="O1972" t="s">
        <v>342</v>
      </c>
      <c r="T1972" t="b">
        <v>0</v>
      </c>
      <c r="V1972" t="b">
        <v>0</v>
      </c>
      <c r="W1972" t="b">
        <v>1</v>
      </c>
    </row>
    <row r="1973" spans="4:23" x14ac:dyDescent="0.25">
      <c r="D1973" s="80" t="s">
        <v>119</v>
      </c>
      <c r="E1973">
        <v>15</v>
      </c>
      <c r="G1973" t="b">
        <v>1</v>
      </c>
      <c r="H1973" t="b">
        <v>0</v>
      </c>
      <c r="I1973" t="b">
        <v>0</v>
      </c>
      <c r="J1973" t="s">
        <v>270</v>
      </c>
      <c r="L1973">
        <v>19</v>
      </c>
      <c r="M1973">
        <v>4</v>
      </c>
      <c r="N1973" t="b">
        <v>0</v>
      </c>
      <c r="O1973" t="s">
        <v>345</v>
      </c>
      <c r="T1973" t="b">
        <v>0</v>
      </c>
      <c r="V1973" t="b">
        <v>0</v>
      </c>
      <c r="W1973" t="b">
        <v>1</v>
      </c>
    </row>
    <row r="1974" spans="4:23" x14ac:dyDescent="0.25">
      <c r="D1974" s="80" t="s">
        <v>122</v>
      </c>
      <c r="E1974">
        <v>16</v>
      </c>
      <c r="G1974" t="b">
        <v>1</v>
      </c>
      <c r="H1974" t="b">
        <v>0</v>
      </c>
      <c r="I1974" t="b">
        <v>0</v>
      </c>
      <c r="J1974" t="s">
        <v>270</v>
      </c>
      <c r="L1974">
        <v>19</v>
      </c>
      <c r="M1974">
        <v>4</v>
      </c>
      <c r="N1974" t="b">
        <v>0</v>
      </c>
      <c r="O1974" t="s">
        <v>348</v>
      </c>
      <c r="T1974" t="b">
        <v>0</v>
      </c>
      <c r="V1974" t="b">
        <v>0</v>
      </c>
      <c r="W1974" t="b">
        <v>1</v>
      </c>
    </row>
    <row r="1975" spans="4:23" x14ac:dyDescent="0.25">
      <c r="D1975" s="80" t="s">
        <v>125</v>
      </c>
      <c r="E1975">
        <v>17</v>
      </c>
      <c r="G1975" t="b">
        <v>1</v>
      </c>
      <c r="H1975" t="b">
        <v>0</v>
      </c>
      <c r="I1975" t="b">
        <v>0</v>
      </c>
      <c r="J1975" t="s">
        <v>270</v>
      </c>
      <c r="L1975">
        <v>19</v>
      </c>
      <c r="M1975">
        <v>4</v>
      </c>
      <c r="N1975" t="b">
        <v>0</v>
      </c>
      <c r="O1975" t="s">
        <v>351</v>
      </c>
      <c r="T1975" t="b">
        <v>0</v>
      </c>
      <c r="V1975" t="b">
        <v>0</v>
      </c>
      <c r="W1975" t="b">
        <v>1</v>
      </c>
    </row>
    <row r="1976" spans="4:23" x14ac:dyDescent="0.25">
      <c r="D1976" s="80" t="s">
        <v>128</v>
      </c>
      <c r="E1976">
        <v>18</v>
      </c>
      <c r="G1976" t="b">
        <v>1</v>
      </c>
      <c r="H1976" t="b">
        <v>0</v>
      </c>
      <c r="I1976" t="b">
        <v>0</v>
      </c>
      <c r="J1976" t="s">
        <v>270</v>
      </c>
      <c r="L1976">
        <v>19</v>
      </c>
      <c r="M1976">
        <v>4</v>
      </c>
      <c r="N1976" t="b">
        <v>0</v>
      </c>
      <c r="O1976" t="s">
        <v>354</v>
      </c>
      <c r="T1976" t="b">
        <v>0</v>
      </c>
      <c r="V1976" t="b">
        <v>0</v>
      </c>
      <c r="W1976" t="b">
        <v>1</v>
      </c>
    </row>
    <row r="1977" spans="4:23" x14ac:dyDescent="0.25">
      <c r="D1977" s="80" t="s">
        <v>131</v>
      </c>
      <c r="E1977">
        <v>19</v>
      </c>
      <c r="G1977" t="b">
        <v>1</v>
      </c>
      <c r="H1977" t="b">
        <v>0</v>
      </c>
      <c r="I1977" t="b">
        <v>0</v>
      </c>
      <c r="J1977" t="s">
        <v>270</v>
      </c>
      <c r="L1977">
        <v>19</v>
      </c>
      <c r="M1977">
        <v>4</v>
      </c>
      <c r="N1977" t="b">
        <v>0</v>
      </c>
      <c r="O1977" t="s">
        <v>357</v>
      </c>
      <c r="T1977" t="b">
        <v>0</v>
      </c>
      <c r="V1977" t="b">
        <v>0</v>
      </c>
      <c r="W1977" t="b">
        <v>1</v>
      </c>
    </row>
    <row r="1978" spans="4:23" x14ac:dyDescent="0.25">
      <c r="D1978" s="80" t="s">
        <v>134</v>
      </c>
      <c r="E1978">
        <v>20</v>
      </c>
      <c r="G1978" t="b">
        <v>1</v>
      </c>
      <c r="H1978" t="b">
        <v>0</v>
      </c>
      <c r="I1978" t="b">
        <v>0</v>
      </c>
      <c r="J1978" t="s">
        <v>270</v>
      </c>
      <c r="L1978">
        <v>19</v>
      </c>
      <c r="M1978">
        <v>4</v>
      </c>
      <c r="N1978" t="b">
        <v>0</v>
      </c>
      <c r="O1978" t="s">
        <v>360</v>
      </c>
      <c r="T1978" t="b">
        <v>0</v>
      </c>
      <c r="V1978" t="b">
        <v>0</v>
      </c>
      <c r="W1978" t="b">
        <v>1</v>
      </c>
    </row>
    <row r="1979" spans="4:23" x14ac:dyDescent="0.25">
      <c r="D1979" s="80" t="s">
        <v>137</v>
      </c>
      <c r="E1979">
        <v>21</v>
      </c>
      <c r="G1979" t="b">
        <v>1</v>
      </c>
      <c r="H1979" t="b">
        <v>0</v>
      </c>
      <c r="I1979" t="b">
        <v>0</v>
      </c>
      <c r="J1979" t="s">
        <v>270</v>
      </c>
      <c r="L1979">
        <v>19</v>
      </c>
      <c r="M1979">
        <v>4</v>
      </c>
      <c r="N1979" t="b">
        <v>0</v>
      </c>
      <c r="O1979" t="s">
        <v>363</v>
      </c>
      <c r="T1979" t="b">
        <v>0</v>
      </c>
      <c r="V1979" t="b">
        <v>0</v>
      </c>
      <c r="W1979" t="b">
        <v>1</v>
      </c>
    </row>
    <row r="1980" spans="4:23" x14ac:dyDescent="0.25">
      <c r="D1980" s="80" t="s">
        <v>140</v>
      </c>
      <c r="E1980">
        <v>22</v>
      </c>
      <c r="G1980" t="b">
        <v>1</v>
      </c>
      <c r="H1980" t="b">
        <v>0</v>
      </c>
      <c r="I1980" t="b">
        <v>0</v>
      </c>
      <c r="J1980" t="s">
        <v>270</v>
      </c>
      <c r="L1980">
        <v>19</v>
      </c>
      <c r="M1980">
        <v>4</v>
      </c>
      <c r="N1980" t="b">
        <v>0</v>
      </c>
      <c r="O1980" t="s">
        <v>366</v>
      </c>
      <c r="T1980" t="b">
        <v>0</v>
      </c>
      <c r="V1980" t="b">
        <v>0</v>
      </c>
      <c r="W1980" t="b">
        <v>1</v>
      </c>
    </row>
    <row r="1981" spans="4:23" x14ac:dyDescent="0.25">
      <c r="D1981" s="80" t="s">
        <v>143</v>
      </c>
      <c r="E1981">
        <v>23</v>
      </c>
      <c r="G1981" t="b">
        <v>1</v>
      </c>
      <c r="H1981" t="b">
        <v>0</v>
      </c>
      <c r="I1981" t="b">
        <v>0</v>
      </c>
      <c r="J1981" t="s">
        <v>270</v>
      </c>
      <c r="L1981">
        <v>19</v>
      </c>
      <c r="M1981">
        <v>4</v>
      </c>
      <c r="N1981" t="b">
        <v>0</v>
      </c>
      <c r="O1981" t="s">
        <v>369</v>
      </c>
      <c r="T1981" t="b">
        <v>0</v>
      </c>
      <c r="V1981" t="b">
        <v>0</v>
      </c>
      <c r="W1981" t="b">
        <v>1</v>
      </c>
    </row>
    <row r="1982" spans="4:23" x14ac:dyDescent="0.25">
      <c r="D1982" s="80" t="s">
        <v>146</v>
      </c>
      <c r="E1982">
        <v>24</v>
      </c>
      <c r="G1982" t="b">
        <v>1</v>
      </c>
      <c r="H1982" t="b">
        <v>0</v>
      </c>
      <c r="I1982" t="b">
        <v>0</v>
      </c>
      <c r="J1982" t="s">
        <v>270</v>
      </c>
      <c r="L1982">
        <v>19</v>
      </c>
      <c r="M1982">
        <v>4</v>
      </c>
      <c r="N1982" t="b">
        <v>0</v>
      </c>
      <c r="O1982" t="s">
        <v>372</v>
      </c>
      <c r="T1982" t="b">
        <v>0</v>
      </c>
      <c r="V1982" t="b">
        <v>0</v>
      </c>
      <c r="W1982" t="b">
        <v>1</v>
      </c>
    </row>
    <row r="1983" spans="4:23" x14ac:dyDescent="0.25">
      <c r="D1983" s="80" t="s">
        <v>149</v>
      </c>
      <c r="E1983">
        <v>25</v>
      </c>
      <c r="G1983" t="b">
        <v>1</v>
      </c>
      <c r="H1983" t="b">
        <v>0</v>
      </c>
      <c r="I1983" t="b">
        <v>0</v>
      </c>
      <c r="J1983" t="s">
        <v>270</v>
      </c>
      <c r="L1983">
        <v>19</v>
      </c>
      <c r="M1983">
        <v>4</v>
      </c>
      <c r="N1983" t="b">
        <v>0</v>
      </c>
      <c r="O1983" t="s">
        <v>375</v>
      </c>
      <c r="T1983" t="b">
        <v>0</v>
      </c>
      <c r="V1983" t="b">
        <v>0</v>
      </c>
      <c r="W1983" t="b">
        <v>1</v>
      </c>
    </row>
    <row r="1984" spans="4:23" x14ac:dyDescent="0.25">
      <c r="D1984" s="80" t="s">
        <v>115</v>
      </c>
      <c r="E1984">
        <v>26</v>
      </c>
      <c r="G1984" t="b">
        <v>1</v>
      </c>
      <c r="H1984" t="b">
        <v>0</v>
      </c>
      <c r="I1984" t="b">
        <v>0</v>
      </c>
      <c r="J1984" t="s">
        <v>270</v>
      </c>
      <c r="L1984">
        <v>19</v>
      </c>
      <c r="M1984">
        <v>4</v>
      </c>
      <c r="N1984" t="b">
        <v>0</v>
      </c>
      <c r="O1984" t="s">
        <v>341</v>
      </c>
      <c r="T1984" t="b">
        <v>0</v>
      </c>
      <c r="V1984" t="b">
        <v>0</v>
      </c>
      <c r="W1984" t="b">
        <v>1</v>
      </c>
    </row>
    <row r="1985" spans="4:23" x14ac:dyDescent="0.25">
      <c r="D1985" s="80" t="s">
        <v>118</v>
      </c>
      <c r="E1985">
        <v>27</v>
      </c>
      <c r="G1985" t="b">
        <v>1</v>
      </c>
      <c r="H1985" t="b">
        <v>0</v>
      </c>
      <c r="I1985" t="b">
        <v>0</v>
      </c>
      <c r="J1985" t="s">
        <v>270</v>
      </c>
      <c r="L1985">
        <v>19</v>
      </c>
      <c r="M1985">
        <v>4</v>
      </c>
      <c r="N1985" t="b">
        <v>0</v>
      </c>
      <c r="O1985" t="s">
        <v>344</v>
      </c>
      <c r="T1985" t="b">
        <v>0</v>
      </c>
      <c r="V1985" t="b">
        <v>0</v>
      </c>
      <c r="W1985" t="b">
        <v>1</v>
      </c>
    </row>
    <row r="1986" spans="4:23" x14ac:dyDescent="0.25">
      <c r="D1986" s="80" t="s">
        <v>121</v>
      </c>
      <c r="E1986">
        <v>28</v>
      </c>
      <c r="G1986" t="b">
        <v>1</v>
      </c>
      <c r="H1986" t="b">
        <v>0</v>
      </c>
      <c r="I1986" t="b">
        <v>0</v>
      </c>
      <c r="J1986" t="s">
        <v>270</v>
      </c>
      <c r="L1986">
        <v>19</v>
      </c>
      <c r="M1986">
        <v>4</v>
      </c>
      <c r="N1986" t="b">
        <v>0</v>
      </c>
      <c r="O1986" t="s">
        <v>347</v>
      </c>
      <c r="T1986" t="b">
        <v>0</v>
      </c>
      <c r="V1986" t="b">
        <v>0</v>
      </c>
      <c r="W1986" t="b">
        <v>1</v>
      </c>
    </row>
    <row r="1987" spans="4:23" x14ac:dyDescent="0.25">
      <c r="D1987" s="80" t="s">
        <v>124</v>
      </c>
      <c r="E1987">
        <v>29</v>
      </c>
      <c r="G1987" t="b">
        <v>1</v>
      </c>
      <c r="H1987" t="b">
        <v>0</v>
      </c>
      <c r="I1987" t="b">
        <v>0</v>
      </c>
      <c r="J1987" t="s">
        <v>270</v>
      </c>
      <c r="L1987">
        <v>19</v>
      </c>
      <c r="M1987">
        <v>4</v>
      </c>
      <c r="N1987" t="b">
        <v>0</v>
      </c>
      <c r="O1987" t="s">
        <v>350</v>
      </c>
      <c r="T1987" t="b">
        <v>0</v>
      </c>
      <c r="V1987" t="b">
        <v>0</v>
      </c>
      <c r="W1987" t="b">
        <v>1</v>
      </c>
    </row>
    <row r="1988" spans="4:23" x14ac:dyDescent="0.25">
      <c r="D1988" s="80" t="s">
        <v>127</v>
      </c>
      <c r="E1988">
        <v>30</v>
      </c>
      <c r="G1988" t="b">
        <v>1</v>
      </c>
      <c r="H1988" t="b">
        <v>0</v>
      </c>
      <c r="I1988" t="b">
        <v>0</v>
      </c>
      <c r="J1988" t="s">
        <v>270</v>
      </c>
      <c r="L1988">
        <v>19</v>
      </c>
      <c r="M1988">
        <v>4</v>
      </c>
      <c r="N1988" t="b">
        <v>0</v>
      </c>
      <c r="O1988" t="s">
        <v>353</v>
      </c>
      <c r="T1988" t="b">
        <v>0</v>
      </c>
      <c r="V1988" t="b">
        <v>0</v>
      </c>
      <c r="W1988" t="b">
        <v>1</v>
      </c>
    </row>
    <row r="1989" spans="4:23" x14ac:dyDescent="0.25">
      <c r="D1989" s="80" t="s">
        <v>130</v>
      </c>
      <c r="E1989">
        <v>31</v>
      </c>
      <c r="G1989" t="b">
        <v>1</v>
      </c>
      <c r="H1989" t="b">
        <v>0</v>
      </c>
      <c r="I1989" t="b">
        <v>0</v>
      </c>
      <c r="J1989" t="s">
        <v>270</v>
      </c>
      <c r="L1989">
        <v>19</v>
      </c>
      <c r="M1989">
        <v>4</v>
      </c>
      <c r="N1989" t="b">
        <v>0</v>
      </c>
      <c r="O1989" t="s">
        <v>356</v>
      </c>
      <c r="T1989" t="b">
        <v>0</v>
      </c>
      <c r="V1989" t="b">
        <v>0</v>
      </c>
      <c r="W1989" t="b">
        <v>1</v>
      </c>
    </row>
    <row r="1990" spans="4:23" x14ac:dyDescent="0.25">
      <c r="D1990" s="80" t="s">
        <v>133</v>
      </c>
      <c r="E1990">
        <v>32</v>
      </c>
      <c r="G1990" t="b">
        <v>1</v>
      </c>
      <c r="H1990" t="b">
        <v>0</v>
      </c>
      <c r="I1990" t="b">
        <v>0</v>
      </c>
      <c r="J1990" t="s">
        <v>270</v>
      </c>
      <c r="L1990">
        <v>19</v>
      </c>
      <c r="M1990">
        <v>4</v>
      </c>
      <c r="N1990" t="b">
        <v>0</v>
      </c>
      <c r="O1990" t="s">
        <v>359</v>
      </c>
      <c r="T1990" t="b">
        <v>0</v>
      </c>
      <c r="V1990" t="b">
        <v>0</v>
      </c>
      <c r="W1990" t="b">
        <v>1</v>
      </c>
    </row>
    <row r="1991" spans="4:23" x14ac:dyDescent="0.25">
      <c r="D1991" s="80" t="s">
        <v>136</v>
      </c>
      <c r="E1991">
        <v>33</v>
      </c>
      <c r="G1991" t="b">
        <v>1</v>
      </c>
      <c r="H1991" t="b">
        <v>0</v>
      </c>
      <c r="I1991" t="b">
        <v>0</v>
      </c>
      <c r="J1991" t="s">
        <v>270</v>
      </c>
      <c r="L1991">
        <v>19</v>
      </c>
      <c r="M1991">
        <v>4</v>
      </c>
      <c r="N1991" t="b">
        <v>0</v>
      </c>
      <c r="O1991" t="s">
        <v>362</v>
      </c>
      <c r="T1991" t="b">
        <v>0</v>
      </c>
      <c r="V1991" t="b">
        <v>0</v>
      </c>
      <c r="W1991" t="b">
        <v>1</v>
      </c>
    </row>
    <row r="1992" spans="4:23" x14ac:dyDescent="0.25">
      <c r="D1992" s="80" t="s">
        <v>139</v>
      </c>
      <c r="E1992">
        <v>34</v>
      </c>
      <c r="G1992" t="b">
        <v>1</v>
      </c>
      <c r="H1992" t="b">
        <v>0</v>
      </c>
      <c r="I1992" t="b">
        <v>0</v>
      </c>
      <c r="J1992" t="s">
        <v>270</v>
      </c>
      <c r="L1992">
        <v>19</v>
      </c>
      <c r="M1992">
        <v>4</v>
      </c>
      <c r="N1992" t="b">
        <v>0</v>
      </c>
      <c r="O1992" t="s">
        <v>365</v>
      </c>
      <c r="T1992" t="b">
        <v>0</v>
      </c>
      <c r="V1992" t="b">
        <v>0</v>
      </c>
      <c r="W1992" t="b">
        <v>1</v>
      </c>
    </row>
    <row r="1993" spans="4:23" x14ac:dyDescent="0.25">
      <c r="D1993" s="80" t="s">
        <v>142</v>
      </c>
      <c r="E1993">
        <v>35</v>
      </c>
      <c r="G1993" t="b">
        <v>1</v>
      </c>
      <c r="H1993" t="b">
        <v>0</v>
      </c>
      <c r="I1993" t="b">
        <v>0</v>
      </c>
      <c r="J1993" t="s">
        <v>270</v>
      </c>
      <c r="L1993">
        <v>19</v>
      </c>
      <c r="M1993">
        <v>4</v>
      </c>
      <c r="N1993" t="b">
        <v>0</v>
      </c>
      <c r="O1993" t="s">
        <v>368</v>
      </c>
      <c r="T1993" t="b">
        <v>0</v>
      </c>
      <c r="V1993" t="b">
        <v>0</v>
      </c>
      <c r="W1993" t="b">
        <v>1</v>
      </c>
    </row>
    <row r="1994" spans="4:23" x14ac:dyDescent="0.25">
      <c r="D1994" s="80" t="s">
        <v>145</v>
      </c>
      <c r="E1994">
        <v>36</v>
      </c>
      <c r="G1994" t="b">
        <v>1</v>
      </c>
      <c r="H1994" t="b">
        <v>0</v>
      </c>
      <c r="I1994" t="b">
        <v>0</v>
      </c>
      <c r="J1994" t="s">
        <v>270</v>
      </c>
      <c r="L1994">
        <v>19</v>
      </c>
      <c r="M1994">
        <v>4</v>
      </c>
      <c r="N1994" t="b">
        <v>0</v>
      </c>
      <c r="O1994" t="s">
        <v>371</v>
      </c>
      <c r="T1994" t="b">
        <v>0</v>
      </c>
      <c r="V1994" t="b">
        <v>0</v>
      </c>
      <c r="W1994" t="b">
        <v>1</v>
      </c>
    </row>
    <row r="1995" spans="4:23" x14ac:dyDescent="0.25">
      <c r="D1995" s="80" t="s">
        <v>148</v>
      </c>
      <c r="E1995">
        <v>37</v>
      </c>
      <c r="G1995" t="b">
        <v>1</v>
      </c>
      <c r="H1995" t="b">
        <v>0</v>
      </c>
      <c r="I1995" t="b">
        <v>0</v>
      </c>
      <c r="J1995" t="s">
        <v>270</v>
      </c>
      <c r="L1995">
        <v>19</v>
      </c>
      <c r="M1995">
        <v>4</v>
      </c>
      <c r="N1995" t="b">
        <v>0</v>
      </c>
      <c r="O1995" t="s">
        <v>374</v>
      </c>
      <c r="T1995" t="b">
        <v>0</v>
      </c>
      <c r="V1995" t="b">
        <v>0</v>
      </c>
      <c r="W1995" t="b">
        <v>1</v>
      </c>
    </row>
    <row r="1996" spans="4:23" x14ac:dyDescent="0.25">
      <c r="D1996" s="80" t="s">
        <v>117</v>
      </c>
      <c r="E1996">
        <v>38</v>
      </c>
      <c r="G1996" t="b">
        <v>1</v>
      </c>
      <c r="H1996" t="b">
        <v>0</v>
      </c>
      <c r="I1996" t="b">
        <v>0</v>
      </c>
      <c r="J1996" t="s">
        <v>270</v>
      </c>
      <c r="L1996">
        <v>19</v>
      </c>
      <c r="M1996">
        <v>4</v>
      </c>
      <c r="N1996" t="b">
        <v>0</v>
      </c>
      <c r="O1996" t="s">
        <v>343</v>
      </c>
      <c r="T1996" t="b">
        <v>1</v>
      </c>
      <c r="V1996" t="b">
        <v>0</v>
      </c>
      <c r="W1996" t="b">
        <v>1</v>
      </c>
    </row>
    <row r="1997" spans="4:23" x14ac:dyDescent="0.25">
      <c r="D1997" s="80" t="s">
        <v>120</v>
      </c>
      <c r="E1997">
        <v>39</v>
      </c>
      <c r="G1997" t="b">
        <v>1</v>
      </c>
      <c r="H1997" t="b">
        <v>0</v>
      </c>
      <c r="I1997" t="b">
        <v>0</v>
      </c>
      <c r="J1997" t="s">
        <v>270</v>
      </c>
      <c r="L1997">
        <v>19</v>
      </c>
      <c r="M1997">
        <v>4</v>
      </c>
      <c r="N1997" t="b">
        <v>0</v>
      </c>
      <c r="O1997" t="s">
        <v>346</v>
      </c>
      <c r="T1997" t="b">
        <v>1</v>
      </c>
      <c r="V1997" t="b">
        <v>0</v>
      </c>
      <c r="W1997" t="b">
        <v>1</v>
      </c>
    </row>
    <row r="1998" spans="4:23" x14ac:dyDescent="0.25">
      <c r="D1998" s="80" t="s">
        <v>123</v>
      </c>
      <c r="E1998">
        <v>40</v>
      </c>
      <c r="G1998" t="b">
        <v>1</v>
      </c>
      <c r="H1998" t="b">
        <v>0</v>
      </c>
      <c r="I1998" t="b">
        <v>0</v>
      </c>
      <c r="J1998" t="s">
        <v>270</v>
      </c>
      <c r="L1998">
        <v>19</v>
      </c>
      <c r="M1998">
        <v>4</v>
      </c>
      <c r="N1998" t="b">
        <v>0</v>
      </c>
      <c r="O1998" t="s">
        <v>349</v>
      </c>
      <c r="T1998" t="b">
        <v>1</v>
      </c>
      <c r="V1998" t="b">
        <v>0</v>
      </c>
      <c r="W1998" t="b">
        <v>1</v>
      </c>
    </row>
    <row r="1999" spans="4:23" x14ac:dyDescent="0.25">
      <c r="D1999" s="80" t="s">
        <v>126</v>
      </c>
      <c r="E1999">
        <v>41</v>
      </c>
      <c r="G1999" t="b">
        <v>1</v>
      </c>
      <c r="H1999" t="b">
        <v>0</v>
      </c>
      <c r="I1999" t="b">
        <v>0</v>
      </c>
      <c r="J1999" t="s">
        <v>270</v>
      </c>
      <c r="L1999">
        <v>19</v>
      </c>
      <c r="M1999">
        <v>4</v>
      </c>
      <c r="N1999" t="b">
        <v>0</v>
      </c>
      <c r="O1999" t="s">
        <v>352</v>
      </c>
      <c r="T1999" t="b">
        <v>1</v>
      </c>
      <c r="V1999" t="b">
        <v>0</v>
      </c>
      <c r="W1999" t="b">
        <v>1</v>
      </c>
    </row>
    <row r="2000" spans="4:23" x14ac:dyDescent="0.25">
      <c r="D2000" s="80" t="s">
        <v>129</v>
      </c>
      <c r="E2000">
        <v>42</v>
      </c>
      <c r="G2000" t="b">
        <v>1</v>
      </c>
      <c r="H2000" t="b">
        <v>0</v>
      </c>
      <c r="I2000" t="b">
        <v>0</v>
      </c>
      <c r="J2000" t="s">
        <v>270</v>
      </c>
      <c r="L2000">
        <v>19</v>
      </c>
      <c r="M2000">
        <v>4</v>
      </c>
      <c r="N2000" t="b">
        <v>0</v>
      </c>
      <c r="O2000" t="s">
        <v>355</v>
      </c>
      <c r="T2000" t="b">
        <v>1</v>
      </c>
      <c r="V2000" t="b">
        <v>0</v>
      </c>
      <c r="W2000" t="b">
        <v>1</v>
      </c>
    </row>
    <row r="2001" spans="1:23" x14ac:dyDescent="0.25">
      <c r="D2001" s="80" t="s">
        <v>132</v>
      </c>
      <c r="E2001">
        <v>43</v>
      </c>
      <c r="G2001" t="b">
        <v>1</v>
      </c>
      <c r="H2001" t="b">
        <v>0</v>
      </c>
      <c r="I2001" t="b">
        <v>0</v>
      </c>
      <c r="J2001" t="s">
        <v>270</v>
      </c>
      <c r="L2001">
        <v>19</v>
      </c>
      <c r="M2001">
        <v>4</v>
      </c>
      <c r="N2001" t="b">
        <v>0</v>
      </c>
      <c r="O2001" t="s">
        <v>358</v>
      </c>
      <c r="T2001" t="b">
        <v>1</v>
      </c>
      <c r="V2001" t="b">
        <v>0</v>
      </c>
      <c r="W2001" t="b">
        <v>1</v>
      </c>
    </row>
    <row r="2002" spans="1:23" x14ac:dyDescent="0.25">
      <c r="D2002" s="80" t="s">
        <v>135</v>
      </c>
      <c r="E2002">
        <v>44</v>
      </c>
      <c r="G2002" t="b">
        <v>1</v>
      </c>
      <c r="H2002" t="b">
        <v>0</v>
      </c>
      <c r="I2002" t="b">
        <v>0</v>
      </c>
      <c r="J2002" t="s">
        <v>270</v>
      </c>
      <c r="L2002">
        <v>19</v>
      </c>
      <c r="M2002">
        <v>4</v>
      </c>
      <c r="N2002" t="b">
        <v>0</v>
      </c>
      <c r="O2002" t="s">
        <v>361</v>
      </c>
      <c r="T2002" t="b">
        <v>1</v>
      </c>
      <c r="V2002" t="b">
        <v>0</v>
      </c>
      <c r="W2002" t="b">
        <v>1</v>
      </c>
    </row>
    <row r="2003" spans="1:23" x14ac:dyDescent="0.25">
      <c r="D2003" s="80" t="s">
        <v>138</v>
      </c>
      <c r="E2003">
        <v>45</v>
      </c>
      <c r="G2003" t="b">
        <v>1</v>
      </c>
      <c r="H2003" t="b">
        <v>0</v>
      </c>
      <c r="I2003" t="b">
        <v>0</v>
      </c>
      <c r="J2003" t="s">
        <v>270</v>
      </c>
      <c r="L2003">
        <v>19</v>
      </c>
      <c r="M2003">
        <v>4</v>
      </c>
      <c r="N2003" t="b">
        <v>0</v>
      </c>
      <c r="O2003" t="s">
        <v>364</v>
      </c>
      <c r="T2003" t="b">
        <v>1</v>
      </c>
      <c r="V2003" t="b">
        <v>0</v>
      </c>
      <c r="W2003" t="b">
        <v>1</v>
      </c>
    </row>
    <row r="2004" spans="1:23" x14ac:dyDescent="0.25">
      <c r="D2004" s="80" t="s">
        <v>141</v>
      </c>
      <c r="E2004">
        <v>46</v>
      </c>
      <c r="G2004" t="b">
        <v>1</v>
      </c>
      <c r="H2004" t="b">
        <v>0</v>
      </c>
      <c r="I2004" t="b">
        <v>0</v>
      </c>
      <c r="J2004" t="s">
        <v>270</v>
      </c>
      <c r="L2004">
        <v>19</v>
      </c>
      <c r="M2004">
        <v>4</v>
      </c>
      <c r="N2004" t="b">
        <v>0</v>
      </c>
      <c r="O2004" t="s">
        <v>367</v>
      </c>
      <c r="T2004" t="b">
        <v>1</v>
      </c>
      <c r="V2004" t="b">
        <v>0</v>
      </c>
      <c r="W2004" t="b">
        <v>1</v>
      </c>
    </row>
    <row r="2005" spans="1:23" x14ac:dyDescent="0.25">
      <c r="D2005" s="80" t="s">
        <v>144</v>
      </c>
      <c r="E2005">
        <v>47</v>
      </c>
      <c r="G2005" t="b">
        <v>1</v>
      </c>
      <c r="H2005" t="b">
        <v>0</v>
      </c>
      <c r="I2005" t="b">
        <v>0</v>
      </c>
      <c r="J2005" t="s">
        <v>270</v>
      </c>
      <c r="L2005">
        <v>19</v>
      </c>
      <c r="M2005">
        <v>4</v>
      </c>
      <c r="N2005" t="b">
        <v>0</v>
      </c>
      <c r="O2005" t="s">
        <v>370</v>
      </c>
      <c r="T2005" t="b">
        <v>1</v>
      </c>
      <c r="V2005" t="b">
        <v>0</v>
      </c>
      <c r="W2005" t="b">
        <v>1</v>
      </c>
    </row>
    <row r="2006" spans="1:23" x14ac:dyDescent="0.25">
      <c r="D2006" s="80" t="s">
        <v>147</v>
      </c>
      <c r="E2006">
        <v>48</v>
      </c>
      <c r="G2006" t="b">
        <v>1</v>
      </c>
      <c r="H2006" t="b">
        <v>0</v>
      </c>
      <c r="I2006" t="b">
        <v>0</v>
      </c>
      <c r="J2006" t="s">
        <v>270</v>
      </c>
      <c r="L2006">
        <v>19</v>
      </c>
      <c r="M2006">
        <v>4</v>
      </c>
      <c r="N2006" t="b">
        <v>0</v>
      </c>
      <c r="O2006" t="s">
        <v>373</v>
      </c>
      <c r="T2006" t="b">
        <v>1</v>
      </c>
      <c r="V2006" t="b">
        <v>0</v>
      </c>
      <c r="W2006" t="b">
        <v>1</v>
      </c>
    </row>
    <row r="2007" spans="1:23" x14ac:dyDescent="0.25">
      <c r="D2007" s="80" t="s">
        <v>150</v>
      </c>
      <c r="E2007">
        <v>49</v>
      </c>
      <c r="G2007" t="b">
        <v>1</v>
      </c>
      <c r="H2007" t="b">
        <v>0</v>
      </c>
      <c r="I2007" t="b">
        <v>0</v>
      </c>
      <c r="J2007" t="s">
        <v>270</v>
      </c>
      <c r="L2007">
        <v>19</v>
      </c>
      <c r="M2007">
        <v>4</v>
      </c>
      <c r="N2007" t="b">
        <v>0</v>
      </c>
      <c r="O2007" t="s">
        <v>376</v>
      </c>
      <c r="T2007" t="b">
        <v>1</v>
      </c>
      <c r="V2007" t="b">
        <v>0</v>
      </c>
      <c r="W2007" t="b">
        <v>1</v>
      </c>
    </row>
    <row r="2008" spans="1:23" x14ac:dyDescent="0.25">
      <c r="D2008" s="80" t="s">
        <v>151</v>
      </c>
      <c r="E2008">
        <v>50</v>
      </c>
      <c r="G2008" t="b">
        <v>1</v>
      </c>
      <c r="H2008" t="b">
        <v>0</v>
      </c>
      <c r="I2008" t="b">
        <v>0</v>
      </c>
      <c r="J2008" t="s">
        <v>269</v>
      </c>
      <c r="K2008">
        <v>-1</v>
      </c>
      <c r="N2008" t="b">
        <v>0</v>
      </c>
      <c r="O2008" t="s">
        <v>26</v>
      </c>
      <c r="T2008" t="b">
        <v>0</v>
      </c>
      <c r="V2008" t="b">
        <v>0</v>
      </c>
      <c r="W2008" t="b">
        <v>1</v>
      </c>
    </row>
    <row r="2009" spans="1:23" x14ac:dyDescent="0.25">
      <c r="D2009" s="80" t="s">
        <v>545</v>
      </c>
      <c r="E2009">
        <v>51</v>
      </c>
      <c r="G2009" t="b">
        <v>1</v>
      </c>
      <c r="H2009" t="b">
        <v>0</v>
      </c>
      <c r="I2009" t="b">
        <v>0</v>
      </c>
      <c r="J2009" t="s">
        <v>269</v>
      </c>
      <c r="K2009">
        <v>-1</v>
      </c>
      <c r="N2009" t="b">
        <v>0</v>
      </c>
      <c r="O2009" t="s">
        <v>547</v>
      </c>
      <c r="T2009" t="b">
        <v>0</v>
      </c>
      <c r="V2009" t="b">
        <v>0</v>
      </c>
      <c r="W2009" t="b">
        <v>1</v>
      </c>
    </row>
    <row r="2010" spans="1:23" x14ac:dyDescent="0.25">
      <c r="D2010" s="80" t="s">
        <v>152</v>
      </c>
      <c r="E2010">
        <v>52</v>
      </c>
      <c r="G2010" t="b">
        <v>1</v>
      </c>
      <c r="H2010" t="b">
        <v>0</v>
      </c>
      <c r="I2010" t="b">
        <v>0</v>
      </c>
      <c r="N2010" t="b">
        <v>0</v>
      </c>
      <c r="O2010" t="s">
        <v>27</v>
      </c>
      <c r="T2010" t="b">
        <v>0</v>
      </c>
      <c r="V2010" t="b">
        <v>0</v>
      </c>
      <c r="W2010" t="b">
        <v>1</v>
      </c>
    </row>
    <row r="2011" spans="1:23" x14ac:dyDescent="0.25">
      <c r="D2011" s="80" t="s">
        <v>153</v>
      </c>
      <c r="E2011">
        <v>53</v>
      </c>
      <c r="G2011" t="b">
        <v>1</v>
      </c>
      <c r="H2011" t="b">
        <v>0</v>
      </c>
      <c r="I2011" t="b">
        <v>0</v>
      </c>
      <c r="N2011" t="b">
        <v>0</v>
      </c>
      <c r="O2011" t="s">
        <v>28</v>
      </c>
      <c r="T2011" t="b">
        <v>0</v>
      </c>
      <c r="V2011" t="b">
        <v>0</v>
      </c>
      <c r="W2011" t="b">
        <v>1</v>
      </c>
    </row>
    <row r="2012" spans="1:23" x14ac:dyDescent="0.25">
      <c r="A2012" t="s">
        <v>487</v>
      </c>
    </row>
    <row r="2013" spans="1:23" x14ac:dyDescent="0.25">
      <c r="A2013" t="s">
        <v>492</v>
      </c>
    </row>
    <row r="2014" spans="1:23" x14ac:dyDescent="0.25">
      <c r="D2014" s="80" t="s">
        <v>295</v>
      </c>
      <c r="E2014">
        <v>1</v>
      </c>
      <c r="G2014" t="b">
        <v>1</v>
      </c>
      <c r="H2014" t="b">
        <v>0</v>
      </c>
      <c r="I2014" t="b">
        <v>0</v>
      </c>
      <c r="N2014" t="b">
        <v>0</v>
      </c>
      <c r="O2014" t="s">
        <v>167</v>
      </c>
      <c r="T2014" t="b">
        <v>0</v>
      </c>
      <c r="V2014" t="b">
        <v>0</v>
      </c>
      <c r="W2014" t="b">
        <v>1</v>
      </c>
    </row>
    <row r="2015" spans="1:23" x14ac:dyDescent="0.25">
      <c r="D2015" s="80" t="s">
        <v>296</v>
      </c>
      <c r="E2015">
        <v>2</v>
      </c>
      <c r="G2015" t="b">
        <v>1</v>
      </c>
      <c r="H2015" t="b">
        <v>0</v>
      </c>
      <c r="I2015" t="b">
        <v>0</v>
      </c>
      <c r="N2015" t="b">
        <v>0</v>
      </c>
      <c r="O2015" t="s">
        <v>664</v>
      </c>
      <c r="T2015" t="b">
        <v>0</v>
      </c>
      <c r="V2015" t="b">
        <v>0</v>
      </c>
      <c r="W2015" t="b">
        <v>1</v>
      </c>
    </row>
    <row r="2016" spans="1:23" x14ac:dyDescent="0.25">
      <c r="A2016" t="s">
        <v>493</v>
      </c>
    </row>
    <row r="2017" spans="1:23" x14ac:dyDescent="0.25">
      <c r="A2017" t="s">
        <v>496</v>
      </c>
    </row>
    <row r="2018" spans="1:23" x14ac:dyDescent="0.25">
      <c r="D2018" s="80" t="s">
        <v>295</v>
      </c>
      <c r="E2018">
        <v>1</v>
      </c>
      <c r="G2018" t="b">
        <v>1</v>
      </c>
      <c r="H2018" t="b">
        <v>0</v>
      </c>
      <c r="I2018" t="b">
        <v>0</v>
      </c>
      <c r="N2018" t="b">
        <v>0</v>
      </c>
      <c r="O2018" t="s">
        <v>167</v>
      </c>
      <c r="T2018" t="b">
        <v>0</v>
      </c>
      <c r="V2018" t="b">
        <v>0</v>
      </c>
      <c r="W2018" t="b">
        <v>1</v>
      </c>
    </row>
    <row r="2019" spans="1:23" x14ac:dyDescent="0.25">
      <c r="D2019" s="80" t="s">
        <v>296</v>
      </c>
      <c r="E2019">
        <v>2</v>
      </c>
      <c r="G2019" t="b">
        <v>1</v>
      </c>
      <c r="H2019" t="b">
        <v>0</v>
      </c>
      <c r="I2019" t="b">
        <v>0</v>
      </c>
      <c r="N2019" t="b">
        <v>0</v>
      </c>
      <c r="O2019" t="s">
        <v>664</v>
      </c>
      <c r="T2019" t="b">
        <v>0</v>
      </c>
      <c r="V2019" t="b">
        <v>0</v>
      </c>
      <c r="W2019" t="b">
        <v>1</v>
      </c>
    </row>
    <row r="2020" spans="1:23" x14ac:dyDescent="0.25">
      <c r="A2020" t="s">
        <v>497</v>
      </c>
    </row>
    <row r="2021" spans="1:23" x14ac:dyDescent="0.25">
      <c r="A2021" t="s">
        <v>500</v>
      </c>
    </row>
    <row r="2022" spans="1:23" x14ac:dyDescent="0.25">
      <c r="D2022" s="80" t="s">
        <v>295</v>
      </c>
      <c r="E2022">
        <v>1</v>
      </c>
      <c r="G2022" t="b">
        <v>1</v>
      </c>
      <c r="H2022" t="b">
        <v>0</v>
      </c>
      <c r="I2022" t="b">
        <v>0</v>
      </c>
      <c r="N2022" t="b">
        <v>0</v>
      </c>
      <c r="O2022" t="s">
        <v>167</v>
      </c>
      <c r="T2022" t="b">
        <v>0</v>
      </c>
      <c r="V2022" t="b">
        <v>0</v>
      </c>
      <c r="W2022" t="b">
        <v>1</v>
      </c>
    </row>
    <row r="2023" spans="1:23" x14ac:dyDescent="0.25">
      <c r="D2023" s="80" t="s">
        <v>296</v>
      </c>
      <c r="E2023">
        <v>2</v>
      </c>
      <c r="G2023" t="b">
        <v>1</v>
      </c>
      <c r="H2023" t="b">
        <v>0</v>
      </c>
      <c r="I2023" t="b">
        <v>0</v>
      </c>
      <c r="N2023" t="b">
        <v>0</v>
      </c>
      <c r="O2023" t="s">
        <v>664</v>
      </c>
      <c r="T2023" t="b">
        <v>0</v>
      </c>
      <c r="V2023" t="b">
        <v>0</v>
      </c>
      <c r="W2023" t="b">
        <v>1</v>
      </c>
    </row>
    <row r="2024" spans="1:23" x14ac:dyDescent="0.25">
      <c r="A2024" t="s">
        <v>501</v>
      </c>
    </row>
    <row r="2025" spans="1:23" x14ac:dyDescent="0.25">
      <c r="A2025" t="s">
        <v>504</v>
      </c>
    </row>
    <row r="2026" spans="1:23" x14ac:dyDescent="0.25">
      <c r="D2026" s="80" t="s">
        <v>295</v>
      </c>
      <c r="E2026">
        <v>1</v>
      </c>
      <c r="G2026" t="b">
        <v>1</v>
      </c>
      <c r="H2026" t="b">
        <v>0</v>
      </c>
      <c r="I2026" t="b">
        <v>0</v>
      </c>
      <c r="N2026" t="b">
        <v>0</v>
      </c>
      <c r="O2026" t="s">
        <v>167</v>
      </c>
      <c r="T2026" t="b">
        <v>0</v>
      </c>
      <c r="V2026" t="b">
        <v>0</v>
      </c>
      <c r="W2026" t="b">
        <v>1</v>
      </c>
    </row>
    <row r="2027" spans="1:23" x14ac:dyDescent="0.25">
      <c r="D2027" s="80" t="s">
        <v>296</v>
      </c>
      <c r="E2027">
        <v>2</v>
      </c>
      <c r="G2027" t="b">
        <v>1</v>
      </c>
      <c r="H2027" t="b">
        <v>0</v>
      </c>
      <c r="I2027" t="b">
        <v>0</v>
      </c>
      <c r="N2027" t="b">
        <v>0</v>
      </c>
      <c r="O2027" t="s">
        <v>664</v>
      </c>
      <c r="T2027" t="b">
        <v>0</v>
      </c>
      <c r="V2027" t="b">
        <v>0</v>
      </c>
      <c r="W2027" t="b">
        <v>1</v>
      </c>
    </row>
    <row r="2028" spans="1:23" x14ac:dyDescent="0.25">
      <c r="A2028" t="s">
        <v>505</v>
      </c>
    </row>
    <row r="2029" spans="1:23" x14ac:dyDescent="0.25">
      <c r="A2029" t="s">
        <v>508</v>
      </c>
    </row>
    <row r="2030" spans="1:23" x14ac:dyDescent="0.25">
      <c r="D2030" s="80" t="s">
        <v>295</v>
      </c>
      <c r="E2030">
        <v>1</v>
      </c>
      <c r="G2030" t="b">
        <v>1</v>
      </c>
      <c r="H2030" t="b">
        <v>0</v>
      </c>
      <c r="I2030" t="b">
        <v>0</v>
      </c>
      <c r="N2030" t="b">
        <v>0</v>
      </c>
      <c r="O2030" t="s">
        <v>167</v>
      </c>
      <c r="T2030" t="b">
        <v>0</v>
      </c>
      <c r="V2030" t="b">
        <v>0</v>
      </c>
      <c r="W2030" t="b">
        <v>1</v>
      </c>
    </row>
    <row r="2031" spans="1:23" x14ac:dyDescent="0.25">
      <c r="D2031" s="80" t="s">
        <v>302</v>
      </c>
      <c r="E2031">
        <v>2</v>
      </c>
      <c r="G2031" t="b">
        <v>1</v>
      </c>
      <c r="H2031" t="b">
        <v>0</v>
      </c>
      <c r="I2031" t="b">
        <v>0</v>
      </c>
      <c r="N2031" t="b">
        <v>0</v>
      </c>
      <c r="O2031" t="s">
        <v>665</v>
      </c>
      <c r="T2031" t="b">
        <v>0</v>
      </c>
      <c r="V2031" t="b">
        <v>0</v>
      </c>
      <c r="W2031" t="b">
        <v>1</v>
      </c>
    </row>
    <row r="2032" spans="1:23" x14ac:dyDescent="0.25">
      <c r="A2032" t="s">
        <v>509</v>
      </c>
    </row>
    <row r="2033" spans="1:23" x14ac:dyDescent="0.25">
      <c r="A2033" t="s">
        <v>512</v>
      </c>
    </row>
    <row r="2034" spans="1:23" x14ac:dyDescent="0.25">
      <c r="D2034" s="80" t="s">
        <v>295</v>
      </c>
      <c r="E2034">
        <v>1</v>
      </c>
      <c r="G2034" t="b">
        <v>1</v>
      </c>
      <c r="H2034" t="b">
        <v>0</v>
      </c>
      <c r="I2034" t="b">
        <v>0</v>
      </c>
      <c r="N2034" t="b">
        <v>0</v>
      </c>
      <c r="O2034" t="s">
        <v>167</v>
      </c>
      <c r="T2034" t="b">
        <v>0</v>
      </c>
      <c r="V2034" t="b">
        <v>0</v>
      </c>
      <c r="W2034" t="b">
        <v>1</v>
      </c>
    </row>
    <row r="2035" spans="1:23" x14ac:dyDescent="0.25">
      <c r="D2035" s="80" t="s">
        <v>296</v>
      </c>
      <c r="E2035">
        <v>2</v>
      </c>
      <c r="G2035" t="b">
        <v>1</v>
      </c>
      <c r="H2035" t="b">
        <v>0</v>
      </c>
      <c r="I2035" t="b">
        <v>0</v>
      </c>
      <c r="N2035" t="b">
        <v>0</v>
      </c>
      <c r="O2035" t="s">
        <v>664</v>
      </c>
      <c r="T2035" t="b">
        <v>0</v>
      </c>
      <c r="V2035" t="b">
        <v>0</v>
      </c>
      <c r="W2035" t="b">
        <v>1</v>
      </c>
    </row>
    <row r="2036" spans="1:23" x14ac:dyDescent="0.25">
      <c r="A2036" t="s">
        <v>513</v>
      </c>
    </row>
  </sheetData>
  <dataValidations count="1">
    <dataValidation allowBlank="1" showInputMessage="1" showErrorMessage="1" sqref="A1" xr:uid="{5EC24BC9-94A1-43C0-B393-DE240B2925F5}"/>
  </dataValidations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5C242-114E-4113-9166-A6762C52A05B}">
  <sheetPr codeName="Sheet6"/>
  <dimension ref="A1:AY59"/>
  <sheetViews>
    <sheetView workbookViewId="0">
      <pane ySplit="1" topLeftCell="A2" activePane="bottomLeft" state="frozenSplit"/>
      <selection pane="bottomLeft" activeCell="A33" sqref="A33:Q58"/>
    </sheetView>
  </sheetViews>
  <sheetFormatPr defaultRowHeight="15" x14ac:dyDescent="0.25"/>
  <cols>
    <col min="1" max="1" width="2.85546875" bestFit="1" customWidth="1"/>
  </cols>
  <sheetData>
    <row r="1" spans="1:51" x14ac:dyDescent="0.25">
      <c r="A1" s="66" t="s">
        <v>167</v>
      </c>
    </row>
    <row r="2" spans="1:51" x14ac:dyDescent="0.25">
      <c r="A2" t="s">
        <v>293</v>
      </c>
      <c r="D2" s="95"/>
      <c r="AX2" s="95"/>
      <c r="AY2" s="95"/>
    </row>
    <row r="3" spans="1:51" x14ac:dyDescent="0.25">
      <c r="A3" t="s">
        <v>101</v>
      </c>
      <c r="B3" t="s">
        <v>102</v>
      </c>
      <c r="C3" t="s">
        <v>103</v>
      </c>
      <c r="D3" s="95" t="s">
        <v>104</v>
      </c>
      <c r="E3" t="s">
        <v>105</v>
      </c>
      <c r="F3" t="s">
        <v>107</v>
      </c>
      <c r="G3" t="s">
        <v>108</v>
      </c>
      <c r="H3" t="s">
        <v>109</v>
      </c>
      <c r="I3" t="s">
        <v>110</v>
      </c>
      <c r="J3" t="s">
        <v>111</v>
      </c>
      <c r="K3" t="s">
        <v>112</v>
      </c>
      <c r="L3" t="s">
        <v>113</v>
      </c>
      <c r="M3" t="s">
        <v>114</v>
      </c>
      <c r="N3" t="s">
        <v>115</v>
      </c>
      <c r="O3" t="s">
        <v>116</v>
      </c>
      <c r="P3" t="s">
        <v>117</v>
      </c>
      <c r="Q3" t="s">
        <v>118</v>
      </c>
      <c r="R3" t="s">
        <v>119</v>
      </c>
      <c r="S3" t="s">
        <v>120</v>
      </c>
      <c r="T3" t="s">
        <v>121</v>
      </c>
      <c r="U3" t="s">
        <v>122</v>
      </c>
      <c r="V3" t="s">
        <v>123</v>
      </c>
      <c r="W3" t="s">
        <v>124</v>
      </c>
      <c r="X3" t="s">
        <v>125</v>
      </c>
      <c r="Y3" t="s">
        <v>126</v>
      </c>
      <c r="Z3" t="s">
        <v>127</v>
      </c>
      <c r="AA3" t="s">
        <v>128</v>
      </c>
      <c r="AB3" t="s">
        <v>129</v>
      </c>
      <c r="AC3" t="s">
        <v>130</v>
      </c>
      <c r="AD3" t="s">
        <v>131</v>
      </c>
      <c r="AE3" t="s">
        <v>132</v>
      </c>
      <c r="AF3" t="s">
        <v>133</v>
      </c>
      <c r="AG3" t="s">
        <v>134</v>
      </c>
      <c r="AH3" t="s">
        <v>135</v>
      </c>
      <c r="AI3" t="s">
        <v>136</v>
      </c>
      <c r="AJ3" t="s">
        <v>137</v>
      </c>
      <c r="AK3" t="s">
        <v>138</v>
      </c>
      <c r="AL3" t="s">
        <v>139</v>
      </c>
      <c r="AM3" t="s">
        <v>140</v>
      </c>
      <c r="AN3" t="s">
        <v>141</v>
      </c>
      <c r="AO3" t="s">
        <v>142</v>
      </c>
      <c r="AP3" t="s">
        <v>143</v>
      </c>
      <c r="AQ3" t="s">
        <v>144</v>
      </c>
      <c r="AR3" t="s">
        <v>145</v>
      </c>
      <c r="AS3" t="s">
        <v>146</v>
      </c>
      <c r="AT3" t="s">
        <v>147</v>
      </c>
      <c r="AU3" t="s">
        <v>148</v>
      </c>
      <c r="AV3" t="s">
        <v>149</v>
      </c>
      <c r="AW3" t="s">
        <v>150</v>
      </c>
      <c r="AX3" s="95" t="s">
        <v>151</v>
      </c>
      <c r="AY3" s="95" t="s">
        <v>545</v>
      </c>
    </row>
    <row r="4" spans="1:51" x14ac:dyDescent="0.25">
      <c r="A4">
        <v>0</v>
      </c>
      <c r="B4">
        <v>1</v>
      </c>
      <c r="D4" s="95"/>
      <c r="K4">
        <v>0</v>
      </c>
      <c r="L4">
        <v>0</v>
      </c>
      <c r="P4">
        <v>0</v>
      </c>
      <c r="S4">
        <v>0</v>
      </c>
      <c r="V4">
        <v>0</v>
      </c>
      <c r="Y4">
        <v>0</v>
      </c>
      <c r="AB4">
        <v>0</v>
      </c>
      <c r="AE4">
        <v>0</v>
      </c>
      <c r="AH4">
        <v>0</v>
      </c>
      <c r="AK4">
        <v>0</v>
      </c>
      <c r="AN4">
        <v>0</v>
      </c>
      <c r="AQ4">
        <v>0</v>
      </c>
      <c r="AT4">
        <v>0</v>
      </c>
      <c r="AW4">
        <v>0</v>
      </c>
      <c r="AX4" s="95"/>
      <c r="AY4" s="95"/>
    </row>
    <row r="5" spans="1:51" x14ac:dyDescent="0.25">
      <c r="A5">
        <v>1</v>
      </c>
      <c r="B5">
        <v>2</v>
      </c>
      <c r="D5" s="95" t="s">
        <v>426</v>
      </c>
      <c r="E5">
        <v>64</v>
      </c>
      <c r="F5">
        <v>96</v>
      </c>
      <c r="H5">
        <v>80</v>
      </c>
      <c r="J5">
        <v>1</v>
      </c>
      <c r="K5">
        <v>1440000000</v>
      </c>
      <c r="L5">
        <v>0</v>
      </c>
      <c r="M5">
        <v>4800000000</v>
      </c>
      <c r="N5">
        <v>120000000</v>
      </c>
      <c r="P5">
        <v>4680000000</v>
      </c>
      <c r="Q5">
        <v>120000000</v>
      </c>
      <c r="S5">
        <v>4560000000</v>
      </c>
      <c r="T5">
        <v>120000000</v>
      </c>
      <c r="V5">
        <v>4440000000</v>
      </c>
      <c r="W5">
        <v>120000000</v>
      </c>
      <c r="Y5">
        <v>4320000000</v>
      </c>
      <c r="Z5">
        <v>120000000</v>
      </c>
      <c r="AB5">
        <v>4200000000</v>
      </c>
      <c r="AC5">
        <v>120000000</v>
      </c>
      <c r="AE5">
        <v>4080000000</v>
      </c>
      <c r="AF5">
        <v>120000000</v>
      </c>
      <c r="AH5">
        <v>3960000000</v>
      </c>
      <c r="AI5">
        <v>120000000</v>
      </c>
      <c r="AK5">
        <v>3840000000</v>
      </c>
      <c r="AL5">
        <v>120000000</v>
      </c>
      <c r="AN5">
        <v>3720000000</v>
      </c>
      <c r="AO5">
        <v>120000000</v>
      </c>
      <c r="AQ5">
        <v>3600000000</v>
      </c>
      <c r="AR5">
        <v>120000000</v>
      </c>
      <c r="AT5">
        <v>3480000000</v>
      </c>
      <c r="AU5">
        <v>120000000</v>
      </c>
      <c r="AW5">
        <v>3360000000</v>
      </c>
      <c r="AX5" s="95" t="s">
        <v>428</v>
      </c>
      <c r="AY5" s="95"/>
    </row>
    <row r="6" spans="1:51" x14ac:dyDescent="0.25">
      <c r="A6">
        <v>2</v>
      </c>
      <c r="B6">
        <v>3</v>
      </c>
      <c r="D6" s="95" t="s">
        <v>429</v>
      </c>
      <c r="E6">
        <v>67</v>
      </c>
      <c r="F6">
        <v>96</v>
      </c>
      <c r="H6">
        <v>80</v>
      </c>
      <c r="J6">
        <v>1</v>
      </c>
      <c r="K6">
        <v>391500000</v>
      </c>
      <c r="L6">
        <v>382500000</v>
      </c>
      <c r="M6">
        <v>36750000</v>
      </c>
      <c r="N6">
        <v>36750000</v>
      </c>
      <c r="O6">
        <v>36000000</v>
      </c>
      <c r="P6">
        <v>36000000</v>
      </c>
      <c r="Q6">
        <v>36000000</v>
      </c>
      <c r="R6">
        <v>35250000</v>
      </c>
      <c r="S6">
        <v>35250000</v>
      </c>
      <c r="T6">
        <v>35250000</v>
      </c>
      <c r="U6">
        <v>34500000</v>
      </c>
      <c r="V6">
        <v>34500000</v>
      </c>
      <c r="W6">
        <v>34500000</v>
      </c>
      <c r="X6">
        <v>33750000</v>
      </c>
      <c r="Y6">
        <v>33750000</v>
      </c>
      <c r="Z6">
        <v>33750000</v>
      </c>
      <c r="AA6">
        <v>33000000</v>
      </c>
      <c r="AB6">
        <v>33000000</v>
      </c>
      <c r="AC6">
        <v>33000000</v>
      </c>
      <c r="AD6">
        <v>32250000</v>
      </c>
      <c r="AE6">
        <v>32250000</v>
      </c>
      <c r="AF6">
        <v>32250000</v>
      </c>
      <c r="AG6">
        <v>31500000</v>
      </c>
      <c r="AH6">
        <v>31500000</v>
      </c>
      <c r="AI6">
        <v>31500000</v>
      </c>
      <c r="AJ6">
        <v>30750000</v>
      </c>
      <c r="AK6">
        <v>30750000</v>
      </c>
      <c r="AL6">
        <v>30750000</v>
      </c>
      <c r="AM6">
        <v>30000000</v>
      </c>
      <c r="AN6">
        <v>30000000</v>
      </c>
      <c r="AO6">
        <v>30000000</v>
      </c>
      <c r="AP6">
        <v>29250000</v>
      </c>
      <c r="AQ6">
        <v>29250000</v>
      </c>
      <c r="AR6">
        <v>29250000</v>
      </c>
      <c r="AS6">
        <v>28500000</v>
      </c>
      <c r="AT6">
        <v>28500000</v>
      </c>
      <c r="AU6">
        <v>28500000</v>
      </c>
      <c r="AV6">
        <v>27750000</v>
      </c>
      <c r="AW6">
        <v>27750000</v>
      </c>
      <c r="AX6" s="95" t="s">
        <v>431</v>
      </c>
      <c r="AY6" s="95"/>
    </row>
    <row r="7" spans="1:51" x14ac:dyDescent="0.25">
      <c r="A7">
        <v>3</v>
      </c>
      <c r="B7">
        <v>4</v>
      </c>
      <c r="D7" s="95"/>
      <c r="K7">
        <v>0</v>
      </c>
      <c r="L7">
        <v>0</v>
      </c>
      <c r="P7">
        <v>0</v>
      </c>
      <c r="S7">
        <v>0</v>
      </c>
      <c r="V7">
        <v>0</v>
      </c>
      <c r="Y7">
        <v>0</v>
      </c>
      <c r="AB7">
        <v>0</v>
      </c>
      <c r="AE7">
        <v>0</v>
      </c>
      <c r="AH7">
        <v>0</v>
      </c>
      <c r="AK7">
        <v>0</v>
      </c>
      <c r="AN7">
        <v>0</v>
      </c>
      <c r="AQ7">
        <v>0</v>
      </c>
      <c r="AT7">
        <v>0</v>
      </c>
      <c r="AW7">
        <v>0</v>
      </c>
      <c r="AX7" s="95"/>
      <c r="AY7" s="95"/>
    </row>
    <row r="8" spans="1:51" x14ac:dyDescent="0.25">
      <c r="A8">
        <v>4</v>
      </c>
      <c r="B8">
        <v>5</v>
      </c>
      <c r="D8" s="95" t="s">
        <v>432</v>
      </c>
      <c r="E8">
        <v>27</v>
      </c>
      <c r="H8">
        <v>80</v>
      </c>
      <c r="J8">
        <v>1</v>
      </c>
      <c r="K8">
        <v>0</v>
      </c>
      <c r="L8">
        <v>540000000</v>
      </c>
      <c r="O8">
        <v>45000000</v>
      </c>
      <c r="P8">
        <v>45000000</v>
      </c>
      <c r="R8">
        <v>45000000</v>
      </c>
      <c r="S8">
        <v>90000000</v>
      </c>
      <c r="U8">
        <v>45000000</v>
      </c>
      <c r="V8">
        <v>135000000</v>
      </c>
      <c r="X8">
        <v>45000000</v>
      </c>
      <c r="Y8">
        <v>180000000</v>
      </c>
      <c r="AA8">
        <v>45000000</v>
      </c>
      <c r="AB8">
        <v>225000000</v>
      </c>
      <c r="AD8">
        <v>45000000</v>
      </c>
      <c r="AE8">
        <v>270000000</v>
      </c>
      <c r="AG8">
        <v>45000000</v>
      </c>
      <c r="AH8">
        <v>315000000</v>
      </c>
      <c r="AJ8">
        <v>45000000</v>
      </c>
      <c r="AK8">
        <v>360000000</v>
      </c>
      <c r="AM8">
        <v>45000000</v>
      </c>
      <c r="AN8">
        <v>405000000</v>
      </c>
      <c r="AP8">
        <v>45000000</v>
      </c>
      <c r="AQ8">
        <v>450000000</v>
      </c>
      <c r="AS8">
        <v>45000000</v>
      </c>
      <c r="AT8">
        <v>495000000</v>
      </c>
      <c r="AV8">
        <v>45000000</v>
      </c>
      <c r="AW8">
        <v>540000000</v>
      </c>
      <c r="AX8" s="95" t="s">
        <v>433</v>
      </c>
      <c r="AY8" s="95"/>
    </row>
    <row r="9" spans="1:51" x14ac:dyDescent="0.25">
      <c r="A9">
        <v>5</v>
      </c>
      <c r="B9">
        <v>6</v>
      </c>
      <c r="D9" s="95"/>
      <c r="K9">
        <v>0</v>
      </c>
      <c r="L9">
        <v>0</v>
      </c>
      <c r="P9">
        <v>0</v>
      </c>
      <c r="S9">
        <v>0</v>
      </c>
      <c r="V9">
        <v>0</v>
      </c>
      <c r="Y9">
        <v>0</v>
      </c>
      <c r="AB9">
        <v>0</v>
      </c>
      <c r="AE9">
        <v>0</v>
      </c>
      <c r="AH9">
        <v>0</v>
      </c>
      <c r="AK9">
        <v>0</v>
      </c>
      <c r="AN9">
        <v>0</v>
      </c>
      <c r="AQ9">
        <v>0</v>
      </c>
      <c r="AT9">
        <v>0</v>
      </c>
      <c r="AW9">
        <v>0</v>
      </c>
      <c r="AX9" s="95"/>
      <c r="AY9" s="95"/>
    </row>
    <row r="10" spans="1:51" x14ac:dyDescent="0.25">
      <c r="A10">
        <v>6</v>
      </c>
      <c r="B10">
        <v>7</v>
      </c>
      <c r="D10" s="95" t="s">
        <v>434</v>
      </c>
      <c r="E10">
        <v>53</v>
      </c>
      <c r="F10">
        <v>94</v>
      </c>
      <c r="H10">
        <v>80</v>
      </c>
      <c r="I10">
        <v>2</v>
      </c>
      <c r="J10">
        <v>1</v>
      </c>
      <c r="K10">
        <v>216000000</v>
      </c>
      <c r="L10">
        <v>216000000</v>
      </c>
      <c r="P10">
        <v>0</v>
      </c>
      <c r="S10">
        <v>0</v>
      </c>
      <c r="V10">
        <v>0</v>
      </c>
      <c r="Y10">
        <v>0</v>
      </c>
      <c r="AB10">
        <v>0</v>
      </c>
      <c r="AE10">
        <v>0</v>
      </c>
      <c r="AF10">
        <v>216000000</v>
      </c>
      <c r="AG10">
        <v>108000000</v>
      </c>
      <c r="AH10">
        <v>-108000000</v>
      </c>
      <c r="AJ10">
        <v>108000000</v>
      </c>
      <c r="AK10">
        <v>0</v>
      </c>
      <c r="AN10">
        <v>0</v>
      </c>
      <c r="AQ10">
        <v>0</v>
      </c>
      <c r="AT10">
        <v>0</v>
      </c>
      <c r="AW10">
        <v>0</v>
      </c>
      <c r="AX10" s="95" t="s">
        <v>435</v>
      </c>
      <c r="AY10" s="95"/>
    </row>
    <row r="11" spans="1:51" x14ac:dyDescent="0.25">
      <c r="A11">
        <v>7</v>
      </c>
      <c r="B11">
        <v>8</v>
      </c>
      <c r="D11" s="95" t="s">
        <v>436</v>
      </c>
      <c r="E11">
        <v>27</v>
      </c>
      <c r="H11">
        <v>80</v>
      </c>
      <c r="J11">
        <v>1</v>
      </c>
      <c r="K11">
        <v>0</v>
      </c>
      <c r="L11">
        <v>3375000</v>
      </c>
      <c r="P11">
        <v>0</v>
      </c>
      <c r="S11">
        <v>0</v>
      </c>
      <c r="V11">
        <v>0</v>
      </c>
      <c r="Y11">
        <v>0</v>
      </c>
      <c r="AB11">
        <v>0</v>
      </c>
      <c r="AE11">
        <v>0</v>
      </c>
      <c r="AH11">
        <v>0</v>
      </c>
      <c r="AJ11">
        <v>375000</v>
      </c>
      <c r="AK11">
        <v>375000</v>
      </c>
      <c r="AM11">
        <v>750000</v>
      </c>
      <c r="AN11">
        <v>1125000</v>
      </c>
      <c r="AP11">
        <v>750000</v>
      </c>
      <c r="AQ11">
        <v>1875000</v>
      </c>
      <c r="AS11">
        <v>750000</v>
      </c>
      <c r="AT11">
        <v>2625000</v>
      </c>
      <c r="AV11">
        <v>750000</v>
      </c>
      <c r="AW11">
        <v>3375000</v>
      </c>
      <c r="AX11" s="95" t="s">
        <v>437</v>
      </c>
      <c r="AY11" s="95"/>
    </row>
    <row r="12" spans="1:51" x14ac:dyDescent="0.25">
      <c r="A12">
        <v>8</v>
      </c>
      <c r="B12">
        <v>9</v>
      </c>
      <c r="D12" s="95" t="s">
        <v>438</v>
      </c>
      <c r="E12">
        <v>42</v>
      </c>
      <c r="J12">
        <v>1</v>
      </c>
      <c r="K12">
        <v>0</v>
      </c>
      <c r="L12">
        <v>36000000</v>
      </c>
      <c r="P12">
        <v>0</v>
      </c>
      <c r="S12">
        <v>0</v>
      </c>
      <c r="V12">
        <v>0</v>
      </c>
      <c r="Y12">
        <v>0</v>
      </c>
      <c r="AB12">
        <v>0</v>
      </c>
      <c r="AE12">
        <v>0</v>
      </c>
      <c r="AH12">
        <v>0</v>
      </c>
      <c r="AJ12">
        <v>18000000</v>
      </c>
      <c r="AK12">
        <v>18000000</v>
      </c>
      <c r="AM12">
        <v>18000000</v>
      </c>
      <c r="AN12">
        <v>36000000</v>
      </c>
      <c r="AQ12">
        <v>36000000</v>
      </c>
      <c r="AT12">
        <v>36000000</v>
      </c>
      <c r="AW12">
        <v>36000000</v>
      </c>
      <c r="AX12" s="95" t="s">
        <v>458</v>
      </c>
      <c r="AY12" s="95"/>
    </row>
    <row r="13" spans="1:51" x14ac:dyDescent="0.25">
      <c r="A13">
        <v>9</v>
      </c>
      <c r="B13">
        <v>10</v>
      </c>
      <c r="D13" s="95"/>
      <c r="K13">
        <v>0</v>
      </c>
      <c r="L13">
        <v>0</v>
      </c>
      <c r="P13">
        <v>0</v>
      </c>
      <c r="S13">
        <v>0</v>
      </c>
      <c r="V13">
        <v>0</v>
      </c>
      <c r="Y13">
        <v>0</v>
      </c>
      <c r="AB13">
        <v>0</v>
      </c>
      <c r="AE13">
        <v>0</v>
      </c>
      <c r="AH13">
        <v>0</v>
      </c>
      <c r="AK13">
        <v>0</v>
      </c>
      <c r="AN13">
        <v>0</v>
      </c>
      <c r="AQ13">
        <v>0</v>
      </c>
      <c r="AT13">
        <v>0</v>
      </c>
      <c r="AW13">
        <v>0</v>
      </c>
      <c r="AX13" s="95"/>
      <c r="AY13" s="95"/>
    </row>
    <row r="14" spans="1:51" x14ac:dyDescent="0.25">
      <c r="A14">
        <v>10</v>
      </c>
      <c r="B14">
        <v>11</v>
      </c>
      <c r="D14" s="95" t="s">
        <v>440</v>
      </c>
      <c r="E14">
        <v>11</v>
      </c>
      <c r="F14">
        <v>97</v>
      </c>
      <c r="H14">
        <v>80</v>
      </c>
      <c r="J14">
        <v>1</v>
      </c>
      <c r="K14">
        <v>180000000</v>
      </c>
      <c r="L14">
        <v>0</v>
      </c>
      <c r="P14">
        <v>0</v>
      </c>
      <c r="S14">
        <v>0</v>
      </c>
      <c r="V14">
        <v>0</v>
      </c>
      <c r="Y14">
        <v>0</v>
      </c>
      <c r="AB14">
        <v>0</v>
      </c>
      <c r="AE14">
        <v>0</v>
      </c>
      <c r="AF14">
        <v>180000000</v>
      </c>
      <c r="AH14">
        <v>-180000000</v>
      </c>
      <c r="AK14">
        <v>-180000000</v>
      </c>
      <c r="AN14">
        <v>-180000000</v>
      </c>
      <c r="AQ14">
        <v>-180000000</v>
      </c>
      <c r="AT14">
        <v>-180000000</v>
      </c>
      <c r="AW14">
        <v>-180000000</v>
      </c>
      <c r="AX14" s="95"/>
      <c r="AY14" s="95"/>
    </row>
    <row r="15" spans="1:51" x14ac:dyDescent="0.25">
      <c r="A15">
        <v>11</v>
      </c>
      <c r="B15">
        <v>12</v>
      </c>
      <c r="D15" s="95" t="s">
        <v>426</v>
      </c>
      <c r="E15">
        <v>64</v>
      </c>
      <c r="F15">
        <v>97</v>
      </c>
      <c r="H15">
        <v>80</v>
      </c>
      <c r="J15">
        <v>1</v>
      </c>
      <c r="K15">
        <v>15000000</v>
      </c>
      <c r="L15">
        <v>0</v>
      </c>
      <c r="P15">
        <v>0</v>
      </c>
      <c r="S15">
        <v>0</v>
      </c>
      <c r="V15">
        <v>0</v>
      </c>
      <c r="Y15">
        <v>0</v>
      </c>
      <c r="AB15">
        <v>0</v>
      </c>
      <c r="AE15">
        <v>0</v>
      </c>
      <c r="AH15">
        <v>0</v>
      </c>
      <c r="AI15">
        <v>3000000</v>
      </c>
      <c r="AK15">
        <v>-3000000</v>
      </c>
      <c r="AL15">
        <v>3000000</v>
      </c>
      <c r="AN15">
        <v>-6000000</v>
      </c>
      <c r="AO15">
        <v>3000000</v>
      </c>
      <c r="AQ15">
        <v>-9000000</v>
      </c>
      <c r="AR15">
        <v>3000000</v>
      </c>
      <c r="AT15">
        <v>-12000000</v>
      </c>
      <c r="AU15">
        <v>3000000</v>
      </c>
      <c r="AW15">
        <v>-15000000</v>
      </c>
      <c r="AX15" s="95" t="s">
        <v>442</v>
      </c>
      <c r="AY15" s="95"/>
    </row>
    <row r="16" spans="1:51" x14ac:dyDescent="0.25">
      <c r="A16">
        <v>12</v>
      </c>
      <c r="B16">
        <v>13</v>
      </c>
      <c r="D16" s="95" t="s">
        <v>429</v>
      </c>
      <c r="E16">
        <v>67</v>
      </c>
      <c r="F16">
        <v>97</v>
      </c>
      <c r="H16">
        <v>80</v>
      </c>
      <c r="J16">
        <v>1</v>
      </c>
      <c r="K16">
        <v>6525000</v>
      </c>
      <c r="L16">
        <v>7762500</v>
      </c>
      <c r="P16">
        <v>0</v>
      </c>
      <c r="Q16">
        <v>0</v>
      </c>
      <c r="S16">
        <v>0</v>
      </c>
      <c r="T16">
        <v>0</v>
      </c>
      <c r="V16">
        <v>0</v>
      </c>
      <c r="W16">
        <v>0</v>
      </c>
      <c r="Y16">
        <v>0</v>
      </c>
      <c r="Z16">
        <v>0</v>
      </c>
      <c r="AB16">
        <v>0</v>
      </c>
      <c r="AC16">
        <v>0</v>
      </c>
      <c r="AE16">
        <v>0</v>
      </c>
      <c r="AG16">
        <v>1350000</v>
      </c>
      <c r="AH16">
        <v>1350000</v>
      </c>
      <c r="AI16">
        <v>1350000</v>
      </c>
      <c r="AJ16">
        <v>1327500</v>
      </c>
      <c r="AK16">
        <v>1327500</v>
      </c>
      <c r="AL16">
        <v>1327500</v>
      </c>
      <c r="AM16">
        <v>1305000</v>
      </c>
      <c r="AN16">
        <v>1305000</v>
      </c>
      <c r="AO16">
        <v>1305000</v>
      </c>
      <c r="AP16">
        <v>1282500</v>
      </c>
      <c r="AQ16">
        <v>1282500</v>
      </c>
      <c r="AR16">
        <v>1282500</v>
      </c>
      <c r="AS16">
        <v>1260000</v>
      </c>
      <c r="AT16">
        <v>1260000</v>
      </c>
      <c r="AU16">
        <v>1260000</v>
      </c>
      <c r="AV16">
        <v>1237500</v>
      </c>
      <c r="AW16">
        <v>1237500</v>
      </c>
      <c r="AX16" s="95" t="s">
        <v>443</v>
      </c>
      <c r="AY16" s="95"/>
    </row>
    <row r="17" spans="1:51" x14ac:dyDescent="0.25">
      <c r="A17">
        <v>13</v>
      </c>
      <c r="B17">
        <v>14</v>
      </c>
      <c r="D17" s="95"/>
      <c r="K17">
        <v>0</v>
      </c>
      <c r="L17">
        <v>0</v>
      </c>
      <c r="P17">
        <v>0</v>
      </c>
      <c r="S17">
        <v>0</v>
      </c>
      <c r="V17">
        <v>0</v>
      </c>
      <c r="Y17">
        <v>0</v>
      </c>
      <c r="AB17">
        <v>0</v>
      </c>
      <c r="AE17">
        <v>0</v>
      </c>
      <c r="AH17">
        <v>0</v>
      </c>
      <c r="AK17">
        <v>0</v>
      </c>
      <c r="AN17">
        <v>0</v>
      </c>
      <c r="AQ17">
        <v>0</v>
      </c>
      <c r="AT17">
        <v>0</v>
      </c>
      <c r="AW17">
        <v>0</v>
      </c>
      <c r="AX17" s="95"/>
      <c r="AY17" s="95"/>
    </row>
    <row r="18" spans="1:51" x14ac:dyDescent="0.25">
      <c r="A18">
        <v>14</v>
      </c>
      <c r="B18">
        <v>15</v>
      </c>
      <c r="D18" s="95" t="s">
        <v>444</v>
      </c>
      <c r="E18">
        <v>10</v>
      </c>
      <c r="F18">
        <v>98</v>
      </c>
      <c r="H18">
        <v>80</v>
      </c>
      <c r="J18">
        <v>1</v>
      </c>
      <c r="K18">
        <v>36000000</v>
      </c>
      <c r="L18">
        <v>0</v>
      </c>
      <c r="P18">
        <v>0</v>
      </c>
      <c r="S18">
        <v>0</v>
      </c>
      <c r="V18">
        <v>0</v>
      </c>
      <c r="Y18">
        <v>0</v>
      </c>
      <c r="AB18">
        <v>0</v>
      </c>
      <c r="AE18">
        <v>0</v>
      </c>
      <c r="AF18">
        <v>36000000</v>
      </c>
      <c r="AH18">
        <v>-36000000</v>
      </c>
      <c r="AK18">
        <v>-36000000</v>
      </c>
      <c r="AN18">
        <v>-36000000</v>
      </c>
      <c r="AQ18">
        <v>-36000000</v>
      </c>
      <c r="AT18">
        <v>-36000000</v>
      </c>
      <c r="AW18">
        <v>-36000000</v>
      </c>
      <c r="AX18" s="95"/>
      <c r="AY18" s="95"/>
    </row>
    <row r="19" spans="1:51" x14ac:dyDescent="0.25">
      <c r="A19">
        <v>15</v>
      </c>
      <c r="B19">
        <v>16</v>
      </c>
      <c r="D19" s="95" t="s">
        <v>446</v>
      </c>
      <c r="E19">
        <v>63</v>
      </c>
      <c r="F19">
        <v>98</v>
      </c>
      <c r="H19">
        <v>80</v>
      </c>
      <c r="J19">
        <v>1</v>
      </c>
      <c r="K19">
        <v>36000000</v>
      </c>
      <c r="L19">
        <v>0</v>
      </c>
      <c r="P19">
        <v>0</v>
      </c>
      <c r="S19">
        <v>0</v>
      </c>
      <c r="V19">
        <v>0</v>
      </c>
      <c r="Y19">
        <v>0</v>
      </c>
      <c r="AB19">
        <v>0</v>
      </c>
      <c r="AE19">
        <v>0</v>
      </c>
      <c r="AH19">
        <v>0</v>
      </c>
      <c r="AK19">
        <v>0</v>
      </c>
      <c r="AL19">
        <v>36000000</v>
      </c>
      <c r="AN19">
        <v>-36000000</v>
      </c>
      <c r="AQ19">
        <v>-36000000</v>
      </c>
      <c r="AT19">
        <v>-36000000</v>
      </c>
      <c r="AW19">
        <v>-36000000</v>
      </c>
      <c r="AX19" s="95"/>
      <c r="AY19" s="95"/>
    </row>
    <row r="20" spans="1:51" x14ac:dyDescent="0.25">
      <c r="A20">
        <v>16</v>
      </c>
      <c r="B20">
        <v>17</v>
      </c>
      <c r="D20" s="95" t="s">
        <v>448</v>
      </c>
      <c r="E20">
        <v>66</v>
      </c>
      <c r="F20">
        <v>98</v>
      </c>
      <c r="H20">
        <v>80</v>
      </c>
      <c r="J20">
        <v>1</v>
      </c>
      <c r="K20">
        <v>360000</v>
      </c>
      <c r="L20">
        <v>360000</v>
      </c>
      <c r="P20">
        <v>0</v>
      </c>
      <c r="S20">
        <v>0</v>
      </c>
      <c r="V20">
        <v>0</v>
      </c>
      <c r="Y20">
        <v>0</v>
      </c>
      <c r="AB20">
        <v>0</v>
      </c>
      <c r="AE20">
        <v>0</v>
      </c>
      <c r="AG20">
        <v>120000</v>
      </c>
      <c r="AH20">
        <v>120000</v>
      </c>
      <c r="AJ20">
        <v>120000</v>
      </c>
      <c r="AK20">
        <v>240000</v>
      </c>
      <c r="AL20">
        <v>360000</v>
      </c>
      <c r="AM20">
        <v>120000</v>
      </c>
      <c r="AN20">
        <v>0</v>
      </c>
      <c r="AQ20">
        <v>0</v>
      </c>
      <c r="AT20">
        <v>0</v>
      </c>
      <c r="AW20">
        <v>0</v>
      </c>
      <c r="AX20" s="95"/>
      <c r="AY20" s="95"/>
    </row>
    <row r="21" spans="1:51" x14ac:dyDescent="0.25">
      <c r="A21">
        <v>17</v>
      </c>
      <c r="B21">
        <v>18</v>
      </c>
      <c r="D21" s="95"/>
      <c r="K21">
        <v>0</v>
      </c>
      <c r="L21">
        <v>0</v>
      </c>
      <c r="P21">
        <v>0</v>
      </c>
      <c r="S21">
        <v>0</v>
      </c>
      <c r="V21">
        <v>0</v>
      </c>
      <c r="Y21">
        <v>0</v>
      </c>
      <c r="AB21">
        <v>0</v>
      </c>
      <c r="AE21">
        <v>0</v>
      </c>
      <c r="AH21">
        <v>0</v>
      </c>
      <c r="AK21">
        <v>0</v>
      </c>
      <c r="AN21">
        <v>0</v>
      </c>
      <c r="AQ21">
        <v>0</v>
      </c>
      <c r="AT21">
        <v>0</v>
      </c>
      <c r="AW21">
        <v>0</v>
      </c>
      <c r="AX21" s="95"/>
      <c r="AY21" s="95"/>
    </row>
    <row r="22" spans="1:51" x14ac:dyDescent="0.25">
      <c r="A22">
        <v>18</v>
      </c>
      <c r="B22">
        <v>19</v>
      </c>
      <c r="D22" s="95" t="s">
        <v>450</v>
      </c>
      <c r="E22">
        <v>43</v>
      </c>
      <c r="J22">
        <v>1</v>
      </c>
      <c r="K22">
        <v>0</v>
      </c>
      <c r="L22">
        <v>4800000</v>
      </c>
      <c r="O22">
        <v>400000</v>
      </c>
      <c r="P22">
        <v>400000</v>
      </c>
      <c r="R22">
        <v>400000</v>
      </c>
      <c r="S22">
        <v>800000</v>
      </c>
      <c r="U22">
        <v>400000</v>
      </c>
      <c r="V22">
        <v>1200000</v>
      </c>
      <c r="X22">
        <v>400000</v>
      </c>
      <c r="Y22">
        <v>1600000</v>
      </c>
      <c r="AA22">
        <v>400000</v>
      </c>
      <c r="AB22">
        <v>2000000</v>
      </c>
      <c r="AD22">
        <v>400000</v>
      </c>
      <c r="AE22">
        <v>2400000</v>
      </c>
      <c r="AG22">
        <v>400000</v>
      </c>
      <c r="AH22">
        <v>2800000</v>
      </c>
      <c r="AJ22">
        <v>400000</v>
      </c>
      <c r="AK22">
        <v>3200000</v>
      </c>
      <c r="AM22">
        <v>400000</v>
      </c>
      <c r="AN22">
        <v>3600000</v>
      </c>
      <c r="AP22">
        <v>400000</v>
      </c>
      <c r="AQ22">
        <v>4000000</v>
      </c>
      <c r="AS22">
        <v>400000</v>
      </c>
      <c r="AT22">
        <v>4400000</v>
      </c>
      <c r="AV22">
        <v>400000</v>
      </c>
      <c r="AW22">
        <v>4800000</v>
      </c>
      <c r="AX22" s="95"/>
      <c r="AY22" s="95"/>
    </row>
    <row r="23" spans="1:51" x14ac:dyDescent="0.25">
      <c r="A23">
        <v>19</v>
      </c>
      <c r="B23">
        <v>20</v>
      </c>
      <c r="D23" s="95" t="s">
        <v>451</v>
      </c>
      <c r="E23">
        <v>44</v>
      </c>
      <c r="J23">
        <v>1</v>
      </c>
      <c r="K23">
        <v>0</v>
      </c>
      <c r="L23">
        <v>522120000</v>
      </c>
      <c r="O23">
        <v>43600000</v>
      </c>
      <c r="P23">
        <v>43600000</v>
      </c>
      <c r="R23">
        <v>42800000</v>
      </c>
      <c r="S23">
        <v>86400000</v>
      </c>
      <c r="U23">
        <v>43600000</v>
      </c>
      <c r="V23">
        <v>130000000</v>
      </c>
      <c r="X23">
        <v>43200000</v>
      </c>
      <c r="Y23">
        <v>173200000</v>
      </c>
      <c r="AA23">
        <v>43600000</v>
      </c>
      <c r="AB23">
        <v>216800000</v>
      </c>
      <c r="AD23">
        <v>43200000</v>
      </c>
      <c r="AE23">
        <v>260000000</v>
      </c>
      <c r="AG23">
        <v>43720000</v>
      </c>
      <c r="AH23">
        <v>303720000</v>
      </c>
      <c r="AJ23">
        <v>43840000</v>
      </c>
      <c r="AK23">
        <v>347560000</v>
      </c>
      <c r="AM23">
        <v>43440000</v>
      </c>
      <c r="AN23">
        <v>391000000</v>
      </c>
      <c r="AP23">
        <v>43840000</v>
      </c>
      <c r="AQ23">
        <v>434840000</v>
      </c>
      <c r="AS23">
        <v>43440000</v>
      </c>
      <c r="AT23">
        <v>478280000</v>
      </c>
      <c r="AV23">
        <v>43840000</v>
      </c>
      <c r="AW23">
        <v>522120000</v>
      </c>
      <c r="AX23" s="95"/>
      <c r="AY23" s="95"/>
    </row>
    <row r="24" spans="1:51" x14ac:dyDescent="0.25">
      <c r="A24">
        <v>20</v>
      </c>
      <c r="B24">
        <v>21</v>
      </c>
      <c r="D24" s="95" t="s">
        <v>452</v>
      </c>
      <c r="E24">
        <v>47</v>
      </c>
      <c r="J24">
        <v>1</v>
      </c>
      <c r="K24">
        <v>450700000</v>
      </c>
      <c r="L24">
        <v>0</v>
      </c>
      <c r="N24">
        <v>41600000</v>
      </c>
      <c r="P24">
        <v>-41600000</v>
      </c>
      <c r="Q24">
        <v>40000000</v>
      </c>
      <c r="S24">
        <v>-81600000</v>
      </c>
      <c r="T24">
        <v>40800000</v>
      </c>
      <c r="V24">
        <v>-122400000</v>
      </c>
      <c r="W24">
        <v>40000000</v>
      </c>
      <c r="Y24">
        <v>-162400000</v>
      </c>
      <c r="Z24">
        <v>40400000</v>
      </c>
      <c r="AB24">
        <v>-202800000</v>
      </c>
      <c r="AC24">
        <v>40000000</v>
      </c>
      <c r="AE24">
        <v>-242800000</v>
      </c>
      <c r="AF24">
        <v>40400000</v>
      </c>
      <c r="AH24">
        <v>-283200000</v>
      </c>
      <c r="AI24">
        <v>40300000</v>
      </c>
      <c r="AK24">
        <v>-323500000</v>
      </c>
      <c r="AL24">
        <v>22600000</v>
      </c>
      <c r="AN24">
        <v>-346100000</v>
      </c>
      <c r="AO24">
        <v>23000000</v>
      </c>
      <c r="AQ24">
        <v>-369100000</v>
      </c>
      <c r="AR24">
        <v>40600000</v>
      </c>
      <c r="AT24">
        <v>-409700000</v>
      </c>
      <c r="AU24">
        <v>41000000</v>
      </c>
      <c r="AW24">
        <v>-450700000</v>
      </c>
      <c r="AX24" s="95"/>
      <c r="AY24" s="95"/>
    </row>
    <row r="25" spans="1:51" x14ac:dyDescent="0.25">
      <c r="A25">
        <v>21</v>
      </c>
      <c r="B25">
        <v>22</v>
      </c>
      <c r="D25" s="95"/>
      <c r="K25">
        <v>0</v>
      </c>
      <c r="L25">
        <v>0</v>
      </c>
      <c r="P25">
        <v>0</v>
      </c>
      <c r="S25">
        <v>0</v>
      </c>
      <c r="V25">
        <v>0</v>
      </c>
      <c r="Y25">
        <v>0</v>
      </c>
      <c r="AB25">
        <v>0</v>
      </c>
      <c r="AE25">
        <v>0</v>
      </c>
      <c r="AH25">
        <v>0</v>
      </c>
      <c r="AK25">
        <v>0</v>
      </c>
      <c r="AN25">
        <v>0</v>
      </c>
      <c r="AQ25">
        <v>0</v>
      </c>
      <c r="AT25">
        <v>0</v>
      </c>
      <c r="AW25">
        <v>0</v>
      </c>
      <c r="AX25" s="95"/>
      <c r="AY25" s="95"/>
    </row>
    <row r="26" spans="1:51" x14ac:dyDescent="0.25">
      <c r="A26">
        <v>22</v>
      </c>
      <c r="B26">
        <v>23</v>
      </c>
      <c r="D26" s="95" t="s">
        <v>453</v>
      </c>
      <c r="K26">
        <v>0</v>
      </c>
      <c r="L26">
        <v>1151302500</v>
      </c>
      <c r="O26">
        <v>90400000</v>
      </c>
      <c r="P26">
        <v>90400000</v>
      </c>
      <c r="R26">
        <v>95150000</v>
      </c>
      <c r="S26">
        <v>185550000</v>
      </c>
      <c r="U26">
        <v>91900000</v>
      </c>
      <c r="V26">
        <v>277450000</v>
      </c>
      <c r="X26">
        <v>94650000</v>
      </c>
      <c r="Y26">
        <v>372100000</v>
      </c>
      <c r="AA26">
        <v>93400000</v>
      </c>
      <c r="AB26">
        <v>465500000</v>
      </c>
      <c r="AD26">
        <v>96150000</v>
      </c>
      <c r="AE26">
        <v>561650000</v>
      </c>
      <c r="AG26">
        <v>94930000</v>
      </c>
      <c r="AH26">
        <v>656580000</v>
      </c>
      <c r="AJ26">
        <v>96827500</v>
      </c>
      <c r="AK26">
        <v>753407500</v>
      </c>
      <c r="AM26">
        <v>99225000</v>
      </c>
      <c r="AN26">
        <v>852632500</v>
      </c>
      <c r="AP26">
        <v>98117500</v>
      </c>
      <c r="AQ26">
        <v>950750000</v>
      </c>
      <c r="AS26">
        <v>100890000</v>
      </c>
      <c r="AT26">
        <v>1051640000</v>
      </c>
      <c r="AV26">
        <v>99662500</v>
      </c>
      <c r="AW26">
        <v>1151302500</v>
      </c>
      <c r="AX26" s="95"/>
      <c r="AY26" s="95"/>
    </row>
    <row r="27" spans="1:51" x14ac:dyDescent="0.25">
      <c r="A27">
        <v>23</v>
      </c>
      <c r="B27">
        <v>24</v>
      </c>
      <c r="D27" s="95" t="s">
        <v>454</v>
      </c>
      <c r="E27">
        <v>48</v>
      </c>
      <c r="J27">
        <v>1</v>
      </c>
      <c r="K27">
        <v>228328000</v>
      </c>
      <c r="L27">
        <v>230260500</v>
      </c>
      <c r="M27">
        <v>18000000</v>
      </c>
      <c r="N27">
        <v>18000000</v>
      </c>
      <c r="O27">
        <v>18080000</v>
      </c>
      <c r="P27">
        <v>18080000</v>
      </c>
      <c r="Q27">
        <v>18080000</v>
      </c>
      <c r="R27">
        <v>19030000</v>
      </c>
      <c r="S27">
        <v>19030000</v>
      </c>
      <c r="T27">
        <v>19030000</v>
      </c>
      <c r="U27">
        <v>18380000</v>
      </c>
      <c r="V27">
        <v>18380000</v>
      </c>
      <c r="W27">
        <v>18380000</v>
      </c>
      <c r="X27">
        <v>18930000</v>
      </c>
      <c r="Y27">
        <v>18930000</v>
      </c>
      <c r="Z27">
        <v>18930000</v>
      </c>
      <c r="AA27">
        <v>18680000</v>
      </c>
      <c r="AB27">
        <v>18680000</v>
      </c>
      <c r="AC27">
        <v>18680000</v>
      </c>
      <c r="AD27">
        <v>19230000</v>
      </c>
      <c r="AE27">
        <v>19230000</v>
      </c>
      <c r="AF27">
        <v>19230000</v>
      </c>
      <c r="AG27">
        <v>18986000</v>
      </c>
      <c r="AH27">
        <v>18986000</v>
      </c>
      <c r="AI27">
        <v>18986000</v>
      </c>
      <c r="AJ27">
        <v>19365500</v>
      </c>
      <c r="AK27">
        <v>19365500</v>
      </c>
      <c r="AL27">
        <v>19365500</v>
      </c>
      <c r="AM27">
        <v>19845000</v>
      </c>
      <c r="AN27">
        <v>19845000</v>
      </c>
      <c r="AO27">
        <v>19845000</v>
      </c>
      <c r="AP27">
        <v>19623500</v>
      </c>
      <c r="AQ27">
        <v>19623500</v>
      </c>
      <c r="AR27">
        <v>19623500</v>
      </c>
      <c r="AS27">
        <v>20178000</v>
      </c>
      <c r="AT27">
        <v>20178000</v>
      </c>
      <c r="AU27">
        <v>20178000</v>
      </c>
      <c r="AV27">
        <v>19932500</v>
      </c>
      <c r="AW27">
        <v>19932500</v>
      </c>
      <c r="AX27" s="95" t="s">
        <v>455</v>
      </c>
      <c r="AY27" s="95"/>
    </row>
    <row r="28" spans="1:51" x14ac:dyDescent="0.25">
      <c r="A28">
        <v>24</v>
      </c>
      <c r="B28">
        <v>25</v>
      </c>
      <c r="D28" s="95" t="s">
        <v>456</v>
      </c>
      <c r="E28">
        <v>61</v>
      </c>
      <c r="J28">
        <v>1</v>
      </c>
      <c r="K28">
        <v>100000000</v>
      </c>
      <c r="L28">
        <v>100000000</v>
      </c>
      <c r="P28">
        <v>0</v>
      </c>
      <c r="S28">
        <v>0</v>
      </c>
      <c r="T28">
        <v>100000000</v>
      </c>
      <c r="U28">
        <v>100000000</v>
      </c>
      <c r="V28">
        <v>0</v>
      </c>
      <c r="Y28">
        <v>0</v>
      </c>
      <c r="AB28">
        <v>0</v>
      </c>
      <c r="AE28">
        <v>0</v>
      </c>
      <c r="AH28">
        <v>0</v>
      </c>
      <c r="AK28">
        <v>0</v>
      </c>
      <c r="AN28">
        <v>0</v>
      </c>
      <c r="AQ28">
        <v>0</v>
      </c>
      <c r="AT28">
        <v>0</v>
      </c>
      <c r="AW28">
        <v>0</v>
      </c>
      <c r="AX28" s="95" t="s">
        <v>457</v>
      </c>
      <c r="AY28" s="95"/>
    </row>
    <row r="29" spans="1:51" x14ac:dyDescent="0.25">
      <c r="A29">
        <v>25</v>
      </c>
      <c r="B29">
        <v>26</v>
      </c>
      <c r="D29" s="95"/>
      <c r="K29">
        <v>0</v>
      </c>
      <c r="L29">
        <v>0</v>
      </c>
      <c r="P29">
        <v>0</v>
      </c>
      <c r="S29">
        <v>0</v>
      </c>
      <c r="V29">
        <v>0</v>
      </c>
      <c r="Y29">
        <v>0</v>
      </c>
      <c r="AB29">
        <v>0</v>
      </c>
      <c r="AE29">
        <v>0</v>
      </c>
      <c r="AH29">
        <v>0</v>
      </c>
      <c r="AK29">
        <v>0</v>
      </c>
      <c r="AN29">
        <v>0</v>
      </c>
      <c r="AQ29">
        <v>0</v>
      </c>
      <c r="AT29">
        <v>0</v>
      </c>
      <c r="AW29">
        <v>0</v>
      </c>
      <c r="AX29" s="95"/>
      <c r="AY29" s="95"/>
    </row>
    <row r="30" spans="1:51" x14ac:dyDescent="0.25">
      <c r="A30" t="s">
        <v>294</v>
      </c>
      <c r="D30" s="95"/>
      <c r="AX30" s="95"/>
      <c r="AY30" s="95"/>
    </row>
    <row r="31" spans="1:51" x14ac:dyDescent="0.25">
      <c r="A31" t="s">
        <v>315</v>
      </c>
      <c r="D31" s="95"/>
      <c r="AX31" s="95"/>
      <c r="AY31" s="95"/>
    </row>
    <row r="32" spans="1:51" x14ac:dyDescent="0.25">
      <c r="A32" t="s">
        <v>101</v>
      </c>
      <c r="B32" t="s">
        <v>102</v>
      </c>
      <c r="C32" t="s">
        <v>103</v>
      </c>
      <c r="D32" s="95" t="s">
        <v>104</v>
      </c>
      <c r="E32" t="s">
        <v>105</v>
      </c>
      <c r="F32" t="s">
        <v>107</v>
      </c>
      <c r="G32" t="s">
        <v>108</v>
      </c>
      <c r="H32" t="s">
        <v>109</v>
      </c>
      <c r="I32" t="s">
        <v>110</v>
      </c>
      <c r="J32" t="s">
        <v>111</v>
      </c>
      <c r="K32" t="s">
        <v>112</v>
      </c>
      <c r="L32" t="s">
        <v>113</v>
      </c>
      <c r="M32" t="s">
        <v>114</v>
      </c>
      <c r="N32" t="s">
        <v>116</v>
      </c>
      <c r="O32" t="s">
        <v>119</v>
      </c>
      <c r="P32" t="s">
        <v>122</v>
      </c>
      <c r="Q32" t="s">
        <v>125</v>
      </c>
      <c r="R32" t="s">
        <v>128</v>
      </c>
      <c r="S32" t="s">
        <v>131</v>
      </c>
      <c r="T32" t="s">
        <v>134</v>
      </c>
      <c r="U32" t="s">
        <v>137</v>
      </c>
      <c r="V32" t="s">
        <v>140</v>
      </c>
      <c r="W32" t="s">
        <v>143</v>
      </c>
      <c r="X32" t="s">
        <v>146</v>
      </c>
      <c r="Y32" t="s">
        <v>149</v>
      </c>
      <c r="Z32" t="s">
        <v>115</v>
      </c>
      <c r="AA32" t="s">
        <v>118</v>
      </c>
      <c r="AB32" t="s">
        <v>121</v>
      </c>
      <c r="AC32" t="s">
        <v>124</v>
      </c>
      <c r="AD32" t="s">
        <v>127</v>
      </c>
      <c r="AE32" t="s">
        <v>130</v>
      </c>
      <c r="AF32" t="s">
        <v>133</v>
      </c>
      <c r="AG32" t="s">
        <v>136</v>
      </c>
      <c r="AH32" t="s">
        <v>139</v>
      </c>
      <c r="AI32" t="s">
        <v>142</v>
      </c>
      <c r="AJ32" t="s">
        <v>145</v>
      </c>
      <c r="AK32" t="s">
        <v>148</v>
      </c>
      <c r="AL32" t="s">
        <v>117</v>
      </c>
      <c r="AM32" t="s">
        <v>120</v>
      </c>
      <c r="AN32" t="s">
        <v>123</v>
      </c>
      <c r="AO32" t="s">
        <v>126</v>
      </c>
      <c r="AP32" t="s">
        <v>129</v>
      </c>
      <c r="AQ32" t="s">
        <v>132</v>
      </c>
      <c r="AR32" t="s">
        <v>135</v>
      </c>
      <c r="AS32" t="s">
        <v>138</v>
      </c>
      <c r="AT32" t="s">
        <v>141</v>
      </c>
      <c r="AU32" t="s">
        <v>144</v>
      </c>
      <c r="AV32" t="s">
        <v>147</v>
      </c>
      <c r="AW32" t="s">
        <v>150</v>
      </c>
      <c r="AX32" s="95" t="s">
        <v>151</v>
      </c>
      <c r="AY32" s="95" t="s">
        <v>545</v>
      </c>
    </row>
    <row r="33" spans="1:51" x14ac:dyDescent="0.25">
      <c r="A33">
        <v>0</v>
      </c>
      <c r="B33">
        <v>1</v>
      </c>
      <c r="D33" s="95"/>
      <c r="K33">
        <v>0</v>
      </c>
      <c r="L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 s="95"/>
      <c r="AY33" s="95"/>
    </row>
    <row r="34" spans="1:51" x14ac:dyDescent="0.25">
      <c r="A34">
        <v>1</v>
      </c>
      <c r="B34">
        <v>2</v>
      </c>
      <c r="D34" s="95" t="s">
        <v>426</v>
      </c>
      <c r="E34">
        <v>64</v>
      </c>
      <c r="F34">
        <v>96</v>
      </c>
      <c r="H34">
        <v>80</v>
      </c>
      <c r="J34">
        <v>1</v>
      </c>
      <c r="K34">
        <v>1440000000</v>
      </c>
      <c r="L34">
        <v>0</v>
      </c>
      <c r="M34">
        <v>4800000000</v>
      </c>
      <c r="Z34">
        <v>120000000</v>
      </c>
      <c r="AA34">
        <v>120000000</v>
      </c>
      <c r="AB34">
        <v>120000000</v>
      </c>
      <c r="AC34">
        <v>120000000</v>
      </c>
      <c r="AD34">
        <v>120000000</v>
      </c>
      <c r="AE34">
        <v>120000000</v>
      </c>
      <c r="AF34">
        <v>120000000</v>
      </c>
      <c r="AG34">
        <v>120000000</v>
      </c>
      <c r="AH34">
        <v>120000000</v>
      </c>
      <c r="AI34">
        <v>120000000</v>
      </c>
      <c r="AJ34">
        <v>120000000</v>
      </c>
      <c r="AK34">
        <v>120000000</v>
      </c>
      <c r="AL34">
        <v>4680000000</v>
      </c>
      <c r="AM34">
        <v>4560000000</v>
      </c>
      <c r="AN34">
        <v>4440000000</v>
      </c>
      <c r="AO34">
        <v>4320000000</v>
      </c>
      <c r="AP34">
        <v>4200000000</v>
      </c>
      <c r="AQ34">
        <v>4080000000</v>
      </c>
      <c r="AR34">
        <v>3960000000</v>
      </c>
      <c r="AS34">
        <v>3840000000</v>
      </c>
      <c r="AT34">
        <v>3720000000</v>
      </c>
      <c r="AU34">
        <v>3600000000</v>
      </c>
      <c r="AV34">
        <v>3480000000</v>
      </c>
      <c r="AW34">
        <v>3360000000</v>
      </c>
      <c r="AX34" s="95" t="s">
        <v>428</v>
      </c>
      <c r="AY34" s="95"/>
    </row>
    <row r="35" spans="1:51" x14ac:dyDescent="0.25">
      <c r="A35">
        <v>2</v>
      </c>
      <c r="B35">
        <v>3</v>
      </c>
      <c r="D35" s="95" t="s">
        <v>429</v>
      </c>
      <c r="E35">
        <v>67</v>
      </c>
      <c r="F35">
        <v>96</v>
      </c>
      <c r="H35">
        <v>80</v>
      </c>
      <c r="J35">
        <v>1</v>
      </c>
      <c r="K35">
        <v>391500000</v>
      </c>
      <c r="L35">
        <v>382500000</v>
      </c>
      <c r="M35">
        <v>36750000</v>
      </c>
      <c r="N35">
        <v>36000000</v>
      </c>
      <c r="O35">
        <v>35250000</v>
      </c>
      <c r="P35">
        <v>34500000</v>
      </c>
      <c r="Q35">
        <v>33750000</v>
      </c>
      <c r="R35">
        <v>33000000</v>
      </c>
      <c r="S35">
        <v>32250000</v>
      </c>
      <c r="T35">
        <v>31500000</v>
      </c>
      <c r="U35">
        <v>30750000</v>
      </c>
      <c r="V35">
        <v>30000000</v>
      </c>
      <c r="W35">
        <v>29250000</v>
      </c>
      <c r="X35">
        <v>28500000</v>
      </c>
      <c r="Y35">
        <v>27750000</v>
      </c>
      <c r="Z35">
        <v>36750000</v>
      </c>
      <c r="AA35">
        <v>36000000</v>
      </c>
      <c r="AB35">
        <v>35250000</v>
      </c>
      <c r="AC35">
        <v>34500000</v>
      </c>
      <c r="AD35">
        <v>33750000</v>
      </c>
      <c r="AE35">
        <v>33000000</v>
      </c>
      <c r="AF35">
        <v>32250000</v>
      </c>
      <c r="AG35">
        <v>31500000</v>
      </c>
      <c r="AH35">
        <v>30750000</v>
      </c>
      <c r="AI35">
        <v>30000000</v>
      </c>
      <c r="AJ35">
        <v>29250000</v>
      </c>
      <c r="AK35">
        <v>28500000</v>
      </c>
      <c r="AL35">
        <v>36000000</v>
      </c>
      <c r="AM35">
        <v>35250000</v>
      </c>
      <c r="AN35">
        <v>34500000</v>
      </c>
      <c r="AO35">
        <v>33750000</v>
      </c>
      <c r="AP35">
        <v>33000000</v>
      </c>
      <c r="AQ35">
        <v>32250000</v>
      </c>
      <c r="AR35">
        <v>31500000</v>
      </c>
      <c r="AS35">
        <v>30750000</v>
      </c>
      <c r="AT35">
        <v>30000000</v>
      </c>
      <c r="AU35">
        <v>29250000</v>
      </c>
      <c r="AV35">
        <v>28500000</v>
      </c>
      <c r="AW35">
        <v>27750000</v>
      </c>
      <c r="AX35" s="95" t="s">
        <v>431</v>
      </c>
      <c r="AY35" s="95"/>
    </row>
    <row r="36" spans="1:51" x14ac:dyDescent="0.25">
      <c r="A36">
        <v>3</v>
      </c>
      <c r="B36">
        <v>4</v>
      </c>
      <c r="D36" s="95"/>
      <c r="K36">
        <v>0</v>
      </c>
      <c r="L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 s="95"/>
      <c r="AY36" s="95"/>
    </row>
    <row r="37" spans="1:51" x14ac:dyDescent="0.25">
      <c r="A37">
        <v>4</v>
      </c>
      <c r="B37">
        <v>5</v>
      </c>
      <c r="D37" s="95" t="s">
        <v>432</v>
      </c>
      <c r="E37">
        <v>27</v>
      </c>
      <c r="H37">
        <v>80</v>
      </c>
      <c r="J37">
        <v>1</v>
      </c>
      <c r="K37">
        <v>0</v>
      </c>
      <c r="L37">
        <v>540000000</v>
      </c>
      <c r="N37">
        <v>45000000</v>
      </c>
      <c r="O37">
        <v>45000000</v>
      </c>
      <c r="P37">
        <v>45000000</v>
      </c>
      <c r="Q37">
        <v>45000000</v>
      </c>
      <c r="R37">
        <v>45000000</v>
      </c>
      <c r="S37">
        <v>45000000</v>
      </c>
      <c r="T37">
        <v>45000000</v>
      </c>
      <c r="U37">
        <v>45000000</v>
      </c>
      <c r="V37">
        <v>45000000</v>
      </c>
      <c r="W37">
        <v>45000000</v>
      </c>
      <c r="X37">
        <v>45000000</v>
      </c>
      <c r="Y37">
        <v>45000000</v>
      </c>
      <c r="AL37">
        <v>45000000</v>
      </c>
      <c r="AM37">
        <v>90000000</v>
      </c>
      <c r="AN37">
        <v>135000000</v>
      </c>
      <c r="AO37">
        <v>180000000</v>
      </c>
      <c r="AP37">
        <v>225000000</v>
      </c>
      <c r="AQ37">
        <v>270000000</v>
      </c>
      <c r="AR37">
        <v>315000000</v>
      </c>
      <c r="AS37">
        <v>360000000</v>
      </c>
      <c r="AT37">
        <v>405000000</v>
      </c>
      <c r="AU37">
        <v>450000000</v>
      </c>
      <c r="AV37">
        <v>495000000</v>
      </c>
      <c r="AW37">
        <v>540000000</v>
      </c>
      <c r="AX37" s="95" t="s">
        <v>433</v>
      </c>
      <c r="AY37" s="95"/>
    </row>
    <row r="38" spans="1:51" x14ac:dyDescent="0.25">
      <c r="A38">
        <v>5</v>
      </c>
      <c r="B38">
        <v>6</v>
      </c>
      <c r="D38" s="95"/>
      <c r="K38">
        <v>0</v>
      </c>
      <c r="L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 s="95"/>
      <c r="AY38" s="95"/>
    </row>
    <row r="39" spans="1:51" x14ac:dyDescent="0.25">
      <c r="A39">
        <v>6</v>
      </c>
      <c r="B39">
        <v>7</v>
      </c>
      <c r="D39" s="95" t="s">
        <v>434</v>
      </c>
      <c r="E39">
        <v>53</v>
      </c>
      <c r="F39">
        <v>94</v>
      </c>
      <c r="H39">
        <v>80</v>
      </c>
      <c r="I39">
        <v>2</v>
      </c>
      <c r="J39">
        <v>1</v>
      </c>
      <c r="K39">
        <v>216000000</v>
      </c>
      <c r="L39">
        <v>216000000</v>
      </c>
      <c r="T39">
        <v>108000000</v>
      </c>
      <c r="U39">
        <v>108000000</v>
      </c>
      <c r="AF39">
        <v>216000000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-108000000</v>
      </c>
      <c r="AS39">
        <v>0</v>
      </c>
      <c r="AT39">
        <v>0</v>
      </c>
      <c r="AU39">
        <v>0</v>
      </c>
      <c r="AV39">
        <v>0</v>
      </c>
      <c r="AW39">
        <v>0</v>
      </c>
      <c r="AX39" s="95" t="s">
        <v>435</v>
      </c>
      <c r="AY39" s="95"/>
    </row>
    <row r="40" spans="1:51" x14ac:dyDescent="0.25">
      <c r="A40">
        <v>7</v>
      </c>
      <c r="B40">
        <v>8</v>
      </c>
      <c r="D40" s="95" t="s">
        <v>436</v>
      </c>
      <c r="E40">
        <v>27</v>
      </c>
      <c r="H40">
        <v>80</v>
      </c>
      <c r="J40">
        <v>1</v>
      </c>
      <c r="K40">
        <v>0</v>
      </c>
      <c r="L40">
        <v>3375000</v>
      </c>
      <c r="U40">
        <v>375000</v>
      </c>
      <c r="V40">
        <v>750000</v>
      </c>
      <c r="W40">
        <v>750000</v>
      </c>
      <c r="X40">
        <v>750000</v>
      </c>
      <c r="Y40">
        <v>750000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375000</v>
      </c>
      <c r="AT40">
        <v>1125000</v>
      </c>
      <c r="AU40">
        <v>1875000</v>
      </c>
      <c r="AV40">
        <v>2625000</v>
      </c>
      <c r="AW40">
        <v>3375000</v>
      </c>
      <c r="AX40" s="95" t="s">
        <v>437</v>
      </c>
      <c r="AY40" s="95"/>
    </row>
    <row r="41" spans="1:51" x14ac:dyDescent="0.25">
      <c r="A41">
        <v>8</v>
      </c>
      <c r="B41">
        <v>9</v>
      </c>
      <c r="D41" s="95" t="s">
        <v>438</v>
      </c>
      <c r="E41">
        <v>42</v>
      </c>
      <c r="J41">
        <v>1</v>
      </c>
      <c r="K41">
        <v>0</v>
      </c>
      <c r="L41">
        <v>36000000</v>
      </c>
      <c r="U41">
        <v>18000000</v>
      </c>
      <c r="V41">
        <v>18000000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18000000</v>
      </c>
      <c r="AT41">
        <v>36000000</v>
      </c>
      <c r="AU41">
        <v>36000000</v>
      </c>
      <c r="AV41">
        <v>36000000</v>
      </c>
      <c r="AW41">
        <v>36000000</v>
      </c>
      <c r="AX41" s="95" t="s">
        <v>458</v>
      </c>
      <c r="AY41" s="95"/>
    </row>
    <row r="42" spans="1:51" x14ac:dyDescent="0.25">
      <c r="A42">
        <v>9</v>
      </c>
      <c r="B42">
        <v>10</v>
      </c>
      <c r="D42" s="95"/>
      <c r="K42">
        <v>0</v>
      </c>
      <c r="L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 s="95"/>
      <c r="AY42" s="95"/>
    </row>
    <row r="43" spans="1:51" x14ac:dyDescent="0.25">
      <c r="A43">
        <v>10</v>
      </c>
      <c r="B43">
        <v>11</v>
      </c>
      <c r="D43" s="95" t="s">
        <v>440</v>
      </c>
      <c r="E43">
        <v>11</v>
      </c>
      <c r="F43">
        <v>97</v>
      </c>
      <c r="H43">
        <v>80</v>
      </c>
      <c r="J43">
        <v>1</v>
      </c>
      <c r="K43">
        <v>180000000</v>
      </c>
      <c r="L43">
        <v>0</v>
      </c>
      <c r="AF43">
        <v>180000000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-180000000</v>
      </c>
      <c r="AS43">
        <v>-180000000</v>
      </c>
      <c r="AT43">
        <v>-180000000</v>
      </c>
      <c r="AU43">
        <v>-180000000</v>
      </c>
      <c r="AV43">
        <v>-180000000</v>
      </c>
      <c r="AW43">
        <v>-180000000</v>
      </c>
      <c r="AX43" s="95"/>
      <c r="AY43" s="95"/>
    </row>
    <row r="44" spans="1:51" x14ac:dyDescent="0.25">
      <c r="A44">
        <v>11</v>
      </c>
      <c r="B44">
        <v>12</v>
      </c>
      <c r="D44" s="95" t="s">
        <v>426</v>
      </c>
      <c r="E44">
        <v>64</v>
      </c>
      <c r="F44">
        <v>97</v>
      </c>
      <c r="H44">
        <v>80</v>
      </c>
      <c r="J44">
        <v>1</v>
      </c>
      <c r="K44">
        <v>15000000</v>
      </c>
      <c r="L44">
        <v>0</v>
      </c>
      <c r="AG44">
        <v>3000000</v>
      </c>
      <c r="AH44">
        <v>3000000</v>
      </c>
      <c r="AI44">
        <v>3000000</v>
      </c>
      <c r="AJ44">
        <v>3000000</v>
      </c>
      <c r="AK44">
        <v>3000000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-3000000</v>
      </c>
      <c r="AT44">
        <v>-6000000</v>
      </c>
      <c r="AU44">
        <v>-9000000</v>
      </c>
      <c r="AV44">
        <v>-12000000</v>
      </c>
      <c r="AW44">
        <v>-15000000</v>
      </c>
      <c r="AX44" s="95" t="s">
        <v>442</v>
      </c>
      <c r="AY44" s="95"/>
    </row>
    <row r="45" spans="1:51" x14ac:dyDescent="0.25">
      <c r="A45">
        <v>12</v>
      </c>
      <c r="B45">
        <v>13</v>
      </c>
      <c r="D45" s="95" t="s">
        <v>429</v>
      </c>
      <c r="E45">
        <v>67</v>
      </c>
      <c r="F45">
        <v>97</v>
      </c>
      <c r="H45">
        <v>80</v>
      </c>
      <c r="J45">
        <v>1</v>
      </c>
      <c r="K45">
        <v>6525000</v>
      </c>
      <c r="L45">
        <v>7762500</v>
      </c>
      <c r="T45">
        <v>1350000</v>
      </c>
      <c r="U45">
        <v>1327500</v>
      </c>
      <c r="V45">
        <v>1305000</v>
      </c>
      <c r="W45">
        <v>1282500</v>
      </c>
      <c r="X45">
        <v>1260000</v>
      </c>
      <c r="Y45">
        <v>1237500</v>
      </c>
      <c r="AA45">
        <v>0</v>
      </c>
      <c r="AB45">
        <v>0</v>
      </c>
      <c r="AC45">
        <v>0</v>
      </c>
      <c r="AD45">
        <v>0</v>
      </c>
      <c r="AE45">
        <v>0</v>
      </c>
      <c r="AG45">
        <v>1350000</v>
      </c>
      <c r="AH45">
        <v>1327500</v>
      </c>
      <c r="AI45">
        <v>1305000</v>
      </c>
      <c r="AJ45">
        <v>1282500</v>
      </c>
      <c r="AK45">
        <v>1260000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1350000</v>
      </c>
      <c r="AS45">
        <v>1327500</v>
      </c>
      <c r="AT45">
        <v>1305000</v>
      </c>
      <c r="AU45">
        <v>1282500</v>
      </c>
      <c r="AV45">
        <v>1260000</v>
      </c>
      <c r="AW45">
        <v>1237500</v>
      </c>
      <c r="AX45" s="95" t="s">
        <v>443</v>
      </c>
      <c r="AY45" s="95"/>
    </row>
    <row r="46" spans="1:51" x14ac:dyDescent="0.25">
      <c r="A46">
        <v>13</v>
      </c>
      <c r="B46">
        <v>14</v>
      </c>
      <c r="D46" s="95"/>
      <c r="K46">
        <v>0</v>
      </c>
      <c r="L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 s="95"/>
      <c r="AY46" s="95"/>
    </row>
    <row r="47" spans="1:51" x14ac:dyDescent="0.25">
      <c r="A47">
        <v>14</v>
      </c>
      <c r="B47">
        <v>15</v>
      </c>
      <c r="D47" s="95" t="s">
        <v>444</v>
      </c>
      <c r="E47">
        <v>10</v>
      </c>
      <c r="F47">
        <v>98</v>
      </c>
      <c r="H47">
        <v>80</v>
      </c>
      <c r="J47">
        <v>1</v>
      </c>
      <c r="K47">
        <v>36000000</v>
      </c>
      <c r="L47">
        <v>0</v>
      </c>
      <c r="AF47">
        <v>36000000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-36000000</v>
      </c>
      <c r="AS47">
        <v>-36000000</v>
      </c>
      <c r="AT47">
        <v>-36000000</v>
      </c>
      <c r="AU47">
        <v>-36000000</v>
      </c>
      <c r="AV47">
        <v>-36000000</v>
      </c>
      <c r="AW47">
        <v>-36000000</v>
      </c>
      <c r="AX47" s="95"/>
      <c r="AY47" s="95"/>
    </row>
    <row r="48" spans="1:51" x14ac:dyDescent="0.25">
      <c r="A48">
        <v>15</v>
      </c>
      <c r="B48">
        <v>16</v>
      </c>
      <c r="D48" s="95" t="s">
        <v>446</v>
      </c>
      <c r="E48">
        <v>63</v>
      </c>
      <c r="F48">
        <v>98</v>
      </c>
      <c r="H48">
        <v>80</v>
      </c>
      <c r="J48">
        <v>1</v>
      </c>
      <c r="K48">
        <v>36000000</v>
      </c>
      <c r="L48">
        <v>0</v>
      </c>
      <c r="AH48">
        <v>36000000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-36000000</v>
      </c>
      <c r="AU48">
        <v>-36000000</v>
      </c>
      <c r="AV48">
        <v>-36000000</v>
      </c>
      <c r="AW48">
        <v>-36000000</v>
      </c>
      <c r="AX48" s="95"/>
      <c r="AY48" s="95"/>
    </row>
    <row r="49" spans="1:51" x14ac:dyDescent="0.25">
      <c r="A49">
        <v>16</v>
      </c>
      <c r="B49">
        <v>17</v>
      </c>
      <c r="D49" s="95" t="s">
        <v>448</v>
      </c>
      <c r="E49">
        <v>66</v>
      </c>
      <c r="F49">
        <v>98</v>
      </c>
      <c r="H49">
        <v>80</v>
      </c>
      <c r="J49">
        <v>1</v>
      </c>
      <c r="K49">
        <v>360000</v>
      </c>
      <c r="L49">
        <v>360000</v>
      </c>
      <c r="T49">
        <v>120000</v>
      </c>
      <c r="U49">
        <v>120000</v>
      </c>
      <c r="V49">
        <v>120000</v>
      </c>
      <c r="AH49">
        <v>360000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120000</v>
      </c>
      <c r="AS49">
        <v>240000</v>
      </c>
      <c r="AT49">
        <v>0</v>
      </c>
      <c r="AU49">
        <v>0</v>
      </c>
      <c r="AV49">
        <v>0</v>
      </c>
      <c r="AW49">
        <v>0</v>
      </c>
      <c r="AX49" s="95"/>
      <c r="AY49" s="95"/>
    </row>
    <row r="50" spans="1:51" x14ac:dyDescent="0.25">
      <c r="A50">
        <v>17</v>
      </c>
      <c r="B50">
        <v>18</v>
      </c>
      <c r="D50" s="95"/>
      <c r="K50">
        <v>0</v>
      </c>
      <c r="L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 s="95"/>
      <c r="AY50" s="95"/>
    </row>
    <row r="51" spans="1:51" x14ac:dyDescent="0.25">
      <c r="A51">
        <v>18</v>
      </c>
      <c r="B51">
        <v>19</v>
      </c>
      <c r="D51" s="95" t="s">
        <v>450</v>
      </c>
      <c r="E51">
        <v>43</v>
      </c>
      <c r="J51">
        <v>1</v>
      </c>
      <c r="K51">
        <v>0</v>
      </c>
      <c r="L51">
        <v>4800000</v>
      </c>
      <c r="N51">
        <v>400000</v>
      </c>
      <c r="O51">
        <v>400000</v>
      </c>
      <c r="P51">
        <v>400000</v>
      </c>
      <c r="Q51">
        <v>400000</v>
      </c>
      <c r="R51">
        <v>400000</v>
      </c>
      <c r="S51">
        <v>400000</v>
      </c>
      <c r="T51">
        <v>400000</v>
      </c>
      <c r="U51">
        <v>400000</v>
      </c>
      <c r="V51">
        <v>400000</v>
      </c>
      <c r="W51">
        <v>400000</v>
      </c>
      <c r="X51">
        <v>400000</v>
      </c>
      <c r="Y51">
        <v>400000</v>
      </c>
      <c r="AL51">
        <v>400000</v>
      </c>
      <c r="AM51">
        <v>800000</v>
      </c>
      <c r="AN51">
        <v>1200000</v>
      </c>
      <c r="AO51">
        <v>1600000</v>
      </c>
      <c r="AP51">
        <v>2000000</v>
      </c>
      <c r="AQ51">
        <v>2400000</v>
      </c>
      <c r="AR51">
        <v>2800000</v>
      </c>
      <c r="AS51">
        <v>3200000</v>
      </c>
      <c r="AT51">
        <v>3600000</v>
      </c>
      <c r="AU51">
        <v>4000000</v>
      </c>
      <c r="AV51">
        <v>4400000</v>
      </c>
      <c r="AW51">
        <v>4800000</v>
      </c>
      <c r="AX51" s="95"/>
      <c r="AY51" s="95"/>
    </row>
    <row r="52" spans="1:51" x14ac:dyDescent="0.25">
      <c r="A52">
        <v>19</v>
      </c>
      <c r="B52">
        <v>20</v>
      </c>
      <c r="D52" s="95" t="s">
        <v>451</v>
      </c>
      <c r="E52">
        <v>44</v>
      </c>
      <c r="J52">
        <v>1</v>
      </c>
      <c r="K52">
        <v>0</v>
      </c>
      <c r="L52">
        <v>522120000</v>
      </c>
      <c r="N52">
        <v>43600000</v>
      </c>
      <c r="O52">
        <v>42800000</v>
      </c>
      <c r="P52">
        <v>43600000</v>
      </c>
      <c r="Q52">
        <v>43200000</v>
      </c>
      <c r="R52">
        <v>43600000</v>
      </c>
      <c r="S52">
        <v>43200000</v>
      </c>
      <c r="T52">
        <v>43720000</v>
      </c>
      <c r="U52">
        <v>43840000</v>
      </c>
      <c r="V52">
        <v>43440000</v>
      </c>
      <c r="W52">
        <v>43840000</v>
      </c>
      <c r="X52">
        <v>43440000</v>
      </c>
      <c r="Y52">
        <v>43840000</v>
      </c>
      <c r="AL52">
        <v>43600000</v>
      </c>
      <c r="AM52">
        <v>86400000</v>
      </c>
      <c r="AN52">
        <v>130000000</v>
      </c>
      <c r="AO52">
        <v>173200000</v>
      </c>
      <c r="AP52">
        <v>216800000</v>
      </c>
      <c r="AQ52">
        <v>260000000</v>
      </c>
      <c r="AR52">
        <v>303720000</v>
      </c>
      <c r="AS52">
        <v>347560000</v>
      </c>
      <c r="AT52">
        <v>391000000</v>
      </c>
      <c r="AU52">
        <v>434840000</v>
      </c>
      <c r="AV52">
        <v>478280000</v>
      </c>
      <c r="AW52">
        <v>522120000</v>
      </c>
      <c r="AX52" s="95"/>
      <c r="AY52" s="95"/>
    </row>
    <row r="53" spans="1:51" x14ac:dyDescent="0.25">
      <c r="A53">
        <v>20</v>
      </c>
      <c r="B53">
        <v>21</v>
      </c>
      <c r="D53" s="95" t="s">
        <v>452</v>
      </c>
      <c r="E53">
        <v>47</v>
      </c>
      <c r="J53">
        <v>1</v>
      </c>
      <c r="K53">
        <v>450700000</v>
      </c>
      <c r="L53">
        <v>0</v>
      </c>
      <c r="Z53">
        <v>41600000</v>
      </c>
      <c r="AA53">
        <v>40000000</v>
      </c>
      <c r="AB53">
        <v>40800000</v>
      </c>
      <c r="AC53">
        <v>40000000</v>
      </c>
      <c r="AD53">
        <v>40400000</v>
      </c>
      <c r="AE53">
        <v>40000000</v>
      </c>
      <c r="AF53">
        <v>40400000</v>
      </c>
      <c r="AG53">
        <v>40300000</v>
      </c>
      <c r="AH53">
        <v>22600000</v>
      </c>
      <c r="AI53">
        <v>23000000</v>
      </c>
      <c r="AJ53">
        <v>40600000</v>
      </c>
      <c r="AK53">
        <v>41000000</v>
      </c>
      <c r="AL53">
        <v>-41600000</v>
      </c>
      <c r="AM53">
        <v>-81600000</v>
      </c>
      <c r="AN53">
        <v>-122400000</v>
      </c>
      <c r="AO53">
        <v>-162400000</v>
      </c>
      <c r="AP53">
        <v>-202800000</v>
      </c>
      <c r="AQ53">
        <v>-242800000</v>
      </c>
      <c r="AR53">
        <v>-283200000</v>
      </c>
      <c r="AS53">
        <v>-323500000</v>
      </c>
      <c r="AT53">
        <v>-346100000</v>
      </c>
      <c r="AU53">
        <v>-369100000</v>
      </c>
      <c r="AV53">
        <v>-409700000</v>
      </c>
      <c r="AW53">
        <v>-450700000</v>
      </c>
      <c r="AX53" s="95"/>
      <c r="AY53" s="95"/>
    </row>
    <row r="54" spans="1:51" x14ac:dyDescent="0.25">
      <c r="A54">
        <v>21</v>
      </c>
      <c r="B54">
        <v>22</v>
      </c>
      <c r="D54" s="95"/>
      <c r="K54">
        <v>0</v>
      </c>
      <c r="L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 s="95"/>
      <c r="AY54" s="95"/>
    </row>
    <row r="55" spans="1:51" x14ac:dyDescent="0.25">
      <c r="A55">
        <v>22</v>
      </c>
      <c r="B55">
        <v>23</v>
      </c>
      <c r="D55" s="95" t="s">
        <v>453</v>
      </c>
      <c r="K55">
        <v>0</v>
      </c>
      <c r="L55">
        <v>1151302500</v>
      </c>
      <c r="N55">
        <v>90400000</v>
      </c>
      <c r="O55">
        <v>95150000</v>
      </c>
      <c r="P55">
        <v>91900000</v>
      </c>
      <c r="Q55">
        <v>94650000</v>
      </c>
      <c r="R55">
        <v>93400000</v>
      </c>
      <c r="S55">
        <v>96150000</v>
      </c>
      <c r="T55">
        <v>94930000</v>
      </c>
      <c r="U55">
        <v>96827500</v>
      </c>
      <c r="V55">
        <v>99225000</v>
      </c>
      <c r="W55">
        <v>98117500</v>
      </c>
      <c r="X55">
        <v>100890000</v>
      </c>
      <c r="Y55">
        <v>99662500</v>
      </c>
      <c r="AL55">
        <v>90400000</v>
      </c>
      <c r="AM55">
        <v>185550000</v>
      </c>
      <c r="AN55">
        <v>277450000</v>
      </c>
      <c r="AO55">
        <v>372100000</v>
      </c>
      <c r="AP55">
        <v>465500000</v>
      </c>
      <c r="AQ55">
        <v>561650000</v>
      </c>
      <c r="AR55">
        <v>656580000</v>
      </c>
      <c r="AS55">
        <v>753407500</v>
      </c>
      <c r="AT55">
        <v>852632500</v>
      </c>
      <c r="AU55">
        <v>950750000</v>
      </c>
      <c r="AV55">
        <v>1051640000</v>
      </c>
      <c r="AW55">
        <v>1151302500</v>
      </c>
      <c r="AX55" s="95"/>
      <c r="AY55" s="95"/>
    </row>
    <row r="56" spans="1:51" x14ac:dyDescent="0.25">
      <c r="A56">
        <v>23</v>
      </c>
      <c r="B56">
        <v>24</v>
      </c>
      <c r="D56" s="95" t="s">
        <v>454</v>
      </c>
      <c r="E56">
        <v>48</v>
      </c>
      <c r="J56">
        <v>1</v>
      </c>
      <c r="K56">
        <v>228328000</v>
      </c>
      <c r="L56">
        <v>230260500</v>
      </c>
      <c r="M56">
        <v>18000000</v>
      </c>
      <c r="N56">
        <v>18080000</v>
      </c>
      <c r="O56">
        <v>19030000</v>
      </c>
      <c r="P56">
        <v>18380000</v>
      </c>
      <c r="Q56">
        <v>18930000</v>
      </c>
      <c r="R56">
        <v>18680000</v>
      </c>
      <c r="S56">
        <v>19230000</v>
      </c>
      <c r="T56">
        <v>18986000</v>
      </c>
      <c r="U56">
        <v>19365500</v>
      </c>
      <c r="V56">
        <v>19845000</v>
      </c>
      <c r="W56">
        <v>19623500</v>
      </c>
      <c r="X56">
        <v>20178000</v>
      </c>
      <c r="Y56">
        <v>19932500</v>
      </c>
      <c r="Z56">
        <v>18000000</v>
      </c>
      <c r="AA56">
        <v>18080000</v>
      </c>
      <c r="AB56">
        <v>19030000</v>
      </c>
      <c r="AC56">
        <v>18380000</v>
      </c>
      <c r="AD56">
        <v>18930000</v>
      </c>
      <c r="AE56">
        <v>18680000</v>
      </c>
      <c r="AF56">
        <v>19230000</v>
      </c>
      <c r="AG56">
        <v>18986000</v>
      </c>
      <c r="AH56">
        <v>19365500</v>
      </c>
      <c r="AI56">
        <v>19845000</v>
      </c>
      <c r="AJ56">
        <v>19623500</v>
      </c>
      <c r="AK56">
        <v>20178000</v>
      </c>
      <c r="AL56">
        <v>18080000</v>
      </c>
      <c r="AM56">
        <v>19030000</v>
      </c>
      <c r="AN56">
        <v>18380000</v>
      </c>
      <c r="AO56">
        <v>18930000</v>
      </c>
      <c r="AP56">
        <v>18680000</v>
      </c>
      <c r="AQ56">
        <v>19230000</v>
      </c>
      <c r="AR56">
        <v>18986000</v>
      </c>
      <c r="AS56">
        <v>19365500</v>
      </c>
      <c r="AT56">
        <v>19845000</v>
      </c>
      <c r="AU56">
        <v>19623500</v>
      </c>
      <c r="AV56">
        <v>20178000</v>
      </c>
      <c r="AW56">
        <v>19932500</v>
      </c>
      <c r="AX56" s="95" t="s">
        <v>455</v>
      </c>
      <c r="AY56" s="95"/>
    </row>
    <row r="57" spans="1:51" x14ac:dyDescent="0.25">
      <c r="A57">
        <v>24</v>
      </c>
      <c r="B57">
        <v>25</v>
      </c>
      <c r="D57" s="95" t="s">
        <v>456</v>
      </c>
      <c r="E57">
        <v>61</v>
      </c>
      <c r="J57">
        <v>1</v>
      </c>
      <c r="K57">
        <v>100000000</v>
      </c>
      <c r="L57">
        <v>100000000</v>
      </c>
      <c r="P57">
        <v>100000000</v>
      </c>
      <c r="AB57">
        <v>100000000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 s="95" t="s">
        <v>457</v>
      </c>
      <c r="AY57" s="95"/>
    </row>
    <row r="58" spans="1:51" x14ac:dyDescent="0.25">
      <c r="A58">
        <v>25</v>
      </c>
      <c r="B58">
        <v>26</v>
      </c>
      <c r="D58" s="95"/>
      <c r="K58">
        <v>0</v>
      </c>
      <c r="L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 s="95"/>
      <c r="AY58" s="95"/>
    </row>
    <row r="59" spans="1:51" x14ac:dyDescent="0.25">
      <c r="A59" t="s">
        <v>316</v>
      </c>
      <c r="D59" s="95"/>
      <c r="AX59" s="95"/>
      <c r="AY59" s="95"/>
    </row>
  </sheetData>
  <sortState xmlns:xlrd2="http://schemas.microsoft.com/office/spreadsheetml/2017/richdata2" ref="A33:Q58">
    <sortCondition ref="A32:A58"/>
  </sortState>
  <dataValidations count="1">
    <dataValidation allowBlank="1" showInputMessage="1" showErrorMessage="1" sqref="A1" xr:uid="{7595084C-184B-4C8F-90EF-8DA2A01957DC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0E696-F024-4461-AEAE-3506040C0012}">
  <sheetPr codeName="Sheet7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66" t="s">
        <v>167</v>
      </c>
    </row>
  </sheetData>
  <dataValidations count="1">
    <dataValidation allowBlank="1" showInputMessage="1" showErrorMessage="1" sqref="A1" xr:uid="{BC1390EF-83CB-4D40-8A2E-C8D457F938AE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6787D-66C5-44E6-AE0C-FF1CAFAA074A}">
  <sheetPr codeName="Sheet8"/>
  <dimension ref="A1:B133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32.5703125" bestFit="1" customWidth="1"/>
    <col min="2" max="3" width="28.5703125" customWidth="1"/>
  </cols>
  <sheetData>
    <row r="1" spans="1:2" x14ac:dyDescent="0.25">
      <c r="A1" t="s">
        <v>167</v>
      </c>
    </row>
    <row r="3" spans="1:2" x14ac:dyDescent="0.25">
      <c r="A3" t="s">
        <v>295</v>
      </c>
      <c r="B3" t="s">
        <v>296</v>
      </c>
    </row>
    <row r="5" spans="1:2" x14ac:dyDescent="0.25">
      <c r="A5">
        <v>2</v>
      </c>
      <c r="B5" t="s">
        <v>154</v>
      </c>
    </row>
    <row r="6" spans="1:2" x14ac:dyDescent="0.25">
      <c r="A6">
        <v>10</v>
      </c>
      <c r="B6" t="s">
        <v>390</v>
      </c>
    </row>
    <row r="7" spans="1:2" x14ac:dyDescent="0.25">
      <c r="A7">
        <v>11</v>
      </c>
      <c r="B7" t="s">
        <v>391</v>
      </c>
    </row>
    <row r="8" spans="1:2" x14ac:dyDescent="0.25">
      <c r="A8">
        <v>13</v>
      </c>
      <c r="B8" t="s">
        <v>160</v>
      </c>
    </row>
    <row r="9" spans="1:2" x14ac:dyDescent="0.25">
      <c r="A9">
        <v>14</v>
      </c>
      <c r="B9" t="s">
        <v>162</v>
      </c>
    </row>
    <row r="10" spans="1:2" x14ac:dyDescent="0.25">
      <c r="A10">
        <v>15</v>
      </c>
      <c r="B10" t="s">
        <v>392</v>
      </c>
    </row>
    <row r="11" spans="1:2" x14ac:dyDescent="0.25">
      <c r="A11">
        <v>16</v>
      </c>
      <c r="B11" t="s">
        <v>393</v>
      </c>
    </row>
    <row r="12" spans="1:2" x14ac:dyDescent="0.25">
      <c r="A12">
        <v>17</v>
      </c>
      <c r="B12" t="s">
        <v>394</v>
      </c>
    </row>
    <row r="13" spans="1:2" x14ac:dyDescent="0.25">
      <c r="A13">
        <v>18</v>
      </c>
      <c r="B13" t="s">
        <v>395</v>
      </c>
    </row>
    <row r="14" spans="1:2" x14ac:dyDescent="0.25">
      <c r="A14">
        <v>23</v>
      </c>
      <c r="B14" t="s">
        <v>396</v>
      </c>
    </row>
    <row r="15" spans="1:2" x14ac:dyDescent="0.25">
      <c r="A15">
        <v>24</v>
      </c>
      <c r="B15" t="s">
        <v>397</v>
      </c>
    </row>
    <row r="16" spans="1:2" x14ac:dyDescent="0.25">
      <c r="A16">
        <v>25</v>
      </c>
      <c r="B16" t="s">
        <v>398</v>
      </c>
    </row>
    <row r="17" spans="1:2" x14ac:dyDescent="0.25">
      <c r="A17">
        <v>27</v>
      </c>
      <c r="B17" t="s">
        <v>399</v>
      </c>
    </row>
    <row r="18" spans="1:2" x14ac:dyDescent="0.25">
      <c r="A18">
        <v>42</v>
      </c>
      <c r="B18" t="s">
        <v>400</v>
      </c>
    </row>
    <row r="19" spans="1:2" x14ac:dyDescent="0.25">
      <c r="A19">
        <v>43</v>
      </c>
      <c r="B19" t="s">
        <v>401</v>
      </c>
    </row>
    <row r="20" spans="1:2" x14ac:dyDescent="0.25">
      <c r="A20">
        <v>44</v>
      </c>
      <c r="B20" t="s">
        <v>402</v>
      </c>
    </row>
    <row r="21" spans="1:2" x14ac:dyDescent="0.25">
      <c r="A21">
        <v>47</v>
      </c>
      <c r="B21" t="s">
        <v>403</v>
      </c>
    </row>
    <row r="22" spans="1:2" x14ac:dyDescent="0.25">
      <c r="A22">
        <v>48</v>
      </c>
      <c r="B22" t="s">
        <v>404</v>
      </c>
    </row>
    <row r="23" spans="1:2" x14ac:dyDescent="0.25">
      <c r="A23">
        <v>53</v>
      </c>
      <c r="B23" t="s">
        <v>405</v>
      </c>
    </row>
    <row r="24" spans="1:2" x14ac:dyDescent="0.25">
      <c r="A24">
        <v>61</v>
      </c>
      <c r="B24" t="s">
        <v>406</v>
      </c>
    </row>
    <row r="25" spans="1:2" x14ac:dyDescent="0.25">
      <c r="A25">
        <v>63</v>
      </c>
      <c r="B25" t="s">
        <v>407</v>
      </c>
    </row>
    <row r="26" spans="1:2" x14ac:dyDescent="0.25">
      <c r="A26">
        <v>64</v>
      </c>
      <c r="B26" t="s">
        <v>408</v>
      </c>
    </row>
    <row r="27" spans="1:2" x14ac:dyDescent="0.25">
      <c r="A27">
        <v>66</v>
      </c>
      <c r="B27" t="s">
        <v>409</v>
      </c>
    </row>
    <row r="28" spans="1:2" x14ac:dyDescent="0.25">
      <c r="A28">
        <v>67</v>
      </c>
      <c r="B28" t="s">
        <v>410</v>
      </c>
    </row>
    <row r="30" spans="1:2" x14ac:dyDescent="0.25">
      <c r="A30" t="s">
        <v>295</v>
      </c>
      <c r="B30" t="s">
        <v>296</v>
      </c>
    </row>
    <row r="32" spans="1:2" x14ac:dyDescent="0.25">
      <c r="A32">
        <v>79</v>
      </c>
      <c r="B32" t="s">
        <v>411</v>
      </c>
    </row>
    <row r="33" spans="1:2" x14ac:dyDescent="0.25">
      <c r="A33">
        <v>80</v>
      </c>
      <c r="B33" t="s">
        <v>157</v>
      </c>
    </row>
    <row r="34" spans="1:2" x14ac:dyDescent="0.25">
      <c r="A34">
        <v>82</v>
      </c>
      <c r="B34" t="s">
        <v>412</v>
      </c>
    </row>
    <row r="36" spans="1:2" x14ac:dyDescent="0.25">
      <c r="A36" t="s">
        <v>295</v>
      </c>
      <c r="B36" t="s">
        <v>296</v>
      </c>
    </row>
    <row r="38" spans="1:2" x14ac:dyDescent="0.25">
      <c r="A38">
        <v>76</v>
      </c>
      <c r="B38" t="s">
        <v>299</v>
      </c>
    </row>
    <row r="39" spans="1:2" x14ac:dyDescent="0.25">
      <c r="A39">
        <v>77</v>
      </c>
      <c r="B39" t="s">
        <v>156</v>
      </c>
    </row>
    <row r="41" spans="1:2" x14ac:dyDescent="0.25">
      <c r="A41" t="s">
        <v>295</v>
      </c>
      <c r="B41" t="s">
        <v>296</v>
      </c>
    </row>
    <row r="43" spans="1:2" x14ac:dyDescent="0.25">
      <c r="A43">
        <v>83</v>
      </c>
      <c r="B43" t="s">
        <v>381</v>
      </c>
    </row>
    <row r="44" spans="1:2" x14ac:dyDescent="0.25">
      <c r="A44">
        <v>84</v>
      </c>
      <c r="B44" t="s">
        <v>155</v>
      </c>
    </row>
    <row r="45" spans="1:2" x14ac:dyDescent="0.25">
      <c r="A45">
        <v>85</v>
      </c>
      <c r="B45" t="s">
        <v>413</v>
      </c>
    </row>
    <row r="46" spans="1:2" x14ac:dyDescent="0.25">
      <c r="A46">
        <v>86</v>
      </c>
      <c r="B46" t="s">
        <v>414</v>
      </c>
    </row>
    <row r="47" spans="1:2" x14ac:dyDescent="0.25">
      <c r="A47">
        <v>87</v>
      </c>
      <c r="B47" t="s">
        <v>161</v>
      </c>
    </row>
    <row r="48" spans="1:2" x14ac:dyDescent="0.25">
      <c r="A48">
        <v>88</v>
      </c>
      <c r="B48" t="s">
        <v>415</v>
      </c>
    </row>
    <row r="49" spans="1:2" x14ac:dyDescent="0.25">
      <c r="A49">
        <v>89</v>
      </c>
      <c r="B49" t="s">
        <v>416</v>
      </c>
    </row>
    <row r="50" spans="1:2" x14ac:dyDescent="0.25">
      <c r="A50">
        <v>90</v>
      </c>
      <c r="B50" t="s">
        <v>417</v>
      </c>
    </row>
    <row r="51" spans="1:2" x14ac:dyDescent="0.25">
      <c r="A51">
        <v>91</v>
      </c>
      <c r="B51" t="s">
        <v>418</v>
      </c>
    </row>
    <row r="52" spans="1:2" x14ac:dyDescent="0.25">
      <c r="A52">
        <v>92</v>
      </c>
      <c r="B52" t="s">
        <v>419</v>
      </c>
    </row>
    <row r="53" spans="1:2" x14ac:dyDescent="0.25">
      <c r="A53">
        <v>93</v>
      </c>
      <c r="B53" t="s">
        <v>420</v>
      </c>
    </row>
    <row r="54" spans="1:2" x14ac:dyDescent="0.25">
      <c r="A54">
        <v>94</v>
      </c>
      <c r="B54" t="s">
        <v>421</v>
      </c>
    </row>
    <row r="55" spans="1:2" x14ac:dyDescent="0.25">
      <c r="A55">
        <v>95</v>
      </c>
      <c r="B55" t="s">
        <v>422</v>
      </c>
    </row>
    <row r="56" spans="1:2" x14ac:dyDescent="0.25">
      <c r="A56">
        <v>96</v>
      </c>
      <c r="B56" t="s">
        <v>423</v>
      </c>
    </row>
    <row r="57" spans="1:2" x14ac:dyDescent="0.25">
      <c r="A57">
        <v>97</v>
      </c>
      <c r="B57" t="s">
        <v>424</v>
      </c>
    </row>
    <row r="58" spans="1:2" x14ac:dyDescent="0.25">
      <c r="A58">
        <v>98</v>
      </c>
      <c r="B58" t="s">
        <v>425</v>
      </c>
    </row>
    <row r="60" spans="1:2" x14ac:dyDescent="0.25">
      <c r="A60" t="s">
        <v>295</v>
      </c>
      <c r="B60" t="s">
        <v>302</v>
      </c>
    </row>
    <row r="61" spans="1:2" x14ac:dyDescent="0.25">
      <c r="A61">
        <v>1</v>
      </c>
      <c r="B61" t="s">
        <v>159</v>
      </c>
    </row>
    <row r="62" spans="1:2" x14ac:dyDescent="0.25">
      <c r="A62">
        <v>2</v>
      </c>
      <c r="B62" t="s">
        <v>166</v>
      </c>
    </row>
    <row r="64" spans="1:2" x14ac:dyDescent="0.25">
      <c r="A64" t="s">
        <v>295</v>
      </c>
      <c r="B64" t="s">
        <v>296</v>
      </c>
    </row>
    <row r="65" spans="1:2" x14ac:dyDescent="0.25">
      <c r="A65">
        <v>3</v>
      </c>
      <c r="B65" t="s">
        <v>169</v>
      </c>
    </row>
    <row r="66" spans="1:2" x14ac:dyDescent="0.25">
      <c r="A66">
        <v>2</v>
      </c>
      <c r="B66" t="s">
        <v>158</v>
      </c>
    </row>
    <row r="67" spans="1:2" x14ac:dyDescent="0.25">
      <c r="A67">
        <v>1</v>
      </c>
      <c r="B67" t="s">
        <v>304</v>
      </c>
    </row>
    <row r="69" spans="1:2" x14ac:dyDescent="0.25">
      <c r="A69" t="s">
        <v>295</v>
      </c>
      <c r="B69" t="s">
        <v>296</v>
      </c>
    </row>
    <row r="71" spans="1:2" x14ac:dyDescent="0.25">
      <c r="A71">
        <v>2</v>
      </c>
      <c r="B71" t="s">
        <v>154</v>
      </c>
    </row>
    <row r="72" spans="1:2" x14ac:dyDescent="0.25">
      <c r="A72">
        <v>10</v>
      </c>
      <c r="B72" t="s">
        <v>390</v>
      </c>
    </row>
    <row r="73" spans="1:2" x14ac:dyDescent="0.25">
      <c r="A73">
        <v>11</v>
      </c>
      <c r="B73" t="s">
        <v>391</v>
      </c>
    </row>
    <row r="74" spans="1:2" x14ac:dyDescent="0.25">
      <c r="A74">
        <v>13</v>
      </c>
      <c r="B74" t="s">
        <v>160</v>
      </c>
    </row>
    <row r="75" spans="1:2" x14ac:dyDescent="0.25">
      <c r="A75">
        <v>14</v>
      </c>
      <c r="B75" t="s">
        <v>162</v>
      </c>
    </row>
    <row r="76" spans="1:2" x14ac:dyDescent="0.25">
      <c r="A76">
        <v>15</v>
      </c>
      <c r="B76" t="s">
        <v>392</v>
      </c>
    </row>
    <row r="77" spans="1:2" x14ac:dyDescent="0.25">
      <c r="A77">
        <v>16</v>
      </c>
      <c r="B77" t="s">
        <v>393</v>
      </c>
    </row>
    <row r="78" spans="1:2" x14ac:dyDescent="0.25">
      <c r="A78">
        <v>17</v>
      </c>
      <c r="B78" t="s">
        <v>394</v>
      </c>
    </row>
    <row r="79" spans="1:2" x14ac:dyDescent="0.25">
      <c r="A79">
        <v>18</v>
      </c>
      <c r="B79" t="s">
        <v>395</v>
      </c>
    </row>
    <row r="80" spans="1:2" x14ac:dyDescent="0.25">
      <c r="A80">
        <v>23</v>
      </c>
      <c r="B80" t="s">
        <v>396</v>
      </c>
    </row>
    <row r="81" spans="1:2" x14ac:dyDescent="0.25">
      <c r="A81">
        <v>24</v>
      </c>
      <c r="B81" t="s">
        <v>397</v>
      </c>
    </row>
    <row r="82" spans="1:2" x14ac:dyDescent="0.25">
      <c r="A82">
        <v>25</v>
      </c>
      <c r="B82" t="s">
        <v>398</v>
      </c>
    </row>
    <row r="83" spans="1:2" x14ac:dyDescent="0.25">
      <c r="A83">
        <v>27</v>
      </c>
      <c r="B83" t="s">
        <v>399</v>
      </c>
    </row>
    <row r="84" spans="1:2" x14ac:dyDescent="0.25">
      <c r="A84">
        <v>42</v>
      </c>
      <c r="B84" t="s">
        <v>400</v>
      </c>
    </row>
    <row r="85" spans="1:2" x14ac:dyDescent="0.25">
      <c r="A85">
        <v>43</v>
      </c>
      <c r="B85" t="s">
        <v>401</v>
      </c>
    </row>
    <row r="86" spans="1:2" x14ac:dyDescent="0.25">
      <c r="A86">
        <v>44</v>
      </c>
      <c r="B86" t="s">
        <v>402</v>
      </c>
    </row>
    <row r="87" spans="1:2" x14ac:dyDescent="0.25">
      <c r="A87">
        <v>47</v>
      </c>
      <c r="B87" t="s">
        <v>403</v>
      </c>
    </row>
    <row r="88" spans="1:2" x14ac:dyDescent="0.25">
      <c r="A88">
        <v>48</v>
      </c>
      <c r="B88" t="s">
        <v>404</v>
      </c>
    </row>
    <row r="89" spans="1:2" x14ac:dyDescent="0.25">
      <c r="A89">
        <v>53</v>
      </c>
      <c r="B89" t="s">
        <v>405</v>
      </c>
    </row>
    <row r="90" spans="1:2" x14ac:dyDescent="0.25">
      <c r="A90">
        <v>61</v>
      </c>
      <c r="B90" t="s">
        <v>406</v>
      </c>
    </row>
    <row r="91" spans="1:2" x14ac:dyDescent="0.25">
      <c r="A91">
        <v>63</v>
      </c>
      <c r="B91" t="s">
        <v>407</v>
      </c>
    </row>
    <row r="92" spans="1:2" x14ac:dyDescent="0.25">
      <c r="A92">
        <v>64</v>
      </c>
      <c r="B92" t="s">
        <v>408</v>
      </c>
    </row>
    <row r="93" spans="1:2" x14ac:dyDescent="0.25">
      <c r="A93">
        <v>66</v>
      </c>
      <c r="B93" t="s">
        <v>409</v>
      </c>
    </row>
    <row r="94" spans="1:2" x14ac:dyDescent="0.25">
      <c r="A94">
        <v>67</v>
      </c>
      <c r="B94" t="s">
        <v>410</v>
      </c>
    </row>
    <row r="96" spans="1:2" x14ac:dyDescent="0.25">
      <c r="A96" t="s">
        <v>295</v>
      </c>
      <c r="B96" t="s">
        <v>296</v>
      </c>
    </row>
    <row r="98" spans="1:2" x14ac:dyDescent="0.25">
      <c r="A98">
        <v>79</v>
      </c>
      <c r="B98" t="s">
        <v>411</v>
      </c>
    </row>
    <row r="99" spans="1:2" x14ac:dyDescent="0.25">
      <c r="A99">
        <v>80</v>
      </c>
      <c r="B99" t="s">
        <v>157</v>
      </c>
    </row>
    <row r="100" spans="1:2" x14ac:dyDescent="0.25">
      <c r="A100">
        <v>82</v>
      </c>
      <c r="B100" t="s">
        <v>412</v>
      </c>
    </row>
    <row r="102" spans="1:2" x14ac:dyDescent="0.25">
      <c r="A102" t="s">
        <v>295</v>
      </c>
      <c r="B102" t="s">
        <v>296</v>
      </c>
    </row>
    <row r="104" spans="1:2" x14ac:dyDescent="0.25">
      <c r="A104">
        <v>76</v>
      </c>
      <c r="B104" t="s">
        <v>299</v>
      </c>
    </row>
    <row r="105" spans="1:2" x14ac:dyDescent="0.25">
      <c r="A105">
        <v>77</v>
      </c>
      <c r="B105" t="s">
        <v>156</v>
      </c>
    </row>
    <row r="107" spans="1:2" x14ac:dyDescent="0.25">
      <c r="A107" t="s">
        <v>295</v>
      </c>
      <c r="B107" t="s">
        <v>296</v>
      </c>
    </row>
    <row r="109" spans="1:2" x14ac:dyDescent="0.25">
      <c r="A109">
        <v>83</v>
      </c>
      <c r="B109" t="s">
        <v>381</v>
      </c>
    </row>
    <row r="110" spans="1:2" x14ac:dyDescent="0.25">
      <c r="A110">
        <v>84</v>
      </c>
      <c r="B110" t="s">
        <v>155</v>
      </c>
    </row>
    <row r="111" spans="1:2" x14ac:dyDescent="0.25">
      <c r="A111">
        <v>85</v>
      </c>
      <c r="B111" t="s">
        <v>413</v>
      </c>
    </row>
    <row r="112" spans="1:2" x14ac:dyDescent="0.25">
      <c r="A112">
        <v>86</v>
      </c>
      <c r="B112" t="s">
        <v>414</v>
      </c>
    </row>
    <row r="113" spans="1:2" x14ac:dyDescent="0.25">
      <c r="A113">
        <v>87</v>
      </c>
      <c r="B113" t="s">
        <v>161</v>
      </c>
    </row>
    <row r="114" spans="1:2" x14ac:dyDescent="0.25">
      <c r="A114">
        <v>88</v>
      </c>
      <c r="B114" t="s">
        <v>415</v>
      </c>
    </row>
    <row r="115" spans="1:2" x14ac:dyDescent="0.25">
      <c r="A115">
        <v>89</v>
      </c>
      <c r="B115" t="s">
        <v>416</v>
      </c>
    </row>
    <row r="116" spans="1:2" x14ac:dyDescent="0.25">
      <c r="A116">
        <v>90</v>
      </c>
      <c r="B116" t="s">
        <v>417</v>
      </c>
    </row>
    <row r="117" spans="1:2" x14ac:dyDescent="0.25">
      <c r="A117">
        <v>91</v>
      </c>
      <c r="B117" t="s">
        <v>418</v>
      </c>
    </row>
    <row r="118" spans="1:2" x14ac:dyDescent="0.25">
      <c r="A118">
        <v>92</v>
      </c>
      <c r="B118" t="s">
        <v>419</v>
      </c>
    </row>
    <row r="119" spans="1:2" x14ac:dyDescent="0.25">
      <c r="A119">
        <v>93</v>
      </c>
      <c r="B119" t="s">
        <v>420</v>
      </c>
    </row>
    <row r="120" spans="1:2" x14ac:dyDescent="0.25">
      <c r="A120">
        <v>94</v>
      </c>
      <c r="B120" t="s">
        <v>421</v>
      </c>
    </row>
    <row r="121" spans="1:2" x14ac:dyDescent="0.25">
      <c r="A121">
        <v>95</v>
      </c>
      <c r="B121" t="s">
        <v>422</v>
      </c>
    </row>
    <row r="122" spans="1:2" x14ac:dyDescent="0.25">
      <c r="A122">
        <v>96</v>
      </c>
      <c r="B122" t="s">
        <v>423</v>
      </c>
    </row>
    <row r="123" spans="1:2" x14ac:dyDescent="0.25">
      <c r="A123">
        <v>97</v>
      </c>
      <c r="B123" t="s">
        <v>424</v>
      </c>
    </row>
    <row r="124" spans="1:2" x14ac:dyDescent="0.25">
      <c r="A124">
        <v>98</v>
      </c>
      <c r="B124" t="s">
        <v>425</v>
      </c>
    </row>
    <row r="126" spans="1:2" x14ac:dyDescent="0.25">
      <c r="A126" t="s">
        <v>295</v>
      </c>
      <c r="B126" t="s">
        <v>302</v>
      </c>
    </row>
    <row r="127" spans="1:2" x14ac:dyDescent="0.25">
      <c r="A127">
        <v>1</v>
      </c>
      <c r="B127" t="s">
        <v>159</v>
      </c>
    </row>
    <row r="128" spans="1:2" x14ac:dyDescent="0.25">
      <c r="A128">
        <v>2</v>
      </c>
      <c r="B128" t="s">
        <v>166</v>
      </c>
    </row>
    <row r="130" spans="1:2" x14ac:dyDescent="0.25">
      <c r="A130" t="s">
        <v>295</v>
      </c>
      <c r="B130" t="s">
        <v>296</v>
      </c>
    </row>
    <row r="131" spans="1:2" x14ac:dyDescent="0.25">
      <c r="A131">
        <v>3</v>
      </c>
      <c r="B131" t="s">
        <v>169</v>
      </c>
    </row>
    <row r="132" spans="1:2" x14ac:dyDescent="0.25">
      <c r="A132">
        <v>2</v>
      </c>
      <c r="B132" t="s">
        <v>158</v>
      </c>
    </row>
    <row r="133" spans="1:2" x14ac:dyDescent="0.25">
      <c r="A133">
        <v>1</v>
      </c>
      <c r="B133" t="s">
        <v>304</v>
      </c>
    </row>
  </sheetData>
  <dataValidations count="1">
    <dataValidation allowBlank="1" showInputMessage="1" showErrorMessage="1" sqref="A1" xr:uid="{CC6C0874-C659-4B88-8D9D-4E6BA5472F63}"/>
  </dataValidations>
  <pageMargins left="0.7" right="0.7" top="0.75" bottom="0.75" header="0.3" footer="0.3"/>
  <tableParts count="1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Readme</vt:lpstr>
      <vt:lpstr>Request1</vt:lpstr>
      <vt:lpstr>Request2</vt:lpstr>
      <vt:lpstr>Request1!category_id__name</vt:lpstr>
      <vt:lpstr>Request2!category_id__name</vt:lpstr>
      <vt:lpstr>Request1!entity_id__name</vt:lpstr>
      <vt:lpstr>Request2!entity_id__name</vt:lpstr>
      <vt:lpstr>Readme!Print_Area</vt:lpstr>
      <vt:lpstr>Request1!Print_Area</vt:lpstr>
      <vt:lpstr>Request2!Print_Area</vt:lpstr>
      <vt:lpstr>Request1!time_id__name</vt:lpstr>
      <vt:lpstr>Request2!time_id__name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Vaselenko</dc:creator>
  <cp:lastModifiedBy>Sergey Vaselenko</cp:lastModifiedBy>
  <dcterms:created xsi:type="dcterms:W3CDTF">2020-07-03T21:09:00Z</dcterms:created>
  <dcterms:modified xsi:type="dcterms:W3CDTF">2023-03-12T23:56:38Z</dcterms:modified>
</cp:coreProperties>
</file>